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codeName="{1AED2BDD-1FA3-CEF2-32D4-FBADEFEB71EE}"/>
  <workbookPr codeName="ThisWorkbook"/>
  <mc:AlternateContent xmlns:mc="http://schemas.openxmlformats.org/markup-compatibility/2006">
    <mc:Choice Requires="x15">
      <x15ac:absPath xmlns:x15ac="http://schemas.microsoft.com/office/spreadsheetml/2010/11/ac" url="I:\100000-\100020 Canton GE\100020.20 Outil ACV GESDEC\5-RN\RN001 Outil ACV\"/>
    </mc:Choice>
  </mc:AlternateContent>
  <xr:revisionPtr revIDLastSave="0" documentId="13_ncr:1_{43157455-1D66-4485-9D51-7C6090117C2D}" xr6:coauthVersionLast="44" xr6:coauthVersionMax="47" xr10:uidLastSave="{00000000-0000-0000-0000-000000000000}"/>
  <workbookProtection workbookAlgorithmName="SHA-512" workbookHashValue="s6Jyp1vVhLcxYBRTgWn+URV2Dc5wygRZHP+tvcZF8JqVJBWmAhaKgkHl4w/DafgamxQMyjPFdTF1Bp4KH5T4Vw==" workbookSaltValue="K9tzPmsPRa41b7841NxP6A==" workbookSpinCount="100000" lockStructure="1"/>
  <bookViews>
    <workbookView xWindow="-108" yWindow="-108" windowWidth="23256" windowHeight="12576" tabRatio="804" xr2:uid="{FBA66643-5541-4657-B207-15033563DD58}"/>
  </bookViews>
  <sheets>
    <sheet name="Présentation outil" sheetId="44" r:id="rId1"/>
    <sheet name="Mode emploi" sheetId="60" r:id="rId2"/>
    <sheet name="Ressources" sheetId="50" state="hidden" r:id="rId3"/>
    <sheet name="Méthodes disponibles" sheetId="58" r:id="rId4"/>
    <sheet name="Données à renseigner" sheetId="45" r:id="rId5"/>
    <sheet name="Conversions" sheetId="51" state="hidden" r:id="rId6"/>
    <sheet name="BDD trait" sheetId="48" state="hidden" r:id="rId7"/>
    <sheet name="BDD FE" sheetId="46" state="hidden" r:id="rId8"/>
    <sheet name="Calculs" sheetId="10" state="hidden" r:id="rId9"/>
    <sheet name="Sources" sheetId="53" r:id="rId10"/>
    <sheet name="Lexique" sheetId="70" r:id="rId11"/>
    <sheet name="Sparging Venting" sheetId="56" state="hidden" r:id="rId12"/>
    <sheet name="Pomp ecrem" sheetId="54" state="hidden" r:id="rId13"/>
    <sheet name="Lavage eau et extract" sheetId="64" state="hidden" r:id="rId14"/>
    <sheet name="Stab physico chim" sheetId="65" state="hidden" r:id="rId15"/>
    <sheet name="Desorption therm" sheetId="71" state="hidden" r:id="rId16"/>
    <sheet name="Excavation" sheetId="62" state="hidden" r:id="rId17"/>
    <sheet name="Tri selon les fractions" sheetId="66" state="hidden" r:id="rId18"/>
    <sheet name="Lavage à l'eau" sheetId="67" state="hidden" r:id="rId19"/>
    <sheet name="Co Inci cimenterie" sheetId="61" state="hidden" r:id="rId20"/>
    <sheet name="Biotertre" sheetId="55" state="hidden" r:id="rId21"/>
  </sheets>
  <functionGroups builtInGroupCount="19"/>
  <definedNames>
    <definedName name="_xlnm._FilterDatabase" localSheetId="8" hidden="1">Calculs!$A$6:$U$506</definedName>
    <definedName name="CalcsPollutantTypeTitleCell">Calculs!$B$3</definedName>
    <definedName name="CalcsStart">Calculs!$A$7</definedName>
    <definedName name="CalcsTypeTitleCell">Calculs!$D$3</definedName>
    <definedName name="IntrantsColors">'Données à renseigner'!$D$3:$I$3</definedName>
    <definedName name="TypePolluantsN">TypePolluants[Type de polluants]</definedName>
    <definedName name="TypeTraitementN">TypeTraitement[Types de traitement]</definedName>
    <definedName name="_xlnm.Print_Area" localSheetId="0">'Présentation outil'!$A$1:$A$62</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2" i="10" l="1"/>
  <c r="H62" i="10"/>
  <c r="L62" i="10" s="1"/>
  <c r="N62" i="10" s="1"/>
  <c r="E62" i="10"/>
  <c r="I61" i="10"/>
  <c r="H61" i="10"/>
  <c r="L61" i="10" s="1"/>
  <c r="N61" i="10" s="1"/>
  <c r="E61" i="10"/>
  <c r="G60" i="10"/>
  <c r="F60" i="10"/>
  <c r="L60" i="10" s="1"/>
  <c r="N60" i="10" s="1"/>
  <c r="E60" i="10"/>
  <c r="L59" i="10"/>
  <c r="N59" i="10" s="1"/>
  <c r="G59" i="10"/>
  <c r="F59" i="10"/>
  <c r="O59" i="10" s="1"/>
  <c r="Q59" i="10" s="1"/>
  <c r="E59" i="10"/>
  <c r="G58" i="10"/>
  <c r="F58" i="10"/>
  <c r="O58" i="10" s="1"/>
  <c r="Q58" i="10" s="1"/>
  <c r="E58" i="10"/>
  <c r="I53" i="10"/>
  <c r="H53" i="10"/>
  <c r="L53" i="10" s="1"/>
  <c r="N53" i="10" s="1"/>
  <c r="E53" i="10"/>
  <c r="I52" i="10"/>
  <c r="H52" i="10"/>
  <c r="R52" i="10" s="1"/>
  <c r="T52" i="10" s="1"/>
  <c r="E52" i="10"/>
  <c r="L51" i="10"/>
  <c r="N51" i="10" s="1"/>
  <c r="G51" i="10"/>
  <c r="F51" i="10"/>
  <c r="O51" i="10" s="1"/>
  <c r="Q51" i="10" s="1"/>
  <c r="E51" i="10"/>
  <c r="G50" i="10"/>
  <c r="F50" i="10"/>
  <c r="L50" i="10" s="1"/>
  <c r="N50" i="10" s="1"/>
  <c r="E50" i="10"/>
  <c r="G49" i="10"/>
  <c r="F49" i="10"/>
  <c r="O49" i="10" s="1"/>
  <c r="Q49" i="10" s="1"/>
  <c r="E49" i="10"/>
  <c r="I80" i="10"/>
  <c r="H80" i="10"/>
  <c r="L80" i="10" s="1"/>
  <c r="N80" i="10" s="1"/>
  <c r="E80" i="10"/>
  <c r="I79" i="10"/>
  <c r="H79" i="10"/>
  <c r="O79" i="10" s="1"/>
  <c r="Q79" i="10" s="1"/>
  <c r="E79" i="10"/>
  <c r="G78" i="10"/>
  <c r="F78" i="10"/>
  <c r="O78" i="10" s="1"/>
  <c r="Q78" i="10" s="1"/>
  <c r="E78" i="10"/>
  <c r="G77" i="10"/>
  <c r="F77" i="10"/>
  <c r="O77" i="10" s="1"/>
  <c r="Q77" i="10" s="1"/>
  <c r="E77" i="10"/>
  <c r="G76" i="10"/>
  <c r="F76" i="10"/>
  <c r="E76" i="10"/>
  <c r="O53" i="10" l="1"/>
  <c r="Q53" i="10" s="1"/>
  <c r="O50" i="10"/>
  <c r="Q50" i="10" s="1"/>
  <c r="O60" i="10"/>
  <c r="Q60" i="10" s="1"/>
  <c r="O62" i="10"/>
  <c r="Q62" i="10" s="1"/>
  <c r="O61" i="10"/>
  <c r="Q61" i="10" s="1"/>
  <c r="O80" i="10"/>
  <c r="Q80" i="10" s="1"/>
  <c r="L58" i="10"/>
  <c r="N58" i="10" s="1"/>
  <c r="R61" i="10"/>
  <c r="T61" i="10" s="1"/>
  <c r="L52" i="10"/>
  <c r="N52" i="10" s="1"/>
  <c r="O52" i="10"/>
  <c r="Q52" i="10" s="1"/>
  <c r="L49" i="10"/>
  <c r="N49" i="10" s="1"/>
  <c r="O76" i="10"/>
  <c r="Q76" i="10" s="1"/>
  <c r="R79" i="10"/>
  <c r="T79" i="10" s="1"/>
  <c r="L79" i="10"/>
  <c r="N79" i="10" s="1"/>
  <c r="I128" i="10"/>
  <c r="J14" i="58" a="1"/>
  <c r="K14" i="58" a="1"/>
  <c r="M17" i="58" a="1"/>
  <c r="N14" i="58" a="1"/>
  <c r="L20" i="58" a="1"/>
  <c r="N16" i="58" a="1"/>
  <c r="K16" i="58" a="1"/>
  <c r="L16" i="58" a="1"/>
  <c r="J17" i="58" a="1"/>
  <c r="N17" i="58" a="1"/>
  <c r="M20" i="58" a="1"/>
  <c r="N19" i="58" a="1"/>
  <c r="K17" i="58" a="1"/>
  <c r="N15" i="58" a="1"/>
  <c r="M16" i="58" a="1"/>
  <c r="J19" i="58" a="1"/>
  <c r="K15" i="58" a="1"/>
  <c r="K20" i="58" a="1"/>
  <c r="J15" i="58" a="1"/>
  <c r="K18" i="58" a="1"/>
  <c r="N20" i="58" a="1"/>
  <c r="J18" i="58" a="1"/>
  <c r="M14" i="58" a="1"/>
  <c r="L18" i="58" a="1"/>
  <c r="L17" i="58" a="1"/>
  <c r="M15" i="58" a="1"/>
  <c r="N18" i="58" a="1"/>
  <c r="J20" i="58" a="1"/>
  <c r="J16" i="58" a="1"/>
  <c r="L15" i="58" a="1"/>
  <c r="M18" i="58" a="1"/>
  <c r="K19" i="58" a="1"/>
  <c r="L14" i="58" a="1"/>
  <c r="M19" i="58" a="1"/>
  <c r="L19" i="58" a="1"/>
  <c r="J19" i="58" l="1"/>
  <c r="M16" i="58"/>
  <c r="K14" i="58"/>
  <c r="N18" i="58"/>
  <c r="L16" i="58"/>
  <c r="K15" i="58"/>
  <c r="J14" i="58"/>
  <c r="N19" i="58"/>
  <c r="M18" i="58"/>
  <c r="L17" i="58"/>
  <c r="K16" i="58"/>
  <c r="J15" i="58"/>
  <c r="K20" i="58"/>
  <c r="N17" i="58"/>
  <c r="L15" i="58"/>
  <c r="J20" i="58"/>
  <c r="M17" i="58"/>
  <c r="N20" i="58"/>
  <c r="M19" i="58"/>
  <c r="L18" i="58"/>
  <c r="K17" i="58"/>
  <c r="J16" i="58"/>
  <c r="N14" i="58"/>
  <c r="M20" i="58"/>
  <c r="L19" i="58"/>
  <c r="K18" i="58"/>
  <c r="J17" i="58"/>
  <c r="N15" i="58"/>
  <c r="M14" i="58"/>
  <c r="L20" i="58"/>
  <c r="K19" i="58"/>
  <c r="J18" i="58"/>
  <c r="N16" i="58"/>
  <c r="M15" i="58"/>
  <c r="L14" i="58"/>
  <c r="E386" i="10"/>
  <c r="E382" i="10"/>
  <c r="E378" i="10"/>
  <c r="E374" i="10"/>
  <c r="E370" i="10"/>
  <c r="K386" i="10"/>
  <c r="J386" i="10"/>
  <c r="S386" i="10" s="1"/>
  <c r="T386" i="10" s="1"/>
  <c r="K382" i="10"/>
  <c r="J382" i="10"/>
  <c r="K378" i="10"/>
  <c r="J378" i="10"/>
  <c r="K374" i="10"/>
  <c r="K370" i="10"/>
  <c r="J374" i="10"/>
  <c r="J370" i="10"/>
  <c r="M13" i="58" a="1"/>
  <c r="L13" i="58" a="1"/>
  <c r="N13" i="58" a="1"/>
  <c r="K13" i="58" a="1"/>
  <c r="J13" i="58" a="1"/>
  <c r="P374" i="10" l="1"/>
  <c r="Q374" i="10" s="1"/>
  <c r="M374" i="10"/>
  <c r="N374" i="10" s="1"/>
  <c r="P386" i="10"/>
  <c r="Q386" i="10" s="1"/>
  <c r="M386" i="10"/>
  <c r="N386" i="10" s="1"/>
  <c r="S378" i="10"/>
  <c r="T378" i="10" s="1"/>
  <c r="M378" i="10"/>
  <c r="N378" i="10" s="1"/>
  <c r="P378" i="10"/>
  <c r="Q378" i="10" s="1"/>
  <c r="P370" i="10"/>
  <c r="Q370" i="10" s="1"/>
  <c r="M370" i="10"/>
  <c r="N370" i="10" s="1"/>
  <c r="P382" i="10"/>
  <c r="Q382" i="10" s="1"/>
  <c r="M382" i="10"/>
  <c r="N382" i="10" s="1"/>
  <c r="S382" i="10"/>
  <c r="T382" i="10" s="1"/>
  <c r="S374" i="10"/>
  <c r="T374" i="10" s="1"/>
  <c r="J13" i="58"/>
  <c r="N13" i="58"/>
  <c r="M13" i="58"/>
  <c r="L13" i="58"/>
  <c r="K13" i="58"/>
  <c r="K12" i="58" a="1"/>
  <c r="N2" i="58" a="1"/>
  <c r="N7" i="58" a="1"/>
  <c r="K5" i="58" a="1"/>
  <c r="J10" i="58" a="1"/>
  <c r="J8" i="58" a="1"/>
  <c r="M10" i="58" a="1"/>
  <c r="L3" i="58" a="1"/>
  <c r="M11" i="58" a="1"/>
  <c r="N5" i="58" a="1"/>
  <c r="L7" i="58" a="1"/>
  <c r="K9" i="58" a="1"/>
  <c r="M6" i="58" a="1"/>
  <c r="L6" i="58" a="1"/>
  <c r="K10" i="58" a="1"/>
  <c r="M3" i="58" a="1"/>
  <c r="K4" i="58" a="1"/>
  <c r="N3" i="58" a="1"/>
  <c r="K3" i="58" a="1"/>
  <c r="L10" i="58" a="1"/>
  <c r="M2" i="58" a="1"/>
  <c r="M4" i="58" a="1"/>
  <c r="K7" i="58" a="1"/>
  <c r="N4" i="58" a="1"/>
  <c r="M9" i="58" a="1"/>
  <c r="N9" i="58" a="1"/>
  <c r="L11" i="58" a="1"/>
  <c r="J5" i="58" a="1"/>
  <c r="K11" i="58" a="1"/>
  <c r="N11" i="58" a="1"/>
  <c r="M7" i="58" a="1"/>
  <c r="J12" i="58" a="1"/>
  <c r="L12" i="58" a="1"/>
  <c r="L8" i="58" a="1"/>
  <c r="N10" i="58" a="1"/>
  <c r="L9" i="58" a="1"/>
  <c r="N12" i="58" a="1"/>
  <c r="K2" i="58" a="1"/>
  <c r="J3" i="58" a="1"/>
  <c r="M8" i="58" a="1"/>
  <c r="M5" i="58" a="1"/>
  <c r="N8" i="58" a="1"/>
  <c r="J6" i="58" a="1"/>
  <c r="M12" i="58" a="1"/>
  <c r="L5" i="58" a="1"/>
  <c r="J11" i="58" a="1"/>
  <c r="J7" i="58" a="1"/>
  <c r="J4" i="58" a="1"/>
  <c r="N6" i="58" a="1"/>
  <c r="L4" i="58" a="1"/>
  <c r="K8" i="58" a="1"/>
  <c r="K6" i="58" a="1"/>
  <c r="J9" i="58" a="1"/>
  <c r="L2" i="58" a="1"/>
  <c r="K9" i="58" l="1"/>
  <c r="K7" i="58"/>
  <c r="K5" i="58"/>
  <c r="K3" i="58"/>
  <c r="N12" i="58"/>
  <c r="N11" i="58"/>
  <c r="N10" i="58"/>
  <c r="N9" i="58"/>
  <c r="N8" i="58"/>
  <c r="N7" i="58"/>
  <c r="N6" i="58"/>
  <c r="N5" i="58"/>
  <c r="N4" i="58"/>
  <c r="N3" i="58"/>
  <c r="N2" i="58"/>
  <c r="K11" i="58"/>
  <c r="K4" i="58"/>
  <c r="M3" i="58"/>
  <c r="K12" i="58"/>
  <c r="M11" i="58"/>
  <c r="M9" i="58"/>
  <c r="M6" i="58"/>
  <c r="M4" i="58"/>
  <c r="M2" i="58"/>
  <c r="K10" i="58"/>
  <c r="M12" i="58"/>
  <c r="M10" i="58"/>
  <c r="M8" i="58"/>
  <c r="M5" i="58"/>
  <c r="L12" i="58"/>
  <c r="L11" i="58"/>
  <c r="L10" i="58"/>
  <c r="L9" i="58"/>
  <c r="L8" i="58"/>
  <c r="L7" i="58"/>
  <c r="L6" i="58"/>
  <c r="L5" i="58"/>
  <c r="L4" i="58"/>
  <c r="L3" i="58"/>
  <c r="L2" i="58"/>
  <c r="M7" i="58"/>
  <c r="K8" i="58"/>
  <c r="K6" i="58"/>
  <c r="K2" i="58"/>
  <c r="J11" i="58"/>
  <c r="J10" i="58"/>
  <c r="J6" i="58"/>
  <c r="J7" i="58"/>
  <c r="J9" i="58"/>
  <c r="J5" i="58"/>
  <c r="J12" i="58"/>
  <c r="J8" i="58"/>
  <c r="J4" i="58"/>
  <c r="J3" i="58"/>
  <c r="I309" i="10" l="1"/>
  <c r="H309" i="10"/>
  <c r="I305" i="10"/>
  <c r="H305" i="10"/>
  <c r="I301" i="10"/>
  <c r="H301" i="10"/>
  <c r="I297" i="10"/>
  <c r="H297" i="10"/>
  <c r="I293" i="10"/>
  <c r="H293" i="10"/>
  <c r="R293" i="10" s="1"/>
  <c r="Q289" i="10"/>
  <c r="N289" i="10"/>
  <c r="I289" i="10"/>
  <c r="H289" i="10"/>
  <c r="R289" i="10" s="1"/>
  <c r="T289" i="10" s="1"/>
  <c r="E289" i="10"/>
  <c r="G288" i="10"/>
  <c r="E288" i="10"/>
  <c r="G287" i="10"/>
  <c r="F287" i="10"/>
  <c r="O287" i="10" s="1"/>
  <c r="Q287" i="10" s="1"/>
  <c r="E287" i="10"/>
  <c r="Q283" i="10"/>
  <c r="N283" i="10"/>
  <c r="I283" i="10"/>
  <c r="H283" i="10"/>
  <c r="R283" i="10" s="1"/>
  <c r="T283" i="10" s="1"/>
  <c r="E283" i="10"/>
  <c r="G282" i="10"/>
  <c r="E282" i="10"/>
  <c r="G281" i="10"/>
  <c r="F281" i="10"/>
  <c r="O281" i="10" s="1"/>
  <c r="Q281" i="10" s="1"/>
  <c r="E281" i="10"/>
  <c r="Q277" i="10"/>
  <c r="N277" i="10"/>
  <c r="I277" i="10"/>
  <c r="H277" i="10"/>
  <c r="R277" i="10" s="1"/>
  <c r="T277" i="10" s="1"/>
  <c r="E277" i="10"/>
  <c r="G276" i="10"/>
  <c r="E276" i="10"/>
  <c r="G275" i="10"/>
  <c r="F275" i="10"/>
  <c r="O275" i="10" s="1"/>
  <c r="Q275" i="10" s="1"/>
  <c r="E275" i="10"/>
  <c r="Q271" i="10"/>
  <c r="N271" i="10"/>
  <c r="I271" i="10"/>
  <c r="H271" i="10"/>
  <c r="R271" i="10" s="1"/>
  <c r="T271" i="10" s="1"/>
  <c r="E271" i="10"/>
  <c r="G270" i="10"/>
  <c r="E270" i="10"/>
  <c r="G269" i="10"/>
  <c r="F269" i="10"/>
  <c r="L269" i="10" s="1"/>
  <c r="N269" i="10" s="1"/>
  <c r="E269" i="10"/>
  <c r="G264" i="10"/>
  <c r="G263" i="10"/>
  <c r="F263" i="10"/>
  <c r="E264" i="10"/>
  <c r="E263" i="10"/>
  <c r="I259" i="10"/>
  <c r="H259" i="10"/>
  <c r="R259" i="10" s="1"/>
  <c r="T259" i="10" s="1"/>
  <c r="I255" i="10"/>
  <c r="H255" i="10"/>
  <c r="R255" i="10" s="1"/>
  <c r="T255" i="10" s="1"/>
  <c r="I251" i="10"/>
  <c r="H251" i="10"/>
  <c r="R251" i="10" s="1"/>
  <c r="T251" i="10" s="1"/>
  <c r="I247" i="10"/>
  <c r="H247" i="10"/>
  <c r="R247" i="10" s="1"/>
  <c r="T247" i="10" s="1"/>
  <c r="I243" i="10"/>
  <c r="H243" i="10"/>
  <c r="I239" i="10"/>
  <c r="H239" i="10"/>
  <c r="E239" i="10"/>
  <c r="I231" i="10"/>
  <c r="H231" i="10"/>
  <c r="R231" i="10" s="1"/>
  <c r="T231" i="10" s="1"/>
  <c r="E231" i="10"/>
  <c r="I235" i="10"/>
  <c r="H235" i="10"/>
  <c r="E235" i="10"/>
  <c r="I227" i="10"/>
  <c r="H227" i="10"/>
  <c r="H223" i="10"/>
  <c r="I223" i="10"/>
  <c r="E227" i="10"/>
  <c r="D32" i="48"/>
  <c r="F276" i="10" s="1"/>
  <c r="F282" i="10" l="1"/>
  <c r="R239" i="10"/>
  <c r="T239" i="10" s="1"/>
  <c r="O259" i="10"/>
  <c r="Q259" i="10" s="1"/>
  <c r="O269" i="10"/>
  <c r="Q269" i="10" s="1"/>
  <c r="O247" i="10"/>
  <c r="Q247" i="10" s="1"/>
  <c r="L287" i="10"/>
  <c r="N287" i="10" s="1"/>
  <c r="F264" i="10"/>
  <c r="R235" i="10"/>
  <c r="T235" i="10" s="1"/>
  <c r="O255" i="10"/>
  <c r="Q255" i="10" s="1"/>
  <c r="F288" i="10"/>
  <c r="F270" i="10"/>
  <c r="L281" i="10"/>
  <c r="N281" i="10" s="1"/>
  <c r="O251" i="10"/>
  <c r="Q251" i="10" s="1"/>
  <c r="L275" i="10"/>
  <c r="N275" i="10" s="1"/>
  <c r="R227" i="10"/>
  <c r="T227" i="10" s="1"/>
  <c r="E223" i="10" l="1"/>
  <c r="R223" i="10" l="1"/>
  <c r="T223" i="10" s="1"/>
  <c r="D24" i="48" l="1"/>
  <c r="D23" i="48"/>
  <c r="C24" i="71"/>
  <c r="H128" i="10" s="1"/>
  <c r="H10" i="48"/>
  <c r="C10" i="48"/>
  <c r="O128" i="10" l="1"/>
  <c r="Q128" i="10" s="1"/>
  <c r="R128" i="10"/>
  <c r="T128" i="10" s="1"/>
  <c r="E26" i="10"/>
  <c r="E34" i="10"/>
  <c r="I26" i="10"/>
  <c r="I34" i="10"/>
  <c r="F8" i="45"/>
  <c r="F9" i="45"/>
  <c r="F10" i="45"/>
  <c r="F11" i="45"/>
  <c r="F12" i="45"/>
  <c r="C30" i="46" l="1"/>
  <c r="Q265" i="10"/>
  <c r="N265" i="10"/>
  <c r="F30" i="46"/>
  <c r="F446" i="10" l="1"/>
  <c r="F440" i="10"/>
  <c r="F434" i="10"/>
  <c r="F428" i="10"/>
  <c r="F422" i="10"/>
  <c r="F506" i="10"/>
  <c r="F500" i="10"/>
  <c r="F494" i="10"/>
  <c r="F488" i="10"/>
  <c r="F476" i="10"/>
  <c r="F470" i="10"/>
  <c r="F464" i="10"/>
  <c r="F458" i="10"/>
  <c r="F416" i="10"/>
  <c r="F410" i="10"/>
  <c r="F404" i="10"/>
  <c r="F398" i="10"/>
  <c r="J2" i="58" a="1"/>
  <c r="L398" i="10" l="1"/>
  <c r="N398" i="10" s="1"/>
  <c r="O398" i="10"/>
  <c r="Q398" i="10" s="1"/>
  <c r="O446" i="10"/>
  <c r="Q446" i="10" s="1"/>
  <c r="O410" i="10"/>
  <c r="Q410" i="10" s="1"/>
  <c r="L410" i="10"/>
  <c r="N410" i="10" s="1"/>
  <c r="O506" i="10"/>
  <c r="Q506" i="10" s="1"/>
  <c r="L506" i="10"/>
  <c r="N506" i="10" s="1"/>
  <c r="O422" i="10"/>
  <c r="Q422" i="10" s="1"/>
  <c r="L494" i="10"/>
  <c r="N494" i="10" s="1"/>
  <c r="O494" i="10"/>
  <c r="Q494" i="10" s="1"/>
  <c r="O500" i="10"/>
  <c r="Q500" i="10" s="1"/>
  <c r="L500" i="10"/>
  <c r="N500" i="10" s="1"/>
  <c r="O458" i="10"/>
  <c r="Q458" i="10" s="1"/>
  <c r="L458" i="10"/>
  <c r="N458" i="10" s="1"/>
  <c r="O464" i="10"/>
  <c r="Q464" i="10" s="1"/>
  <c r="L464" i="10"/>
  <c r="N464" i="10" s="1"/>
  <c r="O428" i="10"/>
  <c r="Q428" i="10" s="1"/>
  <c r="O488" i="10"/>
  <c r="Q488" i="10" s="1"/>
  <c r="L488" i="10"/>
  <c r="N488" i="10" s="1"/>
  <c r="O404" i="10"/>
  <c r="Q404" i="10" s="1"/>
  <c r="L404" i="10"/>
  <c r="N404" i="10" s="1"/>
  <c r="O416" i="10"/>
  <c r="Q416" i="10" s="1"/>
  <c r="L416" i="10"/>
  <c r="N416" i="10" s="1"/>
  <c r="L470" i="10"/>
  <c r="N470" i="10" s="1"/>
  <c r="O470" i="10"/>
  <c r="Q470" i="10" s="1"/>
  <c r="O434" i="10"/>
  <c r="Q434" i="10" s="1"/>
  <c r="O476" i="10"/>
  <c r="Q476" i="10" s="1"/>
  <c r="L476" i="10"/>
  <c r="N476" i="10" s="1"/>
  <c r="O440" i="10"/>
  <c r="Q440" i="10" s="1"/>
  <c r="J2" i="58"/>
  <c r="E35" i="48"/>
  <c r="G341" i="10" s="1"/>
  <c r="E36" i="48"/>
  <c r="G314" i="10" s="1"/>
  <c r="K37" i="48"/>
  <c r="K343" i="10" s="1"/>
  <c r="K38" i="48"/>
  <c r="D35" i="48"/>
  <c r="F313" i="10" s="1"/>
  <c r="D36" i="48"/>
  <c r="F342" i="10" s="1"/>
  <c r="J37" i="48"/>
  <c r="J343" i="10" s="1"/>
  <c r="J38" i="48"/>
  <c r="R309" i="10"/>
  <c r="T309" i="10" s="1"/>
  <c r="E309" i="10"/>
  <c r="R305" i="10"/>
  <c r="T305" i="10" s="1"/>
  <c r="E305" i="10"/>
  <c r="R301" i="10"/>
  <c r="T301" i="10" s="1"/>
  <c r="E301" i="10"/>
  <c r="R297" i="10"/>
  <c r="T297" i="10" s="1"/>
  <c r="E297" i="10"/>
  <c r="T293" i="10"/>
  <c r="E293" i="10"/>
  <c r="E265" i="10"/>
  <c r="F28" i="46"/>
  <c r="E259" i="10"/>
  <c r="E255" i="10"/>
  <c r="E251" i="10"/>
  <c r="E247" i="10"/>
  <c r="E243" i="10"/>
  <c r="H28" i="48"/>
  <c r="I219" i="10" s="1"/>
  <c r="G28" i="48"/>
  <c r="H219" i="10" s="1"/>
  <c r="R219" i="10" s="1"/>
  <c r="C28" i="48"/>
  <c r="E219" i="10" s="1"/>
  <c r="G183" i="10"/>
  <c r="F183" i="10"/>
  <c r="G182" i="10"/>
  <c r="F182" i="10"/>
  <c r="G177" i="10"/>
  <c r="F177" i="10"/>
  <c r="G176" i="10"/>
  <c r="F176" i="10"/>
  <c r="G171" i="10"/>
  <c r="F171" i="10"/>
  <c r="G170" i="10"/>
  <c r="F170" i="10"/>
  <c r="G165" i="10"/>
  <c r="F165" i="10"/>
  <c r="G164" i="10"/>
  <c r="F164" i="10"/>
  <c r="G159" i="10"/>
  <c r="F159" i="10"/>
  <c r="G158" i="10"/>
  <c r="F158" i="10"/>
  <c r="I119" i="10"/>
  <c r="H119" i="10"/>
  <c r="I110" i="10"/>
  <c r="H110" i="10"/>
  <c r="I265" i="10"/>
  <c r="H265" i="10"/>
  <c r="R265" i="10" s="1"/>
  <c r="T265" i="10" s="1"/>
  <c r="F10" i="46"/>
  <c r="C10" i="46" s="1"/>
  <c r="R110" i="10" l="1"/>
  <c r="T110" i="10" s="1"/>
  <c r="O110" i="10"/>
  <c r="Q110" i="10" s="1"/>
  <c r="R119" i="10"/>
  <c r="T119" i="10" s="1"/>
  <c r="O119" i="10"/>
  <c r="Q119" i="10" s="1"/>
  <c r="O309" i="10"/>
  <c r="Q309" i="10" s="1"/>
  <c r="O305" i="10"/>
  <c r="Q305" i="10" s="1"/>
  <c r="O301" i="10"/>
  <c r="Q301" i="10" s="1"/>
  <c r="O297" i="10"/>
  <c r="Q297" i="10" s="1"/>
  <c r="O293" i="10"/>
  <c r="Q293" i="10" s="1"/>
  <c r="S343" i="10"/>
  <c r="T343" i="10" s="1"/>
  <c r="J316" i="10"/>
  <c r="S370" i="10"/>
  <c r="T370" i="10" s="1"/>
  <c r="K316" i="10"/>
  <c r="G335" i="10"/>
  <c r="G328" i="10"/>
  <c r="J330" i="10"/>
  <c r="J337" i="10"/>
  <c r="G342" i="10"/>
  <c r="J344" i="10"/>
  <c r="G313" i="10"/>
  <c r="G321" i="10"/>
  <c r="J323" i="10"/>
  <c r="T219" i="10"/>
  <c r="L158" i="10"/>
  <c r="N158" i="10" s="1"/>
  <c r="O158" i="10"/>
  <c r="Q158" i="10" s="1"/>
  <c r="O176" i="10"/>
  <c r="Q176" i="10" s="1"/>
  <c r="L176" i="10"/>
  <c r="N176" i="10" s="1"/>
  <c r="R243" i="10"/>
  <c r="T243" i="10" s="1"/>
  <c r="O243" i="10"/>
  <c r="Q243" i="10" s="1"/>
  <c r="O263" i="10"/>
  <c r="Q263" i="10" s="1"/>
  <c r="L263" i="10"/>
  <c r="N263" i="10" s="1"/>
  <c r="O182" i="10"/>
  <c r="Q182" i="10" s="1"/>
  <c r="L182" i="10"/>
  <c r="N182" i="10" s="1"/>
  <c r="O164" i="10"/>
  <c r="Q164" i="10" s="1"/>
  <c r="L164" i="10"/>
  <c r="N164" i="10" s="1"/>
  <c r="L170" i="10"/>
  <c r="N170" i="10" s="1"/>
  <c r="O170" i="10"/>
  <c r="Q170" i="10" s="1"/>
  <c r="O313" i="10"/>
  <c r="Q313" i="10" s="1"/>
  <c r="L313" i="10"/>
  <c r="N313" i="10" s="1"/>
  <c r="F314" i="10"/>
  <c r="K323" i="10"/>
  <c r="K330" i="10"/>
  <c r="K337" i="10"/>
  <c r="K344" i="10"/>
  <c r="J315" i="10"/>
  <c r="F320" i="10"/>
  <c r="F327" i="10"/>
  <c r="F334" i="10"/>
  <c r="F341" i="10"/>
  <c r="K315" i="10"/>
  <c r="G320" i="10"/>
  <c r="G327" i="10"/>
  <c r="G334" i="10"/>
  <c r="F321" i="10"/>
  <c r="F328" i="10"/>
  <c r="F335" i="10"/>
  <c r="J322" i="10"/>
  <c r="J329" i="10"/>
  <c r="J336" i="10"/>
  <c r="K322" i="10"/>
  <c r="K329" i="10"/>
  <c r="K336" i="10"/>
  <c r="E192" i="10"/>
  <c r="E201" i="10"/>
  <c r="E210" i="10"/>
  <c r="H192" i="10"/>
  <c r="H201" i="10"/>
  <c r="R201" i="10" s="1"/>
  <c r="H210" i="10"/>
  <c r="R210" i="10" s="1"/>
  <c r="I192" i="10"/>
  <c r="I201" i="10"/>
  <c r="I210" i="10"/>
  <c r="C26" i="48"/>
  <c r="D26" i="48"/>
  <c r="E26" i="48"/>
  <c r="C27" i="48"/>
  <c r="D27" i="48"/>
  <c r="E27" i="48"/>
  <c r="E25" i="48"/>
  <c r="C25" i="48"/>
  <c r="S323" i="10" l="1"/>
  <c r="T323" i="10" s="1"/>
  <c r="R192" i="10"/>
  <c r="S315" i="10"/>
  <c r="T315" i="10" s="1"/>
  <c r="S336" i="10"/>
  <c r="T336" i="10" s="1"/>
  <c r="S329" i="10"/>
  <c r="T329" i="10" s="1"/>
  <c r="S316" i="10"/>
  <c r="T316" i="10" s="1"/>
  <c r="S322" i="10"/>
  <c r="T322" i="10" s="1"/>
  <c r="S344" i="10"/>
  <c r="T344" i="10" s="1"/>
  <c r="S337" i="10"/>
  <c r="T337" i="10" s="1"/>
  <c r="S330" i="10"/>
  <c r="T330" i="10" s="1"/>
  <c r="L334" i="10"/>
  <c r="N334" i="10" s="1"/>
  <c r="O334" i="10"/>
  <c r="Q334" i="10" s="1"/>
  <c r="L327" i="10"/>
  <c r="N327" i="10" s="1"/>
  <c r="O327" i="10"/>
  <c r="Q327" i="10" s="1"/>
  <c r="T201" i="10"/>
  <c r="O320" i="10"/>
  <c r="Q320" i="10" s="1"/>
  <c r="L320" i="10"/>
  <c r="N320" i="10" s="1"/>
  <c r="T210" i="10"/>
  <c r="T192" i="10"/>
  <c r="O341" i="10"/>
  <c r="Q341" i="10" s="1"/>
  <c r="L341" i="10"/>
  <c r="N341" i="10" s="1"/>
  <c r="E216" i="10"/>
  <c r="E207" i="10"/>
  <c r="E189" i="10"/>
  <c r="E198" i="10"/>
  <c r="G189" i="10"/>
  <c r="G216" i="10"/>
  <c r="G207" i="10"/>
  <c r="G198" i="10"/>
  <c r="G191" i="10"/>
  <c r="G218" i="10"/>
  <c r="G209" i="10"/>
  <c r="G200" i="10"/>
  <c r="F191" i="10"/>
  <c r="F218" i="10"/>
  <c r="F209" i="10"/>
  <c r="F200" i="10"/>
  <c r="E218" i="10"/>
  <c r="E209" i="10"/>
  <c r="E200" i="10"/>
  <c r="E191" i="10"/>
  <c r="G190" i="10"/>
  <c r="G217" i="10"/>
  <c r="G208" i="10"/>
  <c r="G199" i="10"/>
  <c r="F190" i="10"/>
  <c r="F217" i="10"/>
  <c r="F208" i="10"/>
  <c r="F199" i="10"/>
  <c r="E190" i="10"/>
  <c r="E217" i="10"/>
  <c r="E208" i="10"/>
  <c r="E199" i="10"/>
  <c r="F189" i="10"/>
  <c r="F198" i="10"/>
  <c r="E41" i="48"/>
  <c r="C41" i="48"/>
  <c r="C22" i="55"/>
  <c r="D41" i="48" s="1"/>
  <c r="C45" i="48"/>
  <c r="E45" i="48"/>
  <c r="C28" i="55"/>
  <c r="D45" i="48" s="1"/>
  <c r="C31" i="55"/>
  <c r="C30" i="55"/>
  <c r="B15" i="67"/>
  <c r="D25" i="48" s="1"/>
  <c r="F216" i="10" s="1"/>
  <c r="E5" i="51"/>
  <c r="F5" i="51" s="1"/>
  <c r="F29" i="46"/>
  <c r="F27" i="46"/>
  <c r="F15" i="46"/>
  <c r="P343" i="10" s="1"/>
  <c r="Q343" i="10" s="1"/>
  <c r="P336" i="10" l="1"/>
  <c r="Q336" i="10" s="1"/>
  <c r="P315" i="10"/>
  <c r="Q315" i="10" s="1"/>
  <c r="F207" i="10"/>
  <c r="O207" i="10" s="1"/>
  <c r="Q207" i="10" s="1"/>
  <c r="P322" i="10"/>
  <c r="Q322" i="10" s="1"/>
  <c r="P329" i="10"/>
  <c r="Q329" i="10" s="1"/>
  <c r="O189" i="10"/>
  <c r="Q189" i="10" s="1"/>
  <c r="L189" i="10"/>
  <c r="N189" i="10" s="1"/>
  <c r="O216" i="10"/>
  <c r="Q216" i="10" s="1"/>
  <c r="L216" i="10"/>
  <c r="N216" i="10" s="1"/>
  <c r="O208" i="10"/>
  <c r="Q208" i="10" s="1"/>
  <c r="O199" i="10"/>
  <c r="Q199" i="10" s="1"/>
  <c r="O217" i="10"/>
  <c r="Q217" i="10" s="1"/>
  <c r="O190" i="10"/>
  <c r="Q190" i="10" s="1"/>
  <c r="O198" i="10"/>
  <c r="Q198" i="10" s="1"/>
  <c r="L198" i="10"/>
  <c r="N198" i="10" s="1"/>
  <c r="O218" i="10"/>
  <c r="Q218" i="10" s="1"/>
  <c r="L218" i="10"/>
  <c r="N218" i="10" s="1"/>
  <c r="O209" i="10"/>
  <c r="Q209" i="10" s="1"/>
  <c r="L209" i="10"/>
  <c r="N209" i="10" s="1"/>
  <c r="O200" i="10"/>
  <c r="Q200" i="10" s="1"/>
  <c r="L200" i="10"/>
  <c r="N200" i="10" s="1"/>
  <c r="O191" i="10"/>
  <c r="Q191" i="10" s="1"/>
  <c r="L191" i="10"/>
  <c r="N191" i="10" s="1"/>
  <c r="F365" i="10"/>
  <c r="F354" i="10"/>
  <c r="G365" i="10"/>
  <c r="G354" i="10"/>
  <c r="E365" i="10"/>
  <c r="E354" i="10"/>
  <c r="C22" i="46"/>
  <c r="L207" i="10" l="1"/>
  <c r="N207" i="10" s="1"/>
  <c r="L446" i="10"/>
  <c r="N446" i="10" s="1"/>
  <c r="L434" i="10"/>
  <c r="N434" i="10" s="1"/>
  <c r="L428" i="10"/>
  <c r="N428" i="10" s="1"/>
  <c r="L422" i="10"/>
  <c r="N422" i="10" s="1"/>
  <c r="L440" i="10"/>
  <c r="N440" i="10" s="1"/>
  <c r="O354" i="10"/>
  <c r="Q354" i="10" s="1"/>
  <c r="L354" i="10"/>
  <c r="N354" i="10" s="1"/>
  <c r="O365" i="10"/>
  <c r="Q365" i="10" s="1"/>
  <c r="L365" i="10"/>
  <c r="N365" i="10" s="1"/>
  <c r="F482" i="10"/>
  <c r="F452" i="10"/>
  <c r="H15" i="48"/>
  <c r="H14" i="48"/>
  <c r="E13" i="48"/>
  <c r="E12" i="48"/>
  <c r="E16" i="48"/>
  <c r="E11" i="48"/>
  <c r="C22" i="64"/>
  <c r="G15" i="48" s="1"/>
  <c r="C21" i="64"/>
  <c r="G14" i="48" s="1"/>
  <c r="C15" i="48"/>
  <c r="C14" i="48"/>
  <c r="E19" i="10" s="1"/>
  <c r="C13" i="48"/>
  <c r="E18" i="10" s="1"/>
  <c r="C12" i="48"/>
  <c r="E17" i="10" s="1"/>
  <c r="C11" i="48"/>
  <c r="C20" i="64"/>
  <c r="D13" i="48" s="1"/>
  <c r="C19" i="64"/>
  <c r="D12" i="48" s="1"/>
  <c r="C18" i="64"/>
  <c r="D11" i="48" s="1"/>
  <c r="L76" i="10" l="1"/>
  <c r="N76" i="10" s="1"/>
  <c r="L78" i="10"/>
  <c r="N78" i="10" s="1"/>
  <c r="L77" i="10"/>
  <c r="N77" i="10" s="1"/>
  <c r="G40" i="10"/>
  <c r="G67" i="10"/>
  <c r="G41" i="10"/>
  <c r="G68" i="10"/>
  <c r="G42" i="10"/>
  <c r="G69" i="10"/>
  <c r="O452" i="10"/>
  <c r="Q452" i="10" s="1"/>
  <c r="L452" i="10"/>
  <c r="N452" i="10" s="1"/>
  <c r="O482" i="10"/>
  <c r="Q482" i="10" s="1"/>
  <c r="L482" i="10"/>
  <c r="N482" i="10" s="1"/>
  <c r="H71" i="10"/>
  <c r="H44" i="10"/>
  <c r="F41" i="10"/>
  <c r="F68" i="10"/>
  <c r="E40" i="10"/>
  <c r="E67" i="10"/>
  <c r="E69" i="10"/>
  <c r="E42" i="10"/>
  <c r="E70" i="10"/>
  <c r="E43" i="10"/>
  <c r="F42" i="10"/>
  <c r="F69" i="10"/>
  <c r="H43" i="10"/>
  <c r="R43" i="10" s="1"/>
  <c r="H70" i="10"/>
  <c r="R70" i="10" s="1"/>
  <c r="G85" i="10"/>
  <c r="G92" i="10"/>
  <c r="G99" i="10"/>
  <c r="E41" i="10"/>
  <c r="E68" i="10"/>
  <c r="E71" i="10"/>
  <c r="E44" i="10"/>
  <c r="I43" i="10"/>
  <c r="I70" i="10"/>
  <c r="I71" i="10"/>
  <c r="I44" i="10"/>
  <c r="F67" i="10"/>
  <c r="F40" i="10"/>
  <c r="C24" i="48"/>
  <c r="C23" i="48"/>
  <c r="E44" i="48"/>
  <c r="E43" i="48"/>
  <c r="E42" i="48"/>
  <c r="E40" i="48"/>
  <c r="E39" i="48"/>
  <c r="C44" i="48"/>
  <c r="C43" i="48"/>
  <c r="C42" i="48"/>
  <c r="C40" i="48"/>
  <c r="C39" i="48"/>
  <c r="C38" i="48"/>
  <c r="C37" i="48"/>
  <c r="C36" i="48"/>
  <c r="C35" i="48"/>
  <c r="B15" i="62"/>
  <c r="D22" i="48" s="1"/>
  <c r="E22" i="48"/>
  <c r="C22" i="48"/>
  <c r="O71" i="10" l="1"/>
  <c r="Q71" i="10" s="1"/>
  <c r="L71" i="10"/>
  <c r="N71" i="10" s="1"/>
  <c r="T70" i="10"/>
  <c r="O70" i="10"/>
  <c r="Q70" i="10" s="1"/>
  <c r="O42" i="10"/>
  <c r="Q42" i="10" s="1"/>
  <c r="L67" i="10"/>
  <c r="N67" i="10" s="1"/>
  <c r="O67" i="10"/>
  <c r="Q67" i="10" s="1"/>
  <c r="L68" i="10"/>
  <c r="N68" i="10" s="1"/>
  <c r="O68" i="10"/>
  <c r="Q68" i="10" s="1"/>
  <c r="T43" i="10"/>
  <c r="O43" i="10"/>
  <c r="Q43" i="10" s="1"/>
  <c r="O40" i="10"/>
  <c r="Q40" i="10" s="1"/>
  <c r="L40" i="10"/>
  <c r="N40" i="10" s="1"/>
  <c r="O69" i="10"/>
  <c r="Q69" i="10" s="1"/>
  <c r="L41" i="10"/>
  <c r="N41" i="10" s="1"/>
  <c r="O41" i="10"/>
  <c r="Q41" i="10" s="1"/>
  <c r="O44" i="10"/>
  <c r="Q44" i="10" s="1"/>
  <c r="L44" i="10"/>
  <c r="N44" i="10" s="1"/>
  <c r="E343" i="10"/>
  <c r="E336" i="10"/>
  <c r="E329" i="10"/>
  <c r="E322" i="10"/>
  <c r="E315" i="10"/>
  <c r="E344" i="10"/>
  <c r="E330" i="10"/>
  <c r="E316" i="10"/>
  <c r="E323" i="10"/>
  <c r="E337" i="10"/>
  <c r="G361" i="10"/>
  <c r="G350" i="10"/>
  <c r="E360" i="10"/>
  <c r="E349" i="10"/>
  <c r="E363" i="10"/>
  <c r="E352" i="10"/>
  <c r="G349" i="10"/>
  <c r="G360" i="10"/>
  <c r="G362" i="10"/>
  <c r="G351" i="10"/>
  <c r="E362" i="10"/>
  <c r="E351" i="10"/>
  <c r="G353" i="10"/>
  <c r="I355" i="10" s="1"/>
  <c r="G364" i="10"/>
  <c r="I366" i="10" s="1"/>
  <c r="E353" i="10"/>
  <c r="E355" i="10" s="1"/>
  <c r="E364" i="10"/>
  <c r="E366" i="10" s="1"/>
  <c r="G352" i="10"/>
  <c r="G363" i="10"/>
  <c r="E350" i="10"/>
  <c r="E361" i="10"/>
  <c r="E313" i="10"/>
  <c r="E320" i="10"/>
  <c r="E341" i="10"/>
  <c r="E334" i="10"/>
  <c r="E327" i="10"/>
  <c r="E342" i="10"/>
  <c r="E335" i="10"/>
  <c r="E328" i="10"/>
  <c r="E321" i="10"/>
  <c r="E314" i="10"/>
  <c r="E183" i="10"/>
  <c r="E171" i="10"/>
  <c r="E159" i="10"/>
  <c r="E177" i="10"/>
  <c r="E165" i="10"/>
  <c r="F138" i="10"/>
  <c r="F148" i="10"/>
  <c r="F143" i="10"/>
  <c r="F133" i="10"/>
  <c r="F153" i="10"/>
  <c r="E176" i="10"/>
  <c r="E164" i="10"/>
  <c r="E182" i="10"/>
  <c r="E170" i="10"/>
  <c r="E158" i="10"/>
  <c r="G153" i="10"/>
  <c r="G148" i="10"/>
  <c r="G133" i="10"/>
  <c r="G143" i="10"/>
  <c r="G138" i="10"/>
  <c r="E138" i="10"/>
  <c r="E153" i="10"/>
  <c r="E148" i="10"/>
  <c r="E143" i="10"/>
  <c r="E133" i="10"/>
  <c r="C20" i="48"/>
  <c r="E20" i="48"/>
  <c r="C21" i="48"/>
  <c r="G21" i="48"/>
  <c r="H21" i="48"/>
  <c r="E19" i="48"/>
  <c r="C19" i="48"/>
  <c r="C20" i="71"/>
  <c r="D20" i="48" s="1"/>
  <c r="C19" i="71"/>
  <c r="D19" i="48" s="1"/>
  <c r="C18" i="71"/>
  <c r="E18" i="48"/>
  <c r="E17" i="48"/>
  <c r="C18" i="48"/>
  <c r="C17" i="48"/>
  <c r="E35" i="10" s="1"/>
  <c r="C16" i="48"/>
  <c r="F6" i="46"/>
  <c r="P323" i="10" l="1"/>
  <c r="Q323" i="10" s="1"/>
  <c r="P337" i="10"/>
  <c r="Q337" i="10" s="1"/>
  <c r="P330" i="10"/>
  <c r="Q330" i="10" s="1"/>
  <c r="P316" i="10"/>
  <c r="Q316" i="10" s="1"/>
  <c r="P344" i="10"/>
  <c r="Q344" i="10" s="1"/>
  <c r="E107" i="10"/>
  <c r="E116" i="10"/>
  <c r="E125" i="10"/>
  <c r="G107" i="10"/>
  <c r="G116" i="10"/>
  <c r="G125" i="10"/>
  <c r="G118" i="10"/>
  <c r="G127" i="10"/>
  <c r="G109" i="10"/>
  <c r="E92" i="10"/>
  <c r="E99" i="10"/>
  <c r="E85" i="10"/>
  <c r="F118" i="10"/>
  <c r="F109" i="10"/>
  <c r="F127" i="10"/>
  <c r="E100" i="10"/>
  <c r="E93" i="10"/>
  <c r="E86" i="10"/>
  <c r="E94" i="10"/>
  <c r="E87" i="10"/>
  <c r="E101" i="10"/>
  <c r="G108" i="10"/>
  <c r="G126" i="10"/>
  <c r="G117" i="10"/>
  <c r="F117" i="10"/>
  <c r="F126" i="10"/>
  <c r="F108" i="10"/>
  <c r="E117" i="10"/>
  <c r="E126" i="10"/>
  <c r="E108" i="10"/>
  <c r="F107" i="10"/>
  <c r="F116" i="10"/>
  <c r="F125" i="10"/>
  <c r="E109" i="10"/>
  <c r="E110" i="10" s="1"/>
  <c r="E118" i="10"/>
  <c r="E119" i="10" s="1"/>
  <c r="E127" i="10"/>
  <c r="E128" i="10" s="1"/>
  <c r="G93" i="10"/>
  <c r="G86" i="10"/>
  <c r="G100" i="10"/>
  <c r="G94" i="10"/>
  <c r="G101" i="10"/>
  <c r="G87" i="10"/>
  <c r="C23" i="65"/>
  <c r="D18" i="48" s="1"/>
  <c r="C22" i="65"/>
  <c r="D17" i="48" s="1"/>
  <c r="C19" i="65"/>
  <c r="C21" i="65" s="1"/>
  <c r="D16" i="48" s="1"/>
  <c r="C17" i="65"/>
  <c r="L116" i="10" l="1"/>
  <c r="N116" i="10" s="1"/>
  <c r="O116" i="10"/>
  <c r="Q116" i="10" s="1"/>
  <c r="O107" i="10"/>
  <c r="Q107" i="10" s="1"/>
  <c r="L107" i="10"/>
  <c r="N107" i="10" s="1"/>
  <c r="L108" i="10"/>
  <c r="N108" i="10" s="1"/>
  <c r="O108" i="10"/>
  <c r="Q108" i="10" s="1"/>
  <c r="L126" i="10"/>
  <c r="N126" i="10" s="1"/>
  <c r="O126" i="10"/>
  <c r="Q126" i="10" s="1"/>
  <c r="O127" i="10"/>
  <c r="Q127" i="10" s="1"/>
  <c r="O117" i="10"/>
  <c r="Q117" i="10" s="1"/>
  <c r="L117" i="10"/>
  <c r="N117" i="10" s="1"/>
  <c r="O109" i="10"/>
  <c r="Q109" i="10" s="1"/>
  <c r="O118" i="10"/>
  <c r="Q118" i="10" s="1"/>
  <c r="L125" i="10"/>
  <c r="N125" i="10" s="1"/>
  <c r="O125" i="10"/>
  <c r="Q125" i="10" s="1"/>
  <c r="F87" i="10"/>
  <c r="F94" i="10"/>
  <c r="F101" i="10"/>
  <c r="F92" i="10"/>
  <c r="F85" i="10"/>
  <c r="F99" i="10"/>
  <c r="F100" i="10"/>
  <c r="F86" i="10"/>
  <c r="F93" i="10"/>
  <c r="F392" i="10"/>
  <c r="H9" i="48"/>
  <c r="C34" i="54"/>
  <c r="G9" i="48" s="1"/>
  <c r="C9" i="48"/>
  <c r="E27" i="10" s="1"/>
  <c r="E8" i="48"/>
  <c r="C8" i="48"/>
  <c r="E7" i="48"/>
  <c r="C7" i="48"/>
  <c r="D7" i="51"/>
  <c r="E7" i="51" s="1"/>
  <c r="F7" i="51" s="1"/>
  <c r="D8" i="51"/>
  <c r="E8" i="51" s="1"/>
  <c r="F8" i="51" s="1"/>
  <c r="D9" i="51"/>
  <c r="E9" i="51" s="1"/>
  <c r="F9" i="51" s="1"/>
  <c r="D10" i="51"/>
  <c r="E10" i="51" s="1"/>
  <c r="F10" i="51" s="1"/>
  <c r="D11" i="51"/>
  <c r="D12" i="51"/>
  <c r="E12" i="51" s="1"/>
  <c r="F12" i="51" s="1"/>
  <c r="D13" i="51"/>
  <c r="E13" i="51" s="1"/>
  <c r="F13" i="51" s="1"/>
  <c r="D14" i="51"/>
  <c r="E14" i="51" s="1"/>
  <c r="F14" i="51" s="1"/>
  <c r="D15" i="51"/>
  <c r="E15" i="51" s="1"/>
  <c r="F15" i="51" s="1"/>
  <c r="D16" i="51"/>
  <c r="E16" i="51" s="1"/>
  <c r="F16" i="51" s="1"/>
  <c r="D17" i="51"/>
  <c r="E17" i="51" s="1"/>
  <c r="F17" i="51" s="1"/>
  <c r="D18" i="51"/>
  <c r="E18" i="51" s="1"/>
  <c r="F18" i="51" s="1"/>
  <c r="D19" i="51"/>
  <c r="E19" i="51" s="1"/>
  <c r="F19" i="51" s="1"/>
  <c r="D20" i="51"/>
  <c r="E20" i="51" s="1"/>
  <c r="F20" i="51" s="1"/>
  <c r="D21" i="51"/>
  <c r="E21" i="51" s="1"/>
  <c r="F21" i="51" s="1"/>
  <c r="D6" i="51"/>
  <c r="E6" i="51" s="1"/>
  <c r="F6" i="51" s="1"/>
  <c r="F5" i="46"/>
  <c r="E25" i="10" l="1"/>
  <c r="E33" i="10"/>
  <c r="E24" i="10"/>
  <c r="E32" i="10"/>
  <c r="O392" i="10"/>
  <c r="Q392" i="10" s="1"/>
  <c r="L392" i="10"/>
  <c r="N392" i="10" s="1"/>
  <c r="O94" i="10"/>
  <c r="Q94" i="10" s="1"/>
  <c r="L94" i="10"/>
  <c r="N94" i="10" s="1"/>
  <c r="L87" i="10"/>
  <c r="N87" i="10" s="1"/>
  <c r="O87" i="10"/>
  <c r="Q87" i="10" s="1"/>
  <c r="O100" i="10"/>
  <c r="Q100" i="10" s="1"/>
  <c r="O85" i="10"/>
  <c r="Q85" i="10" s="1"/>
  <c r="L85" i="10"/>
  <c r="N85" i="10" s="1"/>
  <c r="O101" i="10"/>
  <c r="Q101" i="10" s="1"/>
  <c r="L101" i="10"/>
  <c r="N101" i="10" s="1"/>
  <c r="O93" i="10"/>
  <c r="Q93" i="10" s="1"/>
  <c r="O86" i="10"/>
  <c r="Q86" i="10" s="1"/>
  <c r="O99" i="10"/>
  <c r="Q99" i="10" s="1"/>
  <c r="L99" i="10"/>
  <c r="N99" i="10" s="1"/>
  <c r="L92" i="10"/>
  <c r="N92" i="10" s="1"/>
  <c r="O92" i="10"/>
  <c r="Q92" i="10" s="1"/>
  <c r="C7" i="46"/>
  <c r="C27" i="46"/>
  <c r="L293" i="10" s="1"/>
  <c r="C17" i="46"/>
  <c r="C16" i="46"/>
  <c r="C28" i="46"/>
  <c r="E11" i="51"/>
  <c r="F11" i="51" s="1"/>
  <c r="C32" i="46"/>
  <c r="C29" i="46"/>
  <c r="F31" i="46"/>
  <c r="C31" i="46"/>
  <c r="C15" i="46"/>
  <c r="C19" i="46"/>
  <c r="H27" i="10"/>
  <c r="H35" i="10"/>
  <c r="I27" i="10"/>
  <c r="I35" i="10"/>
  <c r="G24" i="10"/>
  <c r="G32" i="10"/>
  <c r="G33" i="10"/>
  <c r="G25" i="10"/>
  <c r="C26" i="46"/>
  <c r="C6" i="46"/>
  <c r="C5" i="46"/>
  <c r="F9" i="46"/>
  <c r="C9" i="46"/>
  <c r="C33" i="46" l="1"/>
  <c r="L192" i="10" s="1"/>
  <c r="F33" i="46"/>
  <c r="L282" i="10"/>
  <c r="N282" i="10" s="1"/>
  <c r="L276" i="10"/>
  <c r="N276" i="10" s="1"/>
  <c r="L288" i="10"/>
  <c r="N288" i="10" s="1"/>
  <c r="L270" i="10"/>
  <c r="N270" i="10" s="1"/>
  <c r="L165" i="10"/>
  <c r="N165" i="10" s="1"/>
  <c r="L159" i="10"/>
  <c r="N159" i="10" s="1"/>
  <c r="L183" i="10"/>
  <c r="N183" i="10" s="1"/>
  <c r="L342" i="10"/>
  <c r="N342" i="10" s="1"/>
  <c r="L177" i="10"/>
  <c r="N177" i="10" s="1"/>
  <c r="L171" i="10"/>
  <c r="N171" i="10" s="1"/>
  <c r="L335" i="10"/>
  <c r="N335" i="10" s="1"/>
  <c r="L328" i="10"/>
  <c r="N328" i="10" s="1"/>
  <c r="L321" i="10"/>
  <c r="N321" i="10" s="1"/>
  <c r="L314" i="10"/>
  <c r="N314" i="10" s="1"/>
  <c r="L148" i="10"/>
  <c r="N148" i="10" s="1"/>
  <c r="L138" i="10"/>
  <c r="N138" i="10" s="1"/>
  <c r="L133" i="10"/>
  <c r="N133" i="10" s="1"/>
  <c r="L143" i="10"/>
  <c r="N143" i="10" s="1"/>
  <c r="L153" i="10"/>
  <c r="N153" i="10" s="1"/>
  <c r="L109" i="10"/>
  <c r="N109" i="10" s="1"/>
  <c r="L118" i="10"/>
  <c r="N118" i="10" s="1"/>
  <c r="L127" i="10"/>
  <c r="N127" i="10" s="1"/>
  <c r="O276" i="10"/>
  <c r="Q276" i="10" s="1"/>
  <c r="O282" i="10"/>
  <c r="Q282" i="10" s="1"/>
  <c r="O288" i="10"/>
  <c r="Q288" i="10" s="1"/>
  <c r="O270" i="10"/>
  <c r="Q270" i="10" s="1"/>
  <c r="O342" i="10"/>
  <c r="Q342" i="10" s="1"/>
  <c r="O183" i="10"/>
  <c r="Q183" i="10" s="1"/>
  <c r="O159" i="10"/>
  <c r="Q159" i="10" s="1"/>
  <c r="O165" i="10"/>
  <c r="Q165" i="10" s="1"/>
  <c r="O177" i="10"/>
  <c r="Q177" i="10" s="1"/>
  <c r="O171" i="10"/>
  <c r="Q171" i="10" s="1"/>
  <c r="O335" i="10"/>
  <c r="Q335" i="10" s="1"/>
  <c r="O321" i="10"/>
  <c r="Q321" i="10" s="1"/>
  <c r="O314" i="10"/>
  <c r="Q314" i="10" s="1"/>
  <c r="O328" i="10"/>
  <c r="Q328" i="10" s="1"/>
  <c r="O138" i="10"/>
  <c r="Q138" i="10" s="1"/>
  <c r="O133" i="10"/>
  <c r="Q133" i="10" s="1"/>
  <c r="O148" i="10"/>
  <c r="Q148" i="10" s="1"/>
  <c r="O143" i="10"/>
  <c r="Q143" i="10" s="1"/>
  <c r="O153" i="10"/>
  <c r="Q153" i="10" s="1"/>
  <c r="M343" i="10"/>
  <c r="N343" i="10" s="1"/>
  <c r="M329" i="10"/>
  <c r="N329" i="10" s="1"/>
  <c r="M315" i="10"/>
  <c r="N315" i="10" s="1"/>
  <c r="M322" i="10"/>
  <c r="N322" i="10" s="1"/>
  <c r="M336" i="10"/>
  <c r="N336" i="10" s="1"/>
  <c r="L128" i="10"/>
  <c r="N128" i="10" s="1"/>
  <c r="L110" i="10"/>
  <c r="N110" i="10" s="1"/>
  <c r="L119" i="10"/>
  <c r="N119" i="10" s="1"/>
  <c r="O239" i="10"/>
  <c r="Q239" i="10" s="1"/>
  <c r="O235" i="10"/>
  <c r="Q235" i="10" s="1"/>
  <c r="O231" i="10"/>
  <c r="Q231" i="10" s="1"/>
  <c r="O227" i="10"/>
  <c r="Q227" i="10" s="1"/>
  <c r="O223" i="10"/>
  <c r="Q223" i="10" s="1"/>
  <c r="M337" i="10"/>
  <c r="N337" i="10" s="1"/>
  <c r="M323" i="10"/>
  <c r="N323" i="10" s="1"/>
  <c r="M344" i="10"/>
  <c r="N344" i="10" s="1"/>
  <c r="M316" i="10"/>
  <c r="N316" i="10" s="1"/>
  <c r="M330" i="10"/>
  <c r="N330" i="10" s="1"/>
  <c r="L309" i="10"/>
  <c r="N309" i="10" s="1"/>
  <c r="L301" i="10"/>
  <c r="N301" i="10" s="1"/>
  <c r="L305" i="10"/>
  <c r="N305" i="10" s="1"/>
  <c r="L297" i="10"/>
  <c r="N297" i="10" s="1"/>
  <c r="L259" i="10"/>
  <c r="N259" i="10" s="1"/>
  <c r="L247" i="10"/>
  <c r="N247" i="10" s="1"/>
  <c r="L255" i="10"/>
  <c r="N255" i="10" s="1"/>
  <c r="L251" i="10"/>
  <c r="N251" i="10" s="1"/>
  <c r="L231" i="10"/>
  <c r="N231" i="10" s="1"/>
  <c r="L235" i="10"/>
  <c r="N235" i="10" s="1"/>
  <c r="L227" i="10"/>
  <c r="N227" i="10" s="1"/>
  <c r="L239" i="10"/>
  <c r="N239" i="10" s="1"/>
  <c r="L223" i="10"/>
  <c r="N223" i="10" s="1"/>
  <c r="L69" i="10"/>
  <c r="N69" i="10" s="1"/>
  <c r="L42" i="10"/>
  <c r="N42" i="10" s="1"/>
  <c r="L190" i="10"/>
  <c r="N190" i="10" s="1"/>
  <c r="L208" i="10"/>
  <c r="N208" i="10" s="1"/>
  <c r="L199" i="10"/>
  <c r="N199" i="10" s="1"/>
  <c r="L217" i="10"/>
  <c r="N217" i="10" s="1"/>
  <c r="L70" i="10"/>
  <c r="N70" i="10" s="1"/>
  <c r="L43" i="10"/>
  <c r="N43" i="10" s="1"/>
  <c r="L100" i="10"/>
  <c r="N100" i="10" s="1"/>
  <c r="L243" i="10"/>
  <c r="N243" i="10" s="1"/>
  <c r="L93" i="10"/>
  <c r="N93" i="10" s="1"/>
  <c r="L86" i="10"/>
  <c r="N86" i="10" s="1"/>
  <c r="N293" i="10"/>
  <c r="R35" i="10"/>
  <c r="T35" i="10" s="1"/>
  <c r="L35" i="10"/>
  <c r="N35" i="10" s="1"/>
  <c r="O35" i="10"/>
  <c r="Q35" i="10" s="1"/>
  <c r="R27" i="10"/>
  <c r="T27" i="10" s="1"/>
  <c r="O27" i="10"/>
  <c r="Q27" i="10" s="1"/>
  <c r="L27" i="10"/>
  <c r="N27" i="10" s="1"/>
  <c r="C18" i="46"/>
  <c r="E5" i="48"/>
  <c r="H6" i="48" l="1"/>
  <c r="C6" i="48"/>
  <c r="E12" i="10" s="1"/>
  <c r="C5" i="48"/>
  <c r="E11" i="10" s="1"/>
  <c r="E4" i="48"/>
  <c r="C4" i="48"/>
  <c r="E10" i="10" s="1"/>
  <c r="G17" i="10" l="1"/>
  <c r="G10" i="10"/>
  <c r="G11" i="10"/>
  <c r="I19" i="10"/>
  <c r="G18" i="10"/>
  <c r="I12" i="10"/>
  <c r="C29" i="56"/>
  <c r="G6" i="48" s="1"/>
  <c r="H12" i="10" s="1"/>
  <c r="H19" i="10" l="1"/>
  <c r="R19" i="10"/>
  <c r="T19" i="10" s="1"/>
  <c r="O19" i="10"/>
  <c r="Q19" i="10" s="1"/>
  <c r="L19" i="10"/>
  <c r="N19" i="10" s="1"/>
  <c r="R12" i="10"/>
  <c r="T12" i="10" s="1"/>
  <c r="O12" i="10"/>
  <c r="Q12" i="10" s="1"/>
  <c r="L12" i="10"/>
  <c r="N12" i="10" s="1"/>
  <c r="C26" i="56"/>
  <c r="D5" i="48" s="1"/>
  <c r="C17" i="56"/>
  <c r="C21" i="56" s="1"/>
  <c r="C27" i="55"/>
  <c r="D44" i="48" s="1"/>
  <c r="C21" i="55"/>
  <c r="D40" i="48" s="1"/>
  <c r="C23" i="55"/>
  <c r="D42" i="48" s="1"/>
  <c r="C19" i="55"/>
  <c r="C20" i="55" s="1"/>
  <c r="D39" i="48" s="1"/>
  <c r="C17" i="55"/>
  <c r="C18" i="55" s="1"/>
  <c r="C28" i="54"/>
  <c r="C29" i="54" s="1"/>
  <c r="C23" i="54"/>
  <c r="C25" i="54" s="1"/>
  <c r="C26" i="54" s="1"/>
  <c r="C27" i="54" s="1"/>
  <c r="D7" i="48" s="1"/>
  <c r="C21" i="54"/>
  <c r="C20" i="54"/>
  <c r="C18" i="54"/>
  <c r="C22" i="54" s="1"/>
  <c r="C17" i="54"/>
  <c r="C24" i="56" l="1"/>
  <c r="F11" i="10"/>
  <c r="F18" i="10"/>
  <c r="C26" i="55"/>
  <c r="D43" i="48" s="1"/>
  <c r="F350" i="10"/>
  <c r="F361" i="10"/>
  <c r="F360" i="10"/>
  <c r="F349" i="10"/>
  <c r="F351" i="10"/>
  <c r="F362" i="10"/>
  <c r="F353" i="10"/>
  <c r="F364" i="10"/>
  <c r="F24" i="10"/>
  <c r="F32" i="10"/>
  <c r="D8" i="48"/>
  <c r="F25" i="10" s="1"/>
  <c r="C32" i="54"/>
  <c r="G10" i="48" s="1"/>
  <c r="C25" i="56"/>
  <c r="D4" i="48" s="1"/>
  <c r="F17" i="10" l="1"/>
  <c r="F10" i="10"/>
  <c r="H26" i="10"/>
  <c r="H34" i="10"/>
  <c r="O18" i="10"/>
  <c r="Q18" i="10" s="1"/>
  <c r="L18" i="10"/>
  <c r="N18" i="10" s="1"/>
  <c r="O11" i="10"/>
  <c r="Q11" i="10" s="1"/>
  <c r="L11" i="10"/>
  <c r="N11" i="10" s="1"/>
  <c r="L351" i="10"/>
  <c r="N351" i="10" s="1"/>
  <c r="O351" i="10"/>
  <c r="Q351" i="10" s="1"/>
  <c r="L364" i="10"/>
  <c r="N364" i="10" s="1"/>
  <c r="O364" i="10"/>
  <c r="Q364" i="10" s="1"/>
  <c r="H366" i="10"/>
  <c r="O366" i="10" s="1"/>
  <c r="Q366" i="10" s="1"/>
  <c r="O353" i="10"/>
  <c r="Q353" i="10" s="1"/>
  <c r="H355" i="10"/>
  <c r="L353" i="10"/>
  <c r="N353" i="10" s="1"/>
  <c r="L349" i="10"/>
  <c r="N349" i="10" s="1"/>
  <c r="O349" i="10"/>
  <c r="Q349" i="10" s="1"/>
  <c r="O350" i="10"/>
  <c r="Q350" i="10" s="1"/>
  <c r="L350" i="10"/>
  <c r="N350" i="10" s="1"/>
  <c r="L362" i="10"/>
  <c r="N362" i="10" s="1"/>
  <c r="O362" i="10"/>
  <c r="Q362" i="10" s="1"/>
  <c r="L360" i="10"/>
  <c r="N360" i="10" s="1"/>
  <c r="O360" i="10"/>
  <c r="Q360" i="10" s="1"/>
  <c r="O361" i="10"/>
  <c r="Q361" i="10" s="1"/>
  <c r="L361" i="10"/>
  <c r="N361" i="10" s="1"/>
  <c r="F363" i="10"/>
  <c r="F352" i="10"/>
  <c r="F33" i="10"/>
  <c r="L33" i="10" s="1"/>
  <c r="N33" i="10" s="1"/>
  <c r="L32" i="10"/>
  <c r="N32" i="10" s="1"/>
  <c r="O32" i="10"/>
  <c r="Q32" i="10" s="1"/>
  <c r="L24" i="10"/>
  <c r="N24" i="10" s="1"/>
  <c r="O24" i="10"/>
  <c r="Q24" i="10" s="1"/>
  <c r="L25" i="10"/>
  <c r="N25" i="10" s="1"/>
  <c r="O25" i="10"/>
  <c r="Q25" i="10" s="1"/>
  <c r="R355" i="10" l="1"/>
  <c r="T355" i="10" s="1"/>
  <c r="L355" i="10"/>
  <c r="N355" i="10" s="1"/>
  <c r="O34" i="10"/>
  <c r="Q34" i="10" s="1"/>
  <c r="R34" i="10"/>
  <c r="T34" i="10" s="1"/>
  <c r="L34" i="10"/>
  <c r="N34" i="10" s="1"/>
  <c r="R26" i="10"/>
  <c r="T26" i="10" s="1"/>
  <c r="O26" i="10"/>
  <c r="Q26" i="10" s="1"/>
  <c r="L26" i="10"/>
  <c r="N26" i="10" s="1"/>
  <c r="L366" i="10"/>
  <c r="N366" i="10" s="1"/>
  <c r="R366" i="10"/>
  <c r="T366" i="10" s="1"/>
  <c r="L10" i="10"/>
  <c r="N10" i="10" s="1"/>
  <c r="O10" i="10"/>
  <c r="Q10" i="10" s="1"/>
  <c r="O17" i="10"/>
  <c r="Q17" i="10" s="1"/>
  <c r="L17" i="10"/>
  <c r="N17" i="10" s="1"/>
  <c r="L363" i="10"/>
  <c r="N363" i="10" s="1"/>
  <c r="O363" i="10"/>
  <c r="Q363" i="10" s="1"/>
  <c r="O355" i="10"/>
  <c r="Q355" i="10" s="1"/>
  <c r="O352" i="10"/>
  <c r="Q352" i="10" s="1"/>
  <c r="L352" i="10"/>
  <c r="N352" i="10" s="1"/>
  <c r="O33" i="10"/>
  <c r="Q33" i="10" s="1"/>
  <c r="L219" i="10"/>
  <c r="N219" i="10" s="1"/>
  <c r="L210" i="10"/>
  <c r="N210" i="10" s="1"/>
  <c r="N192" i="10"/>
  <c r="L201" i="10"/>
  <c r="N201" i="10" s="1"/>
  <c r="O219" i="10"/>
  <c r="Q219" i="10" s="1"/>
  <c r="O210" i="10"/>
  <c r="Q210" i="10" s="1"/>
  <c r="O201" i="10"/>
  <c r="Q201" i="10" s="1"/>
  <c r="O192" i="10"/>
  <c r="Q192" i="10" s="1"/>
  <c r="O264" i="10"/>
  <c r="Q264" i="10" s="1"/>
  <c r="L264" i="10"/>
  <c r="N264"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HOUILLON Grégory</author>
  </authors>
  <commentList>
    <comment ref="C1" authorId="0" shapeId="0" xr:uid="{4B93EF3D-F06B-45C1-B521-4F31919EE3D5}">
      <text>
        <r>
          <rPr>
            <b/>
            <sz val="9"/>
            <color indexed="81"/>
            <rFont val="Tahoma"/>
            <family val="2"/>
          </rPr>
          <t>HOUILLON Grégory:</t>
        </r>
        <r>
          <rPr>
            <sz val="9"/>
            <color indexed="81"/>
            <rFont val="Tahoma"/>
            <family val="2"/>
          </rPr>
          <t xml:space="preserve">
Tableau remplacé par Methodes disponibles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CUENI Marc</author>
  </authors>
  <commentList>
    <comment ref="D1" authorId="0" shapeId="0" xr:uid="{08DB3480-3E0D-4429-97E1-94516F2D1035}">
      <text>
        <r>
          <rPr>
            <b/>
            <sz val="9"/>
            <color indexed="81"/>
            <rFont val="Tahoma"/>
            <family val="2"/>
          </rPr>
          <t>CUENI Marc:</t>
        </r>
        <r>
          <rPr>
            <sz val="9"/>
            <color indexed="81"/>
            <rFont val="Tahoma"/>
            <family val="2"/>
          </rPr>
          <t xml:space="preserve">
La colonne Méthode dépollution doit être triée en ordre croissant pour que les formules des colonnes J à N (dont les titres commencent par "_") puissent donner les résultats escomptés</t>
        </r>
      </text>
    </comment>
  </commentList>
</comments>
</file>

<file path=xl/sharedStrings.xml><?xml version="1.0" encoding="utf-8"?>
<sst xmlns="http://schemas.openxmlformats.org/spreadsheetml/2006/main" count="1755" uniqueCount="421">
  <si>
    <t>Electricité</t>
  </si>
  <si>
    <t>Diesel</t>
  </si>
  <si>
    <t>Transport</t>
  </si>
  <si>
    <t>Gaz naturel</t>
  </si>
  <si>
    <t>Traitement</t>
  </si>
  <si>
    <t>Source</t>
  </si>
  <si>
    <t>Distance</t>
  </si>
  <si>
    <t>km</t>
  </si>
  <si>
    <t>Transport par camion 40 t</t>
  </si>
  <si>
    <t>Scénario</t>
  </si>
  <si>
    <t>Hypothèse</t>
  </si>
  <si>
    <t>Charbon actif</t>
  </si>
  <si>
    <t>Calcul</t>
  </si>
  <si>
    <t>Marne</t>
  </si>
  <si>
    <t>Calcaire</t>
  </si>
  <si>
    <t>Densité</t>
  </si>
  <si>
    <t>Energie</t>
  </si>
  <si>
    <t>Transport par camion de 40t</t>
  </si>
  <si>
    <t>Substitution</t>
  </si>
  <si>
    <t>Incinération en UIOM</t>
  </si>
  <si>
    <t>t</t>
  </si>
  <si>
    <t>kWh/t</t>
  </si>
  <si>
    <t>l/t</t>
  </si>
  <si>
    <t>kg/t</t>
  </si>
  <si>
    <t>(Houillon, Jolliet, 2001)</t>
  </si>
  <si>
    <t>Présentation de l'outil</t>
  </si>
  <si>
    <t>Type de polluants</t>
  </si>
  <si>
    <t>Types de traitement</t>
  </si>
  <si>
    <t>Solvants chlorés</t>
  </si>
  <si>
    <t>Hydrocarbures non aromatiques</t>
  </si>
  <si>
    <t>Chrome VI</t>
  </si>
  <si>
    <t>Métaux lourds</t>
  </si>
  <si>
    <t>Hydrocarbures Aromatiques Polycycliques (HAP)</t>
  </si>
  <si>
    <t>Lavage à l'eau et extraction</t>
  </si>
  <si>
    <t>Désorption thermique</t>
  </si>
  <si>
    <t>Stabilisation physico-chimique : oxydation à l'aides de liants et réactifs</t>
  </si>
  <si>
    <t>Tri selon les fractions</t>
  </si>
  <si>
    <t>Venting</t>
  </si>
  <si>
    <t>Incinération en four dédié</t>
  </si>
  <si>
    <t>Co-incinération en cimenterie</t>
  </si>
  <si>
    <t>Désorption thermique en zone saturée ou non saturée</t>
  </si>
  <si>
    <t>Sparging</t>
  </si>
  <si>
    <t>Intrants</t>
  </si>
  <si>
    <t>Sortants</t>
  </si>
  <si>
    <t>Effet de serre</t>
  </si>
  <si>
    <t>Production de déchets ultimes</t>
  </si>
  <si>
    <t>Substitutions</t>
  </si>
  <si>
    <t>Type de traitement</t>
  </si>
  <si>
    <t>Fioul</t>
  </si>
  <si>
    <t>Argile</t>
  </si>
  <si>
    <t>Options</t>
  </si>
  <si>
    <t>Ecoinvent 1.4</t>
  </si>
  <si>
    <t>Source2</t>
  </si>
  <si>
    <t>Source3</t>
  </si>
  <si>
    <t>Unité1</t>
  </si>
  <si>
    <t>Unité2</t>
  </si>
  <si>
    <t>Unité3</t>
  </si>
  <si>
    <t>Source1</t>
  </si>
  <si>
    <t>Transport par barge</t>
  </si>
  <si>
    <t>Granulat concassé</t>
  </si>
  <si>
    <t>Transport par train</t>
  </si>
  <si>
    <t>Pompage et traitement</t>
  </si>
  <si>
    <t>Biotertre</t>
  </si>
  <si>
    <t>Pompage écrémage</t>
  </si>
  <si>
    <t>Lavage à l'eau</t>
  </si>
  <si>
    <t>In situ</t>
  </si>
  <si>
    <t>Méthode physique</t>
  </si>
  <si>
    <t>Méthode chimique</t>
  </si>
  <si>
    <t>Méthode thermique</t>
  </si>
  <si>
    <t>Méthode biologique</t>
  </si>
  <si>
    <t>Ex situ</t>
  </si>
  <si>
    <t>Excavation</t>
  </si>
  <si>
    <t>Oxydation chimique</t>
  </si>
  <si>
    <t>Electricité (réseau suisse)</t>
  </si>
  <si>
    <t>Nombre de puits de forage</t>
  </si>
  <si>
    <t>Durée du chantier</t>
  </si>
  <si>
    <t>Nombre d'heures de fonctionnement par jour</t>
  </si>
  <si>
    <t>h/j</t>
  </si>
  <si>
    <t>u</t>
  </si>
  <si>
    <t>Nombre de pompes de rabattement</t>
  </si>
  <si>
    <t>Puissance unitaire</t>
  </si>
  <si>
    <t>kW</t>
  </si>
  <si>
    <t>Puissance du compresseur pour pompes d'écrémage</t>
  </si>
  <si>
    <t>Tonnage de terres</t>
  </si>
  <si>
    <t>Tonnage de polluants</t>
  </si>
  <si>
    <t>t/m3</t>
  </si>
  <si>
    <t>m3/m3</t>
  </si>
  <si>
    <t>kWh/m3</t>
  </si>
  <si>
    <t>u/m3</t>
  </si>
  <si>
    <t>mois/m3</t>
  </si>
  <si>
    <t>kW/m3</t>
  </si>
  <si>
    <t>Electricité pour pompes de rabatement</t>
  </si>
  <si>
    <t>Electricité pour pompes d'écrémage</t>
  </si>
  <si>
    <t>Durée de fonctionnement du biotertre</t>
  </si>
  <si>
    <t>mois/t hydrocarbure</t>
  </si>
  <si>
    <t>Pelle mécanique</t>
  </si>
  <si>
    <t>h/t hydrocarbure</t>
  </si>
  <si>
    <t>Phosphate de sodium</t>
  </si>
  <si>
    <t>t/t hydrocarbures</t>
  </si>
  <si>
    <t>Agent structurant (Compost)</t>
  </si>
  <si>
    <t>Pompe de circulation des lixiviats</t>
  </si>
  <si>
    <t>kWh/t hydrocarbures</t>
  </si>
  <si>
    <t>Durée du traitement</t>
  </si>
  <si>
    <t>Heures de fonctionnement par jour</t>
  </si>
  <si>
    <t>m/t hydrocarbure</t>
  </si>
  <si>
    <t>Heures de fonctionnement du compresseur</t>
  </si>
  <si>
    <t>Puissance du compresseur</t>
  </si>
  <si>
    <t>Electricité pour compresseur</t>
  </si>
  <si>
    <t>kWh/t hydrocarbure</t>
  </si>
  <si>
    <t>Puissance de la pompe d'exraction</t>
  </si>
  <si>
    <t>Electricité pour pompe d'extraction</t>
  </si>
  <si>
    <t>t/t hydrocarbure</t>
  </si>
  <si>
    <t>Charbon actif souillé</t>
  </si>
  <si>
    <t>Permanganate de potassium</t>
  </si>
  <si>
    <t>Puissance pompe doseuse</t>
  </si>
  <si>
    <t>Durée de fonctionnement de la pompe doseuse</t>
  </si>
  <si>
    <t>Eau</t>
  </si>
  <si>
    <t>Sparging Venting</t>
  </si>
  <si>
    <t>(Ortiz, 2006)</t>
  </si>
  <si>
    <t>KBOB / eco-bau / IPB 2009/1:2016</t>
  </si>
  <si>
    <t>Énergie primaire non renouvelable</t>
  </si>
  <si>
    <t>Type de technique</t>
  </si>
  <si>
    <t>Physique</t>
  </si>
  <si>
    <t>Chimique</t>
  </si>
  <si>
    <t>Thermique</t>
  </si>
  <si>
    <t>Biologique</t>
  </si>
  <si>
    <t>Lavage physico chimique</t>
  </si>
  <si>
    <t>Traitement sur place ou non</t>
  </si>
  <si>
    <t>Mise en décharge</t>
  </si>
  <si>
    <t>In scope</t>
  </si>
  <si>
    <t>Scope</t>
  </si>
  <si>
    <t>Situ</t>
  </si>
  <si>
    <t>Famille</t>
  </si>
  <si>
    <t>Méthode dépollution</t>
  </si>
  <si>
    <t>X</t>
  </si>
  <si>
    <t>GES</t>
  </si>
  <si>
    <t>Déchets ultimes</t>
  </si>
  <si>
    <t>Déchets</t>
  </si>
  <si>
    <t>Obligatoire</t>
  </si>
  <si>
    <t>Type polluant</t>
  </si>
  <si>
    <t>Détails</t>
  </si>
  <si>
    <t>UnitIntrants</t>
  </si>
  <si>
    <t>UnitSortants</t>
  </si>
  <si>
    <t>UnitSubstitution</t>
  </si>
  <si>
    <t>Intrant</t>
  </si>
  <si>
    <t>Sortant</t>
  </si>
  <si>
    <t>Ecosol</t>
  </si>
  <si>
    <t>In situ / Ex situ</t>
  </si>
  <si>
    <t>Filière</t>
  </si>
  <si>
    <t>kWh/t polluant</t>
  </si>
  <si>
    <t>t/t polluant</t>
  </si>
  <si>
    <t>Intrants/Sortants</t>
  </si>
  <si>
    <t>Terre polluée</t>
  </si>
  <si>
    <t>Polluants</t>
  </si>
  <si>
    <t>kWh nr/kWh</t>
  </si>
  <si>
    <t>kgCO2eq./kWh</t>
  </si>
  <si>
    <t>ADEME, Evaluation environnementale des techbnologies de traitement de sols et des eaux souterraines pollués, Octobre 2011</t>
  </si>
  <si>
    <t>Bilan masse énergie du traitement</t>
  </si>
  <si>
    <t>Excavation avec pelle mécanique</t>
  </si>
  <si>
    <t>kWh nr/m3</t>
  </si>
  <si>
    <t>kgCO2eq./m3</t>
  </si>
  <si>
    <t>Procédés</t>
  </si>
  <si>
    <t>Diesel pour engins de chantier</t>
  </si>
  <si>
    <t>kWh/kg</t>
  </si>
  <si>
    <t>Facteur de conversion en MWh PCI</t>
  </si>
  <si>
    <t>Electricité - France</t>
  </si>
  <si>
    <t>MWh</t>
  </si>
  <si>
    <t>MWh PCI / MWh</t>
  </si>
  <si>
    <t>MWh PCI / m3</t>
  </si>
  <si>
    <t>MWh PCI / mBTU</t>
  </si>
  <si>
    <t>MWh PCI / MWh PCS</t>
  </si>
  <si>
    <t>MWh PCI / MWh PCI</t>
  </si>
  <si>
    <t>Gaz propane</t>
  </si>
  <si>
    <t>MWh PCI / kg</t>
  </si>
  <si>
    <t>Gaz butane</t>
  </si>
  <si>
    <t>Fioul lourd BTS (S&lt;2%)</t>
  </si>
  <si>
    <t>MWh PCI / tonne</t>
  </si>
  <si>
    <t>Fioul domestique</t>
  </si>
  <si>
    <t>Charbon (Houille)</t>
  </si>
  <si>
    <t>Houille</t>
  </si>
  <si>
    <t>Plaquettes d'industrie</t>
  </si>
  <si>
    <t>Plaquettes forestières</t>
  </si>
  <si>
    <t>Granulés, briquettes</t>
  </si>
  <si>
    <t>Bûches</t>
  </si>
  <si>
    <t>MWh PCI / stère</t>
  </si>
  <si>
    <t>kgCO2eq./l</t>
  </si>
  <si>
    <t>kWh/l</t>
  </si>
  <si>
    <t>kWh nr/tkm</t>
  </si>
  <si>
    <t>kgCO2eq./tkm</t>
  </si>
  <si>
    <t>Life Carbon Tool</t>
  </si>
  <si>
    <t>j</t>
  </si>
  <si>
    <t>kj</t>
  </si>
  <si>
    <t>cal</t>
  </si>
  <si>
    <t>kcal</t>
  </si>
  <si>
    <t>th</t>
  </si>
  <si>
    <t>Wh</t>
  </si>
  <si>
    <t>kWh</t>
  </si>
  <si>
    <t>gj</t>
  </si>
  <si>
    <t>Btu</t>
  </si>
  <si>
    <t>MBtu</t>
  </si>
  <si>
    <t>MMBtu</t>
  </si>
  <si>
    <t>Tb</t>
  </si>
  <si>
    <t>Lb</t>
  </si>
  <si>
    <t>kLb</t>
  </si>
  <si>
    <t>Thr</t>
  </si>
  <si>
    <t>TEP</t>
  </si>
  <si>
    <t>ESU, 1996</t>
  </si>
  <si>
    <t>kgCO2eq./kg</t>
  </si>
  <si>
    <t>MJ</t>
  </si>
  <si>
    <t>Hypothèse de production de mâchefers</t>
  </si>
  <si>
    <t>tCO2 eq.</t>
  </si>
  <si>
    <t>MWh nr</t>
  </si>
  <si>
    <t>Solvant</t>
  </si>
  <si>
    <t>Polluants récupérés</t>
  </si>
  <si>
    <t>t/t</t>
  </si>
  <si>
    <t>Traitement aval</t>
  </si>
  <si>
    <t>Incinération de solvants en four dédié</t>
  </si>
  <si>
    <t>Incinération de charbon actif en UIOM</t>
  </si>
  <si>
    <t>Assimilé aux OM</t>
  </si>
  <si>
    <t>tkm</t>
  </si>
  <si>
    <t>Sparging venting</t>
  </si>
  <si>
    <t>t/t terre</t>
  </si>
  <si>
    <t>Terre stockée</t>
  </si>
  <si>
    <t>PCI des terres polluées</t>
  </si>
  <si>
    <t>CO2 relargué</t>
  </si>
  <si>
    <t>Négligé</t>
  </si>
  <si>
    <t>kgCO2eq./t</t>
  </si>
  <si>
    <t>Sélectionner le type de polluant à traiter</t>
  </si>
  <si>
    <t>ACV – Analyse de Cycle de Vie</t>
  </si>
  <si>
    <t>Gaz à Effet de Serre (GES)</t>
  </si>
  <si>
    <t>Lexique</t>
  </si>
  <si>
    <t>Suter et al., 1996</t>
  </si>
  <si>
    <t>m2</t>
  </si>
  <si>
    <t>kg</t>
  </si>
  <si>
    <t>%</t>
  </si>
  <si>
    <t>L’évaluation permet de prioriser ses actions pour réduire son impact sur l'environnement lors de l'assainissement d'un site pollué.</t>
  </si>
  <si>
    <t>Comment mesurer cet impact ?</t>
  </si>
  <si>
    <t>Distance aller simple</t>
  </si>
  <si>
    <t>Utiliser une ligne par transport. Si deux transports sont nécessaires, ajouter deux lignes</t>
  </si>
  <si>
    <t>ADEME, Evaluation environnementale des technologies de traitement de sols et des eaux souterraines pollués, Octobre 2011</t>
  </si>
  <si>
    <r>
      <t>kWh/kg</t>
    </r>
    <r>
      <rPr>
        <vertAlign val="superscript"/>
        <sz val="10"/>
        <rFont val="Arial"/>
        <family val="2"/>
      </rPr>
      <t xml:space="preserve"> 1)</t>
    </r>
  </si>
  <si>
    <t>1)</t>
  </si>
  <si>
    <t>Légende</t>
  </si>
  <si>
    <t>EPA, Life Cycle Inventory (LCI) Data-Treatment Chemicals, Construction Materials, Transportation, On-site Equipment, and Other Processes for Use in Spreadsheets for Environmental Footprint Analysis (SEFA), Revised Addition, 2017</t>
  </si>
  <si>
    <t>ASTEE, Guide des facteurs d'émissions, Version  05 2010.2</t>
  </si>
  <si>
    <t>ASTEE, 2010</t>
  </si>
  <si>
    <t>kgCO2/m3</t>
  </si>
  <si>
    <t>Surface traitée</t>
  </si>
  <si>
    <t>NIRAS, Remediation Strategy for Soil and Groundwater Pollution - RemS, 2011</t>
  </si>
  <si>
    <r>
      <t xml:space="preserve">HOUILLON G., JOLLIET O., </t>
    </r>
    <r>
      <rPr>
        <sz val="12"/>
        <rFont val="Arial Narrow"/>
        <family val="2"/>
      </rPr>
      <t>Projet Ecoboues : Ecobilan de différentes filières de traitement des boues résiduaires urbaines, rapport final, décembre 2001, 123 p + annexes.</t>
    </r>
  </si>
  <si>
    <r>
      <t>OFEFP/BUWAL</t>
    </r>
    <r>
      <rPr>
        <sz val="12"/>
        <rFont val="Arial Narrow"/>
        <family val="2"/>
      </rPr>
      <t>, Inventaires écologiques relatifs aux emballages, volume 1, Cahier de l’environnement, Déchets, n° 250/1, Berne, 1998, 326 p.</t>
    </r>
  </si>
  <si>
    <r>
      <t>OFEFP/BUWAL</t>
    </r>
    <r>
      <rPr>
        <sz val="12"/>
        <rFont val="Arial Narrow"/>
        <family val="2"/>
      </rPr>
      <t>, Inventaires écologiques relatifs aux emballages, volume 2, Cahier de l’environnement, Déchets, n° 250/2, Berne, 1998, 238 p.</t>
    </r>
  </si>
  <si>
    <t>mois</t>
  </si>
  <si>
    <t>kWh/m2</t>
  </si>
  <si>
    <t>Electricité pour chauffage du sol</t>
  </si>
  <si>
    <t>Electricité pour utilités</t>
  </si>
  <si>
    <t>Surface polluée</t>
  </si>
  <si>
    <t>Charbon actif incinéré</t>
  </si>
  <si>
    <t>Etat de Vaud, Ecobilan de filières de traitement lors de l’assainissement d’un site contaminé : Application au cas de la décharge de Bioley-Orjulaz, 2004</t>
  </si>
  <si>
    <t>Diesel pour pelle mécanique</t>
  </si>
  <si>
    <t>Electricité pour pompe de circulation des lixiviats</t>
  </si>
  <si>
    <t>Déchets verts</t>
  </si>
  <si>
    <t>Convention</t>
  </si>
  <si>
    <t>FATIN ROUGE N., Feasibility of specific soil washing with recycled solutions (SSWRS) for the removal of selected metals and organic compounds from contaminated soil and mathematical model to assess pollutant transfer by SSWRS, 2013</t>
  </si>
  <si>
    <t>Quantité de polluant</t>
  </si>
  <si>
    <t>Surfactant</t>
  </si>
  <si>
    <t>Oxydant</t>
  </si>
  <si>
    <t>m3/t polluant</t>
  </si>
  <si>
    <t>Concentrat d'ultrafiltration incinéré</t>
  </si>
  <si>
    <t>kWh nr/kg</t>
  </si>
  <si>
    <t>Transport par camion 3.5-28 t</t>
  </si>
  <si>
    <t>Part de la fraction fine (limon, argile)</t>
  </si>
  <si>
    <r>
      <t xml:space="preserve">kWh/kg </t>
    </r>
    <r>
      <rPr>
        <vertAlign val="superscript"/>
        <sz val="10"/>
        <rFont val="Arial"/>
        <family val="2"/>
      </rPr>
      <t>2)</t>
    </r>
  </si>
  <si>
    <t>2)</t>
  </si>
  <si>
    <t>Approché par produit chimique organique</t>
  </si>
  <si>
    <t>3)</t>
  </si>
  <si>
    <t>Calcul depuis camion 40 t</t>
  </si>
  <si>
    <t>Pris égal à la valeur du calcaire</t>
  </si>
  <si>
    <t>Traitement de perméat d'ultrafiltration en STEP</t>
  </si>
  <si>
    <t>Mise en décharge de type B ou C</t>
  </si>
  <si>
    <t>Mise en décharge de type D ou E</t>
  </si>
  <si>
    <t>Source4</t>
  </si>
  <si>
    <t>4)</t>
  </si>
  <si>
    <r>
      <t xml:space="preserve">kWh nr/tkm </t>
    </r>
    <r>
      <rPr>
        <vertAlign val="superscript"/>
        <sz val="10"/>
        <rFont val="Arial"/>
        <family val="2"/>
      </rPr>
      <t>3)</t>
    </r>
  </si>
  <si>
    <r>
      <t xml:space="preserve">kWh nr/kg </t>
    </r>
    <r>
      <rPr>
        <vertAlign val="superscript"/>
        <sz val="10"/>
        <rFont val="Arial"/>
        <family val="2"/>
      </rPr>
      <t>4)</t>
    </r>
  </si>
  <si>
    <t>Incinération de concentrat d'ultrafiltration en four dédié pour déchets dangereux</t>
  </si>
  <si>
    <t>Mise en décharge de type A (matériaux inertes)</t>
  </si>
  <si>
    <t>Mise en décharge de type B ou C (résidus stabilisés)</t>
  </si>
  <si>
    <t>Incinération spécifique de déchets dangereux</t>
  </si>
  <si>
    <t>kWh/kWh</t>
  </si>
  <si>
    <t>GJ</t>
  </si>
  <si>
    <t>TJ</t>
  </si>
  <si>
    <t>Stegmann R. et al., Treatment of contaminated soil, Fundamentals, Analysis, Applications, Springer</t>
  </si>
  <si>
    <t>(Stegmann et al.)</t>
  </si>
  <si>
    <t>Gâteau avec fines</t>
  </si>
  <si>
    <t>Calcul avec 50% d'humidité du gâteau</t>
  </si>
  <si>
    <t>7 à 30 kWh</t>
  </si>
  <si>
    <t>t/t fines</t>
  </si>
  <si>
    <t>Meuser H., Soil remediation and rehabilitation : treatment of contaminated and disturbed land, Springer</t>
  </si>
  <si>
    <t>Sources utilisées</t>
  </si>
  <si>
    <t>(Meuser H.)</t>
  </si>
  <si>
    <t>5 à 35 kWh/m3</t>
  </si>
  <si>
    <t>Toffoletto L., Analyse de Cycle de Vie d'un site pollué au diesel, novembre 2002</t>
  </si>
  <si>
    <t>(Toffoletto L., 2002)</t>
  </si>
  <si>
    <t>h/t</t>
  </si>
  <si>
    <t>Elaboration du biotertre à la pelle mécanique</t>
  </si>
  <si>
    <t>Excavation à la pelle mécanique</t>
  </si>
  <si>
    <t>(ADEME; 2011)</t>
  </si>
  <si>
    <t>m3/t hydrocarbure</t>
  </si>
  <si>
    <t>Urée</t>
  </si>
  <si>
    <t>Peroxyde d'hydrogène (H2O2)</t>
  </si>
  <si>
    <t>ASR (Association suisse de déconstruction, triage et recyclage), Elimination des déchets de chantier pollués dans des installations (ex situ), Descriptif des procédés de traitement et de leur efficacité en matière de valorisation, avril 2015</t>
  </si>
  <si>
    <t>m3/t</t>
  </si>
  <si>
    <t>Houillon G., Jolliet O., 2001</t>
  </si>
  <si>
    <t>Calcul avec l'hypothèse d'un besoin à 100% électrique (réseau suisse) pour la production d'eau potable</t>
  </si>
  <si>
    <t>Approché par produit chimique inorganique</t>
  </si>
  <si>
    <t>Calcul sur la base d'un produit inorganique</t>
  </si>
  <si>
    <r>
      <t xml:space="preserve">kgCO2eq./kg </t>
    </r>
    <r>
      <rPr>
        <vertAlign val="superscript"/>
        <sz val="10"/>
        <rFont val="Arial"/>
        <family val="2"/>
      </rPr>
      <t>2)</t>
    </r>
  </si>
  <si>
    <t>Hypothèse de quantité de boues négligeable</t>
  </si>
  <si>
    <t>Incinération de terre polluée en four dédié</t>
  </si>
  <si>
    <t>Volume</t>
  </si>
  <si>
    <t>litre</t>
  </si>
  <si>
    <t>cm3</t>
  </si>
  <si>
    <t>m3</t>
  </si>
  <si>
    <t>in3</t>
  </si>
  <si>
    <t>ft3</t>
  </si>
  <si>
    <t>Masse</t>
  </si>
  <si>
    <t>g</t>
  </si>
  <si>
    <t>once</t>
  </si>
  <si>
    <t>livre</t>
  </si>
  <si>
    <t>US Air Force, Sustainable Remediation Tool v. 2.2, september 2011</t>
  </si>
  <si>
    <t>(US Air Force, 2011)</t>
  </si>
  <si>
    <t>(NIRAS, 2011)</t>
  </si>
  <si>
    <t>Energie primaire non renouvelable</t>
  </si>
  <si>
    <t>Transport par camion 3,5 - 20 t</t>
  </si>
  <si>
    <t>_Solvants chlorés</t>
  </si>
  <si>
    <t>_Hydrocarbures non aromatiques</t>
  </si>
  <si>
    <t>_Chrome VI</t>
  </si>
  <si>
    <t>_Métaux lourds</t>
  </si>
  <si>
    <t>_Hydrocarbures Aromatiques Polycycliques (HAP)</t>
  </si>
  <si>
    <t>Type</t>
  </si>
  <si>
    <t>Transport par camion 3,5 - 20t</t>
  </si>
  <si>
    <t>Bilan</t>
  </si>
  <si>
    <t>Outil d'évaluation de l'impact environnemental de l'assanissement de sites contaminés</t>
  </si>
  <si>
    <t>Conception</t>
  </si>
  <si>
    <t>Service de Géologie et de Gestion des Déchets (GESDEC)               BG Ingénieurs Conseils</t>
  </si>
  <si>
    <t>Pour tout complément d'information</t>
  </si>
  <si>
    <t>Mode d'emploi de l'outil Ecosol</t>
  </si>
  <si>
    <t>Compléter les données demandées :</t>
  </si>
  <si>
    <t>Tonnage de terre : pour toutes les techniques</t>
  </si>
  <si>
    <t>Tonnage de polluants : pour toutes les techniques</t>
  </si>
  <si>
    <t>Distance aller simple : pour les transports</t>
  </si>
  <si>
    <t>Une fois les données saisies pour tous les scénarios, cliquer sur le bouton :</t>
  </si>
  <si>
    <t>Les résultats sont calculés et un nouveau fichier Excel est généré</t>
  </si>
  <si>
    <r>
      <t xml:space="preserve">kWh nr/kg </t>
    </r>
    <r>
      <rPr>
        <vertAlign val="superscript"/>
        <sz val="10"/>
        <rFont val="Arial"/>
        <family val="2"/>
      </rPr>
      <t>5)</t>
    </r>
  </si>
  <si>
    <t>SIAAP</t>
  </si>
  <si>
    <t>5)</t>
  </si>
  <si>
    <t>Calcul depuis l'énergie électrique et le traitement d'eau usée</t>
  </si>
  <si>
    <t>Concentration</t>
  </si>
  <si>
    <t>Nécessaire</t>
  </si>
  <si>
    <t>Destination (pour transport)</t>
  </si>
  <si>
    <t>Remarques</t>
  </si>
  <si>
    <t>Pourcentage de la fraction fine (limon, argile)</t>
  </si>
  <si>
    <t>Destination</t>
  </si>
  <si>
    <t>Remarque</t>
  </si>
  <si>
    <t>mg/kg</t>
  </si>
  <si>
    <t>-</t>
  </si>
  <si>
    <t>République et Canton de Genève
Département du territoire (DT)
Office cantonal de l’environnement (OCEV) Service de géologie, sols et déchets (GESDEC)
M. Silvio Cuccodoro
Tél. +41 (22) 546 70 74
silvio.cuccodoro@etat.ge.ch</t>
  </si>
  <si>
    <t>Tri</t>
  </si>
  <si>
    <t>Le scénario 0 suivant doit toujours être saisi par l'utilisateur comme scénario de référence, en comparaison des autres scénarios proposés :</t>
  </si>
  <si>
    <t>(Etat de Vaud, 2004)</t>
  </si>
  <si>
    <t>Oxydation au permanganate de potassium</t>
  </si>
  <si>
    <t>Mise en décharge de type A</t>
  </si>
  <si>
    <t>Résidus stockés</t>
  </si>
  <si>
    <t>(OFEFP, 1998)</t>
  </si>
  <si>
    <t xml:space="preserve">BG Ingénieurs Conseils
M. Grégory Houillon
Tél. + 41 58 424 27 04
gregory.houillon@bg-21.com
</t>
  </si>
  <si>
    <t>Ils sont disponibles sous format tableau et graphique et permettent de comparer les différents scénarios créés vis-à-vis du scénario de référence de mise en décharge</t>
  </si>
  <si>
    <t>Ecosol met en œuvre la méthode d'Analyse de Cycle de Vie (ACV) afin d'évaluer l'ensemble de la chaîne de traitement de terres polluées, depuis l'excavation, le transport, le traitement sur ou hors site, le traitement des sous-produits générés, etc.</t>
  </si>
  <si>
    <t>A quoi sert une évaluation de l'impact environnemental de filières de traitement de terres polluées ?</t>
  </si>
  <si>
    <t>Cet impact est mesuré pour 3 classes d'impacts :
- la consommation d'énergie primaire non renouvelable,
- l'effet de serre,
- la production de déchets ultimes.</t>
  </si>
  <si>
    <t>Surface polluée : uniquement pour la désorption thermique in situ</t>
  </si>
  <si>
    <t>Viglianti C., Approche alternative du lavage de sols pollués par des hydrocarbures aromatiques polycycliques : utilisation des cyclodextrines avec procédés de recyclage, 2007</t>
  </si>
  <si>
    <t>Unités</t>
  </si>
  <si>
    <t>Choix dans menu déroulant</t>
  </si>
  <si>
    <t>Saisie d'une valeur</t>
  </si>
  <si>
    <t>Calcul automatique</t>
  </si>
  <si>
    <t>Saisie d'un lieu</t>
  </si>
  <si>
    <t>Saisie d'un texte libre</t>
  </si>
  <si>
    <t>Réutilisation de matériaux en remblayage</t>
  </si>
  <si>
    <t>Fatin Rouge N., Feasibility of specific soil washing with recycled solutions (SSWRS) for the removal of selected metals and organic compounds from contaminated soil and mathematical model to assess pollutant transfer by SSWRS, 2013</t>
  </si>
  <si>
    <r>
      <t xml:space="preserve">Houillon G., Jolliet O., </t>
    </r>
    <r>
      <rPr>
        <sz val="12"/>
        <rFont val="Arial Narrow"/>
        <family val="2"/>
      </rPr>
      <t>Projet Ecoboues : Ecobilan de différentes filières de traitement des boues résiduaires urbaines, rapport final, décembre 2001, 123 p + annexes</t>
    </r>
  </si>
  <si>
    <t>Electricité pour pompage</t>
  </si>
  <si>
    <t>Perméat d'ultrafiltration en STEP</t>
  </si>
  <si>
    <r>
      <t>Suter P., Frischknecht R., Bollens U., Bosshart S., Ciot M., Ciseri L., Doka G., Hischier R., Martin A., Dones R., Gantner U.</t>
    </r>
    <r>
      <rPr>
        <sz val="12"/>
        <rFont val="Arial Narrow"/>
        <family val="2"/>
      </rPr>
      <t>,  Ökoinventare von Energiesystemen, Grundlagen für den ökologischen Vergleich von Energiesystemen und des Einbezug von Energiesystemen in Ökobilanzen für die Schweiz, 3 Auflage, Eidg. Technische Hochschule, Institut für Energietechnik, Gruppe Energie Stoffe und Umwelt, Zürich, Schweiz, 1996</t>
    </r>
  </si>
  <si>
    <t>Données à saisir</t>
  </si>
  <si>
    <t>Teuftal</t>
  </si>
  <si>
    <t>Concentration moyenne de 20 mg/Kg
Volume de terre : 55.5 m3 à une densité de 1800 kg/m3</t>
  </si>
  <si>
    <t>L'énergie primaire est l'énergie contenue dans les vecteurs énergétique à leur extraction de l'environnement. L'énergie primaire non renouvelable représente la part non renouvelable de cette énergie. Elle traduit notre consommation de ressources fossiles.</t>
  </si>
  <si>
    <t>Aller sur la feuille "Données à renseigner"</t>
  </si>
  <si>
    <t>Indiquer le numéro du scénario. Toutes les lignes concernant le même scénario porteront le même numéro</t>
  </si>
  <si>
    <t>Concentration moyenne : pour toutes les techniques. A noter que le tonnage de polluant se calcule seul</t>
  </si>
  <si>
    <t>Part de la fraction fine : uniquement pour le lavage à l'eau. On entend par fines la fraction inférieure à 2 mm (ce qui est inférieur aux sables, argiles et limons)</t>
  </si>
  <si>
    <t>Destination : uniquement pour le transport</t>
  </si>
  <si>
    <t>Remarque : si nécessaire, mais obligation de renseigner les informations suivantes :</t>
  </si>
  <si>
    <t>Concentration moyenne en polluant</t>
  </si>
  <si>
    <t>Volume et densité considérés pour le calcul du tonnage de terres</t>
  </si>
  <si>
    <t>Sélectionner le type de traitement, yc transport</t>
  </si>
  <si>
    <t>Production de boues de STEP négligée</t>
  </si>
  <si>
    <t>Suez, Outil Life Carbon Tool</t>
  </si>
  <si>
    <r>
      <t>Suter P.</t>
    </r>
    <r>
      <rPr>
        <sz val="12"/>
        <rFont val="Arial Narrow"/>
        <family val="2"/>
      </rPr>
      <t>, Principes d’économie d’énergie, Notes de cours, Cycle postgrade en énergie, Ecole Polytechnique Fédérale de Lausanne, 1995</t>
    </r>
  </si>
  <si>
    <t>L’Analyse du Cycle de Vie (ACV) ou « Ecobilan» est une évaluation environnementale multicritères d’un service, produit ou procédé pendant toute sa durée de vie (de sa conception à sa destruction, « du berceau à la tombe »). Ainsi, pour chaque phase du cycle de vie (fabrication, transformation, utilisation et destruction) sont calculés les impacts sur (liste non exhaustive) :
 - le réchauffement climatique (les émissions de gaz à effet de serre),
 - l'épuisement des ressources,
 - la toxicité humaine,
 - la toxicité terrestre et vis à vis des milieux d'eau douce,
 - la photooxydation,
 - l'acidification,
 - l'eutrophisation,
 - etc.
L’ACV est un outil d’aide à la décision normalisé (série de Normes ISO 14040). Selon l'ISO, il s'agit de la ''Compilation et évaluation des consommations d'énergie, des utilisations de matières premières, et des rejets dans l'environnement, ainsi que de l'évaluation de l'impact potentiel sur l'environnement associé à un produit, ou un procédé, ou un service, sur la totalité de son cycle de vie".</t>
  </si>
  <si>
    <t>Les GES (gaz à effet de serre) sont des gaz présents dans l’atmosphère naturellement mais également générés par l’activité humaine. Ils captent le rayonnement infrarouge émis la terre et le renvoient une seconde fois à la surface de la planète. Parmi les gaz présents naturellement dans l’atmosphère, le premier gaz est de loin la vapeur d’eau (55% et aussi sous forme de nuages 28%) et le second est le CO2 (environ 14%). Les 3% restants se répartissent entre le méthane (CH4), le protoxyde d’azote (N2O) et l’ozone (O3).</t>
  </si>
  <si>
    <t>Un déchet ultime est un déchet ne pouvant pas être valorisé selon les conditions techniques et économiques du moment. La réduction de la production de déchets ultimes traduit la performance de la filière de traitement.</t>
  </si>
  <si>
    <t>L’effet de serre est, à la base, un phénomène totalement naturel reposant sur le principe que des gaz (H2O, CO2, CH4, N2O, …) piègent l’énergie émise par la terre (sous forme d’infrarouge) et la renvoient une seconde fois vers la surface de la terre. Sans le phénomène naturel de l’effet de serre la température moyenne de la terre ne serait pas de 15°C mais de -18°C. Aujourd’hui, l’Homme, par son mode de vie, augmente la quantité de gaz a effet de serre présente dans l’atmosphère (CO2, CH4, N2O …) d’où l’augmentation du piégeage d’énergie (par les GES) et l’augmentation de l’énergie renvoyée vers la surface de la terre (expliquant ainsi l’augmentation de la température).</t>
  </si>
  <si>
    <t>On appelle substitution les émissions évitées liées à une valorisation d'un sous-produit lié à un traitement. Par exemple, la co-incinération en cimenterie de terres polluées va éviter l'utilisation de marne et de calcaire, engendrant ainsi une économie de consommation de ressources, d'émissions de gaz à effet de serre et de production de déchets ultimes.</t>
  </si>
  <si>
    <t>L'outil se décompose en plusieurs feuilles :
- Mode emploi
- Données à renseigner par l'utilisateur
- Présentation des méthodes disponibles
- Sources
- Lexique
- Feuille de résultat (générée)</t>
  </si>
  <si>
    <t>Les résultats se présentent sous forme d'un graphique par scénario :</t>
  </si>
  <si>
    <t>Impact lié aux intrants et aux sortants</t>
  </si>
  <si>
    <t>Le résultat pour chaque classe d'impact comprend trois termes :</t>
  </si>
  <si>
    <t>Gain éventuel lié aux substitutions</t>
  </si>
  <si>
    <t>Utiliser une ligne par traitement. Bien spécifier le numéro du scénario en colonne A pour chaque ligne renseignée, la ligne de tableau supplémentaire est alors créée automatiquement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</si>
</sst>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_C_H_F_-;\-* #,##0\ _C_H_F_-;_-* &quot;-&quot;\ _C_H_F_-;_-@_-"/>
    <numFmt numFmtId="165" formatCode="_(&quot;$&quot;* #,##0_);_(&quot;$&quot;* \(#,##0\);_(&quot;$&quot;* &quot;-&quot;_);_(@_)"/>
    <numFmt numFmtId="166" formatCode="General\ &quot;mg/kg&quot;"/>
    <numFmt numFmtId="167" formatCode="0.0E+00"/>
  </numFmts>
  <fonts count="21">
    <font>
      <sz val="10"/>
      <name val="Arial"/>
    </font>
    <font>
      <sz val="10"/>
      <color theme="1"/>
      <name val="Arial"/>
      <family val="2"/>
    </font>
    <font>
      <sz val="10"/>
      <color theme="1"/>
      <name val="Arial"/>
      <family val="2"/>
    </font>
    <font>
      <sz val="10"/>
      <color theme="1"/>
      <name val="Arial"/>
      <family val="2"/>
    </font>
    <font>
      <b/>
      <sz val="10"/>
      <name val="Arial"/>
      <family val="2"/>
    </font>
    <font>
      <sz val="10"/>
      <name val="Arial"/>
      <family val="2"/>
    </font>
    <font>
      <vertAlign val="superscript"/>
      <sz val="10"/>
      <name val="Arial"/>
      <family val="2"/>
    </font>
    <font>
      <sz val="9"/>
      <color indexed="81"/>
      <name val="Tahoma"/>
      <family val="2"/>
    </font>
    <font>
      <b/>
      <sz val="9"/>
      <color indexed="81"/>
      <name val="Tahoma"/>
      <family val="2"/>
    </font>
    <font>
      <b/>
      <sz val="10"/>
      <color theme="0"/>
      <name val="Arial"/>
      <family val="2"/>
    </font>
    <font>
      <b/>
      <sz val="10"/>
      <color indexed="9"/>
      <name val="Arial"/>
      <family val="2"/>
    </font>
    <font>
      <b/>
      <sz val="10"/>
      <color indexed="16"/>
      <name val="Arial"/>
      <family val="2"/>
    </font>
    <font>
      <sz val="12"/>
      <name val="Arial Narrow"/>
      <family val="2"/>
    </font>
    <font>
      <b/>
      <sz val="10"/>
      <color rgb="FF800000"/>
      <name val="Arial"/>
      <family val="2"/>
    </font>
    <font>
      <b/>
      <sz val="10"/>
      <color rgb="FFFFFFFF"/>
      <name val="Arial"/>
      <family val="2"/>
    </font>
    <font>
      <b/>
      <sz val="12"/>
      <name val="Arial"/>
      <family val="2"/>
    </font>
    <font>
      <sz val="12"/>
      <name val="Arial"/>
      <family val="2"/>
    </font>
    <font>
      <sz val="10"/>
      <name val="Arial"/>
    </font>
    <font>
      <sz val="10"/>
      <color theme="0"/>
      <name val="Arial"/>
      <family val="2"/>
    </font>
    <font>
      <b/>
      <i/>
      <sz val="10"/>
      <name val="Arial"/>
      <family val="2"/>
    </font>
    <font>
      <i/>
      <sz val="10"/>
      <name val="Arial"/>
      <family val="2"/>
    </font>
  </fonts>
  <fills count="14">
    <fill>
      <patternFill patternType="none"/>
    </fill>
    <fill>
      <patternFill patternType="gray125"/>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indexed="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000000"/>
        <bgColor rgb="FF000000"/>
      </patternFill>
    </fill>
    <fill>
      <patternFill patternType="solid">
        <fgColor theme="0"/>
        <bgColor indexed="64"/>
      </patternFill>
    </fill>
    <fill>
      <patternFill patternType="solid">
        <fgColor rgb="FFFEC6F3"/>
        <bgColor indexed="64"/>
      </patternFill>
    </fill>
  </fills>
  <borders count="22">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right style="thin">
        <color indexed="64"/>
      </right>
      <top style="thin">
        <color indexed="64"/>
      </top>
      <bottom style="thin">
        <color indexed="64"/>
      </bottom>
      <diagonal/>
    </border>
    <border>
      <left style="thin">
        <color indexed="9"/>
      </left>
      <right style="thin">
        <color indexed="9"/>
      </right>
      <top/>
      <bottom/>
      <diagonal/>
    </border>
    <border>
      <left style="thin">
        <color rgb="FFFFFFFF"/>
      </left>
      <right style="thin">
        <color rgb="FFFFFFFF"/>
      </right>
      <top style="thin">
        <color rgb="FFFFFFFF"/>
      </top>
      <bottom style="thin">
        <color rgb="FFFFFFFF"/>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s>
  <cellStyleXfs count="6">
    <xf numFmtId="0" fontId="0" fillId="0" borderId="0"/>
    <xf numFmtId="0" fontId="2" fillId="0" borderId="0"/>
    <xf numFmtId="0" fontId="5" fillId="0" borderId="0"/>
    <xf numFmtId="164" fontId="5" fillId="0" borderId="0" applyFont="0" applyFill="0" applyBorder="0" applyAlignment="0" applyProtection="0"/>
    <xf numFmtId="165" fontId="5" fillId="0" borderId="0" applyFont="0" applyFill="0" applyBorder="0" applyAlignment="0" applyProtection="0"/>
    <xf numFmtId="9" fontId="17" fillId="0" borderId="0" applyFont="0" applyFill="0" applyBorder="0" applyAlignment="0" applyProtection="0"/>
  </cellStyleXfs>
  <cellXfs count="140">
    <xf numFmtId="0" fontId="0" fillId="0" borderId="0" xfId="0"/>
    <xf numFmtId="0" fontId="4" fillId="0" borderId="0" xfId="0" applyFont="1"/>
    <xf numFmtId="1" fontId="0" fillId="0" borderId="0" xfId="0" applyNumberFormat="1"/>
    <xf numFmtId="1" fontId="5" fillId="0" borderId="0" xfId="0" applyNumberFormat="1" applyFont="1"/>
    <xf numFmtId="0" fontId="0" fillId="0" borderId="0" xfId="0" applyAlignment="1">
      <alignment wrapText="1"/>
    </xf>
    <xf numFmtId="1" fontId="0" fillId="0" borderId="0" xfId="0" applyNumberFormat="1" applyAlignment="1">
      <alignment wrapText="1"/>
    </xf>
    <xf numFmtId="0" fontId="5" fillId="0" borderId="0" xfId="0" applyFont="1"/>
    <xf numFmtId="0" fontId="0" fillId="0" borderId="0" xfId="0" applyFill="1"/>
    <xf numFmtId="0" fontId="4" fillId="0" borderId="0" xfId="0" applyFont="1" applyFill="1"/>
    <xf numFmtId="1" fontId="0" fillId="0" borderId="0" xfId="0" applyNumberFormat="1" applyAlignment="1">
      <alignment horizontal="right"/>
    </xf>
    <xf numFmtId="0" fontId="0" fillId="0" borderId="0" xfId="0" applyNumberFormat="1"/>
    <xf numFmtId="0" fontId="5" fillId="0" borderId="0" xfId="0" applyNumberFormat="1" applyFont="1"/>
    <xf numFmtId="0" fontId="9" fillId="3" borderId="9" xfId="0" applyFont="1" applyFill="1" applyBorder="1"/>
    <xf numFmtId="0" fontId="3" fillId="4" borderId="10" xfId="0" applyFont="1" applyFill="1" applyBorder="1"/>
    <xf numFmtId="0" fontId="3" fillId="0" borderId="10" xfId="0" applyFont="1" applyBorder="1"/>
    <xf numFmtId="0" fontId="0" fillId="0" borderId="1" xfId="0" applyBorder="1"/>
    <xf numFmtId="0" fontId="0" fillId="0" borderId="5" xfId="0" applyBorder="1"/>
    <xf numFmtId="0" fontId="0" fillId="0" borderId="3" xfId="0" applyBorder="1"/>
    <xf numFmtId="0" fontId="0" fillId="0" borderId="0" xfId="0" applyBorder="1"/>
    <xf numFmtId="0" fontId="0" fillId="0" borderId="2" xfId="0" applyBorder="1"/>
    <xf numFmtId="0" fontId="0" fillId="0" borderId="4" xfId="0" applyBorder="1"/>
    <xf numFmtId="0" fontId="0" fillId="0" borderId="0" xfId="0" applyFill="1" applyBorder="1"/>
    <xf numFmtId="0" fontId="0" fillId="0" borderId="6" xfId="0" applyBorder="1"/>
    <xf numFmtId="0" fontId="0" fillId="0" borderId="7" xfId="0" applyBorder="1"/>
    <xf numFmtId="0" fontId="0" fillId="0" borderId="8" xfId="0" applyBorder="1"/>
    <xf numFmtId="0" fontId="5" fillId="0" borderId="5" xfId="0" applyFont="1" applyBorder="1"/>
    <xf numFmtId="0" fontId="0" fillId="6" borderId="0" xfId="0" applyFill="1" applyBorder="1"/>
    <xf numFmtId="0" fontId="5" fillId="0" borderId="0" xfId="0" applyFont="1" applyBorder="1"/>
    <xf numFmtId="0" fontId="0" fillId="7" borderId="0" xfId="0" applyFill="1" applyBorder="1"/>
    <xf numFmtId="0" fontId="5" fillId="0" borderId="4" xfId="0" applyFont="1" applyFill="1" applyBorder="1"/>
    <xf numFmtId="0" fontId="2" fillId="0" borderId="0" xfId="1"/>
    <xf numFmtId="11" fontId="0" fillId="0" borderId="0" xfId="0" applyNumberFormat="1"/>
    <xf numFmtId="0" fontId="5" fillId="0" borderId="11" xfId="2" applyNumberFormat="1" applyBorder="1" applyAlignment="1">
      <alignment horizontal="center"/>
    </xf>
    <xf numFmtId="0" fontId="5" fillId="0" borderId="13" xfId="2" applyNumberFormat="1" applyBorder="1" applyAlignment="1">
      <alignment horizontal="center"/>
    </xf>
    <xf numFmtId="0" fontId="10" fillId="8" borderId="14" xfId="2" applyFont="1" applyFill="1" applyBorder="1" applyAlignment="1">
      <alignment horizontal="center"/>
    </xf>
    <xf numFmtId="0" fontId="5" fillId="0" borderId="12" xfId="2" applyNumberFormat="1" applyBorder="1" applyAlignment="1">
      <alignment horizontal="center"/>
    </xf>
    <xf numFmtId="0" fontId="5" fillId="0" borderId="15" xfId="2" applyNumberFormat="1" applyBorder="1" applyAlignment="1">
      <alignment horizontal="center"/>
    </xf>
    <xf numFmtId="0" fontId="11" fillId="0" borderId="0" xfId="2" applyFont="1" applyAlignment="1">
      <alignment horizontal="center"/>
    </xf>
    <xf numFmtId="0" fontId="5" fillId="0" borderId="11" xfId="2" applyNumberFormat="1" applyFont="1" applyBorder="1" applyAlignment="1">
      <alignment horizontal="center"/>
    </xf>
    <xf numFmtId="11" fontId="5" fillId="0" borderId="12" xfId="2" applyNumberFormat="1" applyBorder="1" applyAlignment="1">
      <alignment horizontal="center"/>
    </xf>
    <xf numFmtId="11" fontId="0" fillId="0" borderId="4" xfId="0" applyNumberFormat="1" applyBorder="1"/>
    <xf numFmtId="1" fontId="0" fillId="0" borderId="0" xfId="0" applyNumberFormat="1" applyFont="1"/>
    <xf numFmtId="0" fontId="5" fillId="0" borderId="5" xfId="0" applyFont="1" applyFill="1" applyBorder="1"/>
    <xf numFmtId="0" fontId="0" fillId="0" borderId="5" xfId="0" applyFill="1" applyBorder="1"/>
    <xf numFmtId="0" fontId="0" fillId="0" borderId="4" xfId="0" applyFill="1" applyBorder="1"/>
    <xf numFmtId="0" fontId="0" fillId="5" borderId="0" xfId="0" applyFill="1" applyBorder="1"/>
    <xf numFmtId="0" fontId="5" fillId="0" borderId="4" xfId="0" applyFont="1" applyBorder="1"/>
    <xf numFmtId="0" fontId="5" fillId="0" borderId="0" xfId="0" applyFont="1" applyFill="1"/>
    <xf numFmtId="0" fontId="5" fillId="0" borderId="0" xfId="0" applyFont="1" applyAlignment="1">
      <alignment wrapText="1"/>
    </xf>
    <xf numFmtId="0" fontId="4" fillId="0" borderId="0" xfId="0" applyFont="1" applyAlignment="1">
      <alignment wrapText="1"/>
    </xf>
    <xf numFmtId="0" fontId="5" fillId="0" borderId="0" xfId="0" applyFont="1" applyFill="1" applyBorder="1"/>
    <xf numFmtId="0" fontId="0" fillId="9" borderId="0" xfId="0" applyFill="1" applyBorder="1"/>
    <xf numFmtId="2" fontId="0" fillId="0" borderId="0" xfId="0" applyNumberFormat="1"/>
    <xf numFmtId="0" fontId="10" fillId="8" borderId="16" xfId="2" applyFont="1" applyFill="1" applyBorder="1" applyAlignment="1">
      <alignment horizontal="center"/>
    </xf>
    <xf numFmtId="0" fontId="5" fillId="10" borderId="0" xfId="0" applyFont="1" applyFill="1" applyBorder="1"/>
    <xf numFmtId="0" fontId="13" fillId="0" borderId="0" xfId="0" applyFont="1" applyFill="1" applyBorder="1" applyAlignment="1">
      <alignment horizontal="center"/>
    </xf>
    <xf numFmtId="0" fontId="14" fillId="11" borderId="17" xfId="0" applyFont="1" applyFill="1" applyBorder="1" applyAlignment="1">
      <alignment horizontal="center"/>
    </xf>
    <xf numFmtId="0" fontId="0" fillId="0" borderId="12" xfId="0" applyNumberFormat="1" applyFont="1" applyFill="1" applyBorder="1" applyAlignment="1">
      <alignment horizontal="center"/>
    </xf>
    <xf numFmtId="0" fontId="0" fillId="0" borderId="13" xfId="0" applyNumberFormat="1" applyFont="1" applyFill="1" applyBorder="1" applyAlignment="1">
      <alignment horizontal="center"/>
    </xf>
    <xf numFmtId="0" fontId="0" fillId="0" borderId="15" xfId="0" applyNumberFormat="1" applyFont="1" applyFill="1" applyBorder="1" applyAlignment="1">
      <alignment horizontal="center"/>
    </xf>
    <xf numFmtId="0" fontId="0" fillId="0" borderId="11" xfId="0" applyNumberFormat="1" applyFont="1" applyFill="1" applyBorder="1" applyAlignment="1">
      <alignment horizontal="center"/>
    </xf>
    <xf numFmtId="0" fontId="0" fillId="0" borderId="0" xfId="0" applyAlignment="1"/>
    <xf numFmtId="0" fontId="0" fillId="0" borderId="0" xfId="0" applyAlignment="1">
      <alignment horizontal="left" wrapText="1"/>
    </xf>
    <xf numFmtId="0" fontId="5" fillId="0" borderId="0" xfId="0" applyFont="1" applyAlignment="1">
      <alignment horizontal="left" wrapText="1"/>
    </xf>
    <xf numFmtId="0" fontId="0" fillId="0" borderId="0" xfId="0" applyAlignment="1">
      <alignment horizontal="left" textRotation="90" wrapText="1"/>
    </xf>
    <xf numFmtId="0" fontId="15" fillId="12" borderId="0" xfId="0" applyFont="1" applyFill="1" applyAlignment="1">
      <alignment wrapText="1"/>
    </xf>
    <xf numFmtId="0" fontId="16" fillId="12" borderId="0" xfId="0" applyFont="1" applyFill="1"/>
    <xf numFmtId="0" fontId="16" fillId="0" borderId="0" xfId="0" applyFont="1"/>
    <xf numFmtId="0" fontId="16" fillId="12" borderId="0" xfId="0" applyFont="1" applyFill="1" applyAlignment="1">
      <alignment wrapText="1"/>
    </xf>
    <xf numFmtId="0" fontId="16" fillId="0" borderId="0" xfId="0" applyFont="1" applyAlignment="1">
      <alignment wrapText="1"/>
    </xf>
    <xf numFmtId="0" fontId="15" fillId="0" borderId="0" xfId="0" applyFont="1"/>
    <xf numFmtId="0" fontId="5" fillId="0" borderId="0" xfId="0" applyFont="1" applyFill="1" applyAlignment="1">
      <alignment wrapText="1"/>
    </xf>
    <xf numFmtId="0" fontId="18" fillId="0" borderId="0" xfId="0" applyFont="1"/>
    <xf numFmtId="0" fontId="0" fillId="2" borderId="0" xfId="0" applyFill="1"/>
    <xf numFmtId="0" fontId="0" fillId="13" borderId="0" xfId="0" applyFill="1"/>
    <xf numFmtId="166" fontId="0" fillId="0" borderId="0" xfId="5" applyNumberFormat="1" applyFont="1"/>
    <xf numFmtId="0" fontId="0" fillId="2" borderId="7" xfId="0" applyFill="1" applyBorder="1"/>
    <xf numFmtId="0" fontId="5" fillId="0" borderId="8" xfId="0" applyFont="1" applyBorder="1"/>
    <xf numFmtId="0" fontId="5" fillId="0" borderId="8" xfId="0" applyFont="1" applyBorder="1" applyAlignment="1">
      <alignment wrapText="1"/>
    </xf>
    <xf numFmtId="0" fontId="5" fillId="0" borderId="7" xfId="0" applyFont="1" applyBorder="1" applyAlignment="1">
      <alignment wrapText="1"/>
    </xf>
    <xf numFmtId="0" fontId="5" fillId="0" borderId="5" xfId="0" applyFont="1" applyFill="1" applyBorder="1" applyAlignment="1">
      <alignment wrapText="1"/>
    </xf>
    <xf numFmtId="0" fontId="0" fillId="0" borderId="0" xfId="0" applyBorder="1" applyAlignment="1">
      <alignment wrapText="1"/>
    </xf>
    <xf numFmtId="0" fontId="0" fillId="0" borderId="4" xfId="0" applyBorder="1" applyAlignment="1">
      <alignment wrapText="1"/>
    </xf>
    <xf numFmtId="0" fontId="5" fillId="0" borderId="5" xfId="0" applyFont="1" applyBorder="1" applyAlignment="1">
      <alignment wrapText="1"/>
    </xf>
    <xf numFmtId="0" fontId="18" fillId="0" borderId="0" xfId="0" applyFont="1" applyAlignment="1">
      <alignment wrapText="1"/>
    </xf>
    <xf numFmtId="0" fontId="0" fillId="0" borderId="0" xfId="0" applyFill="1" applyAlignment="1">
      <alignment wrapText="1"/>
    </xf>
    <xf numFmtId="0" fontId="0" fillId="0" borderId="5" xfId="0" applyBorder="1" applyAlignment="1">
      <alignment wrapText="1"/>
    </xf>
    <xf numFmtId="0" fontId="5" fillId="0" borderId="0" xfId="0" applyFont="1" applyBorder="1" applyAlignment="1">
      <alignment wrapText="1"/>
    </xf>
    <xf numFmtId="0" fontId="5" fillId="0" borderId="4" xfId="0" applyFont="1" applyBorder="1" applyAlignment="1">
      <alignment wrapText="1"/>
    </xf>
    <xf numFmtId="0" fontId="5" fillId="0" borderId="0" xfId="0" applyFont="1" applyFill="1" applyBorder="1" applyAlignment="1">
      <alignment wrapText="1"/>
    </xf>
    <xf numFmtId="0" fontId="0" fillId="0" borderId="5" xfId="0" applyFill="1" applyBorder="1" applyAlignment="1">
      <alignment wrapText="1"/>
    </xf>
    <xf numFmtId="0" fontId="0" fillId="0" borderId="4" xfId="0" applyFill="1" applyBorder="1" applyAlignment="1">
      <alignment wrapText="1"/>
    </xf>
    <xf numFmtId="0" fontId="0" fillId="0" borderId="0" xfId="0" applyFill="1" applyBorder="1" applyAlignment="1">
      <alignment wrapText="1"/>
    </xf>
    <xf numFmtId="0" fontId="1" fillId="4" borderId="10" xfId="0" applyFont="1" applyFill="1" applyBorder="1"/>
    <xf numFmtId="2" fontId="0" fillId="0" borderId="0" xfId="0" applyNumberFormat="1" applyFill="1"/>
    <xf numFmtId="0" fontId="19" fillId="0" borderId="0" xfId="0" applyFont="1" applyAlignment="1">
      <alignment wrapText="1"/>
    </xf>
    <xf numFmtId="0" fontId="5" fillId="0" borderId="0" xfId="0" applyFont="1" applyAlignment="1">
      <alignment horizontal="justify" vertical="center"/>
    </xf>
    <xf numFmtId="0" fontId="9" fillId="3" borderId="10" xfId="0" applyFont="1" applyFill="1" applyBorder="1" applyAlignment="1">
      <alignment wrapText="1"/>
    </xf>
    <xf numFmtId="11" fontId="0" fillId="0" borderId="0" xfId="0" applyNumberFormat="1" applyBorder="1"/>
    <xf numFmtId="0" fontId="20" fillId="0" borderId="0" xfId="0" applyFont="1"/>
    <xf numFmtId="167" fontId="0" fillId="0" borderId="5" xfId="0" applyNumberFormat="1" applyBorder="1"/>
    <xf numFmtId="167" fontId="0" fillId="0" borderId="0" xfId="0" applyNumberFormat="1" applyBorder="1"/>
    <xf numFmtId="167" fontId="0" fillId="0" borderId="4" xfId="0" applyNumberFormat="1" applyBorder="1"/>
    <xf numFmtId="167" fontId="0" fillId="0" borderId="0" xfId="0" applyNumberFormat="1"/>
    <xf numFmtId="167" fontId="0" fillId="0" borderId="4" xfId="0" applyNumberFormat="1" applyFill="1" applyBorder="1"/>
    <xf numFmtId="167" fontId="0" fillId="0" borderId="0" xfId="0" applyNumberFormat="1" applyFill="1"/>
    <xf numFmtId="167" fontId="0" fillId="0" borderId="5" xfId="0" applyNumberFormat="1" applyFill="1" applyBorder="1"/>
    <xf numFmtId="167" fontId="0" fillId="0" borderId="0" xfId="0" applyNumberFormat="1" applyFill="1" applyBorder="1"/>
    <xf numFmtId="167" fontId="5" fillId="0" borderId="0" xfId="0" applyNumberFormat="1" applyFont="1"/>
    <xf numFmtId="11" fontId="0" fillId="0" borderId="5" xfId="0" applyNumberFormat="1" applyBorder="1"/>
    <xf numFmtId="11" fontId="0" fillId="6" borderId="0" xfId="0" applyNumberFormat="1" applyFill="1" applyBorder="1"/>
    <xf numFmtId="11" fontId="0" fillId="7" borderId="0" xfId="0" applyNumberFormat="1" applyFill="1" applyBorder="1"/>
    <xf numFmtId="11" fontId="0" fillId="0" borderId="0" xfId="0" applyNumberFormat="1" applyFill="1"/>
    <xf numFmtId="11" fontId="5" fillId="0" borderId="0" xfId="0" applyNumberFormat="1" applyFont="1" applyBorder="1"/>
    <xf numFmtId="11" fontId="0" fillId="9" borderId="0" xfId="0" applyNumberFormat="1" applyFill="1" applyBorder="1"/>
    <xf numFmtId="11" fontId="5" fillId="0" borderId="0" xfId="0" applyNumberFormat="1" applyFont="1" applyFill="1" applyBorder="1"/>
    <xf numFmtId="11" fontId="5" fillId="10" borderId="0" xfId="0" applyNumberFormat="1" applyFont="1" applyFill="1" applyBorder="1"/>
    <xf numFmtId="11" fontId="0" fillId="0" borderId="5" xfId="0" applyNumberFormat="1" applyFill="1" applyBorder="1"/>
    <xf numFmtId="11" fontId="0" fillId="0" borderId="0" xfId="0" applyNumberFormat="1" applyFill="1" applyBorder="1"/>
    <xf numFmtId="11" fontId="0" fillId="0" borderId="0" xfId="0" applyNumberFormat="1" applyBorder="1" applyAlignment="1">
      <alignment wrapText="1"/>
    </xf>
    <xf numFmtId="11" fontId="0" fillId="5" borderId="0" xfId="0" applyNumberFormat="1" applyFill="1" applyBorder="1"/>
    <xf numFmtId="11" fontId="0" fillId="13" borderId="0" xfId="0" applyNumberFormat="1" applyFill="1" applyBorder="1"/>
    <xf numFmtId="11" fontId="5" fillId="0" borderId="4" xfId="0" applyNumberFormat="1" applyFont="1" applyBorder="1"/>
    <xf numFmtId="11" fontId="0" fillId="0" borderId="4" xfId="0" applyNumberFormat="1" applyFill="1" applyBorder="1"/>
    <xf numFmtId="11" fontId="5" fillId="0" borderId="4" xfId="0" applyNumberFormat="1" applyFont="1" applyFill="1" applyBorder="1"/>
    <xf numFmtId="11" fontId="5" fillId="0" borderId="0" xfId="0" applyNumberFormat="1" applyFont="1"/>
    <xf numFmtId="11" fontId="0" fillId="0" borderId="5" xfId="0" applyNumberFormat="1" applyBorder="1" applyAlignment="1">
      <alignment horizontal="right"/>
    </xf>
    <xf numFmtId="11" fontId="0" fillId="0" borderId="0" xfId="0" applyNumberFormat="1" applyBorder="1" applyAlignment="1">
      <alignment horizontal="right"/>
    </xf>
    <xf numFmtId="11" fontId="0" fillId="0" borderId="0" xfId="0" applyNumberFormat="1" applyAlignment="1">
      <alignment horizontal="right"/>
    </xf>
    <xf numFmtId="11" fontId="0" fillId="0" borderId="0" xfId="0" applyNumberFormat="1" applyFill="1" applyBorder="1" applyAlignment="1">
      <alignment horizontal="right"/>
    </xf>
    <xf numFmtId="11" fontId="0" fillId="0" borderId="4" xfId="0" applyNumberFormat="1" applyFill="1" applyBorder="1" applyAlignment="1">
      <alignment horizontal="right"/>
    </xf>
    <xf numFmtId="11" fontId="0" fillId="0" borderId="4" xfId="0" applyNumberFormat="1" applyBorder="1" applyAlignment="1">
      <alignment horizontal="right"/>
    </xf>
    <xf numFmtId="0" fontId="20" fillId="0" borderId="18" xfId="0" applyFont="1" applyBorder="1"/>
    <xf numFmtId="166" fontId="20" fillId="0" borderId="19" xfId="5" applyNumberFormat="1" applyFont="1" applyBorder="1"/>
    <xf numFmtId="0" fontId="20" fillId="0" borderId="19" xfId="0" applyFont="1" applyBorder="1"/>
    <xf numFmtId="0" fontId="20" fillId="0" borderId="20" xfId="0" applyFont="1" applyBorder="1"/>
    <xf numFmtId="0" fontId="0" fillId="0" borderId="18" xfId="0" applyBorder="1"/>
    <xf numFmtId="166" fontId="0" fillId="0" borderId="19" xfId="5" applyNumberFormat="1" applyFont="1" applyBorder="1"/>
    <xf numFmtId="0" fontId="0" fillId="0" borderId="19" xfId="0" applyBorder="1"/>
    <xf numFmtId="0" fontId="0" fillId="0" borderId="21" xfId="0" applyBorder="1"/>
  </cellXfs>
  <cellStyles count="6">
    <cellStyle name="Comma [0]" xfId="3" xr:uid="{00000000-0005-0000-0000-000000000000}"/>
    <cellStyle name="Currency [0]" xfId="4" xr:uid="{00000000-0005-0000-0000-000001000000}"/>
    <cellStyle name="Normal" xfId="0" builtinId="0"/>
    <cellStyle name="Normal 2" xfId="2" xr:uid="{00000000-0005-0000-0000-000004000000}"/>
    <cellStyle name="Normal 3" xfId="1" xr:uid="{00000000-0005-0000-0000-000032000000}"/>
    <cellStyle name="Pourcentage" xfId="5" builtinId="5"/>
  </cellStyles>
  <dxfs count="11">
    <dxf>
      <numFmt numFmtId="0" formatCode="General"/>
    </dxf>
    <dxf>
      <numFmt numFmtId="2" formatCode="0.00"/>
    </dxf>
    <dxf>
      <font>
        <b val="0"/>
        <i val="0"/>
        <strike val="0"/>
        <condense val="0"/>
        <extend val="0"/>
        <outline val="0"/>
        <shadow val="0"/>
        <u val="none"/>
        <vertAlign val="baseline"/>
        <sz val="10"/>
        <color theme="1"/>
        <name val="Arial"/>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2" formatCode="0.00"/>
    </dxf>
    <dxf>
      <numFmt numFmtId="166" formatCode="General\ &quot;mg/kg&quot;"/>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EC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1661731</xdr:colOff>
      <xdr:row>3</xdr:row>
      <xdr:rowOff>4157</xdr:rowOff>
    </xdr:from>
    <xdr:to>
      <xdr:col>0</xdr:col>
      <xdr:colOff>8243455</xdr:colOff>
      <xdr:row>32</xdr:row>
      <xdr:rowOff>185651</xdr:rowOff>
    </xdr:to>
    <xdr:pic>
      <xdr:nvPicPr>
        <xdr:cNvPr id="2" name="Image 1">
          <a:extLst>
            <a:ext uri="{FF2B5EF4-FFF2-40B4-BE49-F238E27FC236}">
              <a16:creationId xmlns:a16="http://schemas.microsoft.com/office/drawing/2014/main" id="{A3E14C29-87D2-4F7D-B0B7-E2B104A13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1731" y="592975"/>
          <a:ext cx="6581724" cy="6000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43296</xdr:colOff>
      <xdr:row>45</xdr:row>
      <xdr:rowOff>30040</xdr:rowOff>
    </xdr:from>
    <xdr:to>
      <xdr:col>0</xdr:col>
      <xdr:colOff>2294660</xdr:colOff>
      <xdr:row>55</xdr:row>
      <xdr:rowOff>32465</xdr:rowOff>
    </xdr:to>
    <xdr:pic>
      <xdr:nvPicPr>
        <xdr:cNvPr id="4" name="Image 3">
          <a:extLst>
            <a:ext uri="{FF2B5EF4-FFF2-40B4-BE49-F238E27FC236}">
              <a16:creationId xmlns:a16="http://schemas.microsoft.com/office/drawing/2014/main" id="{735908F6-D160-4F55-A5FE-71F52ADF8B83}"/>
            </a:ext>
          </a:extLst>
        </xdr:cNvPr>
        <xdr:cNvPicPr>
          <a:picLocks noChangeAspect="1"/>
        </xdr:cNvPicPr>
      </xdr:nvPicPr>
      <xdr:blipFill>
        <a:blip xmlns:r="http://schemas.openxmlformats.org/officeDocument/2006/relationships" r:embed="rId2"/>
        <a:stretch>
          <a:fillRect/>
        </a:stretch>
      </xdr:blipFill>
      <xdr:spPr>
        <a:xfrm>
          <a:off x="43296" y="11795320"/>
          <a:ext cx="2251364" cy="1678825"/>
        </a:xfrm>
        <a:prstGeom prst="rect">
          <a:avLst/>
        </a:prstGeom>
      </xdr:spPr>
    </xdr:pic>
    <xdr:clientData/>
  </xdr:twoCellAnchor>
  <xdr:twoCellAnchor editAs="oneCell">
    <xdr:from>
      <xdr:col>0</xdr:col>
      <xdr:colOff>4771158</xdr:colOff>
      <xdr:row>50</xdr:row>
      <xdr:rowOff>8660</xdr:rowOff>
    </xdr:from>
    <xdr:to>
      <xdr:col>0</xdr:col>
      <xdr:colOff>5533063</xdr:colOff>
      <xdr:row>54</xdr:row>
      <xdr:rowOff>94811</xdr:rowOff>
    </xdr:to>
    <xdr:pic>
      <xdr:nvPicPr>
        <xdr:cNvPr id="5" name="Image 4">
          <a:extLst>
            <a:ext uri="{FF2B5EF4-FFF2-40B4-BE49-F238E27FC236}">
              <a16:creationId xmlns:a16="http://schemas.microsoft.com/office/drawing/2014/main" id="{8C7426E6-CFF9-4198-9687-65FA515838B0}"/>
            </a:ext>
          </a:extLst>
        </xdr:cNvPr>
        <xdr:cNvPicPr>
          <a:picLocks noChangeAspect="1"/>
        </xdr:cNvPicPr>
      </xdr:nvPicPr>
      <xdr:blipFill>
        <a:blip xmlns:r="http://schemas.openxmlformats.org/officeDocument/2006/relationships" r:embed="rId3"/>
        <a:stretch>
          <a:fillRect/>
        </a:stretch>
      </xdr:blipFill>
      <xdr:spPr>
        <a:xfrm>
          <a:off x="4771158" y="11386705"/>
          <a:ext cx="761905" cy="8481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601266</xdr:colOff>
      <xdr:row>33</xdr:row>
      <xdr:rowOff>35719</xdr:rowOff>
    </xdr:from>
    <xdr:to>
      <xdr:col>3</xdr:col>
      <xdr:colOff>28390</xdr:colOff>
      <xdr:row>35</xdr:row>
      <xdr:rowOff>65944</xdr:rowOff>
    </xdr:to>
    <xdr:pic>
      <xdr:nvPicPr>
        <xdr:cNvPr id="2" name="Image 1">
          <a:extLst>
            <a:ext uri="{FF2B5EF4-FFF2-40B4-BE49-F238E27FC236}">
              <a16:creationId xmlns:a16="http://schemas.microsoft.com/office/drawing/2014/main" id="{A380EE59-108C-4A12-B927-999D194572A3}"/>
            </a:ext>
          </a:extLst>
        </xdr:cNvPr>
        <xdr:cNvPicPr>
          <a:picLocks noChangeAspect="1"/>
        </xdr:cNvPicPr>
      </xdr:nvPicPr>
      <xdr:blipFill>
        <a:blip xmlns:r="http://schemas.openxmlformats.org/officeDocument/2006/relationships" r:embed="rId1"/>
        <a:stretch>
          <a:fillRect/>
        </a:stretch>
      </xdr:blipFill>
      <xdr:spPr>
        <a:xfrm>
          <a:off x="601266" y="2710339"/>
          <a:ext cx="1804564" cy="365505"/>
        </a:xfrm>
        <a:prstGeom prst="rect">
          <a:avLst/>
        </a:prstGeom>
      </xdr:spPr>
    </xdr:pic>
    <xdr:clientData/>
  </xdr:twoCellAnchor>
  <xdr:twoCellAnchor editAs="oneCell">
    <xdr:from>
      <xdr:col>0</xdr:col>
      <xdr:colOff>601266</xdr:colOff>
      <xdr:row>33</xdr:row>
      <xdr:rowOff>35719</xdr:rowOff>
    </xdr:from>
    <xdr:to>
      <xdr:col>3</xdr:col>
      <xdr:colOff>28390</xdr:colOff>
      <xdr:row>35</xdr:row>
      <xdr:rowOff>65944</xdr:rowOff>
    </xdr:to>
    <xdr:pic>
      <xdr:nvPicPr>
        <xdr:cNvPr id="3" name="Image 2">
          <a:extLst>
            <a:ext uri="{FF2B5EF4-FFF2-40B4-BE49-F238E27FC236}">
              <a16:creationId xmlns:a16="http://schemas.microsoft.com/office/drawing/2014/main" id="{163B1D28-D90D-4933-A5E3-38876A5A279E}"/>
            </a:ext>
          </a:extLst>
        </xdr:cNvPr>
        <xdr:cNvPicPr>
          <a:picLocks noChangeAspect="1"/>
        </xdr:cNvPicPr>
      </xdr:nvPicPr>
      <xdr:blipFill>
        <a:blip xmlns:r="http://schemas.openxmlformats.org/officeDocument/2006/relationships" r:embed="rId1"/>
        <a:stretch>
          <a:fillRect/>
        </a:stretch>
      </xdr:blipFill>
      <xdr:spPr>
        <a:xfrm>
          <a:off x="601266" y="3662839"/>
          <a:ext cx="1804564" cy="411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1714500</xdr:colOff>
      <xdr:row>2</xdr:row>
      <xdr:rowOff>28575</xdr:rowOff>
    </xdr:to>
    <xdr:sp macro="[0]!CreateReports" textlink="">
      <xdr:nvSpPr>
        <xdr:cNvPr id="3" name="Rectangle : en biseau 2">
          <a:extLst>
            <a:ext uri="{FF2B5EF4-FFF2-40B4-BE49-F238E27FC236}">
              <a16:creationId xmlns:a16="http://schemas.microsoft.com/office/drawing/2014/main" id="{C199267A-C51E-41BD-AB6D-2F14A3C14605}"/>
            </a:ext>
          </a:extLst>
        </xdr:cNvPr>
        <xdr:cNvSpPr/>
      </xdr:nvSpPr>
      <xdr:spPr bwMode="auto">
        <a:xfrm>
          <a:off x="2009775" y="0"/>
          <a:ext cx="1714500" cy="352425"/>
        </a:xfrm>
        <a:prstGeom prst="bevel">
          <a:avLst/>
        </a:prstGeom>
        <a:solidFill>
          <a:schemeClr val="accent5"/>
        </a:solidFill>
        <a:ln>
          <a:noFill/>
        </a:ln>
        <a:effectLst/>
      </xdr:spPr>
      <xdr:txBody>
        <a:bodyPr vertOverflow="clip" wrap="square" lIns="18288" tIns="0" rIns="0" bIns="0" rtlCol="0" anchor="ctr" upright="1"/>
        <a:lstStyle/>
        <a:p>
          <a:pPr algn="ctr"/>
          <a:r>
            <a:rPr lang="fr-CH" sz="1100"/>
            <a:t>Créer</a:t>
          </a:r>
          <a:r>
            <a:rPr lang="fr-CH" sz="1100" baseline="0"/>
            <a:t> les rapports</a:t>
          </a:r>
          <a:endParaRPr lang="fr-CH"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ypePolluants" displayName="TypePolluants" ref="A1:A6" totalsRowShown="0">
  <autoFilter ref="A1:A6" xr:uid="{00000000-0009-0000-0100-000002000000}"/>
  <tableColumns count="1">
    <tableColumn id="1" xr3:uid="{00000000-0010-0000-0000-000001000000}" name="Type de polluan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ypeTraitement" displayName="TypeTraitement" ref="C1:E16" totalsRowShown="0">
  <autoFilter ref="C1:E16" xr:uid="{00000000-0009-0000-0100-000004000000}"/>
  <tableColumns count="3">
    <tableColumn id="1" xr3:uid="{00000000-0010-0000-0200-000001000000}" name="Traitement sur place ou non"/>
    <tableColumn id="2" xr3:uid="{0F7D2CD2-C77D-49E7-9FAB-8C06148A1122}" name="Type de technique"/>
    <tableColumn id="3" xr3:uid="{D9CB6E60-B79B-4485-AB84-251DC3EEB34C}" name="Types de traitement"/>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264373-38A6-4B3A-AC70-AFA009A5E16E}" name="Methodes" displayName="Methodes" ref="A1:N20" totalsRowShown="0">
  <autoFilter ref="A1:N20" xr:uid="{394774C8-AB44-48FF-96BF-AA77007A6B46}"/>
  <sortState xmlns:xlrd2="http://schemas.microsoft.com/office/spreadsheetml/2017/richdata2" ref="A2:N20">
    <sortCondition ref="D1:D20"/>
  </sortState>
  <tableColumns count="14">
    <tableColumn id="1" xr3:uid="{F633D3E8-8A9C-4987-97C8-4F58D73865A9}" name="Scope"/>
    <tableColumn id="2" xr3:uid="{734FEC7B-4072-4ABE-83F8-1BEBB72D9CAD}" name="Situ"/>
    <tableColumn id="3" xr3:uid="{725491F3-8C0C-4BCC-B041-5E5BBCA1955D}" name="Famille"/>
    <tableColumn id="4" xr3:uid="{33E20F6A-97CC-4154-8D20-337E2A2C2091}" name="Méthode dépollution"/>
    <tableColumn id="5" xr3:uid="{352C0E85-704F-4ED9-83E4-7307334F21F4}" name="Solvants chlorés"/>
    <tableColumn id="6" xr3:uid="{8A096A1E-58E4-4928-B8BC-C817BEEA928B}" name="Hydrocarbures non aromatiques"/>
    <tableColumn id="7" xr3:uid="{DD313F9A-79EA-4055-8100-DDB46F8EAEC2}" name="Chrome VI"/>
    <tableColumn id="8" xr3:uid="{B51098BE-A1EC-4EDD-B227-C706831C53D9}" name="Métaux lourds"/>
    <tableColumn id="9" xr3:uid="{583DC345-59A3-40A7-827F-FB5F5EE16274}" name="Hydrocarbures Aromatiques Polycycliques (HAP)"/>
    <tableColumn id="10" xr3:uid="{06E770F4-DF21-499A-9540-541D2DE00F2F}" name="_Solvants chlorés" dataDxfId="10">
      <calculatedColumnFormula array="1">IFERROR(INDEX(Methodes[Méthode dépollution],SMALL(IF(ISTEXT(INDIRECT("Methodes["&amp;MID(J$1,2,299)&amp;"]")),ROW(Methodes[Méthode dépollution])-ROW(Methodes[#Headers]),""),ROW(D1)))," ")</calculatedColumnFormula>
    </tableColumn>
    <tableColumn id="11" xr3:uid="{B27F3E34-AA29-4F6B-9341-ACE2E1C4F864}" name="_Hydrocarbures non aromatiques" dataDxfId="9">
      <calculatedColumnFormula array="1">IFERROR(INDEX(Methodes[Méthode dépollution],SMALL(IF(ISTEXT(INDIRECT("Methodes["&amp;MID(K$1,2,299)&amp;"]")),ROW(Methodes[Méthode dépollution])-ROW(Methodes[#Headers]),""),ROW(E1)))," ")</calculatedColumnFormula>
    </tableColumn>
    <tableColumn id="12" xr3:uid="{283F8894-646A-4CB7-A36D-3FDFA4589E17}" name="_Chrome VI" dataDxfId="8">
      <calculatedColumnFormula array="1">IFERROR(INDEX(Methodes[Méthode dépollution],SMALL(IF(ISTEXT(INDIRECT("Methodes["&amp;MID(L$1,2,299)&amp;"]")),ROW(Methodes[Méthode dépollution])-ROW(Methodes[#Headers]),""),ROW(F1)))," ")</calculatedColumnFormula>
    </tableColumn>
    <tableColumn id="13" xr3:uid="{8919A24B-EF30-4BE4-B272-FC37B9F481AF}" name="_Métaux lourds" dataDxfId="7">
      <calculatedColumnFormula array="1">IFERROR(INDEX(Methodes[Méthode dépollution],SMALL(IF(ISTEXT(INDIRECT("Methodes["&amp;MID(M$1,2,299)&amp;"]")),ROW(Methodes[Méthode dépollution])-ROW(Methodes[#Headers]),""),ROW(G1)))," ")</calculatedColumnFormula>
    </tableColumn>
    <tableColumn id="14" xr3:uid="{51FACD90-B88D-46DF-895D-D2942451AAE5}" name="_Hydrocarbures Aromatiques Polycycliques (HAP)" dataDxfId="6">
      <calculatedColumnFormula array="1">IFERROR(INDEX(Methodes[Méthode dépollution],SMALL(IF(ISTEXT(INDIRECT("Methodes["&amp;MID(N$1,2,299)&amp;"]")),ROW(Methodes[Méthode dépollution])-ROW(Methodes[#Headers]),""),ROW(H1)))," ")</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DonneesRenseignees" displayName="DonneesRenseignees" ref="A7:K12" totalsRowShown="0" headerRowDxfId="5">
  <autoFilter ref="A7:K12" xr:uid="{00000000-0009-0000-0100-000001000000}"/>
  <tableColumns count="11">
    <tableColumn id="10" xr3:uid="{6442BBB6-254F-43CA-8679-BBBB5E43365F}" name="Scénario"/>
    <tableColumn id="1" xr3:uid="{00000000-0010-0000-0300-000001000000}" name="Type de polluants"/>
    <tableColumn id="3" xr3:uid="{00000000-0010-0000-0300-000003000000}" name="Type de traitement"/>
    <tableColumn id="4" xr3:uid="{83E53D2F-205E-4EFC-A869-F9C9E093A63F}" name="Tonnage de terres"/>
    <tableColumn id="8" xr3:uid="{2B1BFA82-24B6-4E5F-AF6F-3BDDE434E35E}" name="Concentration" dataDxfId="4" dataCellStyle="Pourcentage"/>
    <tableColumn id="5" xr3:uid="{1A3C416D-014F-4E1E-9D34-1859DB71AD95}" name="Tonnage de polluants" dataDxfId="3">
      <calculatedColumnFormula>D8*E8/10000</calculatedColumnFormula>
    </tableColumn>
    <tableColumn id="2" xr3:uid="{FF58ECB1-D46E-4C89-92FF-FC59CB3A2CBA}" name="Distance aller simple"/>
    <tableColumn id="6" xr3:uid="{41E353E5-2138-46EE-B3C4-77DC716D1CBA}" name="Surface polluée"/>
    <tableColumn id="7" xr3:uid="{17A5004E-794D-48D1-89D1-AA6248DA96A6}" name="Pourcentage de la fraction fine (limon, argile)"/>
    <tableColumn id="9" xr3:uid="{ACCF87D6-4E1D-434C-AC98-FBBED503B819}" name="Destination (pour transport)"/>
    <tableColumn id="11" xr3:uid="{BB40CADD-C2D0-42CB-8E40-0281BB09728F}" name="Remarque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824122-EFAC-4CC9-8FD8-B2BA0588C09A}" name="BDDTraitements" displayName="BDDTraitements" ref="A3:M46" totalsRowShown="0">
  <autoFilter ref="A3:M46" xr:uid="{821D2E83-4088-40BF-A42B-7C9782161FB7}"/>
  <tableColumns count="13">
    <tableColumn id="6" xr3:uid="{F380F683-86F4-423D-925A-BC888C01590F}" name="In situ / Ex situ" dataDxfId="2"/>
    <tableColumn id="1" xr3:uid="{C0ED5818-CD0D-4141-AEC8-7906EBB3B20A}" name="Types de traitement"/>
    <tableColumn id="2" xr3:uid="{0A9E90DF-6DD4-4828-BA5E-26920D97D5C4}" name="Options"/>
    <tableColumn id="3" xr3:uid="{9C0C3A2F-57E2-4DA0-AE91-665A978998C6}" name="Intrants" dataDxfId="1"/>
    <tableColumn id="8" xr3:uid="{926F71BA-2563-446F-BD8C-A8678A3F572B}" name="Unité1"/>
    <tableColumn id="11" xr3:uid="{B6AF3C4A-500E-4278-97D7-2BA80F9279CB}" name="Source1"/>
    <tableColumn id="4" xr3:uid="{BF0F493B-2EDF-4904-8BA9-1B78BB218577}" name="Sortants"/>
    <tableColumn id="9" xr3:uid="{7DCA4EB3-BAA5-4C4C-85CD-6FCACCB4B283}" name="Unité2"/>
    <tableColumn id="12" xr3:uid="{D95A5334-7D57-4DC2-A2A8-11C8EEF4FA0E}" name="Source2"/>
    <tableColumn id="5" xr3:uid="{709F64E3-DD41-45F3-8D9F-EB9200C3168E}" name="Substitutions"/>
    <tableColumn id="10" xr3:uid="{5167B629-E033-4512-BED0-4D265579C795}" name="Unité3"/>
    <tableColumn id="13" xr3:uid="{A1FB4A28-1844-4088-BBB4-17B24865688F}" name="Source3"/>
    <tableColumn id="7" xr3:uid="{FFA1166A-34F0-48ED-9A03-F79465C9C000}" name="Source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713BB7-AE5B-4CC3-8A58-091456375000}" name="BDDFE" displayName="BDDFE" ref="A4:K33" totalsRowShown="0">
  <autoFilter ref="A4:K33" xr:uid="{8D651FE5-760E-4CA7-B2AE-156F94AF1A52}"/>
  <tableColumns count="11">
    <tableColumn id="9" xr3:uid="{86B4C403-EC25-43C4-B884-4B0695822A97}" name="Filière" dataDxfId="0"/>
    <tableColumn id="1" xr3:uid="{15E2DF49-842C-4D94-8AFE-4F53651CB5C7}" name="Intrants"/>
    <tableColumn id="2" xr3:uid="{B5ECBD4A-83D8-425B-A38C-284403D3E985}" name="Énergie primaire non renouvelable"/>
    <tableColumn id="5" xr3:uid="{02989AED-11D9-42D6-9C83-4B620129225B}" name="Unité1"/>
    <tableColumn id="12" xr3:uid="{BD2616DB-95E3-4871-A767-7D501B0A3085}" name="Source"/>
    <tableColumn id="3" xr3:uid="{D7939201-247D-4620-A172-D1CC5DFBAEED}" name="Effet de serre"/>
    <tableColumn id="6" xr3:uid="{2E47A8E5-00EC-4599-97A5-63926D8878FA}" name="Unité3"/>
    <tableColumn id="10" xr3:uid="{98A982CE-D706-4AF8-8E16-A8DEC50986B6}" name="Source2"/>
    <tableColumn id="4" xr3:uid="{9BFEF783-5982-4C1E-B3FE-0CE2C4C58E07}" name="Production de déchets ultimes"/>
    <tableColumn id="7" xr3:uid="{DEF63A9E-83DD-46E4-AEC6-4232F7D75E58}" name="Unité2"/>
    <tableColumn id="11" xr3:uid="{66A996A4-2A5A-4714-B739-527383C6B6B4}" name="Source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0"/>
  </sheetPr>
  <dimension ref="A1:I62"/>
  <sheetViews>
    <sheetView tabSelected="1" zoomScale="110" zoomScaleNormal="110" workbookViewId="0">
      <selection activeCell="A44" sqref="A44"/>
    </sheetView>
  </sheetViews>
  <sheetFormatPr baseColWidth="10" defaultColWidth="11.44140625" defaultRowHeight="15"/>
  <cols>
    <col min="1" max="1" width="156.88671875" style="69" customWidth="1"/>
    <col min="2" max="16384" width="11.44140625" style="67"/>
  </cols>
  <sheetData>
    <row r="1" spans="1:9" ht="15.6">
      <c r="A1" s="65" t="s">
        <v>146</v>
      </c>
      <c r="B1" s="66"/>
      <c r="C1" s="66"/>
      <c r="D1" s="66"/>
      <c r="E1" s="66"/>
      <c r="F1" s="66"/>
      <c r="G1" s="66"/>
      <c r="H1" s="66"/>
      <c r="I1" s="66"/>
    </row>
    <row r="2" spans="1:9">
      <c r="A2" s="68" t="s">
        <v>343</v>
      </c>
      <c r="B2" s="66"/>
      <c r="C2" s="66"/>
      <c r="D2" s="66"/>
      <c r="E2" s="66"/>
      <c r="F2" s="66"/>
      <c r="G2" s="66"/>
      <c r="H2" s="66"/>
      <c r="I2" s="66"/>
    </row>
    <row r="3" spans="1:9">
      <c r="A3" s="68"/>
      <c r="B3" s="66"/>
      <c r="C3" s="66"/>
      <c r="D3" s="66"/>
      <c r="E3" s="66"/>
      <c r="F3" s="66"/>
      <c r="G3" s="66"/>
      <c r="H3" s="66"/>
      <c r="I3" s="66"/>
    </row>
    <row r="4" spans="1:9">
      <c r="A4" s="68"/>
      <c r="B4" s="66"/>
      <c r="C4" s="66"/>
      <c r="D4" s="66"/>
      <c r="E4" s="66"/>
      <c r="F4" s="66"/>
      <c r="G4" s="66"/>
      <c r="H4" s="66"/>
      <c r="I4" s="66"/>
    </row>
    <row r="5" spans="1:9" ht="15.6">
      <c r="A5" s="65"/>
      <c r="B5" s="66"/>
      <c r="C5" s="66"/>
      <c r="D5" s="66"/>
      <c r="E5" s="66"/>
      <c r="F5" s="66"/>
      <c r="G5" s="66"/>
      <c r="H5" s="66"/>
      <c r="I5" s="66"/>
    </row>
    <row r="6" spans="1:9" ht="15.6">
      <c r="A6" s="65"/>
      <c r="B6" s="66"/>
      <c r="C6" s="66"/>
      <c r="D6" s="66"/>
      <c r="E6" s="66"/>
      <c r="F6" s="66"/>
      <c r="G6" s="66"/>
      <c r="H6" s="66"/>
      <c r="I6" s="66"/>
    </row>
    <row r="7" spans="1:9" ht="15.6">
      <c r="A7" s="65"/>
      <c r="B7" s="66"/>
      <c r="C7" s="66"/>
      <c r="D7" s="66"/>
      <c r="E7" s="66"/>
      <c r="F7" s="66"/>
      <c r="G7" s="66"/>
      <c r="H7" s="66"/>
      <c r="I7" s="66"/>
    </row>
    <row r="8" spans="1:9" ht="15.6">
      <c r="A8" s="65"/>
      <c r="B8" s="66"/>
      <c r="C8" s="66"/>
      <c r="D8" s="66"/>
      <c r="E8" s="66"/>
      <c r="F8" s="66"/>
      <c r="G8" s="66"/>
      <c r="H8" s="66"/>
      <c r="I8" s="66"/>
    </row>
    <row r="9" spans="1:9" ht="15.6">
      <c r="A9" s="65"/>
      <c r="B9" s="66"/>
      <c r="C9" s="66"/>
      <c r="D9" s="66"/>
      <c r="E9" s="66"/>
      <c r="F9" s="66"/>
      <c r="G9" s="66"/>
      <c r="H9" s="66"/>
      <c r="I9" s="66"/>
    </row>
    <row r="10" spans="1:9" ht="15.6">
      <c r="A10" s="65"/>
      <c r="B10" s="66"/>
      <c r="C10" s="66"/>
      <c r="D10" s="66"/>
      <c r="E10" s="66"/>
      <c r="F10" s="66"/>
      <c r="G10" s="66"/>
      <c r="H10" s="66"/>
      <c r="I10" s="66"/>
    </row>
    <row r="11" spans="1:9" ht="15.6">
      <c r="A11" s="65"/>
      <c r="B11" s="66"/>
      <c r="C11" s="66"/>
      <c r="D11" s="66"/>
      <c r="E11" s="66"/>
      <c r="F11" s="66"/>
      <c r="G11" s="66"/>
      <c r="H11" s="66"/>
      <c r="I11" s="66"/>
    </row>
    <row r="12" spans="1:9" ht="15.6">
      <c r="A12" s="65"/>
      <c r="B12" s="66"/>
      <c r="C12" s="66"/>
      <c r="D12" s="66"/>
      <c r="E12" s="66"/>
      <c r="F12" s="66"/>
      <c r="G12" s="66"/>
      <c r="H12" s="66"/>
      <c r="I12" s="66"/>
    </row>
    <row r="13" spans="1:9" ht="15.6">
      <c r="A13" s="65"/>
      <c r="B13" s="66"/>
      <c r="C13" s="66"/>
      <c r="D13" s="66"/>
      <c r="E13" s="66"/>
      <c r="F13" s="66"/>
      <c r="G13" s="66"/>
      <c r="H13" s="66"/>
      <c r="I13" s="66"/>
    </row>
    <row r="14" spans="1:9" ht="15.6">
      <c r="A14" s="65"/>
      <c r="B14" s="66"/>
      <c r="C14" s="66"/>
      <c r="D14" s="66"/>
      <c r="E14" s="66"/>
      <c r="F14" s="66"/>
      <c r="G14" s="66"/>
      <c r="H14" s="66"/>
      <c r="I14" s="66"/>
    </row>
    <row r="15" spans="1:9" ht="15.6">
      <c r="A15" s="65"/>
      <c r="B15" s="66"/>
      <c r="C15" s="66"/>
      <c r="D15" s="66"/>
      <c r="E15" s="66"/>
      <c r="F15" s="66"/>
      <c r="G15" s="66"/>
      <c r="H15" s="66"/>
      <c r="I15" s="66"/>
    </row>
    <row r="16" spans="1:9" ht="15.6">
      <c r="A16" s="65"/>
      <c r="B16" s="66"/>
      <c r="C16" s="66"/>
      <c r="D16" s="66"/>
      <c r="E16" s="66"/>
      <c r="F16" s="66"/>
      <c r="G16" s="66"/>
      <c r="H16" s="66"/>
      <c r="I16" s="66"/>
    </row>
    <row r="17" spans="1:9" ht="15.6">
      <c r="A17" s="65"/>
      <c r="B17" s="66"/>
      <c r="C17" s="66"/>
      <c r="D17" s="66"/>
      <c r="E17" s="66"/>
      <c r="F17" s="66"/>
      <c r="G17" s="66"/>
      <c r="H17" s="66"/>
      <c r="I17" s="66"/>
    </row>
    <row r="18" spans="1:9" ht="15.6">
      <c r="A18" s="65"/>
      <c r="B18" s="66"/>
      <c r="C18" s="66"/>
      <c r="D18" s="66"/>
      <c r="E18" s="66"/>
      <c r="F18" s="66"/>
      <c r="G18" s="66"/>
      <c r="H18" s="66"/>
      <c r="I18" s="66"/>
    </row>
    <row r="19" spans="1:9" ht="15.6">
      <c r="A19" s="65"/>
      <c r="B19" s="66"/>
      <c r="C19" s="66"/>
      <c r="D19" s="66"/>
      <c r="E19" s="66"/>
      <c r="F19" s="66"/>
      <c r="G19" s="66"/>
      <c r="H19" s="66"/>
      <c r="I19" s="66"/>
    </row>
    <row r="20" spans="1:9" ht="15.6">
      <c r="A20" s="65"/>
      <c r="B20" s="66"/>
      <c r="C20" s="66"/>
      <c r="D20" s="66"/>
      <c r="E20" s="66"/>
      <c r="F20" s="66"/>
      <c r="G20" s="66"/>
      <c r="H20" s="66"/>
      <c r="I20" s="66"/>
    </row>
    <row r="21" spans="1:9" ht="15.6">
      <c r="A21" s="65"/>
      <c r="B21" s="66"/>
      <c r="C21" s="66"/>
      <c r="D21" s="66"/>
      <c r="E21" s="66"/>
      <c r="F21" s="66"/>
      <c r="G21" s="66"/>
      <c r="H21" s="66"/>
      <c r="I21" s="66"/>
    </row>
    <row r="22" spans="1:9" ht="15.6">
      <c r="A22" s="65"/>
      <c r="B22" s="66"/>
      <c r="C22" s="66"/>
      <c r="D22" s="66"/>
      <c r="E22" s="66"/>
      <c r="F22" s="66"/>
      <c r="G22" s="66"/>
      <c r="H22" s="66"/>
      <c r="I22" s="66"/>
    </row>
    <row r="23" spans="1:9" ht="15.6">
      <c r="A23" s="65"/>
      <c r="B23" s="66"/>
      <c r="C23" s="66"/>
      <c r="D23" s="66"/>
      <c r="E23" s="66"/>
      <c r="F23" s="66"/>
      <c r="G23" s="66"/>
      <c r="H23" s="66"/>
      <c r="I23" s="66"/>
    </row>
    <row r="24" spans="1:9" ht="15.6">
      <c r="A24" s="65"/>
      <c r="B24" s="66"/>
      <c r="C24" s="66"/>
      <c r="D24" s="66"/>
      <c r="E24" s="66"/>
      <c r="F24" s="66"/>
      <c r="G24" s="66"/>
      <c r="H24" s="66"/>
      <c r="I24" s="66"/>
    </row>
    <row r="25" spans="1:9" ht="15.6">
      <c r="A25" s="65"/>
      <c r="B25" s="66"/>
      <c r="C25" s="66"/>
      <c r="D25" s="66"/>
      <c r="E25" s="66"/>
      <c r="F25" s="66"/>
      <c r="G25" s="66"/>
      <c r="H25" s="66"/>
      <c r="I25" s="66"/>
    </row>
    <row r="26" spans="1:9" ht="15.6">
      <c r="A26" s="65"/>
      <c r="B26" s="66"/>
      <c r="C26" s="66"/>
      <c r="D26" s="66"/>
      <c r="E26" s="66"/>
      <c r="F26" s="66"/>
      <c r="G26" s="66"/>
      <c r="H26" s="66"/>
      <c r="I26" s="66"/>
    </row>
    <row r="27" spans="1:9" ht="15.6">
      <c r="A27" s="65"/>
      <c r="B27" s="66"/>
      <c r="C27" s="66"/>
      <c r="D27" s="66"/>
      <c r="E27" s="66"/>
      <c r="F27" s="66"/>
      <c r="G27" s="66"/>
      <c r="H27" s="66"/>
      <c r="I27" s="66"/>
    </row>
    <row r="28" spans="1:9" ht="15.6">
      <c r="A28" s="65"/>
      <c r="B28" s="66"/>
      <c r="C28" s="66"/>
      <c r="D28" s="66"/>
      <c r="E28" s="66"/>
      <c r="F28" s="66"/>
      <c r="G28" s="66"/>
      <c r="H28" s="66"/>
      <c r="I28" s="66"/>
    </row>
    <row r="29" spans="1:9" ht="15.6">
      <c r="A29" s="65"/>
      <c r="B29" s="66"/>
      <c r="C29" s="66"/>
      <c r="D29" s="66"/>
      <c r="E29" s="66"/>
      <c r="F29" s="66"/>
      <c r="G29" s="66"/>
      <c r="H29" s="66"/>
      <c r="I29" s="66"/>
    </row>
    <row r="30" spans="1:9" ht="15.6">
      <c r="A30" s="65"/>
      <c r="B30" s="66"/>
      <c r="C30" s="66"/>
      <c r="D30" s="66"/>
      <c r="E30" s="66"/>
      <c r="F30" s="66"/>
      <c r="G30" s="66"/>
      <c r="H30" s="66"/>
      <c r="I30" s="66"/>
    </row>
    <row r="31" spans="1:9" ht="15.6">
      <c r="A31" s="65"/>
      <c r="B31" s="66"/>
      <c r="C31" s="66"/>
      <c r="D31" s="66"/>
      <c r="E31" s="66"/>
      <c r="F31" s="66"/>
      <c r="G31" s="66"/>
      <c r="H31" s="66"/>
      <c r="I31" s="66"/>
    </row>
    <row r="32" spans="1:9" ht="15.6">
      <c r="A32" s="65"/>
      <c r="B32" s="66"/>
      <c r="C32" s="66"/>
      <c r="D32" s="66"/>
      <c r="E32" s="66"/>
      <c r="F32" s="66"/>
      <c r="G32" s="66"/>
      <c r="H32" s="66"/>
      <c r="I32" s="66"/>
    </row>
    <row r="33" spans="1:9" ht="15.6">
      <c r="A33" s="65"/>
      <c r="B33" s="66"/>
      <c r="C33" s="66"/>
      <c r="D33" s="66"/>
      <c r="E33" s="66"/>
      <c r="F33" s="66"/>
      <c r="G33" s="66"/>
      <c r="H33" s="66"/>
      <c r="I33" s="66"/>
    </row>
    <row r="34" spans="1:9" ht="15.6">
      <c r="A34" s="65"/>
      <c r="B34" s="66"/>
      <c r="C34" s="66"/>
      <c r="D34" s="66"/>
      <c r="E34" s="66"/>
      <c r="F34" s="66"/>
      <c r="G34" s="66"/>
      <c r="H34" s="66"/>
      <c r="I34" s="66"/>
    </row>
    <row r="35" spans="1:9" ht="15.6">
      <c r="A35" s="65" t="s">
        <v>378</v>
      </c>
      <c r="B35" s="66"/>
      <c r="C35" s="66"/>
      <c r="D35" s="66"/>
      <c r="E35" s="66"/>
      <c r="F35" s="66"/>
      <c r="G35" s="66"/>
      <c r="H35" s="66"/>
      <c r="I35" s="66"/>
    </row>
    <row r="36" spans="1:9">
      <c r="A36" s="68" t="s">
        <v>235</v>
      </c>
      <c r="B36" s="66"/>
      <c r="C36" s="66"/>
      <c r="D36" s="66"/>
      <c r="E36" s="66"/>
      <c r="F36" s="66"/>
      <c r="G36" s="66"/>
      <c r="H36" s="66"/>
      <c r="I36" s="66"/>
    </row>
    <row r="37" spans="1:9" ht="15.6">
      <c r="A37" s="65"/>
      <c r="B37" s="66"/>
      <c r="C37" s="66"/>
      <c r="D37" s="66"/>
      <c r="E37" s="66"/>
      <c r="F37" s="66"/>
      <c r="G37" s="66"/>
      <c r="H37" s="66"/>
      <c r="I37" s="66"/>
    </row>
    <row r="38" spans="1:9" ht="15.6">
      <c r="A38" s="65" t="s">
        <v>236</v>
      </c>
      <c r="B38" s="66"/>
      <c r="C38" s="66"/>
      <c r="D38" s="66"/>
      <c r="E38" s="66"/>
      <c r="F38" s="66"/>
      <c r="G38" s="66"/>
      <c r="H38" s="66"/>
      <c r="I38" s="66"/>
    </row>
    <row r="39" spans="1:9" ht="30">
      <c r="A39" s="68" t="s">
        <v>377</v>
      </c>
      <c r="B39" s="66"/>
      <c r="C39" s="66"/>
      <c r="D39" s="66"/>
      <c r="E39" s="66"/>
      <c r="F39" s="66"/>
      <c r="G39" s="66"/>
      <c r="H39" s="66"/>
      <c r="I39" s="66"/>
    </row>
    <row r="40" spans="1:9" ht="60">
      <c r="A40" s="68" t="s">
        <v>379</v>
      </c>
      <c r="B40" s="66"/>
      <c r="C40" s="66"/>
      <c r="D40" s="66"/>
      <c r="E40" s="66"/>
      <c r="F40" s="66"/>
      <c r="G40" s="66"/>
      <c r="H40" s="66"/>
      <c r="I40" s="66"/>
    </row>
    <row r="41" spans="1:9" ht="15.6">
      <c r="A41" s="65"/>
      <c r="B41" s="66"/>
      <c r="C41" s="66"/>
      <c r="D41" s="66"/>
      <c r="E41" s="66"/>
      <c r="F41" s="66"/>
      <c r="G41" s="66"/>
      <c r="H41" s="66"/>
      <c r="I41" s="66"/>
    </row>
    <row r="42" spans="1:9" ht="15.6">
      <c r="A42" s="65" t="s">
        <v>25</v>
      </c>
      <c r="B42" s="66"/>
      <c r="C42" s="66"/>
      <c r="D42" s="66"/>
      <c r="E42" s="66"/>
      <c r="F42" s="66"/>
      <c r="G42" s="66"/>
      <c r="H42" s="66"/>
      <c r="I42" s="66"/>
    </row>
    <row r="43" spans="1:9" ht="105">
      <c r="A43" s="68" t="s">
        <v>415</v>
      </c>
      <c r="B43" s="66"/>
      <c r="C43" s="66"/>
      <c r="D43" s="66"/>
      <c r="E43" s="66"/>
      <c r="F43" s="66"/>
      <c r="G43" s="66"/>
      <c r="H43" s="66"/>
      <c r="I43" s="66"/>
    </row>
    <row r="44" spans="1:9">
      <c r="A44" s="68"/>
      <c r="B44" s="66"/>
      <c r="C44" s="66"/>
      <c r="D44" s="66"/>
      <c r="E44" s="66"/>
      <c r="F44" s="66"/>
      <c r="G44" s="66"/>
      <c r="H44" s="66"/>
      <c r="I44" s="66"/>
    </row>
    <row r="45" spans="1:9" ht="15.6">
      <c r="A45" s="65" t="s">
        <v>344</v>
      </c>
      <c r="B45" s="66"/>
      <c r="C45" s="66"/>
      <c r="D45" s="66"/>
      <c r="E45" s="66"/>
      <c r="F45" s="66"/>
      <c r="G45" s="66"/>
      <c r="H45" s="66"/>
      <c r="I45" s="66"/>
    </row>
    <row r="46" spans="1:9" ht="15.6">
      <c r="A46" s="65"/>
      <c r="B46" s="66"/>
      <c r="C46" s="66"/>
      <c r="D46" s="66"/>
      <c r="E46" s="66"/>
      <c r="F46" s="66"/>
      <c r="G46" s="66"/>
      <c r="H46" s="66"/>
      <c r="I46" s="66"/>
    </row>
    <row r="47" spans="1:9">
      <c r="A47" s="68"/>
      <c r="B47" s="66"/>
      <c r="C47" s="66"/>
      <c r="D47" s="66"/>
      <c r="E47" s="66"/>
      <c r="F47" s="66"/>
      <c r="G47" s="66"/>
      <c r="H47" s="66"/>
      <c r="I47" s="66"/>
    </row>
    <row r="48" spans="1:9">
      <c r="A48" s="68"/>
      <c r="B48" s="66"/>
      <c r="C48" s="66"/>
      <c r="D48" s="66"/>
      <c r="E48" s="66"/>
      <c r="F48" s="66"/>
      <c r="G48" s="66"/>
      <c r="H48" s="66"/>
      <c r="I48" s="66"/>
    </row>
    <row r="49" spans="1:9">
      <c r="A49" s="68"/>
      <c r="B49" s="66"/>
      <c r="C49" s="66"/>
      <c r="D49" s="66"/>
      <c r="E49" s="66"/>
      <c r="F49" s="66"/>
      <c r="G49" s="66"/>
      <c r="H49" s="66"/>
      <c r="I49" s="66"/>
    </row>
    <row r="50" spans="1:9">
      <c r="A50" s="68"/>
      <c r="B50" s="66"/>
      <c r="C50" s="66"/>
      <c r="D50" s="66"/>
      <c r="E50" s="66"/>
      <c r="F50" s="66"/>
      <c r="G50" s="66"/>
      <c r="H50" s="66"/>
      <c r="I50" s="66"/>
    </row>
    <row r="51" spans="1:9">
      <c r="A51" s="68"/>
      <c r="B51" s="66"/>
      <c r="C51" s="66"/>
      <c r="D51" s="66"/>
      <c r="E51" s="66"/>
      <c r="F51" s="66"/>
      <c r="G51" s="66"/>
      <c r="H51" s="66"/>
      <c r="I51" s="66"/>
    </row>
    <row r="52" spans="1:9">
      <c r="A52" s="68"/>
      <c r="B52" s="66"/>
      <c r="C52" s="66"/>
      <c r="D52" s="66"/>
      <c r="E52" s="66"/>
      <c r="F52" s="66"/>
      <c r="G52" s="66"/>
      <c r="H52" s="66"/>
      <c r="I52" s="66"/>
    </row>
    <row r="53" spans="1:9">
      <c r="A53" s="68"/>
      <c r="B53" s="66"/>
      <c r="C53" s="66"/>
      <c r="D53" s="66"/>
      <c r="E53" s="66"/>
      <c r="F53" s="66"/>
      <c r="G53" s="66"/>
      <c r="H53" s="66"/>
      <c r="I53" s="66"/>
    </row>
    <row r="54" spans="1:9">
      <c r="A54" s="68"/>
      <c r="B54" s="66"/>
      <c r="C54" s="66"/>
      <c r="D54" s="66"/>
      <c r="E54" s="66"/>
      <c r="F54" s="66"/>
      <c r="G54" s="66"/>
      <c r="H54" s="66"/>
      <c r="I54" s="66"/>
    </row>
    <row r="55" spans="1:9">
      <c r="A55" s="68"/>
      <c r="B55" s="66"/>
      <c r="C55" s="66"/>
      <c r="D55" s="66"/>
      <c r="E55" s="66"/>
      <c r="F55" s="66"/>
      <c r="G55" s="66"/>
      <c r="H55" s="66"/>
      <c r="I55" s="66"/>
    </row>
    <row r="56" spans="1:9">
      <c r="A56" s="68"/>
      <c r="B56" s="66"/>
      <c r="C56" s="66"/>
      <c r="D56" s="66"/>
      <c r="E56" s="66"/>
      <c r="F56" s="66"/>
      <c r="G56" s="66"/>
      <c r="H56" s="66"/>
      <c r="I56" s="66"/>
    </row>
    <row r="57" spans="1:9">
      <c r="A57" s="68" t="s">
        <v>345</v>
      </c>
      <c r="B57" s="66"/>
      <c r="C57" s="66"/>
      <c r="D57" s="66"/>
      <c r="E57" s="66"/>
      <c r="F57" s="66"/>
      <c r="G57" s="66"/>
      <c r="H57" s="66"/>
      <c r="I57" s="66"/>
    </row>
    <row r="58" spans="1:9">
      <c r="A58" s="68"/>
      <c r="B58" s="66"/>
      <c r="C58" s="66"/>
      <c r="D58" s="66"/>
      <c r="E58" s="66"/>
      <c r="F58" s="66"/>
      <c r="G58" s="66"/>
      <c r="H58" s="66"/>
      <c r="I58" s="66"/>
    </row>
    <row r="59" spans="1:9" ht="15.6">
      <c r="A59" s="65" t="s">
        <v>346</v>
      </c>
      <c r="B59" s="66"/>
      <c r="C59" s="66"/>
      <c r="D59" s="66"/>
      <c r="E59" s="66"/>
      <c r="F59" s="66"/>
      <c r="G59" s="66"/>
      <c r="H59" s="66"/>
      <c r="I59" s="66"/>
    </row>
    <row r="60" spans="1:9" ht="90">
      <c r="A60" s="68" t="s">
        <v>367</v>
      </c>
      <c r="B60" s="66"/>
      <c r="C60" s="66"/>
      <c r="D60" s="66"/>
      <c r="E60" s="66"/>
      <c r="F60" s="66"/>
      <c r="G60" s="66"/>
      <c r="H60" s="66"/>
      <c r="I60" s="66"/>
    </row>
    <row r="61" spans="1:9">
      <c r="A61" s="68"/>
      <c r="B61" s="66"/>
      <c r="C61" s="66"/>
      <c r="D61" s="66"/>
      <c r="E61" s="66"/>
      <c r="F61" s="66"/>
      <c r="G61" s="66"/>
      <c r="H61" s="66"/>
      <c r="I61" s="66"/>
    </row>
    <row r="62" spans="1:9" ht="75">
      <c r="A62" s="69" t="s">
        <v>375</v>
      </c>
      <c r="B62" s="66"/>
      <c r="C62" s="66"/>
      <c r="D62" s="66"/>
      <c r="E62" s="66"/>
      <c r="F62" s="66"/>
      <c r="G62" s="66"/>
      <c r="H62" s="66"/>
      <c r="I62" s="66"/>
    </row>
  </sheetData>
  <sheetProtection algorithmName="SHA-512" hashValue="SY9Wn+r/Prl43FTKL/Px9yH2gM41nwfWoK0JyF6sN1cz/+sqCb4TFovfS8TLI5cEiH5bLndDUX4rKQ6ZeJnchg==" saltValue="4RpKWjCXOjOBRp5ruNW+RA==" spinCount="100000" sheet="1" objects="1" scenarios="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D2E0F-825C-40EF-932E-D8CE1530149F}">
  <sheetPr codeName="Feuil12">
    <tabColor theme="0"/>
  </sheetPr>
  <dimension ref="A1:A20"/>
  <sheetViews>
    <sheetView zoomScale="110" zoomScaleNormal="110" workbookViewId="0"/>
  </sheetViews>
  <sheetFormatPr baseColWidth="10" defaultColWidth="11.44140625" defaultRowHeight="13.2"/>
  <cols>
    <col min="1" max="1" width="148.88671875" style="4" customWidth="1"/>
  </cols>
  <sheetData>
    <row r="1" spans="1:1">
      <c r="A1" s="49" t="s">
        <v>299</v>
      </c>
    </row>
    <row r="2" spans="1:1">
      <c r="A2" s="48" t="s">
        <v>239</v>
      </c>
    </row>
    <row r="3" spans="1:1" ht="26.4">
      <c r="A3" s="48" t="s">
        <v>311</v>
      </c>
    </row>
    <row r="4" spans="1:1">
      <c r="A4" s="48" t="s">
        <v>244</v>
      </c>
    </row>
    <row r="5" spans="1:1" ht="26.4">
      <c r="A5" s="48" t="s">
        <v>243</v>
      </c>
    </row>
    <row r="6" spans="1:1">
      <c r="A6" s="48" t="s">
        <v>258</v>
      </c>
    </row>
    <row r="7" spans="1:1" ht="26.4">
      <c r="A7" s="48" t="s">
        <v>389</v>
      </c>
    </row>
    <row r="8" spans="1:1" ht="15.6">
      <c r="A8" s="48" t="s">
        <v>390</v>
      </c>
    </row>
    <row r="9" spans="1:1">
      <c r="A9" s="48" t="s">
        <v>119</v>
      </c>
    </row>
    <row r="10" spans="1:1">
      <c r="A10" s="48" t="s">
        <v>298</v>
      </c>
    </row>
    <row r="11" spans="1:1">
      <c r="A11" s="48" t="s">
        <v>248</v>
      </c>
    </row>
    <row r="12" spans="1:1" ht="15.6">
      <c r="A12" s="48" t="s">
        <v>250</v>
      </c>
    </row>
    <row r="13" spans="1:1" ht="15.6">
      <c r="A13" s="48" t="s">
        <v>251</v>
      </c>
    </row>
    <row r="14" spans="1:1">
      <c r="A14" s="48" t="s">
        <v>292</v>
      </c>
    </row>
    <row r="15" spans="1:1">
      <c r="A15" s="48" t="s">
        <v>408</v>
      </c>
    </row>
    <row r="16" spans="1:1" ht="46.8">
      <c r="A16" s="48" t="s">
        <v>393</v>
      </c>
    </row>
    <row r="17" spans="1:1" ht="15.6">
      <c r="A17" s="48" t="s">
        <v>409</v>
      </c>
    </row>
    <row r="18" spans="1:1">
      <c r="A18" s="48" t="s">
        <v>302</v>
      </c>
    </row>
    <row r="19" spans="1:1">
      <c r="A19" s="48" t="s">
        <v>330</v>
      </c>
    </row>
    <row r="20" spans="1:1">
      <c r="A20" s="4" t="s">
        <v>381</v>
      </c>
    </row>
  </sheetData>
  <sheetProtection algorithmName="SHA-512" hashValue="BuX4+Ov2DwOydtNEuOAGqQa1SGvKyK7yhcmyL/Vb+JMeGSIBsodZIt6uM7D7oG0nCndL7fSd03L3d9zE7qJ5/w==" saltValue="IGB1qQwpe7ZZ6zRoUEORPg==" spinCount="100000" sheet="1" objects="1" scenarios="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9FD79-0F6A-45A7-8FFF-5C680031C938}">
  <sheetPr codeName="Feuil13">
    <tabColor theme="0"/>
  </sheetPr>
  <dimension ref="A1:A19"/>
  <sheetViews>
    <sheetView zoomScale="110" zoomScaleNormal="110" workbookViewId="0"/>
  </sheetViews>
  <sheetFormatPr baseColWidth="10" defaultRowHeight="13.2"/>
  <cols>
    <col min="1" max="1" width="136.109375" style="4" customWidth="1"/>
  </cols>
  <sheetData>
    <row r="1" spans="1:1">
      <c r="A1" s="49" t="s">
        <v>230</v>
      </c>
    </row>
    <row r="3" spans="1:1">
      <c r="A3" s="95" t="s">
        <v>228</v>
      </c>
    </row>
    <row r="4" spans="1:1" ht="184.8">
      <c r="A4" s="48" t="s">
        <v>410</v>
      </c>
    </row>
    <row r="5" spans="1:1">
      <c r="A5" s="48"/>
    </row>
    <row r="6" spans="1:1">
      <c r="A6" s="95" t="s">
        <v>136</v>
      </c>
    </row>
    <row r="7" spans="1:1" ht="26.4">
      <c r="A7" s="71" t="s">
        <v>412</v>
      </c>
    </row>
    <row r="8" spans="1:1">
      <c r="A8" s="48"/>
    </row>
    <row r="9" spans="1:1">
      <c r="A9" s="95" t="s">
        <v>44</v>
      </c>
    </row>
    <row r="10" spans="1:1" ht="66">
      <c r="A10" s="48" t="s">
        <v>413</v>
      </c>
    </row>
    <row r="11" spans="1:1">
      <c r="A11" s="48"/>
    </row>
    <row r="12" spans="1:1">
      <c r="A12" s="95" t="s">
        <v>333</v>
      </c>
    </row>
    <row r="13" spans="1:1" ht="26.4">
      <c r="A13" s="71" t="s">
        <v>397</v>
      </c>
    </row>
    <row r="14" spans="1:1">
      <c r="A14" s="48"/>
    </row>
    <row r="15" spans="1:1">
      <c r="A15" s="95" t="s">
        <v>229</v>
      </c>
    </row>
    <row r="16" spans="1:1" ht="52.8">
      <c r="A16" s="48" t="s">
        <v>411</v>
      </c>
    </row>
    <row r="18" spans="1:1">
      <c r="A18" s="95" t="s">
        <v>18</v>
      </c>
    </row>
    <row r="19" spans="1:1" ht="39.6">
      <c r="A19" s="96" t="s">
        <v>414</v>
      </c>
    </row>
  </sheetData>
  <sheetProtection algorithmName="SHA-512" hashValue="JIsGM+1nOYVidGZ1XGBvTpT0VQg8kuCxhCp0oMwhe2TeRxJShO9sKpulUhws+ZsyVhKx3w2zyso4UQ27gAfSsg==" saltValue="KfpK8YTxUCNafA7W1QpMPg==" spinCount="100000" sheet="1" objects="1" scenarios="1"/>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E3D72-1184-4000-8D2C-DB27727B0CDD}">
  <sheetPr codeName="Feuil14">
    <tabColor theme="4" tint="0.79998168889431442"/>
  </sheetPr>
  <dimension ref="A2:D29"/>
  <sheetViews>
    <sheetView workbookViewId="0">
      <selection activeCell="I39" sqref="I39"/>
    </sheetView>
  </sheetViews>
  <sheetFormatPr baseColWidth="10" defaultColWidth="11.44140625" defaultRowHeight="13.2"/>
  <cols>
    <col min="1" max="1" width="40.109375" customWidth="1"/>
  </cols>
  <sheetData>
    <row r="2" spans="1:1">
      <c r="A2" s="1" t="s">
        <v>4</v>
      </c>
    </row>
    <row r="3" spans="1:1">
      <c r="A3" t="s">
        <v>117</v>
      </c>
    </row>
    <row r="5" spans="1:1">
      <c r="A5" s="1" t="s">
        <v>5</v>
      </c>
    </row>
    <row r="6" spans="1:1">
      <c r="A6" t="s">
        <v>156</v>
      </c>
    </row>
    <row r="14" spans="1:1">
      <c r="A14" s="1" t="s">
        <v>157</v>
      </c>
    </row>
    <row r="16" spans="1:1">
      <c r="A16" s="1" t="s">
        <v>42</v>
      </c>
    </row>
    <row r="17" spans="1:4">
      <c r="A17" s="6" t="s">
        <v>102</v>
      </c>
      <c r="B17" s="6" t="s">
        <v>104</v>
      </c>
      <c r="C17">
        <f>24/7.37</f>
        <v>3.2564450474898234</v>
      </c>
    </row>
    <row r="18" spans="1:4">
      <c r="A18" s="6" t="s">
        <v>103</v>
      </c>
      <c r="B18" s="6" t="s">
        <v>77</v>
      </c>
      <c r="C18">
        <v>21</v>
      </c>
    </row>
    <row r="19" spans="1:4">
      <c r="A19" s="6" t="s">
        <v>106</v>
      </c>
      <c r="B19" s="6" t="s">
        <v>81</v>
      </c>
      <c r="C19" s="7">
        <v>15</v>
      </c>
      <c r="D19" s="6"/>
    </row>
    <row r="20" spans="1:4">
      <c r="A20" s="6" t="s">
        <v>105</v>
      </c>
      <c r="B20" s="6" t="s">
        <v>77</v>
      </c>
      <c r="C20">
        <v>6</v>
      </c>
    </row>
    <row r="21" spans="1:4">
      <c r="A21" s="6" t="s">
        <v>107</v>
      </c>
      <c r="B21" s="6" t="s">
        <v>108</v>
      </c>
      <c r="C21" s="6">
        <f>$C$17*30*C19*C20/7.37</f>
        <v>1192.9988640736121</v>
      </c>
    </row>
    <row r="22" spans="1:4">
      <c r="A22" s="6" t="s">
        <v>109</v>
      </c>
      <c r="B22" s="6" t="s">
        <v>81</v>
      </c>
      <c r="C22" s="6">
        <v>9</v>
      </c>
    </row>
    <row r="23" spans="1:4">
      <c r="A23" s="6" t="s">
        <v>105</v>
      </c>
      <c r="B23" s="6" t="s">
        <v>77</v>
      </c>
      <c r="C23">
        <v>21</v>
      </c>
    </row>
    <row r="24" spans="1:4">
      <c r="A24" s="6" t="s">
        <v>110</v>
      </c>
      <c r="B24" s="6" t="s">
        <v>108</v>
      </c>
      <c r="C24" s="6">
        <f>$C$17*30*C22*C23/7.37</f>
        <v>2505.2976145545858</v>
      </c>
    </row>
    <row r="25" spans="1:4">
      <c r="A25" s="1" t="s">
        <v>0</v>
      </c>
      <c r="B25" s="1" t="s">
        <v>149</v>
      </c>
      <c r="C25" s="1">
        <f>C21+C24</f>
        <v>3698.2964786281982</v>
      </c>
    </row>
    <row r="26" spans="1:4">
      <c r="A26" s="1" t="s">
        <v>11</v>
      </c>
      <c r="B26" s="1" t="s">
        <v>150</v>
      </c>
      <c r="C26" s="1">
        <f>0.525/7.37</f>
        <v>7.12347354138399E-2</v>
      </c>
    </row>
    <row r="28" spans="1:4">
      <c r="A28" s="1" t="s">
        <v>43</v>
      </c>
    </row>
    <row r="29" spans="1:4">
      <c r="A29" s="1" t="s">
        <v>112</v>
      </c>
      <c r="B29" s="1" t="s">
        <v>150</v>
      </c>
      <c r="C29" s="1">
        <f>6.45/7.37</f>
        <v>0.87516960651289011</v>
      </c>
    </row>
  </sheetData>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5104-1323-44CD-9588-10F0D3DCC430}">
  <sheetPr codeName="Feuil15">
    <tabColor theme="4" tint="0.79998168889431442"/>
  </sheetPr>
  <dimension ref="A1:C34"/>
  <sheetViews>
    <sheetView workbookViewId="0">
      <selection activeCell="A31" sqref="A31:XFD31"/>
    </sheetView>
  </sheetViews>
  <sheetFormatPr baseColWidth="10" defaultColWidth="11.44140625" defaultRowHeight="13.2"/>
  <cols>
    <col min="1" max="1" width="48.5546875" customWidth="1"/>
  </cols>
  <sheetData>
    <row r="1" spans="1:1">
      <c r="A1" s="1" t="s">
        <v>4</v>
      </c>
    </row>
    <row r="2" spans="1:1">
      <c r="A2" s="6" t="s">
        <v>63</v>
      </c>
    </row>
    <row r="4" spans="1:1">
      <c r="A4" s="1" t="s">
        <v>5</v>
      </c>
    </row>
    <row r="5" spans="1:1">
      <c r="A5" s="6" t="s">
        <v>239</v>
      </c>
    </row>
    <row r="13" spans="1:1">
      <c r="A13" s="1" t="s">
        <v>157</v>
      </c>
    </row>
    <row r="16" spans="1:1">
      <c r="A16" s="1" t="s">
        <v>42</v>
      </c>
    </row>
    <row r="17" spans="1:3">
      <c r="A17" t="s">
        <v>74</v>
      </c>
      <c r="B17" s="6" t="s">
        <v>88</v>
      </c>
      <c r="C17">
        <f>5/6</f>
        <v>0.83333333333333337</v>
      </c>
    </row>
    <row r="18" spans="1:3">
      <c r="A18" t="s">
        <v>75</v>
      </c>
      <c r="B18" s="6" t="s">
        <v>89</v>
      </c>
      <c r="C18">
        <f>30/6</f>
        <v>5</v>
      </c>
    </row>
    <row r="19" spans="1:3">
      <c r="A19" t="s">
        <v>76</v>
      </c>
      <c r="B19" t="s">
        <v>77</v>
      </c>
      <c r="C19">
        <v>21</v>
      </c>
    </row>
    <row r="20" spans="1:3">
      <c r="A20" t="s">
        <v>79</v>
      </c>
      <c r="B20" t="s">
        <v>78</v>
      </c>
      <c r="C20">
        <f>5/6</f>
        <v>0.83333333333333337</v>
      </c>
    </row>
    <row r="21" spans="1:3">
      <c r="A21" t="s">
        <v>80</v>
      </c>
      <c r="B21" s="6" t="s">
        <v>90</v>
      </c>
      <c r="C21">
        <f>0.9/5</f>
        <v>0.18</v>
      </c>
    </row>
    <row r="22" spans="1:3">
      <c r="A22" s="6" t="s">
        <v>91</v>
      </c>
      <c r="B22" s="6" t="s">
        <v>87</v>
      </c>
      <c r="C22">
        <f>C18*30*C19*C21</f>
        <v>567</v>
      </c>
    </row>
    <row r="23" spans="1:3">
      <c r="A23" t="s">
        <v>82</v>
      </c>
      <c r="B23" t="s">
        <v>81</v>
      </c>
      <c r="C23">
        <f>1.5/5</f>
        <v>0.3</v>
      </c>
    </row>
    <row r="24" spans="1:3">
      <c r="A24" t="s">
        <v>76</v>
      </c>
      <c r="B24" t="s">
        <v>77</v>
      </c>
      <c r="C24">
        <v>21</v>
      </c>
    </row>
    <row r="25" spans="1:3">
      <c r="A25" s="6" t="s">
        <v>92</v>
      </c>
      <c r="B25" s="6" t="s">
        <v>87</v>
      </c>
      <c r="C25">
        <f>C23*C18*30*C24</f>
        <v>945</v>
      </c>
    </row>
    <row r="26" spans="1:3">
      <c r="A26" s="6" t="s">
        <v>0</v>
      </c>
      <c r="B26" s="6" t="s">
        <v>87</v>
      </c>
      <c r="C26">
        <f>C22+C25</f>
        <v>1512</v>
      </c>
    </row>
    <row r="27" spans="1:3">
      <c r="A27" s="1" t="s">
        <v>0</v>
      </c>
      <c r="B27" s="1" t="s">
        <v>149</v>
      </c>
      <c r="C27" s="1">
        <f>C26*Conversions!E61</f>
        <v>1209.6000000000001</v>
      </c>
    </row>
    <row r="28" spans="1:3">
      <c r="A28" s="6" t="s">
        <v>11</v>
      </c>
      <c r="B28" s="6" t="s">
        <v>85</v>
      </c>
      <c r="C28">
        <f>3.5/5</f>
        <v>0.7</v>
      </c>
    </row>
    <row r="29" spans="1:3">
      <c r="A29" s="1" t="s">
        <v>11</v>
      </c>
      <c r="B29" s="1" t="s">
        <v>150</v>
      </c>
      <c r="C29" s="1">
        <f>C28*Conversions!E61</f>
        <v>0.55999999999999994</v>
      </c>
    </row>
    <row r="31" spans="1:3">
      <c r="A31" s="1" t="s">
        <v>43</v>
      </c>
    </row>
    <row r="32" spans="1:3">
      <c r="A32" s="1" t="s">
        <v>112</v>
      </c>
      <c r="B32" s="1" t="s">
        <v>150</v>
      </c>
      <c r="C32" s="1">
        <f>C29</f>
        <v>0.55999999999999994</v>
      </c>
    </row>
    <row r="33" spans="1:3">
      <c r="A33" s="6" t="s">
        <v>213</v>
      </c>
      <c r="B33" s="6" t="s">
        <v>86</v>
      </c>
      <c r="C33">
        <v>1</v>
      </c>
    </row>
    <row r="34" spans="1:3">
      <c r="A34" s="1" t="s">
        <v>213</v>
      </c>
      <c r="B34" s="1" t="s">
        <v>150</v>
      </c>
      <c r="C34" s="1">
        <f>C33</f>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0F46A-4C2D-454C-B6DB-C47AF985522D}">
  <sheetPr codeName="Feuil16">
    <tabColor theme="4" tint="0.79998168889431442"/>
  </sheetPr>
  <dimension ref="A1:C22"/>
  <sheetViews>
    <sheetView workbookViewId="0">
      <selection activeCell="A23" sqref="A23"/>
    </sheetView>
  </sheetViews>
  <sheetFormatPr baseColWidth="10" defaultColWidth="11.44140625" defaultRowHeight="13.2"/>
  <cols>
    <col min="1" max="1" width="34.6640625" customWidth="1"/>
  </cols>
  <sheetData>
    <row r="1" spans="1:1">
      <c r="A1" s="1" t="s">
        <v>4</v>
      </c>
    </row>
    <row r="2" spans="1:1">
      <c r="A2" s="6" t="s">
        <v>33</v>
      </c>
    </row>
    <row r="4" spans="1:1">
      <c r="A4" s="1" t="s">
        <v>5</v>
      </c>
    </row>
    <row r="5" spans="1:1">
      <c r="A5" s="6" t="s">
        <v>263</v>
      </c>
    </row>
    <row r="13" spans="1:1">
      <c r="A13" s="1" t="s">
        <v>157</v>
      </c>
    </row>
    <row r="16" spans="1:1">
      <c r="A16" s="1" t="s">
        <v>42</v>
      </c>
    </row>
    <row r="17" spans="1:3">
      <c r="A17" s="47" t="s">
        <v>264</v>
      </c>
      <c r="B17" s="47" t="s">
        <v>20</v>
      </c>
      <c r="C17" s="7">
        <v>0.30299999999999999</v>
      </c>
    </row>
    <row r="18" spans="1:3">
      <c r="A18" s="8" t="s">
        <v>391</v>
      </c>
      <c r="B18" s="8" t="s">
        <v>149</v>
      </c>
      <c r="C18" s="8">
        <f>780/C17</f>
        <v>2574.2574257425745</v>
      </c>
    </row>
    <row r="19" spans="1:3">
      <c r="A19" s="8" t="s">
        <v>265</v>
      </c>
      <c r="B19" s="8" t="s">
        <v>150</v>
      </c>
      <c r="C19" s="8">
        <f>0.08/C17</f>
        <v>0.26402640264026406</v>
      </c>
    </row>
    <row r="20" spans="1:3">
      <c r="A20" s="8" t="s">
        <v>266</v>
      </c>
      <c r="B20" s="8" t="s">
        <v>150</v>
      </c>
      <c r="C20" s="8">
        <f>0.1/C17</f>
        <v>0.33003300330033009</v>
      </c>
    </row>
    <row r="21" spans="1:3">
      <c r="A21" s="8" t="s">
        <v>268</v>
      </c>
      <c r="B21" s="8" t="s">
        <v>267</v>
      </c>
      <c r="C21" s="8">
        <f>3.75/C17</f>
        <v>12.376237623762377</v>
      </c>
    </row>
    <row r="22" spans="1:3">
      <c r="A22" s="8" t="s">
        <v>392</v>
      </c>
      <c r="B22" s="8" t="s">
        <v>267</v>
      </c>
      <c r="C22" s="8">
        <f>0.7/C17</f>
        <v>2.3102310231023102</v>
      </c>
    </row>
  </sheetData>
  <pageMargins left="0.7" right="0.7" top="0.75" bottom="0.75" header="0.3" footer="0.3"/>
  <pageSetup paperSize="9" orientation="portrait" copies="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E81F4-9653-4DF3-A1B8-7C547529DA66}">
  <sheetPr codeName="Feuil17">
    <tabColor theme="4" tint="0.79998168889431442"/>
  </sheetPr>
  <dimension ref="A1:C23"/>
  <sheetViews>
    <sheetView workbookViewId="0">
      <selection activeCell="F28" sqref="F28"/>
    </sheetView>
  </sheetViews>
  <sheetFormatPr baseColWidth="10" defaultColWidth="11.44140625" defaultRowHeight="13.2"/>
  <cols>
    <col min="1" max="1" width="43.5546875" customWidth="1"/>
    <col min="8" max="8" width="24.6640625" customWidth="1"/>
  </cols>
  <sheetData>
    <row r="1" spans="1:1">
      <c r="A1" s="1" t="s">
        <v>4</v>
      </c>
    </row>
    <row r="2" spans="1:1">
      <c r="A2" s="6" t="s">
        <v>72</v>
      </c>
    </row>
    <row r="4" spans="1:1">
      <c r="A4" s="1" t="s">
        <v>5</v>
      </c>
    </row>
    <row r="5" spans="1:1">
      <c r="A5" s="6" t="s">
        <v>239</v>
      </c>
    </row>
    <row r="13" spans="1:1">
      <c r="A13" s="1" t="s">
        <v>157</v>
      </c>
    </row>
    <row r="16" spans="1:1">
      <c r="A16" s="1" t="s">
        <v>42</v>
      </c>
    </row>
    <row r="17" spans="1:3">
      <c r="A17" s="6" t="s">
        <v>75</v>
      </c>
      <c r="B17" s="6" t="s">
        <v>94</v>
      </c>
      <c r="C17">
        <f>12/7.37</f>
        <v>1.6282225237449117</v>
      </c>
    </row>
    <row r="18" spans="1:3">
      <c r="A18" s="6" t="s">
        <v>114</v>
      </c>
      <c r="B18" s="6" t="s">
        <v>81</v>
      </c>
      <c r="C18">
        <v>2.2000000000000002</v>
      </c>
    </row>
    <row r="19" spans="1:3">
      <c r="A19" s="6" t="s">
        <v>115</v>
      </c>
      <c r="B19" s="6" t="s">
        <v>94</v>
      </c>
      <c r="C19">
        <f>4/7.37</f>
        <v>0.54274084124830391</v>
      </c>
    </row>
    <row r="20" spans="1:3">
      <c r="A20" s="6" t="s">
        <v>115</v>
      </c>
      <c r="B20" t="s">
        <v>77</v>
      </c>
      <c r="C20">
        <v>8</v>
      </c>
    </row>
    <row r="21" spans="1:3">
      <c r="A21" s="1" t="s">
        <v>0</v>
      </c>
      <c r="B21" s="1" t="s">
        <v>149</v>
      </c>
      <c r="C21" s="8">
        <f>C18*C19*30*C20</f>
        <v>286.56716417910451</v>
      </c>
    </row>
    <row r="22" spans="1:3">
      <c r="A22" s="1" t="s">
        <v>113</v>
      </c>
      <c r="B22" s="1" t="s">
        <v>111</v>
      </c>
      <c r="C22" s="1">
        <f>23.3/7.37</f>
        <v>3.1614654002713705</v>
      </c>
    </row>
    <row r="23" spans="1:3">
      <c r="A23" s="1" t="s">
        <v>116</v>
      </c>
      <c r="B23" s="1" t="s">
        <v>111</v>
      </c>
      <c r="C23" s="1">
        <f>560/7.37</f>
        <v>75.983717774762553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8BCC-2744-4921-9795-F7502B72E733}">
  <sheetPr codeName="Feuil18">
    <tabColor theme="4" tint="0.79998168889431442"/>
  </sheetPr>
  <dimension ref="A1:D24"/>
  <sheetViews>
    <sheetView workbookViewId="0">
      <selection activeCell="A22" sqref="A22"/>
    </sheetView>
  </sheetViews>
  <sheetFormatPr baseColWidth="10" defaultColWidth="11.44140625" defaultRowHeight="13.2"/>
  <cols>
    <col min="1" max="1" width="36.109375" customWidth="1"/>
    <col min="8" max="8" width="24.6640625" customWidth="1"/>
  </cols>
  <sheetData>
    <row r="1" spans="1:1">
      <c r="A1" s="1" t="s">
        <v>4</v>
      </c>
    </row>
    <row r="2" spans="1:1">
      <c r="A2" s="6" t="s">
        <v>34</v>
      </c>
    </row>
    <row r="4" spans="1:1">
      <c r="A4" s="1" t="s">
        <v>5</v>
      </c>
    </row>
    <row r="5" spans="1:1">
      <c r="A5" s="6" t="s">
        <v>248</v>
      </c>
    </row>
    <row r="6" spans="1:1">
      <c r="A6" s="6" t="s">
        <v>330</v>
      </c>
    </row>
    <row r="13" spans="1:1">
      <c r="A13" s="1" t="s">
        <v>157</v>
      </c>
    </row>
    <row r="16" spans="1:1">
      <c r="A16" s="1" t="s">
        <v>42</v>
      </c>
    </row>
    <row r="17" spans="1:4">
      <c r="A17" s="47" t="s">
        <v>247</v>
      </c>
      <c r="B17" s="47" t="s">
        <v>232</v>
      </c>
      <c r="C17" s="7">
        <v>500</v>
      </c>
      <c r="D17" t="s">
        <v>332</v>
      </c>
    </row>
    <row r="18" spans="1:4">
      <c r="A18" s="47" t="s">
        <v>102</v>
      </c>
      <c r="B18" s="47" t="s">
        <v>252</v>
      </c>
      <c r="C18" s="47">
        <f>21/4.5</f>
        <v>4.666666666666667</v>
      </c>
      <c r="D18" t="s">
        <v>332</v>
      </c>
    </row>
    <row r="19" spans="1:4">
      <c r="A19" s="8" t="s">
        <v>254</v>
      </c>
      <c r="B19" s="8" t="s">
        <v>253</v>
      </c>
      <c r="C19" s="8">
        <f>1275/500*1000</f>
        <v>2550</v>
      </c>
      <c r="D19" t="s">
        <v>332</v>
      </c>
    </row>
    <row r="20" spans="1:4">
      <c r="A20" s="8" t="s">
        <v>255</v>
      </c>
      <c r="B20" s="8" t="s">
        <v>253</v>
      </c>
      <c r="C20" s="8">
        <f>282/C17</f>
        <v>0.56399999999999995</v>
      </c>
      <c r="D20" t="s">
        <v>332</v>
      </c>
    </row>
    <row r="21" spans="1:4">
      <c r="A21" s="8" t="s">
        <v>11</v>
      </c>
      <c r="B21" s="8" t="s">
        <v>98</v>
      </c>
      <c r="C21" s="8">
        <v>10</v>
      </c>
      <c r="D21" t="s">
        <v>331</v>
      </c>
    </row>
    <row r="22" spans="1:4">
      <c r="A22" s="8"/>
      <c r="B22" s="8"/>
      <c r="C22" s="8"/>
    </row>
    <row r="23" spans="1:4">
      <c r="A23" s="1" t="s">
        <v>43</v>
      </c>
    </row>
    <row r="24" spans="1:4">
      <c r="A24" s="8" t="s">
        <v>257</v>
      </c>
      <c r="B24" s="8" t="s">
        <v>98</v>
      </c>
      <c r="C24" s="8">
        <f>C21</f>
        <v>10</v>
      </c>
      <c r="D24" t="s">
        <v>331</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AEEB-69B3-4117-9676-C220042FDA7F}">
  <sheetPr codeName="Feuil19">
    <tabColor theme="9" tint="0.79998168889431442"/>
  </sheetPr>
  <dimension ref="A1:E20"/>
  <sheetViews>
    <sheetView workbookViewId="0">
      <selection activeCell="B15" sqref="B15"/>
    </sheetView>
  </sheetViews>
  <sheetFormatPr baseColWidth="10" defaultRowHeight="13.2"/>
  <cols>
    <col min="1" max="1" width="23" customWidth="1"/>
  </cols>
  <sheetData>
    <row r="1" spans="1:5">
      <c r="A1" s="1" t="s">
        <v>4</v>
      </c>
    </row>
    <row r="2" spans="1:5">
      <c r="A2" s="6" t="s">
        <v>71</v>
      </c>
    </row>
    <row r="4" spans="1:5">
      <c r="A4" s="1" t="s">
        <v>5</v>
      </c>
    </row>
    <row r="5" spans="1:5">
      <c r="A5" s="6" t="s">
        <v>258</v>
      </c>
    </row>
    <row r="13" spans="1:5">
      <c r="A13" s="1" t="s">
        <v>157</v>
      </c>
    </row>
    <row r="14" spans="1:5">
      <c r="A14" s="1" t="s">
        <v>42</v>
      </c>
    </row>
    <row r="15" spans="1:5">
      <c r="A15" s="8" t="s">
        <v>1</v>
      </c>
      <c r="B15" s="8">
        <f>0.19/1000</f>
        <v>1.9000000000000001E-4</v>
      </c>
      <c r="C15" s="8" t="s">
        <v>214</v>
      </c>
      <c r="D15" s="47" t="s">
        <v>370</v>
      </c>
      <c r="E15" s="7"/>
    </row>
    <row r="16" spans="1:5">
      <c r="A16" s="47"/>
      <c r="B16" s="7"/>
      <c r="C16" s="47"/>
      <c r="D16" s="47"/>
      <c r="E16" s="7"/>
    </row>
    <row r="17" spans="1:4">
      <c r="A17" s="6"/>
      <c r="C17" s="6"/>
      <c r="D17" s="6"/>
    </row>
    <row r="18" spans="1:4">
      <c r="A18" s="6"/>
      <c r="C18" s="6"/>
      <c r="D18" s="6"/>
    </row>
    <row r="19" spans="1:4">
      <c r="A19" s="6"/>
      <c r="C19" s="6"/>
      <c r="D19" s="6"/>
    </row>
    <row r="20" spans="1:4">
      <c r="A20" s="6"/>
      <c r="C20" s="6"/>
      <c r="D20"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B0C49-2992-454B-BB27-C7572E1B067C}">
  <sheetPr codeName="Feuil20">
    <tabColor theme="9" tint="0.79998168889431442"/>
  </sheetPr>
  <dimension ref="A1:E20"/>
  <sheetViews>
    <sheetView workbookViewId="0">
      <selection activeCell="C17" sqref="C17"/>
    </sheetView>
  </sheetViews>
  <sheetFormatPr baseColWidth="10" defaultRowHeight="13.2"/>
  <cols>
    <col min="1" max="1" width="25.88671875" customWidth="1"/>
  </cols>
  <sheetData>
    <row r="1" spans="1:5">
      <c r="A1" s="1" t="s">
        <v>4</v>
      </c>
    </row>
    <row r="2" spans="1:5">
      <c r="A2" s="6" t="s">
        <v>36</v>
      </c>
    </row>
    <row r="4" spans="1:5">
      <c r="A4" s="1" t="s">
        <v>5</v>
      </c>
    </row>
    <row r="5" spans="1:5">
      <c r="A5" s="6" t="s">
        <v>258</v>
      </c>
    </row>
    <row r="13" spans="1:5">
      <c r="A13" s="1" t="s">
        <v>157</v>
      </c>
    </row>
    <row r="14" spans="1:5">
      <c r="A14" s="1" t="s">
        <v>42</v>
      </c>
    </row>
    <row r="15" spans="1:5">
      <c r="A15" s="47" t="s">
        <v>0</v>
      </c>
      <c r="B15" s="7">
        <v>30</v>
      </c>
      <c r="C15" s="7" t="s">
        <v>21</v>
      </c>
      <c r="D15" s="47" t="s">
        <v>10</v>
      </c>
      <c r="E15" s="7"/>
    </row>
    <row r="16" spans="1:5">
      <c r="A16" s="47" t="s">
        <v>1</v>
      </c>
      <c r="B16" s="7">
        <v>0.76</v>
      </c>
      <c r="C16" s="47" t="s">
        <v>22</v>
      </c>
      <c r="D16" s="47" t="s">
        <v>10</v>
      </c>
      <c r="E16" s="7"/>
    </row>
    <row r="17" spans="1:4">
      <c r="A17" s="6"/>
      <c r="C17" s="6"/>
      <c r="D17" s="6"/>
    </row>
    <row r="18" spans="1:4">
      <c r="A18" s="6"/>
      <c r="C18" s="6"/>
      <c r="D18" s="6"/>
    </row>
    <row r="19" spans="1:4">
      <c r="A19" s="6"/>
      <c r="C19" s="6"/>
      <c r="D19" s="6"/>
    </row>
    <row r="20" spans="1:4">
      <c r="A20" s="6"/>
      <c r="C20" s="6"/>
      <c r="D20"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C9BE-612D-4A82-848C-9241BF529B2E}">
  <sheetPr codeName="Feuil21">
    <tabColor theme="9" tint="0.79998168889431442"/>
  </sheetPr>
  <dimension ref="A1:G25"/>
  <sheetViews>
    <sheetView workbookViewId="0">
      <selection activeCell="I15" sqref="I15"/>
    </sheetView>
  </sheetViews>
  <sheetFormatPr baseColWidth="10" defaultRowHeight="13.2"/>
  <cols>
    <col min="1" max="1" width="22" customWidth="1"/>
  </cols>
  <sheetData>
    <row r="1" spans="1:7">
      <c r="A1" s="1" t="s">
        <v>4</v>
      </c>
    </row>
    <row r="2" spans="1:7">
      <c r="A2" s="6" t="s">
        <v>64</v>
      </c>
    </row>
    <row r="4" spans="1:7">
      <c r="A4" s="1" t="s">
        <v>5</v>
      </c>
    </row>
    <row r="5" spans="1:7">
      <c r="A5" s="6" t="s">
        <v>292</v>
      </c>
    </row>
    <row r="13" spans="1:7">
      <c r="A13" s="1" t="s">
        <v>157</v>
      </c>
    </row>
    <row r="14" spans="1:7">
      <c r="A14" s="1" t="s">
        <v>42</v>
      </c>
    </row>
    <row r="15" spans="1:7">
      <c r="A15" s="8" t="s">
        <v>0</v>
      </c>
      <c r="B15" s="8">
        <f>37/2</f>
        <v>18.5</v>
      </c>
      <c r="C15" s="8" t="s">
        <v>21</v>
      </c>
      <c r="D15" s="47" t="s">
        <v>293</v>
      </c>
      <c r="E15" s="47" t="s">
        <v>296</v>
      </c>
      <c r="F15" s="47" t="s">
        <v>300</v>
      </c>
      <c r="G15" s="47" t="s">
        <v>301</v>
      </c>
    </row>
    <row r="16" spans="1:7">
      <c r="A16" s="8" t="s">
        <v>265</v>
      </c>
      <c r="B16" s="8">
        <v>0.6</v>
      </c>
      <c r="C16" s="8" t="s">
        <v>23</v>
      </c>
      <c r="D16" s="47" t="s">
        <v>293</v>
      </c>
      <c r="E16" s="7"/>
    </row>
    <row r="17" spans="1:5">
      <c r="A17" s="8" t="s">
        <v>116</v>
      </c>
      <c r="B17" s="8">
        <v>1</v>
      </c>
      <c r="C17" s="8" t="s">
        <v>312</v>
      </c>
      <c r="D17" s="47" t="s">
        <v>10</v>
      </c>
      <c r="E17" s="7"/>
    </row>
    <row r="18" spans="1:5">
      <c r="A18" s="47" t="s">
        <v>223</v>
      </c>
      <c r="B18" s="7">
        <v>0</v>
      </c>
      <c r="C18" s="47" t="s">
        <v>21</v>
      </c>
      <c r="D18" s="47" t="s">
        <v>10</v>
      </c>
      <c r="E18" s="7"/>
    </row>
    <row r="19" spans="1:5">
      <c r="A19" s="47"/>
      <c r="B19" s="7"/>
      <c r="C19" s="47"/>
      <c r="D19" s="47"/>
      <c r="E19" s="7"/>
    </row>
    <row r="20" spans="1:5">
      <c r="A20" s="8" t="s">
        <v>43</v>
      </c>
      <c r="B20" s="7"/>
      <c r="C20" s="47"/>
      <c r="D20" s="47"/>
      <c r="E20" s="7"/>
    </row>
    <row r="21" spans="1:5">
      <c r="A21" s="8" t="s">
        <v>294</v>
      </c>
      <c r="B21" s="8">
        <v>2</v>
      </c>
      <c r="C21" s="8" t="s">
        <v>297</v>
      </c>
      <c r="D21" s="47" t="s">
        <v>295</v>
      </c>
      <c r="E21" s="7"/>
    </row>
    <row r="22" spans="1:5">
      <c r="A22" s="47"/>
      <c r="B22" s="7"/>
      <c r="C22" s="47"/>
      <c r="D22" s="47"/>
      <c r="E22" s="7"/>
    </row>
    <row r="23" spans="1:5">
      <c r="A23" s="6"/>
      <c r="C23" s="6"/>
      <c r="D23" s="6"/>
    </row>
    <row r="24" spans="1:5">
      <c r="A24" s="6"/>
      <c r="C24" s="6"/>
      <c r="D24" s="6"/>
    </row>
    <row r="25" spans="1:5">
      <c r="A25" s="6"/>
      <c r="C25" s="6"/>
      <c r="D25" s="6"/>
    </row>
  </sheetData>
  <pageMargins left="0.7" right="0.7" top="0.75" bottom="0.75" header="0.3" footer="0.3"/>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4AE4D-8BAB-4E12-9AC9-079793B06186}">
  <sheetPr codeName="Feuil2">
    <tabColor theme="0"/>
  </sheetPr>
  <dimension ref="A1:K43"/>
  <sheetViews>
    <sheetView zoomScale="110" zoomScaleNormal="110" workbookViewId="0">
      <selection activeCell="A24" sqref="A24"/>
    </sheetView>
  </sheetViews>
  <sheetFormatPr baseColWidth="10" defaultRowHeight="13.2"/>
  <sheetData>
    <row r="1" spans="1:11" ht="15.6">
      <c r="A1" s="70" t="s">
        <v>347</v>
      </c>
      <c r="B1" s="67"/>
      <c r="C1" s="67"/>
      <c r="D1" s="67"/>
      <c r="E1" s="67"/>
      <c r="F1" s="67"/>
      <c r="G1" s="67"/>
      <c r="H1" s="67"/>
      <c r="I1" s="67"/>
      <c r="J1" s="67"/>
      <c r="K1" s="67"/>
    </row>
    <row r="2" spans="1:11" ht="15">
      <c r="A2" s="67"/>
      <c r="B2" s="67"/>
      <c r="C2" s="67"/>
      <c r="D2" s="67"/>
      <c r="E2" s="67"/>
      <c r="F2" s="67"/>
      <c r="G2" s="67"/>
      <c r="H2" s="67"/>
      <c r="I2" s="67"/>
      <c r="J2" s="67"/>
      <c r="K2" s="67"/>
    </row>
    <row r="3" spans="1:11" ht="15">
      <c r="A3" s="67" t="s">
        <v>398</v>
      </c>
      <c r="B3" s="67"/>
      <c r="C3" s="67"/>
      <c r="D3" s="67"/>
      <c r="E3" s="67"/>
      <c r="F3" s="67"/>
      <c r="G3" s="67"/>
      <c r="H3" s="67"/>
      <c r="I3" s="67"/>
      <c r="J3" s="67"/>
      <c r="K3" s="67"/>
    </row>
    <row r="4" spans="1:11" ht="15">
      <c r="A4" s="67"/>
      <c r="B4" s="67"/>
      <c r="C4" s="67"/>
      <c r="D4" s="67"/>
      <c r="E4" s="67"/>
      <c r="F4" s="67"/>
      <c r="G4" s="67"/>
      <c r="H4" s="67"/>
      <c r="I4" s="67"/>
      <c r="J4" s="67"/>
      <c r="K4" s="67"/>
    </row>
    <row r="5" spans="1:11" ht="15">
      <c r="A5" s="67" t="s">
        <v>399</v>
      </c>
      <c r="B5" s="67"/>
      <c r="C5" s="67"/>
      <c r="D5" s="67"/>
      <c r="E5" s="67"/>
      <c r="F5" s="67"/>
      <c r="G5" s="67"/>
      <c r="H5" s="67"/>
      <c r="I5" s="67"/>
      <c r="J5" s="67"/>
      <c r="K5" s="67"/>
    </row>
    <row r="6" spans="1:11" ht="15">
      <c r="A6" s="67"/>
      <c r="B6" s="67"/>
      <c r="C6" s="67"/>
      <c r="D6" s="67"/>
      <c r="E6" s="67"/>
      <c r="F6" s="67"/>
      <c r="G6" s="67"/>
      <c r="H6" s="67"/>
      <c r="I6" s="67"/>
      <c r="J6" s="67"/>
      <c r="K6" s="67"/>
    </row>
    <row r="7" spans="1:11" ht="15">
      <c r="A7" s="67" t="s">
        <v>227</v>
      </c>
      <c r="B7" s="67"/>
      <c r="C7" s="67"/>
      <c r="D7" s="67"/>
      <c r="E7" s="67"/>
      <c r="F7" s="67"/>
      <c r="G7" s="67"/>
      <c r="H7" s="67"/>
      <c r="I7" s="67"/>
      <c r="J7" s="67"/>
      <c r="K7" s="67"/>
    </row>
    <row r="8" spans="1:11" ht="15">
      <c r="A8" s="67"/>
      <c r="B8" s="67"/>
      <c r="C8" s="67"/>
      <c r="D8" s="67"/>
      <c r="E8" s="67"/>
      <c r="F8" s="67"/>
      <c r="G8" s="67"/>
      <c r="H8" s="67"/>
      <c r="I8" s="67"/>
      <c r="J8" s="67"/>
      <c r="K8" s="67"/>
    </row>
    <row r="9" spans="1:11" ht="15">
      <c r="A9" s="67" t="s">
        <v>406</v>
      </c>
      <c r="B9" s="67"/>
      <c r="C9" s="67"/>
      <c r="D9" s="67"/>
      <c r="E9" s="67"/>
      <c r="F9" s="67"/>
      <c r="G9" s="67"/>
      <c r="H9" s="67"/>
      <c r="I9" s="67"/>
      <c r="J9" s="67"/>
      <c r="K9" s="67"/>
    </row>
    <row r="10" spans="1:11" ht="15">
      <c r="A10" s="67"/>
      <c r="B10" s="67"/>
      <c r="C10" s="67"/>
      <c r="D10" s="67"/>
      <c r="E10" s="67"/>
      <c r="F10" s="67"/>
      <c r="G10" s="67"/>
      <c r="H10" s="67"/>
      <c r="I10" s="67"/>
      <c r="J10" s="67"/>
      <c r="K10" s="67"/>
    </row>
    <row r="11" spans="1:11" ht="15">
      <c r="A11" s="67" t="s">
        <v>348</v>
      </c>
      <c r="B11" s="67"/>
      <c r="C11" s="67"/>
      <c r="D11" s="67"/>
      <c r="E11" s="67"/>
      <c r="F11" s="67"/>
      <c r="G11" s="67"/>
      <c r="H11" s="67"/>
      <c r="I11" s="67"/>
      <c r="J11" s="67"/>
      <c r="K11" s="67"/>
    </row>
    <row r="12" spans="1:11" ht="15">
      <c r="A12" s="67"/>
      <c r="B12" s="67" t="s">
        <v>349</v>
      </c>
      <c r="C12" s="67"/>
      <c r="D12" s="67"/>
      <c r="E12" s="67"/>
      <c r="F12" s="67"/>
      <c r="G12" s="67"/>
      <c r="H12" s="67"/>
      <c r="I12" s="67"/>
      <c r="J12" s="67"/>
      <c r="K12" s="67"/>
    </row>
    <row r="13" spans="1:11" ht="15">
      <c r="A13" s="67"/>
      <c r="B13" s="67" t="s">
        <v>350</v>
      </c>
      <c r="C13" s="67"/>
      <c r="D13" s="67"/>
      <c r="E13" s="67"/>
      <c r="F13" s="67"/>
      <c r="G13" s="67"/>
      <c r="H13" s="67"/>
      <c r="I13" s="67"/>
      <c r="J13" s="67"/>
      <c r="K13" s="67"/>
    </row>
    <row r="14" spans="1:11" ht="15">
      <c r="A14" s="67"/>
      <c r="B14" s="67" t="s">
        <v>400</v>
      </c>
      <c r="C14" s="67"/>
      <c r="D14" s="67"/>
      <c r="E14" s="67"/>
      <c r="F14" s="67"/>
      <c r="G14" s="67"/>
      <c r="H14" s="67"/>
      <c r="I14" s="67"/>
      <c r="J14" s="67"/>
      <c r="K14" s="67"/>
    </row>
    <row r="15" spans="1:11" ht="15">
      <c r="A15" s="67"/>
      <c r="B15" s="67" t="s">
        <v>351</v>
      </c>
      <c r="C15" s="67"/>
      <c r="D15" s="67"/>
      <c r="E15" s="67"/>
      <c r="F15" s="67"/>
      <c r="G15" s="67"/>
      <c r="H15" s="67"/>
      <c r="I15" s="67"/>
      <c r="J15" s="67"/>
      <c r="K15" s="67"/>
    </row>
    <row r="16" spans="1:11" ht="15">
      <c r="A16" s="67"/>
      <c r="B16" s="67" t="s">
        <v>380</v>
      </c>
      <c r="C16" s="67"/>
      <c r="D16" s="67"/>
      <c r="E16" s="67"/>
      <c r="F16" s="67"/>
      <c r="G16" s="67"/>
      <c r="H16" s="67"/>
      <c r="I16" s="67"/>
      <c r="J16" s="67"/>
      <c r="K16" s="67"/>
    </row>
    <row r="17" spans="1:11" ht="15">
      <c r="A17" s="67"/>
      <c r="B17" s="67" t="s">
        <v>401</v>
      </c>
      <c r="C17" s="67"/>
      <c r="D17" s="67"/>
      <c r="E17" s="67"/>
      <c r="F17" s="67"/>
      <c r="G17" s="67"/>
      <c r="H17" s="67"/>
      <c r="I17" s="67"/>
      <c r="J17" s="67"/>
      <c r="K17" s="67"/>
    </row>
    <row r="18" spans="1:11" ht="15">
      <c r="A18" s="67"/>
      <c r="B18" s="67" t="s">
        <v>402</v>
      </c>
      <c r="C18" s="67"/>
      <c r="D18" s="67"/>
      <c r="E18" s="67"/>
      <c r="F18" s="67"/>
      <c r="G18" s="67"/>
      <c r="H18" s="67"/>
      <c r="I18" s="67"/>
      <c r="J18" s="67"/>
      <c r="K18" s="67"/>
    </row>
    <row r="19" spans="1:11" ht="15">
      <c r="A19" s="67"/>
      <c r="B19" s="67" t="s">
        <v>403</v>
      </c>
      <c r="C19" s="67"/>
      <c r="D19" s="67"/>
      <c r="E19" s="67"/>
      <c r="F19" s="67"/>
      <c r="G19" s="67"/>
      <c r="H19" s="67"/>
      <c r="I19" s="67"/>
      <c r="J19" s="67"/>
      <c r="K19" s="67"/>
    </row>
    <row r="20" spans="1:11" ht="15">
      <c r="A20" s="67"/>
      <c r="B20" s="69"/>
      <c r="C20" s="67" t="s">
        <v>404</v>
      </c>
      <c r="D20" s="67"/>
      <c r="E20" s="67"/>
      <c r="F20" s="67"/>
      <c r="G20" s="67"/>
      <c r="H20" s="67"/>
      <c r="I20" s="67"/>
      <c r="J20" s="67"/>
      <c r="K20" s="67"/>
    </row>
    <row r="21" spans="1:11" ht="15">
      <c r="A21" s="67"/>
      <c r="B21" s="67"/>
      <c r="C21" s="67" t="s">
        <v>405</v>
      </c>
      <c r="D21" s="67"/>
      <c r="E21" s="67"/>
      <c r="F21" s="67"/>
      <c r="G21" s="67"/>
      <c r="H21" s="67"/>
      <c r="I21" s="67"/>
      <c r="J21" s="67"/>
      <c r="K21" s="67"/>
    </row>
    <row r="22" spans="1:11" ht="15">
      <c r="A22" s="67"/>
      <c r="B22" s="67"/>
      <c r="C22" s="67"/>
      <c r="D22" s="67"/>
      <c r="E22" s="67"/>
      <c r="F22" s="67"/>
      <c r="G22" s="67"/>
      <c r="H22" s="67"/>
      <c r="I22" s="67"/>
      <c r="J22" s="67"/>
      <c r="K22" s="67"/>
    </row>
    <row r="23" spans="1:11" ht="15">
      <c r="A23" s="67" t="s">
        <v>420</v>
      </c>
      <c r="B23" s="67"/>
      <c r="C23" s="67"/>
      <c r="D23" s="67"/>
      <c r="E23" s="67"/>
      <c r="F23" s="67"/>
      <c r="G23" s="67"/>
      <c r="H23" s="67"/>
      <c r="I23" s="67"/>
      <c r="J23" s="67"/>
      <c r="K23" s="67"/>
    </row>
    <row r="24" spans="1:11" ht="15">
      <c r="A24" s="67"/>
      <c r="B24" s="67"/>
      <c r="C24" s="67"/>
      <c r="D24" s="67"/>
      <c r="E24" s="67"/>
      <c r="F24" s="67"/>
      <c r="G24" s="67"/>
      <c r="H24" s="67"/>
      <c r="I24" s="67"/>
      <c r="J24" s="67"/>
      <c r="K24" s="67"/>
    </row>
    <row r="25" spans="1:11" ht="15">
      <c r="A25" s="67" t="s">
        <v>238</v>
      </c>
      <c r="B25" s="67"/>
      <c r="C25" s="67"/>
      <c r="D25" s="67"/>
      <c r="E25" s="67"/>
      <c r="F25" s="67"/>
      <c r="G25" s="67"/>
      <c r="H25" s="67"/>
      <c r="I25" s="67"/>
      <c r="J25" s="67"/>
      <c r="K25" s="67"/>
    </row>
    <row r="26" spans="1:11" ht="15">
      <c r="A26" s="67"/>
      <c r="B26" s="67"/>
      <c r="C26" s="67"/>
      <c r="D26" s="67"/>
      <c r="E26" s="67"/>
      <c r="F26" s="67"/>
      <c r="G26" s="67"/>
      <c r="H26" s="67"/>
      <c r="I26" s="67"/>
      <c r="J26" s="67"/>
      <c r="K26" s="67"/>
    </row>
    <row r="27" spans="1:11" ht="15">
      <c r="A27" s="67" t="s">
        <v>369</v>
      </c>
      <c r="B27" s="67"/>
      <c r="C27" s="67"/>
      <c r="D27" s="67"/>
      <c r="E27" s="67"/>
      <c r="F27" s="67"/>
      <c r="G27" s="67"/>
      <c r="H27" s="67"/>
      <c r="I27" s="67"/>
      <c r="J27" s="67"/>
      <c r="K27" s="67"/>
    </row>
    <row r="28" spans="1:11" ht="15">
      <c r="A28" s="67"/>
      <c r="B28" s="67" t="s">
        <v>71</v>
      </c>
      <c r="C28" s="67"/>
      <c r="D28" s="67"/>
      <c r="E28" s="67"/>
      <c r="F28" s="67"/>
      <c r="G28" s="67"/>
      <c r="H28" s="67"/>
      <c r="I28" s="67"/>
      <c r="J28" s="67"/>
      <c r="K28" s="67"/>
    </row>
    <row r="29" spans="1:11" ht="15">
      <c r="A29" s="67"/>
      <c r="B29" s="67" t="s">
        <v>368</v>
      </c>
      <c r="C29" s="67"/>
      <c r="D29" s="67"/>
      <c r="E29" s="67"/>
      <c r="F29" s="67"/>
      <c r="G29" s="67"/>
      <c r="H29" s="67"/>
      <c r="I29" s="67"/>
      <c r="J29" s="67"/>
      <c r="K29" s="67"/>
    </row>
    <row r="30" spans="1:11" ht="15">
      <c r="A30" s="67"/>
      <c r="B30" s="67" t="s">
        <v>2</v>
      </c>
      <c r="C30" s="67"/>
      <c r="D30" s="67"/>
      <c r="E30" s="67"/>
      <c r="F30" s="67"/>
      <c r="G30" s="67"/>
      <c r="H30" s="67"/>
      <c r="I30" s="67"/>
      <c r="J30" s="67"/>
      <c r="K30" s="67"/>
    </row>
    <row r="31" spans="1:11" ht="15">
      <c r="A31" s="67"/>
      <c r="B31" s="67" t="s">
        <v>128</v>
      </c>
      <c r="C31" s="67"/>
      <c r="D31" s="67"/>
      <c r="E31" s="67"/>
      <c r="F31" s="67"/>
      <c r="G31" s="67"/>
      <c r="H31" s="67"/>
      <c r="I31" s="67"/>
      <c r="J31" s="67"/>
      <c r="K31" s="67"/>
    </row>
    <row r="32" spans="1:11" ht="15">
      <c r="A32" s="67"/>
      <c r="B32" s="67"/>
      <c r="C32" s="67"/>
      <c r="D32" s="67"/>
      <c r="E32" s="67"/>
      <c r="F32" s="67"/>
      <c r="G32" s="67"/>
      <c r="H32" s="67"/>
      <c r="I32" s="67"/>
      <c r="J32" s="67"/>
      <c r="K32" s="67"/>
    </row>
    <row r="33" spans="1:11" ht="15">
      <c r="A33" s="67" t="s">
        <v>352</v>
      </c>
      <c r="B33" s="67"/>
      <c r="C33" s="67"/>
      <c r="D33" s="67"/>
      <c r="E33" s="67"/>
      <c r="F33" s="67"/>
      <c r="G33" s="67"/>
      <c r="H33" s="67"/>
      <c r="I33" s="67"/>
      <c r="J33" s="67"/>
      <c r="K33" s="67"/>
    </row>
    <row r="34" spans="1:11" ht="15">
      <c r="A34" s="67"/>
      <c r="B34" s="67"/>
      <c r="C34" s="67"/>
      <c r="D34" s="67"/>
      <c r="E34" s="67"/>
      <c r="F34" s="67"/>
      <c r="G34" s="67"/>
      <c r="H34" s="67"/>
      <c r="I34" s="67"/>
      <c r="J34" s="67"/>
      <c r="K34" s="67"/>
    </row>
    <row r="35" spans="1:11" ht="15">
      <c r="A35" s="67"/>
      <c r="B35" s="67"/>
      <c r="C35" s="67"/>
      <c r="D35" s="67"/>
      <c r="E35" s="67"/>
      <c r="F35" s="67"/>
      <c r="G35" s="67"/>
      <c r="H35" s="67"/>
      <c r="I35" s="67"/>
      <c r="J35" s="67"/>
      <c r="K35" s="67"/>
    </row>
    <row r="36" spans="1:11" ht="15">
      <c r="A36" s="67"/>
      <c r="B36" s="67"/>
      <c r="C36" s="67"/>
      <c r="D36" s="67"/>
      <c r="E36" s="67"/>
      <c r="F36" s="67"/>
      <c r="G36" s="67"/>
      <c r="H36" s="67"/>
      <c r="I36" s="67"/>
      <c r="J36" s="67"/>
      <c r="K36" s="67"/>
    </row>
    <row r="37" spans="1:11" ht="15">
      <c r="A37" s="67" t="s">
        <v>353</v>
      </c>
      <c r="B37" s="67"/>
      <c r="C37" s="67"/>
      <c r="D37" s="67"/>
      <c r="E37" s="67"/>
      <c r="F37" s="67"/>
      <c r="G37" s="67"/>
      <c r="H37" s="67"/>
      <c r="I37" s="67"/>
      <c r="J37" s="67"/>
      <c r="K37" s="67"/>
    </row>
    <row r="38" spans="1:11" ht="15">
      <c r="A38" s="67" t="s">
        <v>376</v>
      </c>
      <c r="B38" s="67"/>
      <c r="C38" s="67"/>
      <c r="D38" s="67"/>
      <c r="E38" s="67"/>
      <c r="F38" s="67"/>
      <c r="G38" s="67"/>
      <c r="H38" s="67"/>
      <c r="I38" s="67"/>
      <c r="J38" s="67"/>
      <c r="K38" s="67"/>
    </row>
    <row r="39" spans="1:11" ht="15">
      <c r="A39" s="67" t="s">
        <v>416</v>
      </c>
    </row>
    <row r="40" spans="1:11" ht="15">
      <c r="A40" s="67" t="s">
        <v>418</v>
      </c>
      <c r="B40" s="67"/>
    </row>
    <row r="41" spans="1:11" ht="15">
      <c r="B41" s="67" t="s">
        <v>417</v>
      </c>
    </row>
    <row r="42" spans="1:11" ht="15">
      <c r="B42" s="67" t="s">
        <v>419</v>
      </c>
    </row>
    <row r="43" spans="1:11" ht="15">
      <c r="B43" s="67" t="s">
        <v>342</v>
      </c>
    </row>
  </sheetData>
  <sheetProtection algorithmName="SHA-512" hashValue="ZjhWH6l2cV4Oexn2Ene3NGTHtSxZhnPAbYYnn0DG6rmf5WCgbjr95lHBLxyVdqXVmzKw+v/4cnukUTNtYHboLg==" saltValue="8obb4WkwpREvz7Dx984lZg==" spinCount="100000" sheet="1" objects="1" scenarios="1"/>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FD89-F26D-427F-AFBF-F2D51DC613AD}">
  <sheetPr codeName="Feuil23">
    <tabColor theme="9" tint="0.79998168889431442"/>
  </sheetPr>
  <dimension ref="A1:D28"/>
  <sheetViews>
    <sheetView workbookViewId="0">
      <selection activeCell="D15" sqref="D15"/>
    </sheetView>
  </sheetViews>
  <sheetFormatPr baseColWidth="10" defaultRowHeight="13.2"/>
  <cols>
    <col min="1" max="1" width="27.88671875" customWidth="1"/>
  </cols>
  <sheetData>
    <row r="1" spans="1:4">
      <c r="A1" s="1" t="s">
        <v>4</v>
      </c>
    </row>
    <row r="2" spans="1:4">
      <c r="A2" s="6" t="s">
        <v>39</v>
      </c>
    </row>
    <row r="4" spans="1:4">
      <c r="A4" s="1" t="s">
        <v>5</v>
      </c>
    </row>
    <row r="5" spans="1:4" ht="15.6">
      <c r="A5" s="6" t="s">
        <v>249</v>
      </c>
    </row>
    <row r="13" spans="1:4">
      <c r="A13" s="1" t="s">
        <v>157</v>
      </c>
    </row>
    <row r="14" spans="1:4">
      <c r="A14" s="1" t="s">
        <v>42</v>
      </c>
    </row>
    <row r="15" spans="1:4">
      <c r="A15" s="1" t="s">
        <v>0</v>
      </c>
      <c r="B15" s="8">
        <v>30</v>
      </c>
      <c r="C15" s="1" t="s">
        <v>21</v>
      </c>
      <c r="D15" t="s">
        <v>24</v>
      </c>
    </row>
    <row r="16" spans="1:4">
      <c r="A16" s="1" t="s">
        <v>1</v>
      </c>
      <c r="B16" s="1">
        <v>0.19</v>
      </c>
      <c r="C16" s="1" t="s">
        <v>23</v>
      </c>
      <c r="D16" s="47" t="s">
        <v>370</v>
      </c>
    </row>
    <row r="17" spans="1:4">
      <c r="A17" s="6" t="s">
        <v>223</v>
      </c>
      <c r="B17">
        <v>0</v>
      </c>
      <c r="C17" s="6" t="s">
        <v>21</v>
      </c>
      <c r="D17" s="6" t="s">
        <v>10</v>
      </c>
    </row>
    <row r="18" spans="1:4">
      <c r="A18" s="6"/>
      <c r="C18" s="6"/>
      <c r="D18" s="6"/>
    </row>
    <row r="19" spans="1:4">
      <c r="A19" s="1" t="s">
        <v>43</v>
      </c>
      <c r="C19" s="6"/>
      <c r="D19" s="6"/>
    </row>
    <row r="20" spans="1:4">
      <c r="A20" s="6" t="s">
        <v>224</v>
      </c>
      <c r="B20">
        <v>0</v>
      </c>
      <c r="C20" s="6" t="s">
        <v>226</v>
      </c>
      <c r="D20" s="6" t="s">
        <v>225</v>
      </c>
    </row>
    <row r="21" spans="1:4">
      <c r="A21" s="6"/>
      <c r="C21" s="6"/>
      <c r="D21" s="6"/>
    </row>
    <row r="22" spans="1:4">
      <c r="A22" s="1" t="s">
        <v>46</v>
      </c>
      <c r="C22" s="6"/>
      <c r="D22" s="6"/>
    </row>
    <row r="23" spans="1:4">
      <c r="A23" s="1" t="s">
        <v>13</v>
      </c>
      <c r="B23" s="1">
        <v>250</v>
      </c>
      <c r="C23" s="1" t="s">
        <v>23</v>
      </c>
      <c r="D23" s="6" t="s">
        <v>10</v>
      </c>
    </row>
    <row r="24" spans="1:4">
      <c r="A24" s="1" t="s">
        <v>14</v>
      </c>
      <c r="B24" s="1">
        <v>750</v>
      </c>
      <c r="C24" s="1" t="s">
        <v>23</v>
      </c>
      <c r="D24" s="6" t="s">
        <v>10</v>
      </c>
    </row>
    <row r="25" spans="1:4">
      <c r="A25" s="6"/>
      <c r="C25" s="6"/>
      <c r="D25" s="6"/>
    </row>
    <row r="26" spans="1:4">
      <c r="A26" s="6"/>
      <c r="C26" s="6"/>
      <c r="D26" s="6"/>
    </row>
    <row r="27" spans="1:4">
      <c r="A27" s="6"/>
      <c r="C27" s="6"/>
      <c r="D27" s="6"/>
    </row>
    <row r="28" spans="1:4">
      <c r="A28" s="6"/>
      <c r="C28" s="6"/>
      <c r="D28"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D3982-EEC7-4993-BA8F-D5FCDC9A7130}">
  <sheetPr codeName="Feuil24">
    <tabColor theme="9" tint="0.79998168889431442"/>
  </sheetPr>
  <dimension ref="A1:D31"/>
  <sheetViews>
    <sheetView workbookViewId="0">
      <selection activeCell="D43" sqref="D43"/>
    </sheetView>
  </sheetViews>
  <sheetFormatPr baseColWidth="10" defaultColWidth="11.44140625" defaultRowHeight="13.2"/>
  <cols>
    <col min="1" max="1" width="42.33203125" customWidth="1"/>
  </cols>
  <sheetData>
    <row r="1" spans="1:1">
      <c r="A1" s="1" t="s">
        <v>4</v>
      </c>
    </row>
    <row r="2" spans="1:1">
      <c r="A2" s="6" t="s">
        <v>62</v>
      </c>
    </row>
    <row r="4" spans="1:1">
      <c r="A4" s="1" t="s">
        <v>5</v>
      </c>
    </row>
    <row r="5" spans="1:1">
      <c r="A5" s="7" t="s">
        <v>156</v>
      </c>
    </row>
    <row r="6" spans="1:1">
      <c r="A6" s="6" t="s">
        <v>302</v>
      </c>
    </row>
    <row r="13" spans="1:1">
      <c r="A13" s="1" t="s">
        <v>157</v>
      </c>
    </row>
    <row r="16" spans="1:1">
      <c r="A16" s="1" t="s">
        <v>42</v>
      </c>
    </row>
    <row r="17" spans="1:4">
      <c r="A17" s="47" t="s">
        <v>93</v>
      </c>
      <c r="B17" s="47" t="s">
        <v>94</v>
      </c>
      <c r="C17" s="7">
        <f>6/19.447</f>
        <v>0.30853087879878643</v>
      </c>
      <c r="D17" s="6" t="s">
        <v>307</v>
      </c>
    </row>
    <row r="18" spans="1:4">
      <c r="A18" s="47"/>
      <c r="B18" s="47"/>
      <c r="C18" s="7">
        <f>C17*30*24</f>
        <v>222.14223273512621</v>
      </c>
      <c r="D18" s="6" t="s">
        <v>307</v>
      </c>
    </row>
    <row r="19" spans="1:4">
      <c r="A19" s="47" t="s">
        <v>95</v>
      </c>
      <c r="B19" s="47" t="s">
        <v>96</v>
      </c>
      <c r="C19" s="47">
        <f>8*8/19.447</f>
        <v>3.2909960405203891</v>
      </c>
      <c r="D19" s="6" t="s">
        <v>307</v>
      </c>
    </row>
    <row r="20" spans="1:4">
      <c r="A20" s="8" t="s">
        <v>259</v>
      </c>
      <c r="B20" s="8" t="s">
        <v>98</v>
      </c>
      <c r="C20" s="8">
        <f>C19*13/1000</f>
        <v>4.2782948526765063E-2</v>
      </c>
      <c r="D20" s="6" t="s">
        <v>307</v>
      </c>
    </row>
    <row r="21" spans="1:4">
      <c r="A21" s="8" t="s">
        <v>97</v>
      </c>
      <c r="B21" s="8" t="s">
        <v>98</v>
      </c>
      <c r="C21" s="8">
        <f>4.3109/19.447</f>
        <v>0.22167429423561477</v>
      </c>
      <c r="D21" s="6" t="s">
        <v>307</v>
      </c>
    </row>
    <row r="22" spans="1:4">
      <c r="A22" s="8" t="s">
        <v>309</v>
      </c>
      <c r="B22" s="8" t="s">
        <v>98</v>
      </c>
      <c r="C22" s="8">
        <f>7.525/91</f>
        <v>8.269230769230769E-2</v>
      </c>
      <c r="D22" s="6" t="s">
        <v>303</v>
      </c>
    </row>
    <row r="23" spans="1:4">
      <c r="A23" s="8" t="s">
        <v>99</v>
      </c>
      <c r="B23" s="8" t="s">
        <v>98</v>
      </c>
      <c r="C23" s="8">
        <f>2.5/19.447</f>
        <v>0.12855453283282769</v>
      </c>
      <c r="D23" s="6" t="s">
        <v>307</v>
      </c>
    </row>
    <row r="24" spans="1:4">
      <c r="A24" s="47" t="s">
        <v>100</v>
      </c>
      <c r="B24" s="47" t="s">
        <v>81</v>
      </c>
      <c r="C24" s="47">
        <v>1.5</v>
      </c>
      <c r="D24" s="6" t="s">
        <v>307</v>
      </c>
    </row>
    <row r="25" spans="1:4">
      <c r="A25" s="47" t="s">
        <v>100</v>
      </c>
      <c r="B25" s="47" t="s">
        <v>77</v>
      </c>
      <c r="C25" s="7">
        <v>21</v>
      </c>
      <c r="D25" s="6" t="s">
        <v>307</v>
      </c>
    </row>
    <row r="26" spans="1:4">
      <c r="A26" s="8" t="s">
        <v>260</v>
      </c>
      <c r="B26" s="8" t="s">
        <v>101</v>
      </c>
      <c r="C26" s="8">
        <f>C25*C17*30*C24</f>
        <v>291.56168046485317</v>
      </c>
      <c r="D26" s="6" t="s">
        <v>307</v>
      </c>
    </row>
    <row r="27" spans="1:4">
      <c r="A27" s="8" t="s">
        <v>11</v>
      </c>
      <c r="B27" s="8" t="s">
        <v>98</v>
      </c>
      <c r="C27" s="8">
        <f>0.073/19.447</f>
        <v>3.7537923587185685E-3</v>
      </c>
      <c r="D27" s="6" t="s">
        <v>307</v>
      </c>
    </row>
    <row r="28" spans="1:4">
      <c r="A28" s="8" t="s">
        <v>116</v>
      </c>
      <c r="B28" s="8" t="s">
        <v>308</v>
      </c>
      <c r="C28" s="8">
        <f>40.5/91</f>
        <v>0.44505494505494503</v>
      </c>
      <c r="D28" s="6" t="s">
        <v>303</v>
      </c>
    </row>
    <row r="29" spans="1:4">
      <c r="A29" s="7"/>
      <c r="B29" s="7"/>
      <c r="C29" s="7"/>
    </row>
    <row r="30" spans="1:4">
      <c r="A30" s="47" t="s">
        <v>306</v>
      </c>
      <c r="B30" s="47" t="s">
        <v>304</v>
      </c>
      <c r="C30">
        <f>139/(7895*Conversions!E62)</f>
        <v>9.7811554429667151E-3</v>
      </c>
      <c r="D30" s="6" t="s">
        <v>303</v>
      </c>
    </row>
    <row r="31" spans="1:4">
      <c r="A31" s="47" t="s">
        <v>305</v>
      </c>
      <c r="B31" s="47" t="s">
        <v>304</v>
      </c>
      <c r="C31">
        <f>173/(9860*Conversions!E62)</f>
        <v>9.747577191796258E-3</v>
      </c>
      <c r="D31" s="6" t="s">
        <v>303</v>
      </c>
    </row>
  </sheetData>
  <pageMargins left="0.7" right="0.7" top="0.75" bottom="0.75" header="0.3" footer="0.3"/>
  <pageSetup paperSize="9" orientation="portrait" copies="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tabColor rgb="FFFFFF00"/>
  </sheetPr>
  <dimension ref="A1:E16"/>
  <sheetViews>
    <sheetView zoomScaleNormal="100" workbookViewId="0">
      <selection activeCell="A12" sqref="A12"/>
    </sheetView>
  </sheetViews>
  <sheetFormatPr baseColWidth="10" defaultColWidth="11.44140625" defaultRowHeight="13.2"/>
  <cols>
    <col min="1" max="1" width="42.5546875" bestFit="1" customWidth="1"/>
    <col min="2" max="2" width="18.33203125" bestFit="1" customWidth="1"/>
    <col min="3" max="3" width="29.6640625" bestFit="1" customWidth="1"/>
    <col min="4" max="4" width="24.44140625" bestFit="1" customWidth="1"/>
    <col min="5" max="5" width="29.109375" bestFit="1" customWidth="1"/>
    <col min="6" max="6" width="53.5546875" bestFit="1" customWidth="1"/>
    <col min="7" max="7" width="16.88671875" bestFit="1" customWidth="1"/>
    <col min="8" max="8" width="16.33203125" bestFit="1" customWidth="1"/>
    <col min="9" max="9" width="22.6640625" bestFit="1" customWidth="1"/>
    <col min="10" max="10" width="17.109375" bestFit="1" customWidth="1"/>
    <col min="11" max="11" width="17" bestFit="1" customWidth="1"/>
    <col min="12" max="12" width="27.109375" bestFit="1" customWidth="1"/>
    <col min="13" max="13" width="30.6640625" bestFit="1" customWidth="1"/>
    <col min="14" max="14" width="26.6640625" bestFit="1" customWidth="1"/>
    <col min="15" max="17" width="16.33203125" bestFit="1" customWidth="1"/>
    <col min="18" max="18" width="25.5546875" bestFit="1" customWidth="1"/>
    <col min="19" max="19" width="18.6640625" bestFit="1" customWidth="1"/>
    <col min="20" max="20" width="21.5546875" bestFit="1" customWidth="1"/>
    <col min="21" max="21" width="21.6640625" bestFit="1" customWidth="1"/>
    <col min="22" max="22" width="22.5546875" bestFit="1" customWidth="1"/>
    <col min="23" max="23" width="24.109375" bestFit="1" customWidth="1"/>
  </cols>
  <sheetData>
    <row r="1" spans="1:5">
      <c r="A1" t="s">
        <v>26</v>
      </c>
      <c r="C1" s="6" t="s">
        <v>127</v>
      </c>
      <c r="D1" t="s">
        <v>121</v>
      </c>
      <c r="E1" t="s">
        <v>27</v>
      </c>
    </row>
    <row r="2" spans="1:5">
      <c r="A2" t="s">
        <v>28</v>
      </c>
      <c r="C2" t="s">
        <v>65</v>
      </c>
      <c r="D2" t="s">
        <v>122</v>
      </c>
      <c r="E2" t="s">
        <v>37</v>
      </c>
    </row>
    <row r="3" spans="1:5">
      <c r="A3" t="s">
        <v>29</v>
      </c>
      <c r="C3" t="s">
        <v>65</v>
      </c>
      <c r="D3" t="s">
        <v>122</v>
      </c>
      <c r="E3" t="s">
        <v>41</v>
      </c>
    </row>
    <row r="4" spans="1:5">
      <c r="A4" t="s">
        <v>30</v>
      </c>
      <c r="C4" t="s">
        <v>65</v>
      </c>
      <c r="D4" t="s">
        <v>122</v>
      </c>
      <c r="E4" t="s">
        <v>63</v>
      </c>
    </row>
    <row r="5" spans="1:5">
      <c r="A5" t="s">
        <v>31</v>
      </c>
      <c r="C5" t="s">
        <v>65</v>
      </c>
      <c r="D5" t="s">
        <v>122</v>
      </c>
      <c r="E5" t="s">
        <v>61</v>
      </c>
    </row>
    <row r="6" spans="1:5">
      <c r="A6" t="s">
        <v>32</v>
      </c>
      <c r="C6" t="s">
        <v>65</v>
      </c>
      <c r="D6" t="s">
        <v>123</v>
      </c>
      <c r="E6" t="s">
        <v>33</v>
      </c>
    </row>
    <row r="7" spans="1:5">
      <c r="C7" t="s">
        <v>65</v>
      </c>
      <c r="D7" t="s">
        <v>123</v>
      </c>
      <c r="E7" t="s">
        <v>35</v>
      </c>
    </row>
    <row r="8" spans="1:5">
      <c r="C8" t="s">
        <v>65</v>
      </c>
      <c r="D8" t="s">
        <v>124</v>
      </c>
      <c r="E8" t="s">
        <v>40</v>
      </c>
    </row>
    <row r="9" spans="1:5">
      <c r="C9" t="s">
        <v>70</v>
      </c>
      <c r="D9" t="s">
        <v>122</v>
      </c>
      <c r="E9" t="s">
        <v>71</v>
      </c>
    </row>
    <row r="10" spans="1:5">
      <c r="C10" t="s">
        <v>70</v>
      </c>
      <c r="D10" t="s">
        <v>122</v>
      </c>
      <c r="E10" t="s">
        <v>36</v>
      </c>
    </row>
    <row r="11" spans="1:5">
      <c r="C11" t="s">
        <v>70</v>
      </c>
      <c r="D11" t="s">
        <v>122</v>
      </c>
      <c r="E11" t="s">
        <v>64</v>
      </c>
    </row>
    <row r="12" spans="1:5">
      <c r="C12" t="s">
        <v>70</v>
      </c>
      <c r="D12" t="s">
        <v>122</v>
      </c>
      <c r="E12" t="s">
        <v>126</v>
      </c>
    </row>
    <row r="13" spans="1:5">
      <c r="C13" t="s">
        <v>70</v>
      </c>
      <c r="D13" t="s">
        <v>122</v>
      </c>
      <c r="E13" s="6" t="s">
        <v>128</v>
      </c>
    </row>
    <row r="14" spans="1:5">
      <c r="C14" t="s">
        <v>70</v>
      </c>
      <c r="D14" t="s">
        <v>124</v>
      </c>
      <c r="E14" t="s">
        <v>38</v>
      </c>
    </row>
    <row r="15" spans="1:5">
      <c r="C15" t="s">
        <v>70</v>
      </c>
      <c r="D15" t="s">
        <v>124</v>
      </c>
      <c r="E15" t="s">
        <v>39</v>
      </c>
    </row>
    <row r="16" spans="1:5">
      <c r="C16" t="s">
        <v>70</v>
      </c>
      <c r="D16" t="s">
        <v>125</v>
      </c>
      <c r="E16" t="s">
        <v>62</v>
      </c>
    </row>
  </sheetData>
  <pageMargins left="0.19685039370078741" right="0.19685039370078741" top="0.74803149606299213" bottom="0.74803149606299213" header="0.31496062992125984" footer="0.31496062992125984"/>
  <pageSetup paperSize="9" scale="80" orientation="landscape" r:id="rId1"/>
  <headerFooter>
    <oddHeader>Page &amp;P</oddHeader>
    <oddFooter>&amp;L&amp;F&amp;R&amp;D]</oddFooter>
  </headerFooter>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721B-26F0-4CC4-B3B7-6EC53DE135E7}">
  <sheetPr codeName="Feuil4">
    <tabColor theme="0"/>
    <pageSetUpPr fitToPage="1"/>
  </sheetPr>
  <dimension ref="A1:N20"/>
  <sheetViews>
    <sheetView topLeftCell="B1" zoomScaleNormal="100" workbookViewId="0">
      <selection activeCell="D10" sqref="D10"/>
    </sheetView>
  </sheetViews>
  <sheetFormatPr baseColWidth="10" defaultColWidth="11.44140625" defaultRowHeight="13.2"/>
  <cols>
    <col min="1" max="1" width="10.33203125" hidden="1" customWidth="1"/>
    <col min="2" max="2" width="6.33203125" bestFit="1" customWidth="1"/>
    <col min="3" max="3" width="22.33203125" customWidth="1"/>
    <col min="4" max="4" width="59.44140625" customWidth="1"/>
    <col min="5" max="9" width="7.33203125" customWidth="1"/>
    <col min="10" max="14" width="27.44140625" hidden="1" customWidth="1"/>
    <col min="15" max="17" width="11.44140625" customWidth="1"/>
  </cols>
  <sheetData>
    <row r="1" spans="1:14" ht="150" customHeight="1">
      <c r="A1" s="6" t="s">
        <v>130</v>
      </c>
      <c r="B1" s="6" t="s">
        <v>131</v>
      </c>
      <c r="C1" s="6" t="s">
        <v>132</v>
      </c>
      <c r="D1" s="6" t="s">
        <v>133</v>
      </c>
      <c r="E1" s="64" t="s">
        <v>28</v>
      </c>
      <c r="F1" s="64" t="s">
        <v>29</v>
      </c>
      <c r="G1" s="64" t="s">
        <v>30</v>
      </c>
      <c r="H1" s="64" t="s">
        <v>31</v>
      </c>
      <c r="I1" s="64" t="s">
        <v>32</v>
      </c>
      <c r="J1" s="62" t="s">
        <v>335</v>
      </c>
      <c r="K1" s="62" t="s">
        <v>336</v>
      </c>
      <c r="L1" s="62" t="s">
        <v>337</v>
      </c>
      <c r="M1" s="62" t="s">
        <v>338</v>
      </c>
      <c r="N1" s="63" t="s">
        <v>339</v>
      </c>
    </row>
    <row r="2" spans="1:14">
      <c r="A2" s="6" t="s">
        <v>129</v>
      </c>
      <c r="B2" t="s">
        <v>70</v>
      </c>
      <c r="C2" t="s">
        <v>69</v>
      </c>
      <c r="D2" s="6" t="s">
        <v>62</v>
      </c>
      <c r="F2" t="s">
        <v>134</v>
      </c>
      <c r="I2" t="s">
        <v>134</v>
      </c>
      <c r="J2" s="61" t="str">
        <f t="array" aca="1" ref="J2" ca="1">IFERROR(INDEX(Methodes[Méthode dépollution],SMALL(IF(ISTEXT(INDIRECT("Methodes["&amp;MID(J$1,2,299)&amp;"]")),ROW(Methodes[Méthode dépollution])-ROW(Methodes[#Headers]),""),ROW(D1)))," ")</f>
        <v>Co-incinération en cimenterie</v>
      </c>
      <c r="K2" s="61" t="str">
        <f t="array" aca="1" ref="K2" ca="1">IFERROR(INDEX(Methodes[Méthode dépollution],SMALL(IF(ISTEXT(INDIRECT("Methodes["&amp;MID(K$1,2,299)&amp;"]")),ROW(Methodes[Méthode dépollution])-ROW(Methodes[#Headers]),""),ROW(E1)))," ")</f>
        <v>Biotertre</v>
      </c>
      <c r="L2" s="61" t="str">
        <f t="array" aca="1" ref="L2" ca="1">IFERROR(INDEX(Methodes[Méthode dépollution],SMALL(IF(ISTEXT(INDIRECT("Methodes["&amp;MID(L$1,2,299)&amp;"]")),ROW(Methodes[Méthode dépollution])-ROW(Methodes[#Headers]),""),ROW(F1)))," ")</f>
        <v>Co-incinération en cimenterie</v>
      </c>
      <c r="M2" s="61" t="str">
        <f t="array" aca="1" ref="M2" ca="1">IFERROR(INDEX(Methodes[Méthode dépollution],SMALL(IF(ISTEXT(INDIRECT("Methodes["&amp;MID(M$1,2,299)&amp;"]")),ROW(Methodes[Méthode dépollution])-ROW(Methodes[#Headers]),""),ROW(G1)))," ")</f>
        <v>Co-incinération en cimenterie</v>
      </c>
      <c r="N2" s="61" t="str">
        <f t="array" aca="1" ref="N2" ca="1">IFERROR(INDEX(Methodes[Méthode dépollution],SMALL(IF(ISTEXT(INDIRECT("Methodes["&amp;MID(N$1,2,299)&amp;"]")),ROW(Methodes[Méthode dépollution])-ROW(Methodes[#Headers]),""),ROW(H1)))," ")</f>
        <v>Biotertre</v>
      </c>
    </row>
    <row r="3" spans="1:14">
      <c r="A3" s="6" t="s">
        <v>129</v>
      </c>
      <c r="B3" t="s">
        <v>70</v>
      </c>
      <c r="C3" t="s">
        <v>68</v>
      </c>
      <c r="D3" t="s">
        <v>39</v>
      </c>
      <c r="E3" t="s">
        <v>134</v>
      </c>
      <c r="F3" t="s">
        <v>134</v>
      </c>
      <c r="G3" t="s">
        <v>134</v>
      </c>
      <c r="H3" t="s">
        <v>134</v>
      </c>
      <c r="I3" t="s">
        <v>134</v>
      </c>
      <c r="J3" s="61" t="str">
        <f t="array" aca="1" ref="J3" ca="1">IFERROR(INDEX(Methodes[Méthode dépollution],SMALL(IF(ISTEXT(INDIRECT("Methodes["&amp;MID(J$1,2,299)&amp;"]")),ROW(Methodes[Méthode dépollution])-ROW(Methodes[#Headers]),""),ROW(D2)))," ")</f>
        <v>Désorption thermique en zone saturée ou non saturée</v>
      </c>
      <c r="K3" s="61" t="str">
        <f t="array" aca="1" ref="K3" ca="1">IFERROR(INDEX(Methodes[Méthode dépollution],SMALL(IF(ISTEXT(INDIRECT("Methodes["&amp;MID(K$1,2,299)&amp;"]")),ROW(Methodes[Méthode dépollution])-ROW(Methodes[#Headers]),""),ROW(E2)))," ")</f>
        <v>Co-incinération en cimenterie</v>
      </c>
      <c r="L3" s="61" t="str">
        <f t="array" aca="1" ref="L3" ca="1">IFERROR(INDEX(Methodes[Méthode dépollution],SMALL(IF(ISTEXT(INDIRECT("Methodes["&amp;MID(L$1,2,299)&amp;"]")),ROW(Methodes[Méthode dépollution])-ROW(Methodes[#Headers]),""),ROW(F2)))," ")</f>
        <v>Excavation</v>
      </c>
      <c r="M3" s="61" t="str">
        <f t="array" aca="1" ref="M3" ca="1">IFERROR(INDEX(Methodes[Méthode dépollution],SMALL(IF(ISTEXT(INDIRECT("Methodes["&amp;MID(M$1,2,299)&amp;"]")),ROW(Methodes[Méthode dépollution])-ROW(Methodes[#Headers]),""),ROW(G2)))," ")</f>
        <v>Excavation</v>
      </c>
      <c r="N3" s="61" t="str">
        <f t="array" aca="1" ref="N3" ca="1">IFERROR(INDEX(Methodes[Méthode dépollution],SMALL(IF(ISTEXT(INDIRECT("Methodes["&amp;MID(N$1,2,299)&amp;"]")),ROW(Methodes[Méthode dépollution])-ROW(Methodes[#Headers]),""),ROW(H2)))," ")</f>
        <v>Co-incinération en cimenterie</v>
      </c>
    </row>
    <row r="4" spans="1:14">
      <c r="A4" s="6" t="s">
        <v>129</v>
      </c>
      <c r="B4" t="s">
        <v>65</v>
      </c>
      <c r="C4" t="s">
        <v>68</v>
      </c>
      <c r="D4" t="s">
        <v>40</v>
      </c>
      <c r="E4" t="s">
        <v>134</v>
      </c>
      <c r="F4" t="s">
        <v>134</v>
      </c>
      <c r="I4" t="s">
        <v>134</v>
      </c>
      <c r="J4" s="61" t="str">
        <f t="array" aca="1" ref="J4" ca="1">IFERROR(INDEX(Methodes[Méthode dépollution],SMALL(IF(ISTEXT(INDIRECT("Methodes["&amp;MID(J$1,2,299)&amp;"]")),ROW(Methodes[Méthode dépollution])-ROW(Methodes[#Headers]),""),ROW(D3)))," ")</f>
        <v>Excavation</v>
      </c>
      <c r="K4" s="61" t="str">
        <f t="array" aca="1" ref="K4" ca="1">IFERROR(INDEX(Methodes[Méthode dépollution],SMALL(IF(ISTEXT(INDIRECT("Methodes["&amp;MID(K$1,2,299)&amp;"]")),ROW(Methodes[Méthode dépollution])-ROW(Methodes[#Headers]),""),ROW(E3)))," ")</f>
        <v>Désorption thermique en zone saturée ou non saturée</v>
      </c>
      <c r="L4" s="61" t="str">
        <f t="array" aca="1" ref="L4" ca="1">IFERROR(INDEX(Methodes[Méthode dépollution],SMALL(IF(ISTEXT(INDIRECT("Methodes["&amp;MID(L$1,2,299)&amp;"]")),ROW(Methodes[Méthode dépollution])-ROW(Methodes[#Headers]),""),ROW(F3)))," ")</f>
        <v>Incinération en four dédié</v>
      </c>
      <c r="M4" s="61" t="str">
        <f t="array" aca="1" ref="M4" ca="1">IFERROR(INDEX(Methodes[Méthode dépollution],SMALL(IF(ISTEXT(INDIRECT("Methodes["&amp;MID(M$1,2,299)&amp;"]")),ROW(Methodes[Méthode dépollution])-ROW(Methodes[#Headers]),""),ROW(G3)))," ")</f>
        <v>Incinération en four dédié</v>
      </c>
      <c r="N4" s="61" t="str">
        <f t="array" aca="1" ref="N4" ca="1">IFERROR(INDEX(Methodes[Méthode dépollution],SMALL(IF(ISTEXT(INDIRECT("Methodes["&amp;MID(N$1,2,299)&amp;"]")),ROW(Methodes[Méthode dépollution])-ROW(Methodes[#Headers]),""),ROW(H3)))," ")</f>
        <v>Désorption thermique en zone saturée ou non saturée</v>
      </c>
    </row>
    <row r="5" spans="1:14">
      <c r="A5" s="6" t="s">
        <v>129</v>
      </c>
      <c r="B5" t="s">
        <v>70</v>
      </c>
      <c r="C5" t="s">
        <v>66</v>
      </c>
      <c r="D5" t="s">
        <v>71</v>
      </c>
      <c r="E5" t="s">
        <v>134</v>
      </c>
      <c r="F5" t="s">
        <v>134</v>
      </c>
      <c r="G5" t="s">
        <v>134</v>
      </c>
      <c r="H5" t="s">
        <v>134</v>
      </c>
      <c r="I5" t="s">
        <v>134</v>
      </c>
      <c r="J5" s="61" t="str">
        <f t="array" aca="1" ref="J5" ca="1">IFERROR(INDEX(Methodes[Méthode dépollution],SMALL(IF(ISTEXT(INDIRECT("Methodes["&amp;MID(J$1,2,299)&amp;"]")),ROW(Methodes[Méthode dépollution])-ROW(Methodes[#Headers]),""),ROW(D4)))," ")</f>
        <v>Incinération en four dédié</v>
      </c>
      <c r="K5" s="61" t="str">
        <f t="array" aca="1" ref="K5" ca="1">IFERROR(INDEX(Methodes[Méthode dépollution],SMALL(IF(ISTEXT(INDIRECT("Methodes["&amp;MID(K$1,2,299)&amp;"]")),ROW(Methodes[Méthode dépollution])-ROW(Methodes[#Headers]),""),ROW(E4)))," ")</f>
        <v>Excavation</v>
      </c>
      <c r="L5" s="61" t="str">
        <f t="array" aca="1" ref="L5" ca="1">IFERROR(INDEX(Methodes[Méthode dépollution],SMALL(IF(ISTEXT(INDIRECT("Methodes["&amp;MID(L$1,2,299)&amp;"]")),ROW(Methodes[Méthode dépollution])-ROW(Methodes[#Headers]),""),ROW(F4)))," ")</f>
        <v>Lavage à l'eau</v>
      </c>
      <c r="M5" s="61" t="str">
        <f t="array" aca="1" ref="M5" ca="1">IFERROR(INDEX(Methodes[Méthode dépollution],SMALL(IF(ISTEXT(INDIRECT("Methodes["&amp;MID(M$1,2,299)&amp;"]")),ROW(Methodes[Méthode dépollution])-ROW(Methodes[#Headers]),""),ROW(G4)))," ")</f>
        <v>Lavage à l'eau</v>
      </c>
      <c r="N5" s="61" t="str">
        <f t="array" aca="1" ref="N5" ca="1">IFERROR(INDEX(Methodes[Méthode dépollution],SMALL(IF(ISTEXT(INDIRECT("Methodes["&amp;MID(N$1,2,299)&amp;"]")),ROW(Methodes[Méthode dépollution])-ROW(Methodes[#Headers]),""),ROW(H4)))," ")</f>
        <v>Excavation</v>
      </c>
    </row>
    <row r="6" spans="1:14">
      <c r="A6" s="6" t="s">
        <v>129</v>
      </c>
      <c r="B6" t="s">
        <v>70</v>
      </c>
      <c r="C6" t="s">
        <v>68</v>
      </c>
      <c r="D6" t="s">
        <v>38</v>
      </c>
      <c r="E6" t="s">
        <v>134</v>
      </c>
      <c r="F6" t="s">
        <v>134</v>
      </c>
      <c r="G6" t="s">
        <v>134</v>
      </c>
      <c r="H6" t="s">
        <v>134</v>
      </c>
      <c r="I6" t="s">
        <v>134</v>
      </c>
      <c r="J6" s="61" t="str">
        <f t="array" aca="1" ref="J6" ca="1">IFERROR(INDEX(Methodes[Méthode dépollution],SMALL(IF(ISTEXT(INDIRECT("Methodes["&amp;MID(J$1,2,299)&amp;"]")),ROW(Methodes[Méthode dépollution])-ROW(Methodes[#Headers]),""),ROW(D5)))," ")</f>
        <v>Lavage à l'eau et extraction</v>
      </c>
      <c r="K6" s="61" t="str">
        <f t="array" aca="1" ref="K6" ca="1">IFERROR(INDEX(Methodes[Méthode dépollution],SMALL(IF(ISTEXT(INDIRECT("Methodes["&amp;MID(K$1,2,299)&amp;"]")),ROW(Methodes[Méthode dépollution])-ROW(Methodes[#Headers]),""),ROW(E5)))," ")</f>
        <v>Incinération en four dédié</v>
      </c>
      <c r="L6" s="61" t="str">
        <f t="array" aca="1" ref="L6" ca="1">IFERROR(INDEX(Methodes[Méthode dépollution],SMALL(IF(ISTEXT(INDIRECT("Methodes["&amp;MID(L$1,2,299)&amp;"]")),ROW(Methodes[Méthode dépollution])-ROW(Methodes[#Headers]),""),ROW(F5)))," ")</f>
        <v>Lavage à l'eau et extraction</v>
      </c>
      <c r="M6" s="61" t="str">
        <f t="array" aca="1" ref="M6" ca="1">IFERROR(INDEX(Methodes[Méthode dépollution],SMALL(IF(ISTEXT(INDIRECT("Methodes["&amp;MID(M$1,2,299)&amp;"]")),ROW(Methodes[Méthode dépollution])-ROW(Methodes[#Headers]),""),ROW(G5)))," ")</f>
        <v>Lavage à l'eau et extraction</v>
      </c>
      <c r="N6" s="61" t="str">
        <f t="array" aca="1" ref="N6" ca="1">IFERROR(INDEX(Methodes[Méthode dépollution],SMALL(IF(ISTEXT(INDIRECT("Methodes["&amp;MID(N$1,2,299)&amp;"]")),ROW(Methodes[Méthode dépollution])-ROW(Methodes[#Headers]),""),ROW(H5)))," ")</f>
        <v>Incinération en four dédié</v>
      </c>
    </row>
    <row r="7" spans="1:14">
      <c r="A7" s="6" t="s">
        <v>129</v>
      </c>
      <c r="B7" t="s">
        <v>70</v>
      </c>
      <c r="C7" t="s">
        <v>66</v>
      </c>
      <c r="D7" t="s">
        <v>64</v>
      </c>
      <c r="F7" t="s">
        <v>134</v>
      </c>
      <c r="G7" t="s">
        <v>134</v>
      </c>
      <c r="H7" t="s">
        <v>134</v>
      </c>
      <c r="I7" t="s">
        <v>134</v>
      </c>
      <c r="J7" s="61" t="str">
        <f t="array" aca="1" ref="J7" ca="1">IFERROR(INDEX(Methodes[Méthode dépollution],SMALL(IF(ISTEXT(INDIRECT("Methodes["&amp;MID(J$1,2,299)&amp;"]")),ROW(Methodes[Méthode dépollution])-ROW(Methodes[#Headers]),""),ROW(D6)))," ")</f>
        <v>Mise en décharge de type A</v>
      </c>
      <c r="K7" s="61" t="str">
        <f t="array" aca="1" ref="K7" ca="1">IFERROR(INDEX(Methodes[Méthode dépollution],SMALL(IF(ISTEXT(INDIRECT("Methodes["&amp;MID(K$1,2,299)&amp;"]")),ROW(Methodes[Méthode dépollution])-ROW(Methodes[#Headers]),""),ROW(E6)))," ")</f>
        <v>Lavage à l'eau</v>
      </c>
      <c r="L7" s="61" t="str">
        <f t="array" aca="1" ref="L7" ca="1">IFERROR(INDEX(Methodes[Méthode dépollution],SMALL(IF(ISTEXT(INDIRECT("Methodes["&amp;MID(L$1,2,299)&amp;"]")),ROW(Methodes[Méthode dépollution])-ROW(Methodes[#Headers]),""),ROW(F6)))," ")</f>
        <v>Mise en décharge de type A</v>
      </c>
      <c r="M7" s="61" t="str">
        <f t="array" aca="1" ref="M7" ca="1">IFERROR(INDEX(Methodes[Méthode dépollution],SMALL(IF(ISTEXT(INDIRECT("Methodes["&amp;MID(M$1,2,299)&amp;"]")),ROW(Methodes[Méthode dépollution])-ROW(Methodes[#Headers]),""),ROW(G6)))," ")</f>
        <v>Mise en décharge de type A</v>
      </c>
      <c r="N7" s="61" t="str">
        <f t="array" aca="1" ref="N7" ca="1">IFERROR(INDEX(Methodes[Méthode dépollution],SMALL(IF(ISTEXT(INDIRECT("Methodes["&amp;MID(N$1,2,299)&amp;"]")),ROW(Methodes[Méthode dépollution])-ROW(Methodes[#Headers]),""),ROW(H6)))," ")</f>
        <v>Lavage à l'eau</v>
      </c>
    </row>
    <row r="8" spans="1:14">
      <c r="A8" s="6" t="s">
        <v>129</v>
      </c>
      <c r="B8" t="s">
        <v>65</v>
      </c>
      <c r="C8" t="s">
        <v>67</v>
      </c>
      <c r="D8" s="7" t="s">
        <v>33</v>
      </c>
      <c r="E8" t="s">
        <v>134</v>
      </c>
      <c r="F8" t="s">
        <v>134</v>
      </c>
      <c r="G8" t="s">
        <v>134</v>
      </c>
      <c r="H8" t="s">
        <v>134</v>
      </c>
      <c r="I8" t="s">
        <v>134</v>
      </c>
      <c r="J8" s="61" t="str">
        <f t="array" aca="1" ref="J8" ca="1">IFERROR(INDEX(Methodes[Méthode dépollution],SMALL(IF(ISTEXT(INDIRECT("Methodes["&amp;MID(J$1,2,299)&amp;"]")),ROW(Methodes[Méthode dépollution])-ROW(Methodes[#Headers]),""),ROW(D7)))," ")</f>
        <v>Mise en décharge de type B ou C</v>
      </c>
      <c r="K8" s="61" t="str">
        <f t="array" aca="1" ref="K8" ca="1">IFERROR(INDEX(Methodes[Méthode dépollution],SMALL(IF(ISTEXT(INDIRECT("Methodes["&amp;MID(K$1,2,299)&amp;"]")),ROW(Methodes[Méthode dépollution])-ROW(Methodes[#Headers]),""),ROW(E7)))," ")</f>
        <v>Lavage à l'eau et extraction</v>
      </c>
      <c r="L8" s="61" t="str">
        <f t="array" aca="1" ref="L8" ca="1">IFERROR(INDEX(Methodes[Méthode dépollution],SMALL(IF(ISTEXT(INDIRECT("Methodes["&amp;MID(L$1,2,299)&amp;"]")),ROW(Methodes[Méthode dépollution])-ROW(Methodes[#Headers]),""),ROW(F7)))," ")</f>
        <v>Mise en décharge de type B ou C</v>
      </c>
      <c r="M8" s="61" t="str">
        <f t="array" aca="1" ref="M8" ca="1">IFERROR(INDEX(Methodes[Méthode dépollution],SMALL(IF(ISTEXT(INDIRECT("Methodes["&amp;MID(M$1,2,299)&amp;"]")),ROW(Methodes[Méthode dépollution])-ROW(Methodes[#Headers]),""),ROW(G7)))," ")</f>
        <v>Mise en décharge de type B ou C</v>
      </c>
      <c r="N8" s="61" t="str">
        <f t="array" aca="1" ref="N8" ca="1">IFERROR(INDEX(Methodes[Méthode dépollution],SMALL(IF(ISTEXT(INDIRECT("Methodes["&amp;MID(N$1,2,299)&amp;"]")),ROW(Methodes[Méthode dépollution])-ROW(Methodes[#Headers]),""),ROW(H7)))," ")</f>
        <v>Lavage à l'eau et extraction</v>
      </c>
    </row>
    <row r="9" spans="1:14">
      <c r="A9" s="6" t="s">
        <v>129</v>
      </c>
      <c r="B9" t="s">
        <v>70</v>
      </c>
      <c r="C9" t="s">
        <v>66</v>
      </c>
      <c r="D9" s="6" t="s">
        <v>372</v>
      </c>
      <c r="E9" t="s">
        <v>134</v>
      </c>
      <c r="F9" t="s">
        <v>134</v>
      </c>
      <c r="G9" t="s">
        <v>134</v>
      </c>
      <c r="H9" t="s">
        <v>134</v>
      </c>
      <c r="I9" t="s">
        <v>134</v>
      </c>
      <c r="J9" s="61" t="str">
        <f t="array" aca="1" ref="J9" ca="1">IFERROR(INDEX(Methodes[Méthode dépollution],SMALL(IF(ISTEXT(INDIRECT("Methodes["&amp;MID(J$1,2,299)&amp;"]")),ROW(Methodes[Méthode dépollution])-ROW(Methodes[#Headers]),""),ROW(D8)))," ")</f>
        <v>Mise en décharge de type D ou E</v>
      </c>
      <c r="K9" s="61" t="str">
        <f t="array" aca="1" ref="K9" ca="1">IFERROR(INDEX(Methodes[Méthode dépollution],SMALL(IF(ISTEXT(INDIRECT("Methodes["&amp;MID(K$1,2,299)&amp;"]")),ROW(Methodes[Méthode dépollution])-ROW(Methodes[#Headers]),""),ROW(E8)))," ")</f>
        <v>Mise en décharge de type A</v>
      </c>
      <c r="L9" s="61" t="str">
        <f t="array" aca="1" ref="L9" ca="1">IFERROR(INDEX(Methodes[Méthode dépollution],SMALL(IF(ISTEXT(INDIRECT("Methodes["&amp;MID(L$1,2,299)&amp;"]")),ROW(Methodes[Méthode dépollution])-ROW(Methodes[#Headers]),""),ROW(F8)))," ")</f>
        <v>Mise en décharge de type D ou E</v>
      </c>
      <c r="M9" s="61" t="str">
        <f t="array" aca="1" ref="M9" ca="1">IFERROR(INDEX(Methodes[Méthode dépollution],SMALL(IF(ISTEXT(INDIRECT("Methodes["&amp;MID(M$1,2,299)&amp;"]")),ROW(Methodes[Méthode dépollution])-ROW(Methodes[#Headers]),""),ROW(G8)))," ")</f>
        <v>Mise en décharge de type D ou E</v>
      </c>
      <c r="N9" s="61" t="str">
        <f t="array" aca="1" ref="N9" ca="1">IFERROR(INDEX(Methodes[Méthode dépollution],SMALL(IF(ISTEXT(INDIRECT("Methodes["&amp;MID(N$1,2,299)&amp;"]")),ROW(Methodes[Méthode dépollution])-ROW(Methodes[#Headers]),""),ROW(H8)))," ")</f>
        <v>Mise en décharge de type A</v>
      </c>
    </row>
    <row r="10" spans="1:14">
      <c r="A10" s="6" t="s">
        <v>129</v>
      </c>
      <c r="B10" t="s">
        <v>70</v>
      </c>
      <c r="C10" t="s">
        <v>66</v>
      </c>
      <c r="D10" s="6" t="s">
        <v>279</v>
      </c>
      <c r="E10" t="s">
        <v>134</v>
      </c>
      <c r="F10" t="s">
        <v>134</v>
      </c>
      <c r="G10" t="s">
        <v>134</v>
      </c>
      <c r="H10" t="s">
        <v>134</v>
      </c>
      <c r="I10" t="s">
        <v>134</v>
      </c>
      <c r="J10" s="61" t="str">
        <f t="array" aca="1" ref="J10" ca="1">IFERROR(INDEX(Methodes[Méthode dépollution],SMALL(IF(ISTEXT(INDIRECT("Methodes["&amp;MID(J$1,2,299)&amp;"]")),ROW(Methodes[Méthode dépollution])-ROW(Methodes[#Headers]),""),ROW(D9)))," ")</f>
        <v>Pompage écrémage</v>
      </c>
      <c r="K10" s="61" t="str">
        <f t="array" aca="1" ref="K10" ca="1">IFERROR(INDEX(Methodes[Méthode dépollution],SMALL(IF(ISTEXT(INDIRECT("Methodes["&amp;MID(K$1,2,299)&amp;"]")),ROW(Methodes[Méthode dépollution])-ROW(Methodes[#Headers]),""),ROW(E9)))," ")</f>
        <v>Mise en décharge de type B ou C</v>
      </c>
      <c r="L10" s="61" t="str">
        <f t="array" aca="1" ref="L10" ca="1">IFERROR(INDEX(Methodes[Méthode dépollution],SMALL(IF(ISTEXT(INDIRECT("Methodes["&amp;MID(L$1,2,299)&amp;"]")),ROW(Methodes[Méthode dépollution])-ROW(Methodes[#Headers]),""),ROW(F9)))," ")</f>
        <v>Réutilisation de matériaux en remblayage</v>
      </c>
      <c r="M10" s="61" t="str">
        <f t="array" aca="1" ref="M10" ca="1">IFERROR(INDEX(Methodes[Méthode dépollution],SMALL(IF(ISTEXT(INDIRECT("Methodes["&amp;MID(M$1,2,299)&amp;"]")),ROW(Methodes[Méthode dépollution])-ROW(Methodes[#Headers]),""),ROW(G9)))," ")</f>
        <v>Réutilisation de matériaux en remblayage</v>
      </c>
      <c r="N10" s="61" t="str">
        <f t="array" aca="1" ref="N10" ca="1">IFERROR(INDEX(Methodes[Méthode dépollution],SMALL(IF(ISTEXT(INDIRECT("Methodes["&amp;MID(N$1,2,299)&amp;"]")),ROW(Methodes[Méthode dépollution])-ROW(Methodes[#Headers]),""),ROW(H9)))," ")</f>
        <v>Mise en décharge de type B ou C</v>
      </c>
    </row>
    <row r="11" spans="1:14">
      <c r="A11" s="6" t="s">
        <v>129</v>
      </c>
      <c r="B11" t="s">
        <v>70</v>
      </c>
      <c r="C11" t="s">
        <v>66</v>
      </c>
      <c r="D11" s="6" t="s">
        <v>280</v>
      </c>
      <c r="E11" t="s">
        <v>134</v>
      </c>
      <c r="F11" t="s">
        <v>134</v>
      </c>
      <c r="G11" t="s">
        <v>134</v>
      </c>
      <c r="H11" t="s">
        <v>134</v>
      </c>
      <c r="I11" t="s">
        <v>134</v>
      </c>
      <c r="J11" s="61" t="str">
        <f t="array" aca="1" ref="J11" ca="1">IFERROR(INDEX(Methodes[Méthode dépollution],SMALL(IF(ISTEXT(INDIRECT("Methodes["&amp;MID(J$1,2,299)&amp;"]")),ROW(Methodes[Méthode dépollution])-ROW(Methodes[#Headers]),""),ROW(D10)))," ")</f>
        <v>Réutilisation de matériaux en remblayage</v>
      </c>
      <c r="K11" s="61" t="str">
        <f t="array" aca="1" ref="K11" ca="1">IFERROR(INDEX(Methodes[Méthode dépollution],SMALL(IF(ISTEXT(INDIRECT("Methodes["&amp;MID(K$1,2,299)&amp;"]")),ROW(Methodes[Méthode dépollution])-ROW(Methodes[#Headers]),""),ROW(E10)))," ")</f>
        <v>Mise en décharge de type D ou E</v>
      </c>
      <c r="L11" s="61" t="str">
        <f t="array" aca="1" ref="L11" ca="1">IFERROR(INDEX(Methodes[Méthode dépollution],SMALL(IF(ISTEXT(INDIRECT("Methodes["&amp;MID(L$1,2,299)&amp;"]")),ROW(Methodes[Méthode dépollution])-ROW(Methodes[#Headers]),""),ROW(F10)))," ")</f>
        <v>Transport par barge</v>
      </c>
      <c r="M11" s="61" t="str">
        <f t="array" aca="1" ref="M11" ca="1">IFERROR(INDEX(Methodes[Méthode dépollution],SMALL(IF(ISTEXT(INDIRECT("Methodes["&amp;MID(M$1,2,299)&amp;"]")),ROW(Methodes[Méthode dépollution])-ROW(Methodes[#Headers]),""),ROW(G10)))," ")</f>
        <v>Transport par barge</v>
      </c>
      <c r="N11" s="61" t="str">
        <f t="array" aca="1" ref="N11" ca="1">IFERROR(INDEX(Methodes[Méthode dépollution],SMALL(IF(ISTEXT(INDIRECT("Methodes["&amp;MID(N$1,2,299)&amp;"]")),ROW(Methodes[Méthode dépollution])-ROW(Methodes[#Headers]),""),ROW(H10)))," ")</f>
        <v>Mise en décharge de type D ou E</v>
      </c>
    </row>
    <row r="12" spans="1:14">
      <c r="A12" s="6" t="s">
        <v>129</v>
      </c>
      <c r="B12" t="s">
        <v>65</v>
      </c>
      <c r="C12" t="s">
        <v>66</v>
      </c>
      <c r="D12" t="s">
        <v>63</v>
      </c>
      <c r="E12" t="s">
        <v>134</v>
      </c>
      <c r="F12" t="s">
        <v>134</v>
      </c>
      <c r="J12" s="61" t="str">
        <f t="array" aca="1" ref="J12" ca="1">IFERROR(INDEX(Methodes[Méthode dépollution],SMALL(IF(ISTEXT(INDIRECT("Methodes["&amp;MID(J$1,2,299)&amp;"]")),ROW(Methodes[Méthode dépollution])-ROW(Methodes[#Headers]),""),ROW(D11)))," ")</f>
        <v>Sparging venting</v>
      </c>
      <c r="K12" s="61" t="str">
        <f t="array" aca="1" ref="K12" ca="1">IFERROR(INDEX(Methodes[Méthode dépollution],SMALL(IF(ISTEXT(INDIRECT("Methodes["&amp;MID(K$1,2,299)&amp;"]")),ROW(Methodes[Méthode dépollution])-ROW(Methodes[#Headers]),""),ROW(E11)))," ")</f>
        <v>Pompage écrémage</v>
      </c>
      <c r="L12" s="61" t="str">
        <f t="array" aca="1" ref="L12" ca="1">IFERROR(INDEX(Methodes[Méthode dépollution],SMALL(IF(ISTEXT(INDIRECT("Methodes["&amp;MID(L$1,2,299)&amp;"]")),ROW(Methodes[Méthode dépollution])-ROW(Methodes[#Headers]),""),ROW(F11)))," ")</f>
        <v>Transport par camion 3,5 - 20t</v>
      </c>
      <c r="M12" s="61" t="str">
        <f t="array" aca="1" ref="M12" ca="1">IFERROR(INDEX(Methodes[Méthode dépollution],SMALL(IF(ISTEXT(INDIRECT("Methodes["&amp;MID(M$1,2,299)&amp;"]")),ROW(Methodes[Méthode dépollution])-ROW(Methodes[#Headers]),""),ROW(G11)))," ")</f>
        <v>Transport par camion 3,5 - 20t</v>
      </c>
      <c r="N12" s="61" t="str">
        <f t="array" aca="1" ref="N12" ca="1">IFERROR(INDEX(Methodes[Méthode dépollution],SMALL(IF(ISTEXT(INDIRECT("Methodes["&amp;MID(N$1,2,299)&amp;"]")),ROW(Methodes[Méthode dépollution])-ROW(Methodes[#Headers]),""),ROW(H11)))," ")</f>
        <v>Réutilisation de matériaux en remblayage</v>
      </c>
    </row>
    <row r="13" spans="1:14">
      <c r="A13" s="6"/>
      <c r="B13" s="6" t="s">
        <v>70</v>
      </c>
      <c r="C13" t="s">
        <v>66</v>
      </c>
      <c r="D13" s="6" t="s">
        <v>388</v>
      </c>
      <c r="E13" t="s">
        <v>134</v>
      </c>
      <c r="F13" t="s">
        <v>134</v>
      </c>
      <c r="G13" t="s">
        <v>134</v>
      </c>
      <c r="H13" t="s">
        <v>134</v>
      </c>
      <c r="I13" t="s">
        <v>134</v>
      </c>
      <c r="J13" s="61" t="str">
        <f t="array" aca="1" ref="J13" ca="1">IFERROR(INDEX(Methodes[Méthode dépollution],SMALL(IF(ISTEXT(INDIRECT("Methodes["&amp;MID(J$1,2,299)&amp;"]")),ROW(Methodes[Méthode dépollution])-ROW(Methodes[#Headers]),""),ROW(D12)))," ")</f>
        <v>Stabilisation physico-chimique : oxydation à l'aides de liants et réactifs</v>
      </c>
      <c r="K13" s="61" t="str">
        <f t="array" aca="1" ref="K13" ca="1">IFERROR(INDEX(Methodes[Méthode dépollution],SMALL(IF(ISTEXT(INDIRECT("Methodes["&amp;MID(K$1,2,299)&amp;"]")),ROW(Methodes[Méthode dépollution])-ROW(Methodes[#Headers]),""),ROW(E12)))," ")</f>
        <v>Réutilisation de matériaux en remblayage</v>
      </c>
      <c r="L13" s="61" t="str">
        <f t="array" aca="1" ref="L13" ca="1">IFERROR(INDEX(Methodes[Méthode dépollution],SMALL(IF(ISTEXT(INDIRECT("Methodes["&amp;MID(L$1,2,299)&amp;"]")),ROW(Methodes[Méthode dépollution])-ROW(Methodes[#Headers]),""),ROW(F12)))," ")</f>
        <v>Transport par camion de 40t</v>
      </c>
      <c r="M13" s="61" t="str">
        <f t="array" aca="1" ref="M13" ca="1">IFERROR(INDEX(Methodes[Méthode dépollution],SMALL(IF(ISTEXT(INDIRECT("Methodes["&amp;MID(M$1,2,299)&amp;"]")),ROW(Methodes[Méthode dépollution])-ROW(Methodes[#Headers]),""),ROW(G12)))," ")</f>
        <v>Transport par camion de 40t</v>
      </c>
      <c r="N13" s="61" t="str">
        <f t="array" aca="1" ref="N13" ca="1">IFERROR(INDEX(Methodes[Méthode dépollution],SMALL(IF(ISTEXT(INDIRECT("Methodes["&amp;MID(N$1,2,299)&amp;"]")),ROW(Methodes[Méthode dépollution])-ROW(Methodes[#Headers]),""),ROW(H12)))," ")</f>
        <v>Stabilisation physico-chimique : oxydation à l'aides de liants et réactifs</v>
      </c>
    </row>
    <row r="14" spans="1:14">
      <c r="A14" s="6" t="s">
        <v>129</v>
      </c>
      <c r="B14" t="s">
        <v>65</v>
      </c>
      <c r="C14" t="s">
        <v>66</v>
      </c>
      <c r="D14" s="6" t="s">
        <v>220</v>
      </c>
      <c r="E14" t="s">
        <v>134</v>
      </c>
      <c r="F14" t="s">
        <v>134</v>
      </c>
      <c r="J14" s="61" t="str">
        <f t="array" aca="1" ref="J14" ca="1">IFERROR(INDEX(Methodes[Méthode dépollution],SMALL(IF(ISTEXT(INDIRECT("Methodes["&amp;MID(J$1,2,299)&amp;"]")),ROW(Methodes[Méthode dépollution])-ROW(Methodes[#Headers]),""),ROW(D13)))," ")</f>
        <v>Transport par barge</v>
      </c>
      <c r="K14" s="61" t="str">
        <f t="array" aca="1" ref="K14" ca="1">IFERROR(INDEX(Methodes[Méthode dépollution],SMALL(IF(ISTEXT(INDIRECT("Methodes["&amp;MID(K$1,2,299)&amp;"]")),ROW(Methodes[Méthode dépollution])-ROW(Methodes[#Headers]),""),ROW(E13)))," ")</f>
        <v>Sparging venting</v>
      </c>
      <c r="L14" s="61" t="str">
        <f t="array" aca="1" ref="L14" ca="1">IFERROR(INDEX(Methodes[Méthode dépollution],SMALL(IF(ISTEXT(INDIRECT("Methodes["&amp;MID(L$1,2,299)&amp;"]")),ROW(Methodes[Méthode dépollution])-ROW(Methodes[#Headers]),""),ROW(F13)))," ")</f>
        <v>Transport par train</v>
      </c>
      <c r="M14" s="61" t="str">
        <f t="array" aca="1" ref="M14" ca="1">IFERROR(INDEX(Methodes[Méthode dépollution],SMALL(IF(ISTEXT(INDIRECT("Methodes["&amp;MID(M$1,2,299)&amp;"]")),ROW(Methodes[Méthode dépollution])-ROW(Methodes[#Headers]),""),ROW(G13)))," ")</f>
        <v>Transport par train</v>
      </c>
      <c r="N14" s="61" t="str">
        <f t="array" aca="1" ref="N14" ca="1">IFERROR(INDEX(Methodes[Méthode dépollution],SMALL(IF(ISTEXT(INDIRECT("Methodes["&amp;MID(N$1,2,299)&amp;"]")),ROW(Methodes[Méthode dépollution])-ROW(Methodes[#Headers]),""),ROW(H13)))," ")</f>
        <v>Transport par barge</v>
      </c>
    </row>
    <row r="15" spans="1:14">
      <c r="A15" s="6" t="s">
        <v>129</v>
      </c>
      <c r="B15" t="s">
        <v>65</v>
      </c>
      <c r="C15" t="s">
        <v>67</v>
      </c>
      <c r="D15" t="s">
        <v>35</v>
      </c>
      <c r="E15" t="s">
        <v>134</v>
      </c>
      <c r="F15" t="s">
        <v>134</v>
      </c>
      <c r="I15" t="s">
        <v>134</v>
      </c>
      <c r="J15" s="61" t="str">
        <f t="array" aca="1" ref="J15" ca="1">IFERROR(INDEX(Methodes[Méthode dépollution],SMALL(IF(ISTEXT(INDIRECT("Methodes["&amp;MID(J$1,2,299)&amp;"]")),ROW(Methodes[Méthode dépollution])-ROW(Methodes[#Headers]),""),ROW(D14)))," ")</f>
        <v>Transport par camion 3,5 - 20t</v>
      </c>
      <c r="K15" s="61" t="str">
        <f t="array" aca="1" ref="K15" ca="1">IFERROR(INDEX(Methodes[Méthode dépollution],SMALL(IF(ISTEXT(INDIRECT("Methodes["&amp;MID(K$1,2,299)&amp;"]")),ROW(Methodes[Méthode dépollution])-ROW(Methodes[#Headers]),""),ROW(E14)))," ")</f>
        <v>Stabilisation physico-chimique : oxydation à l'aides de liants et réactifs</v>
      </c>
      <c r="L15" s="61" t="str">
        <f t="array" aca="1" ref="L15" ca="1">IFERROR(INDEX(Methodes[Méthode dépollution],SMALL(IF(ISTEXT(INDIRECT("Methodes["&amp;MID(L$1,2,299)&amp;"]")),ROW(Methodes[Méthode dépollution])-ROW(Methodes[#Headers]),""),ROW(F14)))," ")</f>
        <v>Tri selon les fractions</v>
      </c>
      <c r="M15" s="61" t="str">
        <f t="array" aca="1" ref="M15" ca="1">IFERROR(INDEX(Methodes[Méthode dépollution],SMALL(IF(ISTEXT(INDIRECT("Methodes["&amp;MID(M$1,2,299)&amp;"]")),ROW(Methodes[Méthode dépollution])-ROW(Methodes[#Headers]),""),ROW(G14)))," ")</f>
        <v>Tri selon les fractions</v>
      </c>
      <c r="N15" s="61" t="str">
        <f t="array" aca="1" ref="N15" ca="1">IFERROR(INDEX(Methodes[Méthode dépollution],SMALL(IF(ISTEXT(INDIRECT("Methodes["&amp;MID(N$1,2,299)&amp;"]")),ROW(Methodes[Méthode dépollution])-ROW(Methodes[#Headers]),""),ROW(H14)))," ")</f>
        <v>Transport par camion 3,5 - 20t</v>
      </c>
    </row>
    <row r="16" spans="1:14">
      <c r="A16" t="s">
        <v>129</v>
      </c>
      <c r="B16" t="s">
        <v>70</v>
      </c>
      <c r="C16" t="s">
        <v>2</v>
      </c>
      <c r="D16" t="s">
        <v>58</v>
      </c>
      <c r="E16" t="s">
        <v>134</v>
      </c>
      <c r="F16" t="s">
        <v>134</v>
      </c>
      <c r="G16" t="s">
        <v>134</v>
      </c>
      <c r="H16" t="s">
        <v>134</v>
      </c>
      <c r="I16" t="s">
        <v>134</v>
      </c>
      <c r="J16" s="61" t="str">
        <f t="array" aca="1" ref="J16" ca="1">IFERROR(INDEX(Methodes[Méthode dépollution],SMALL(IF(ISTEXT(INDIRECT("Methodes["&amp;MID(J$1,2,299)&amp;"]")),ROW(Methodes[Méthode dépollution])-ROW(Methodes[#Headers]),""),ROW(D15)))," ")</f>
        <v>Transport par camion de 40t</v>
      </c>
      <c r="K16" s="61" t="str">
        <f t="array" aca="1" ref="K16" ca="1">IFERROR(INDEX(Methodes[Méthode dépollution],SMALL(IF(ISTEXT(INDIRECT("Methodes["&amp;MID(K$1,2,299)&amp;"]")),ROW(Methodes[Méthode dépollution])-ROW(Methodes[#Headers]),""),ROW(E15)))," ")</f>
        <v>Transport par barge</v>
      </c>
      <c r="L16" s="61" t="str">
        <f t="array" aca="1" ref="L16" ca="1">IFERROR(INDEX(Methodes[Méthode dépollution],SMALL(IF(ISTEXT(INDIRECT("Methodes["&amp;MID(L$1,2,299)&amp;"]")),ROW(Methodes[Méthode dépollution])-ROW(Methodes[#Headers]),""),ROW(F15)))," ")</f>
        <v xml:space="preserve"> </v>
      </c>
      <c r="M16" s="61" t="str">
        <f t="array" aca="1" ref="M16" ca="1">IFERROR(INDEX(Methodes[Méthode dépollution],SMALL(IF(ISTEXT(INDIRECT("Methodes["&amp;MID(M$1,2,299)&amp;"]")),ROW(Methodes[Méthode dépollution])-ROW(Methodes[#Headers]),""),ROW(G15)))," ")</f>
        <v xml:space="preserve"> </v>
      </c>
      <c r="N16" s="61" t="str">
        <f t="array" aca="1" ref="N16" ca="1">IFERROR(INDEX(Methodes[Méthode dépollution],SMALL(IF(ISTEXT(INDIRECT("Methodes["&amp;MID(N$1,2,299)&amp;"]")),ROW(Methodes[Méthode dépollution])-ROW(Methodes[#Headers]),""),ROW(H15)))," ")</f>
        <v>Transport par camion de 40t</v>
      </c>
    </row>
    <row r="17" spans="1:14">
      <c r="A17" t="s">
        <v>129</v>
      </c>
      <c r="B17" t="s">
        <v>70</v>
      </c>
      <c r="C17" t="s">
        <v>2</v>
      </c>
      <c r="D17" s="6" t="s">
        <v>341</v>
      </c>
      <c r="E17" t="s">
        <v>134</v>
      </c>
      <c r="F17" t="s">
        <v>134</v>
      </c>
      <c r="G17" t="s">
        <v>134</v>
      </c>
      <c r="H17" t="s">
        <v>134</v>
      </c>
      <c r="I17" t="s">
        <v>134</v>
      </c>
      <c r="J17" s="61" t="str">
        <f t="array" aca="1" ref="J17" ca="1">IFERROR(INDEX(Methodes[Méthode dépollution],SMALL(IF(ISTEXT(INDIRECT("Methodes["&amp;MID(J$1,2,299)&amp;"]")),ROW(Methodes[Méthode dépollution])-ROW(Methodes[#Headers]),""),ROW(D16)))," ")</f>
        <v>Transport par train</v>
      </c>
      <c r="K17" s="61" t="str">
        <f t="array" aca="1" ref="K17" ca="1">IFERROR(INDEX(Methodes[Méthode dépollution],SMALL(IF(ISTEXT(INDIRECT("Methodes["&amp;MID(K$1,2,299)&amp;"]")),ROW(Methodes[Méthode dépollution])-ROW(Methodes[#Headers]),""),ROW(E16)))," ")</f>
        <v>Transport par camion 3,5 - 20t</v>
      </c>
      <c r="L17" s="61" t="str">
        <f t="array" aca="1" ref="L17" ca="1">IFERROR(INDEX(Methodes[Méthode dépollution],SMALL(IF(ISTEXT(INDIRECT("Methodes["&amp;MID(L$1,2,299)&amp;"]")),ROW(Methodes[Méthode dépollution])-ROW(Methodes[#Headers]),""),ROW(F16)))," ")</f>
        <v xml:space="preserve"> </v>
      </c>
      <c r="M17" s="61" t="str">
        <f t="array" aca="1" ref="M17" ca="1">IFERROR(INDEX(Methodes[Méthode dépollution],SMALL(IF(ISTEXT(INDIRECT("Methodes["&amp;MID(M$1,2,299)&amp;"]")),ROW(Methodes[Méthode dépollution])-ROW(Methodes[#Headers]),""),ROW(G16)))," ")</f>
        <v xml:space="preserve"> </v>
      </c>
      <c r="N17" s="61" t="str">
        <f t="array" aca="1" ref="N17" ca="1">IFERROR(INDEX(Methodes[Méthode dépollution],SMALL(IF(ISTEXT(INDIRECT("Methodes["&amp;MID(N$1,2,299)&amp;"]")),ROW(Methodes[Méthode dépollution])-ROW(Methodes[#Headers]),""),ROW(H16)))," ")</f>
        <v>Transport par train</v>
      </c>
    </row>
    <row r="18" spans="1:14">
      <c r="A18" t="s">
        <v>129</v>
      </c>
      <c r="B18" t="s">
        <v>70</v>
      </c>
      <c r="C18" t="s">
        <v>2</v>
      </c>
      <c r="D18" t="s">
        <v>17</v>
      </c>
      <c r="E18" t="s">
        <v>134</v>
      </c>
      <c r="F18" t="s">
        <v>134</v>
      </c>
      <c r="G18" t="s">
        <v>134</v>
      </c>
      <c r="H18" t="s">
        <v>134</v>
      </c>
      <c r="I18" t="s">
        <v>134</v>
      </c>
      <c r="J18" s="61" t="str">
        <f t="array" aca="1" ref="J18" ca="1">IFERROR(INDEX(Methodes[Méthode dépollution],SMALL(IF(ISTEXT(INDIRECT("Methodes["&amp;MID(J$1,2,299)&amp;"]")),ROW(Methodes[Méthode dépollution])-ROW(Methodes[#Headers]),""),ROW(D17)))," ")</f>
        <v>Tri selon les fractions</v>
      </c>
      <c r="K18" s="61" t="str">
        <f t="array" aca="1" ref="K18" ca="1">IFERROR(INDEX(Methodes[Méthode dépollution],SMALL(IF(ISTEXT(INDIRECT("Methodes["&amp;MID(K$1,2,299)&amp;"]")),ROW(Methodes[Méthode dépollution])-ROW(Methodes[#Headers]),""),ROW(E17)))," ")</f>
        <v>Transport par camion de 40t</v>
      </c>
      <c r="L18" s="61" t="str">
        <f t="array" aca="1" ref="L18" ca="1">IFERROR(INDEX(Methodes[Méthode dépollution],SMALL(IF(ISTEXT(INDIRECT("Methodes["&amp;MID(L$1,2,299)&amp;"]")),ROW(Methodes[Méthode dépollution])-ROW(Methodes[#Headers]),""),ROW(F17)))," ")</f>
        <v xml:space="preserve"> </v>
      </c>
      <c r="M18" s="61" t="str">
        <f t="array" aca="1" ref="M18" ca="1">IFERROR(INDEX(Methodes[Méthode dépollution],SMALL(IF(ISTEXT(INDIRECT("Methodes["&amp;MID(M$1,2,299)&amp;"]")),ROW(Methodes[Méthode dépollution])-ROW(Methodes[#Headers]),""),ROW(G17)))," ")</f>
        <v xml:space="preserve"> </v>
      </c>
      <c r="N18" s="61" t="str">
        <f t="array" aca="1" ref="N18" ca="1">IFERROR(INDEX(Methodes[Méthode dépollution],SMALL(IF(ISTEXT(INDIRECT("Methodes["&amp;MID(N$1,2,299)&amp;"]")),ROW(Methodes[Méthode dépollution])-ROW(Methodes[#Headers]),""),ROW(H17)))," ")</f>
        <v>Tri selon les fractions</v>
      </c>
    </row>
    <row r="19" spans="1:14">
      <c r="A19" t="s">
        <v>129</v>
      </c>
      <c r="B19" t="s">
        <v>70</v>
      </c>
      <c r="C19" t="s">
        <v>2</v>
      </c>
      <c r="D19" t="s">
        <v>60</v>
      </c>
      <c r="E19" t="s">
        <v>134</v>
      </c>
      <c r="F19" t="s">
        <v>134</v>
      </c>
      <c r="G19" t="s">
        <v>134</v>
      </c>
      <c r="H19" t="s">
        <v>134</v>
      </c>
      <c r="I19" t="s">
        <v>134</v>
      </c>
      <c r="J19" s="61" t="str">
        <f t="array" aca="1" ref="J19" ca="1">IFERROR(INDEX(Methodes[Méthode dépollution],SMALL(IF(ISTEXT(INDIRECT("Methodes["&amp;MID(J$1,2,299)&amp;"]")),ROW(Methodes[Méthode dépollution])-ROW(Methodes[#Headers]),""),ROW(D18)))," ")</f>
        <v xml:space="preserve"> </v>
      </c>
      <c r="K19" s="61" t="str">
        <f t="array" aca="1" ref="K19" ca="1">IFERROR(INDEX(Methodes[Méthode dépollution],SMALL(IF(ISTEXT(INDIRECT("Methodes["&amp;MID(K$1,2,299)&amp;"]")),ROW(Methodes[Méthode dépollution])-ROW(Methodes[#Headers]),""),ROW(E18)))," ")</f>
        <v>Transport par train</v>
      </c>
      <c r="L19" s="61" t="str">
        <f t="array" aca="1" ref="L19" ca="1">IFERROR(INDEX(Methodes[Méthode dépollution],SMALL(IF(ISTEXT(INDIRECT("Methodes["&amp;MID(L$1,2,299)&amp;"]")),ROW(Methodes[Méthode dépollution])-ROW(Methodes[#Headers]),""),ROW(F18)))," ")</f>
        <v xml:space="preserve"> </v>
      </c>
      <c r="M19" s="61" t="str">
        <f t="array" aca="1" ref="M19" ca="1">IFERROR(INDEX(Methodes[Méthode dépollution],SMALL(IF(ISTEXT(INDIRECT("Methodes["&amp;MID(M$1,2,299)&amp;"]")),ROW(Methodes[Méthode dépollution])-ROW(Methodes[#Headers]),""),ROW(G18)))," ")</f>
        <v xml:space="preserve"> </v>
      </c>
      <c r="N19" s="61" t="str">
        <f t="array" aca="1" ref="N19" ca="1">IFERROR(INDEX(Methodes[Méthode dépollution],SMALL(IF(ISTEXT(INDIRECT("Methodes["&amp;MID(N$1,2,299)&amp;"]")),ROW(Methodes[Méthode dépollution])-ROW(Methodes[#Headers]),""),ROW(H18)))," ")</f>
        <v xml:space="preserve"> </v>
      </c>
    </row>
    <row r="20" spans="1:14">
      <c r="A20" s="6" t="s">
        <v>129</v>
      </c>
      <c r="B20" t="s">
        <v>70</v>
      </c>
      <c r="C20" t="s">
        <v>66</v>
      </c>
      <c r="D20" t="s">
        <v>36</v>
      </c>
      <c r="E20" t="s">
        <v>134</v>
      </c>
      <c r="F20" t="s">
        <v>134</v>
      </c>
      <c r="G20" t="s">
        <v>134</v>
      </c>
      <c r="H20" t="s">
        <v>134</v>
      </c>
      <c r="I20" t="s">
        <v>134</v>
      </c>
      <c r="J20" s="61" t="str">
        <f t="array" aca="1" ref="J20" ca="1">IFERROR(INDEX(Methodes[Méthode dépollution],SMALL(IF(ISTEXT(INDIRECT("Methodes["&amp;MID(J$1,2,299)&amp;"]")),ROW(Methodes[Méthode dépollution])-ROW(Methodes[#Headers]),""),ROW(D19)))," ")</f>
        <v xml:space="preserve"> </v>
      </c>
      <c r="K20" s="61" t="str">
        <f t="array" aca="1" ref="K20" ca="1">IFERROR(INDEX(Methodes[Méthode dépollution],SMALL(IF(ISTEXT(INDIRECT("Methodes["&amp;MID(K$1,2,299)&amp;"]")),ROW(Methodes[Méthode dépollution])-ROW(Methodes[#Headers]),""),ROW(E19)))," ")</f>
        <v>Tri selon les fractions</v>
      </c>
      <c r="L20" s="61" t="str">
        <f t="array" aca="1" ref="L20" ca="1">IFERROR(INDEX(Methodes[Méthode dépollution],SMALL(IF(ISTEXT(INDIRECT("Methodes["&amp;MID(L$1,2,299)&amp;"]")),ROW(Methodes[Méthode dépollution])-ROW(Methodes[#Headers]),""),ROW(F19)))," ")</f>
        <v xml:space="preserve"> </v>
      </c>
      <c r="M20" s="61" t="str">
        <f t="array" aca="1" ref="M20" ca="1">IFERROR(INDEX(Methodes[Méthode dépollution],SMALL(IF(ISTEXT(INDIRECT("Methodes["&amp;MID(M$1,2,299)&amp;"]")),ROW(Methodes[Méthode dépollution])-ROW(Methodes[#Headers]),""),ROW(G19)))," ")</f>
        <v xml:space="preserve"> </v>
      </c>
      <c r="N20" s="61" t="str">
        <f t="array" aca="1" ref="N20" ca="1">IFERROR(INDEX(Methodes[Méthode dépollution],SMALL(IF(ISTEXT(INDIRECT("Methodes["&amp;MID(N$1,2,299)&amp;"]")),ROW(Methodes[Méthode dépollution])-ROW(Methodes[#Headers]),""),ROW(H19)))," ")</f>
        <v xml:space="preserve"> </v>
      </c>
    </row>
  </sheetData>
  <sheetProtection algorithmName="SHA-512" hashValue="u+r6TRYj7wkikfIqIdAIiJ4GtASNt4oNQubLy/kKFqvYc0NpP1GXqeVHBJjwmcS/8mnrZQBXof6t0DUZzN+2OA==" saltValue="nRZ4ZRrYWJst7XYToiJpsA==" spinCount="100000" sheet="1" objects="1" scenarios="1"/>
  <pageMargins left="0.25" right="0.25" top="0.75" bottom="0.75" header="0.3" footer="0.3"/>
  <pageSetup paperSize="9" orientation="landscape" r:id="rId1"/>
  <headerFooter>
    <oddFooter>&amp;L&amp;F&amp;R&amp;D</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tabColor theme="9" tint="0.79998168889431442"/>
  </sheetPr>
  <dimension ref="A1:K12"/>
  <sheetViews>
    <sheetView zoomScaleNormal="100" workbookViewId="0">
      <selection activeCell="B12" sqref="B12"/>
    </sheetView>
  </sheetViews>
  <sheetFormatPr baseColWidth="10" defaultColWidth="11.44140625" defaultRowHeight="13.2"/>
  <cols>
    <col min="1" max="1" width="16.109375" customWidth="1"/>
    <col min="2" max="2" width="23.33203125" bestFit="1" customWidth="1"/>
    <col min="3" max="3" width="34.5546875" customWidth="1"/>
    <col min="4" max="4" width="16.33203125" bestFit="1" customWidth="1"/>
    <col min="5" max="5" width="16.33203125" style="75" bestFit="1" customWidth="1"/>
    <col min="6" max="6" width="16.44140625" bestFit="1" customWidth="1"/>
    <col min="7" max="9" width="16.33203125" bestFit="1" customWidth="1"/>
    <col min="10" max="10" width="13.33203125" bestFit="1" customWidth="1"/>
    <col min="11" max="11" width="33.33203125" customWidth="1"/>
  </cols>
  <sheetData>
    <row r="1" spans="1:11">
      <c r="D1" s="97" t="s">
        <v>382</v>
      </c>
      <c r="E1" s="97"/>
      <c r="F1" s="97"/>
      <c r="G1" s="97"/>
      <c r="H1" s="97"/>
      <c r="I1" s="97"/>
      <c r="J1" s="97"/>
      <c r="K1" s="97"/>
    </row>
    <row r="2" spans="1:11" ht="13.8" thickBot="1">
      <c r="D2" s="136" t="s">
        <v>20</v>
      </c>
      <c r="E2" s="137" t="s">
        <v>365</v>
      </c>
      <c r="F2" s="138" t="s">
        <v>20</v>
      </c>
      <c r="G2" s="138" t="s">
        <v>7</v>
      </c>
      <c r="H2" s="138" t="s">
        <v>232</v>
      </c>
      <c r="I2" s="138" t="s">
        <v>234</v>
      </c>
      <c r="J2" s="138" t="s">
        <v>366</v>
      </c>
      <c r="K2" s="139" t="s">
        <v>366</v>
      </c>
    </row>
    <row r="3" spans="1:11" hidden="1">
      <c r="D3" s="26">
        <v>1</v>
      </c>
      <c r="E3" s="75">
        <v>2</v>
      </c>
      <c r="F3" s="28">
        <v>3</v>
      </c>
      <c r="G3" s="45">
        <v>4</v>
      </c>
      <c r="H3" s="51">
        <v>5</v>
      </c>
      <c r="I3" s="54">
        <v>6</v>
      </c>
      <c r="J3" s="74">
        <v>7</v>
      </c>
      <c r="K3" s="73">
        <v>8</v>
      </c>
    </row>
    <row r="4" spans="1:11">
      <c r="E4"/>
    </row>
    <row r="5" spans="1:11">
      <c r="A5" s="97" t="s">
        <v>394</v>
      </c>
      <c r="B5" s="97"/>
      <c r="C5" s="97"/>
      <c r="D5" s="97"/>
      <c r="E5" s="97"/>
      <c r="F5" s="97"/>
      <c r="G5" s="97"/>
      <c r="H5" s="97"/>
      <c r="I5" s="97"/>
      <c r="J5" s="97"/>
      <c r="K5" s="97"/>
    </row>
    <row r="6" spans="1:11" s="99" customFormat="1" ht="13.8" thickBot="1">
      <c r="A6" s="132" t="s">
        <v>384</v>
      </c>
      <c r="B6" s="133" t="s">
        <v>383</v>
      </c>
      <c r="C6" s="134" t="s">
        <v>383</v>
      </c>
      <c r="D6" s="134" t="s">
        <v>384</v>
      </c>
      <c r="E6" s="134" t="s">
        <v>384</v>
      </c>
      <c r="F6" s="134" t="s">
        <v>385</v>
      </c>
      <c r="G6" s="134" t="s">
        <v>384</v>
      </c>
      <c r="H6" s="134" t="s">
        <v>384</v>
      </c>
      <c r="I6" s="134" t="s">
        <v>384</v>
      </c>
      <c r="J6" s="133" t="s">
        <v>386</v>
      </c>
      <c r="K6" s="135" t="s">
        <v>387</v>
      </c>
    </row>
    <row r="7" spans="1:11" s="4" customFormat="1" ht="39.6">
      <c r="A7" s="48" t="s">
        <v>9</v>
      </c>
      <c r="B7" s="4" t="s">
        <v>26</v>
      </c>
      <c r="C7" s="4" t="s">
        <v>47</v>
      </c>
      <c r="D7" s="48" t="s">
        <v>83</v>
      </c>
      <c r="E7" s="75" t="s">
        <v>358</v>
      </c>
      <c r="F7" s="48" t="s">
        <v>84</v>
      </c>
      <c r="G7" s="48" t="s">
        <v>237</v>
      </c>
      <c r="H7" s="48" t="s">
        <v>256</v>
      </c>
      <c r="I7" s="48" t="s">
        <v>362</v>
      </c>
      <c r="J7" s="4" t="s">
        <v>360</v>
      </c>
      <c r="K7" s="4" t="s">
        <v>361</v>
      </c>
    </row>
    <row r="8" spans="1:11" ht="52.8">
      <c r="A8">
        <v>0</v>
      </c>
      <c r="B8" t="s">
        <v>28</v>
      </c>
      <c r="C8" t="s">
        <v>71</v>
      </c>
      <c r="D8">
        <v>100</v>
      </c>
      <c r="E8" s="75">
        <v>20</v>
      </c>
      <c r="F8" s="52">
        <f t="shared" ref="F8:F12" si="0">D8*E8/10000</f>
        <v>0.2</v>
      </c>
      <c r="K8" s="48" t="s">
        <v>396</v>
      </c>
    </row>
    <row r="9" spans="1:11">
      <c r="A9">
        <v>0</v>
      </c>
      <c r="B9" t="s">
        <v>28</v>
      </c>
      <c r="C9" t="s">
        <v>36</v>
      </c>
      <c r="D9">
        <v>100</v>
      </c>
      <c r="E9" s="75">
        <v>20</v>
      </c>
      <c r="F9" s="52">
        <f t="shared" si="0"/>
        <v>0.2</v>
      </c>
      <c r="J9" s="6"/>
    </row>
    <row r="10" spans="1:11">
      <c r="A10">
        <v>0</v>
      </c>
      <c r="B10" t="s">
        <v>28</v>
      </c>
      <c r="C10" s="6" t="s">
        <v>17</v>
      </c>
      <c r="D10">
        <v>100</v>
      </c>
      <c r="E10" s="75">
        <v>20</v>
      </c>
      <c r="F10" s="52">
        <f t="shared" si="0"/>
        <v>0.2</v>
      </c>
      <c r="G10">
        <v>250</v>
      </c>
      <c r="J10" s="6" t="s">
        <v>395</v>
      </c>
    </row>
    <row r="11" spans="1:11">
      <c r="A11">
        <v>0</v>
      </c>
      <c r="B11" t="s">
        <v>28</v>
      </c>
      <c r="C11" t="s">
        <v>280</v>
      </c>
      <c r="D11">
        <v>100</v>
      </c>
      <c r="E11" s="75">
        <v>20</v>
      </c>
      <c r="F11" s="52">
        <f t="shared" si="0"/>
        <v>0.2</v>
      </c>
      <c r="J11" s="6"/>
    </row>
    <row r="12" spans="1:11">
      <c r="A12">
        <v>1</v>
      </c>
      <c r="B12" s="6" t="s">
        <v>31</v>
      </c>
      <c r="C12" t="s">
        <v>33</v>
      </c>
      <c r="D12">
        <v>100</v>
      </c>
      <c r="E12" s="75">
        <v>20</v>
      </c>
      <c r="F12" s="52">
        <f t="shared" si="0"/>
        <v>0.2</v>
      </c>
      <c r="I12">
        <v>9</v>
      </c>
      <c r="J12" s="6"/>
      <c r="K12" s="6"/>
    </row>
  </sheetData>
  <dataConsolidate/>
  <dataValidations count="2">
    <dataValidation type="list" allowBlank="1" showInputMessage="1" showErrorMessage="1" sqref="B8:B12" xr:uid="{1AD60BCA-F6DC-4F10-B0B9-479ED6DEFBEA}">
      <formula1>TypePolluantsN</formula1>
    </dataValidation>
    <dataValidation type="list" allowBlank="1" showInputMessage="1" showErrorMessage="1" sqref="C8:C12" xr:uid="{8F2E2E21-DAC6-4D41-8FBB-5A692189DC5D}">
      <formula1>INDIRECT("Methodes[_"&amp;$B8&amp;"]")</formula1>
    </dataValidation>
  </dataValidation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6F3B-6968-4B16-8A0A-C413F1FD2965}">
  <sheetPr codeName="Feuil6"/>
  <dimension ref="A4:U75"/>
  <sheetViews>
    <sheetView topLeftCell="A4" workbookViewId="0">
      <selection activeCell="J23" sqref="J23"/>
    </sheetView>
  </sheetViews>
  <sheetFormatPr baseColWidth="10" defaultColWidth="11.44140625" defaultRowHeight="13.2"/>
  <cols>
    <col min="1" max="1" width="25.33203125" customWidth="1"/>
    <col min="11" max="11" width="12" bestFit="1" customWidth="1"/>
  </cols>
  <sheetData>
    <row r="4" spans="1:21">
      <c r="A4" s="37" t="s">
        <v>16</v>
      </c>
      <c r="B4" s="34" t="s">
        <v>190</v>
      </c>
      <c r="C4" s="34" t="s">
        <v>191</v>
      </c>
      <c r="D4" s="34" t="s">
        <v>208</v>
      </c>
      <c r="E4" s="34" t="s">
        <v>290</v>
      </c>
      <c r="F4" s="34" t="s">
        <v>291</v>
      </c>
      <c r="G4" s="34" t="s">
        <v>192</v>
      </c>
      <c r="H4" s="34" t="s">
        <v>193</v>
      </c>
      <c r="I4" s="34" t="s">
        <v>194</v>
      </c>
      <c r="J4" s="34" t="s">
        <v>195</v>
      </c>
      <c r="K4" s="34" t="s">
        <v>196</v>
      </c>
      <c r="L4" s="34" t="s">
        <v>166</v>
      </c>
      <c r="M4" s="34" t="s">
        <v>197</v>
      </c>
      <c r="N4" s="34" t="s">
        <v>198</v>
      </c>
      <c r="O4" s="34" t="s">
        <v>199</v>
      </c>
      <c r="P4" s="34" t="s">
        <v>200</v>
      </c>
      <c r="Q4" s="34" t="s">
        <v>201</v>
      </c>
      <c r="R4" s="34" t="s">
        <v>202</v>
      </c>
      <c r="S4" s="34" t="s">
        <v>203</v>
      </c>
      <c r="T4" s="34" t="s">
        <v>204</v>
      </c>
      <c r="U4" s="34" t="s">
        <v>205</v>
      </c>
    </row>
    <row r="5" spans="1:21">
      <c r="A5" s="34" t="s">
        <v>190</v>
      </c>
      <c r="B5" s="35">
        <v>1</v>
      </c>
      <c r="C5" s="33">
        <v>1E-3</v>
      </c>
      <c r="D5" s="33">
        <v>9.9999999999999995E-7</v>
      </c>
      <c r="E5" s="33">
        <f>D5/1000</f>
        <v>9.9999999999999986E-10</v>
      </c>
      <c r="F5" s="33">
        <f>E5/1000</f>
        <v>9.9999999999999978E-13</v>
      </c>
      <c r="G5" s="33">
        <v>0.23884589662749595</v>
      </c>
      <c r="H5" s="33">
        <v>2.3884589662749592E-4</v>
      </c>
      <c r="I5" s="35">
        <v>2.3884589662749592E-7</v>
      </c>
      <c r="J5" s="33">
        <v>2.7777777777777778E-4</v>
      </c>
      <c r="K5" s="33">
        <v>2.7777777777777776E-7</v>
      </c>
      <c r="L5" s="33">
        <v>2.7777777777777777E-10</v>
      </c>
      <c r="M5" s="35">
        <v>1.0000000000000001E-9</v>
      </c>
      <c r="N5" s="35">
        <v>9.47817E-4</v>
      </c>
      <c r="O5" s="35">
        <v>9.47817E-7</v>
      </c>
      <c r="P5" s="35">
        <v>9.4781700000000002E-10</v>
      </c>
      <c r="Q5" s="39">
        <v>4.3999999999999998E-10</v>
      </c>
      <c r="R5" s="39">
        <v>9.7003280093163884E-7</v>
      </c>
      <c r="S5" s="39">
        <v>9.7003280093163892E-10</v>
      </c>
      <c r="T5" s="35">
        <v>7.8984749999999995E-8</v>
      </c>
      <c r="U5" s="35">
        <v>2.38845896627496E-11</v>
      </c>
    </row>
    <row r="6" spans="1:21">
      <c r="A6" s="34" t="s">
        <v>191</v>
      </c>
      <c r="B6" s="36">
        <v>1000</v>
      </c>
      <c r="C6" s="32">
        <v>1</v>
      </c>
      <c r="D6" s="32">
        <f>C6/1000</f>
        <v>1E-3</v>
      </c>
      <c r="E6" s="33">
        <f t="shared" ref="E6:F21" si="0">D6/1000</f>
        <v>9.9999999999999995E-7</v>
      </c>
      <c r="F6" s="33">
        <f t="shared" si="0"/>
        <v>9.9999999999999986E-10</v>
      </c>
      <c r="G6" s="32">
        <v>238.84589662749593</v>
      </c>
      <c r="H6" s="32">
        <v>0.23884589662749592</v>
      </c>
      <c r="I6" s="36">
        <v>2.3884589662749592E-4</v>
      </c>
      <c r="J6" s="32">
        <v>0.27777777777777779</v>
      </c>
      <c r="K6" s="32">
        <v>2.7777777777777778E-4</v>
      </c>
      <c r="L6" s="32">
        <v>2.7777777777777776E-7</v>
      </c>
      <c r="M6" s="36">
        <v>1.0000000000000002E-6</v>
      </c>
      <c r="N6" s="36">
        <v>0.94781700000000002</v>
      </c>
      <c r="O6" s="36">
        <v>9.47817E-4</v>
      </c>
      <c r="P6" s="36">
        <v>9.47817E-7</v>
      </c>
      <c r="Q6" s="36">
        <v>4.3999999999999997E-7</v>
      </c>
      <c r="R6" s="36">
        <v>9.7003280093163884E-4</v>
      </c>
      <c r="S6" s="36">
        <v>9.7003280093163884E-7</v>
      </c>
      <c r="T6" s="36">
        <v>7.898475E-5</v>
      </c>
      <c r="U6" s="36">
        <v>2.38845896627496E-8</v>
      </c>
    </row>
    <row r="7" spans="1:21">
      <c r="A7" s="34" t="s">
        <v>192</v>
      </c>
      <c r="B7" s="36">
        <v>4.1867999999999999</v>
      </c>
      <c r="C7" s="32">
        <v>4.1868000000000001E-3</v>
      </c>
      <c r="D7" s="32">
        <f t="shared" ref="D7:D21" si="1">C7/1000</f>
        <v>4.1868000000000003E-6</v>
      </c>
      <c r="E7" s="33">
        <f t="shared" si="0"/>
        <v>4.1868000000000005E-9</v>
      </c>
      <c r="F7" s="33">
        <f t="shared" si="0"/>
        <v>4.1868000000000007E-12</v>
      </c>
      <c r="G7" s="32">
        <v>1</v>
      </c>
      <c r="H7" s="32">
        <v>9.999999999999998E-4</v>
      </c>
      <c r="I7" s="36">
        <v>9.9999999999999995E-7</v>
      </c>
      <c r="J7" s="32">
        <v>1.163E-3</v>
      </c>
      <c r="K7" s="32">
        <v>1.1629999999999999E-6</v>
      </c>
      <c r="L7" s="32">
        <v>1.1629999999999998E-9</v>
      </c>
      <c r="M7" s="36">
        <v>4.1868000000000005E-9</v>
      </c>
      <c r="N7" s="36">
        <v>3.9683202155999997E-3</v>
      </c>
      <c r="O7" s="36">
        <v>3.9683202156E-6</v>
      </c>
      <c r="P7" s="36">
        <v>3.9683202156E-9</v>
      </c>
      <c r="Q7" s="36">
        <v>1.8421919999999998E-9</v>
      </c>
      <c r="R7" s="36">
        <v>4.0613333309405852E-6</v>
      </c>
      <c r="S7" s="36">
        <v>4.0613333309405861E-9</v>
      </c>
      <c r="T7" s="36">
        <v>3.3069335129999994E-7</v>
      </c>
      <c r="U7" s="36">
        <v>1.0000000000000003E-10</v>
      </c>
    </row>
    <row r="8" spans="1:21" ht="25.5" customHeight="1">
      <c r="A8" s="34" t="s">
        <v>193</v>
      </c>
      <c r="B8" s="36">
        <v>4186.8</v>
      </c>
      <c r="C8" s="32">
        <v>4.1867999999999999</v>
      </c>
      <c r="D8" s="32">
        <f t="shared" si="1"/>
        <v>4.1868000000000001E-3</v>
      </c>
      <c r="E8" s="33">
        <f t="shared" si="0"/>
        <v>4.1868000000000003E-6</v>
      </c>
      <c r="F8" s="33">
        <f t="shared" si="0"/>
        <v>4.1868000000000005E-9</v>
      </c>
      <c r="G8" s="32">
        <v>1000.0000000000001</v>
      </c>
      <c r="H8" s="32">
        <v>1</v>
      </c>
      <c r="I8" s="36">
        <v>1E-3</v>
      </c>
      <c r="J8" s="32">
        <v>1.163</v>
      </c>
      <c r="K8" s="32">
        <v>1.163E-3</v>
      </c>
      <c r="L8" s="32">
        <v>1.1629999999999999E-6</v>
      </c>
      <c r="M8" s="36">
        <v>4.1868000000000003E-6</v>
      </c>
      <c r="N8" s="36">
        <v>3.9683202156000004</v>
      </c>
      <c r="O8" s="36">
        <v>3.9683202156000005E-3</v>
      </c>
      <c r="P8" s="36">
        <v>3.9683202156E-6</v>
      </c>
      <c r="Q8" s="36">
        <v>1.8421919999999999E-6</v>
      </c>
      <c r="R8" s="36">
        <v>4.061333330940586E-3</v>
      </c>
      <c r="S8" s="36">
        <v>4.061333330940586E-6</v>
      </c>
      <c r="T8" s="36">
        <v>3.3069335130000001E-4</v>
      </c>
      <c r="U8" s="36">
        <v>1.0000000000000004E-7</v>
      </c>
    </row>
    <row r="9" spans="1:21">
      <c r="A9" s="34" t="s">
        <v>194</v>
      </c>
      <c r="B9" s="35">
        <v>4186800.0000000005</v>
      </c>
      <c r="C9" s="32">
        <v>4186.8</v>
      </c>
      <c r="D9" s="32">
        <f t="shared" si="1"/>
        <v>4.1867999999999999</v>
      </c>
      <c r="E9" s="33">
        <f t="shared" si="0"/>
        <v>4.1868000000000001E-3</v>
      </c>
      <c r="F9" s="33">
        <f t="shared" si="0"/>
        <v>4.1868000000000003E-6</v>
      </c>
      <c r="G9" s="32">
        <v>1000000.0000000001</v>
      </c>
      <c r="H9" s="32">
        <v>1000</v>
      </c>
      <c r="I9" s="36">
        <v>1</v>
      </c>
      <c r="J9" s="32">
        <v>1163.0000000000002</v>
      </c>
      <c r="K9" s="32">
        <v>1.163</v>
      </c>
      <c r="L9" s="32">
        <v>1.1630000000000002E-3</v>
      </c>
      <c r="M9" s="36">
        <v>4.1868000000000009E-3</v>
      </c>
      <c r="N9" s="36">
        <v>3968.3202156000002</v>
      </c>
      <c r="O9" s="36">
        <v>3.9683202156000004</v>
      </c>
      <c r="P9" s="36">
        <v>3.9683202156000005E-3</v>
      </c>
      <c r="Q9" s="36">
        <v>1.8421920000000001E-3</v>
      </c>
      <c r="R9" s="36">
        <v>4.0613333309405864</v>
      </c>
      <c r="S9" s="36">
        <v>4.061333330940586E-3</v>
      </c>
      <c r="T9" s="36">
        <v>0.33069335129999999</v>
      </c>
      <c r="U9" s="36">
        <v>1.0000000000000003E-4</v>
      </c>
    </row>
    <row r="10" spans="1:21">
      <c r="A10" s="34" t="s">
        <v>195</v>
      </c>
      <c r="B10" s="36">
        <v>3600</v>
      </c>
      <c r="C10" s="32">
        <v>3.6</v>
      </c>
      <c r="D10" s="32">
        <f t="shared" si="1"/>
        <v>3.5999999999999999E-3</v>
      </c>
      <c r="E10" s="33">
        <f t="shared" si="0"/>
        <v>3.5999999999999998E-6</v>
      </c>
      <c r="F10" s="33">
        <f t="shared" si="0"/>
        <v>3.6E-9</v>
      </c>
      <c r="G10" s="32">
        <v>859.84522785898537</v>
      </c>
      <c r="H10" s="32">
        <v>0.85984522785898532</v>
      </c>
      <c r="I10" s="36">
        <v>8.5984522785898529E-4</v>
      </c>
      <c r="J10" s="32">
        <v>1</v>
      </c>
      <c r="K10" s="32">
        <v>1E-3</v>
      </c>
      <c r="L10" s="32">
        <v>9.9999999999999995E-7</v>
      </c>
      <c r="M10" s="36">
        <v>3.6000000000000003E-6</v>
      </c>
      <c r="N10" s="36">
        <v>3.4121411999999998</v>
      </c>
      <c r="O10" s="36">
        <v>3.4121412000000001E-3</v>
      </c>
      <c r="P10" s="36">
        <v>3.4121411999999999E-6</v>
      </c>
      <c r="Q10" s="36">
        <v>1.584E-6</v>
      </c>
      <c r="R10" s="36">
        <v>3.4921180833539E-3</v>
      </c>
      <c r="S10" s="36">
        <v>3.4921180833539002E-6</v>
      </c>
      <c r="T10" s="36">
        <v>2.8434510000000001E-4</v>
      </c>
      <c r="U10" s="36">
        <v>8.5984522785898568E-8</v>
      </c>
    </row>
    <row r="11" spans="1:21">
      <c r="A11" s="34" t="s">
        <v>196</v>
      </c>
      <c r="B11" s="36">
        <v>3600000.0000000005</v>
      </c>
      <c r="C11" s="32">
        <v>3600.0000000000005</v>
      </c>
      <c r="D11" s="32">
        <f t="shared" si="1"/>
        <v>3.6000000000000005</v>
      </c>
      <c r="E11" s="33">
        <f t="shared" si="0"/>
        <v>3.6000000000000003E-3</v>
      </c>
      <c r="F11" s="33">
        <f t="shared" si="0"/>
        <v>3.6000000000000003E-6</v>
      </c>
      <c r="G11" s="32">
        <v>859845.22785898554</v>
      </c>
      <c r="H11" s="32">
        <v>859.84522785898537</v>
      </c>
      <c r="I11" s="36">
        <v>0.85984522785898543</v>
      </c>
      <c r="J11" s="32">
        <v>1000.0000000000001</v>
      </c>
      <c r="K11" s="32">
        <v>1</v>
      </c>
      <c r="L11" s="32">
        <v>1E-3</v>
      </c>
      <c r="M11" s="36">
        <v>3.6000000000000008E-3</v>
      </c>
      <c r="N11" s="36">
        <v>3412.1412000000005</v>
      </c>
      <c r="O11" s="36">
        <v>3.4121412000000002</v>
      </c>
      <c r="P11" s="36">
        <v>3.4121412000000005E-3</v>
      </c>
      <c r="Q11" s="36">
        <v>1.5840000000000001E-3</v>
      </c>
      <c r="R11" s="36">
        <v>3.4921180833539003</v>
      </c>
      <c r="S11" s="36">
        <v>3.4921180833539004E-3</v>
      </c>
      <c r="T11" s="36">
        <v>0.28434510000000002</v>
      </c>
      <c r="U11" s="36">
        <v>8.5984522785898578E-5</v>
      </c>
    </row>
    <row r="12" spans="1:21">
      <c r="A12" s="34" t="s">
        <v>166</v>
      </c>
      <c r="B12" s="36">
        <v>3600000000</v>
      </c>
      <c r="C12" s="32">
        <v>3600000</v>
      </c>
      <c r="D12" s="32">
        <f t="shared" si="1"/>
        <v>3600</v>
      </c>
      <c r="E12" s="33">
        <f t="shared" si="0"/>
        <v>3.6</v>
      </c>
      <c r="F12" s="33">
        <f t="shared" si="0"/>
        <v>3.5999999999999999E-3</v>
      </c>
      <c r="G12" s="32">
        <v>859845227.85898542</v>
      </c>
      <c r="H12" s="32">
        <v>859845.22785898531</v>
      </c>
      <c r="I12" s="36">
        <v>859.84522785898525</v>
      </c>
      <c r="J12" s="32">
        <v>1000000</v>
      </c>
      <c r="K12" s="32">
        <v>999.99999999999989</v>
      </c>
      <c r="L12" s="32">
        <v>1</v>
      </c>
      <c r="M12" s="36">
        <v>3.6</v>
      </c>
      <c r="N12" s="36">
        <v>3412141.2</v>
      </c>
      <c r="O12" s="36">
        <v>3412.1412</v>
      </c>
      <c r="P12" s="36">
        <v>3.4121412000000002</v>
      </c>
      <c r="Q12" s="36">
        <v>1.5839999999999999</v>
      </c>
      <c r="R12" s="36">
        <v>3492.1180833538997</v>
      </c>
      <c r="S12" s="36">
        <v>3.4921180833539003</v>
      </c>
      <c r="T12" s="36">
        <v>284.3451</v>
      </c>
      <c r="U12" s="36">
        <v>8.5984522785898562E-2</v>
      </c>
    </row>
    <row r="13" spans="1:21">
      <c r="A13" s="34" t="s">
        <v>197</v>
      </c>
      <c r="B13" s="35">
        <v>999999999.99999988</v>
      </c>
      <c r="C13" s="32">
        <v>999999.99999999988</v>
      </c>
      <c r="D13" s="32">
        <f t="shared" si="1"/>
        <v>999.99999999999989</v>
      </c>
      <c r="E13" s="33">
        <f t="shared" si="0"/>
        <v>0.99999999999999989</v>
      </c>
      <c r="F13" s="33">
        <f t="shared" si="0"/>
        <v>9.999999999999998E-4</v>
      </c>
      <c r="G13" s="32">
        <v>238845896.62749591</v>
      </c>
      <c r="H13" s="32">
        <v>238845.89662749588</v>
      </c>
      <c r="I13" s="36">
        <v>238.84589662749588</v>
      </c>
      <c r="J13" s="32">
        <v>277777.77777777775</v>
      </c>
      <c r="K13" s="32">
        <v>277.77777777777771</v>
      </c>
      <c r="L13" s="32">
        <v>0.27777777777777773</v>
      </c>
      <c r="M13" s="36">
        <v>0.99999999999999989</v>
      </c>
      <c r="N13" s="36">
        <v>947816.99999999988</v>
      </c>
      <c r="O13" s="36">
        <v>947.81699999999989</v>
      </c>
      <c r="P13" s="36">
        <v>0.94781699999999991</v>
      </c>
      <c r="Q13" s="36">
        <v>0.43999999999999995</v>
      </c>
      <c r="R13" s="36">
        <v>970.03280093163869</v>
      </c>
      <c r="S13" s="36">
        <v>0.97003280093163879</v>
      </c>
      <c r="T13" s="36">
        <v>78.984749999999991</v>
      </c>
      <c r="U13" s="36">
        <v>2.3884589662749596E-2</v>
      </c>
    </row>
    <row r="14" spans="1:21">
      <c r="A14" s="34" t="s">
        <v>198</v>
      </c>
      <c r="B14" s="35">
        <v>1055.0559865459261</v>
      </c>
      <c r="C14" s="32">
        <v>1.0550559865459261</v>
      </c>
      <c r="D14" s="32">
        <f t="shared" si="1"/>
        <v>1.0550559865459262E-3</v>
      </c>
      <c r="E14" s="33">
        <f t="shared" si="0"/>
        <v>1.0550559865459262E-6</v>
      </c>
      <c r="F14" s="33">
        <f t="shared" si="0"/>
        <v>1.0550559865459262E-9</v>
      </c>
      <c r="G14" s="32">
        <v>251.99579309876901</v>
      </c>
      <c r="H14" s="32">
        <v>0.25199579309876896</v>
      </c>
      <c r="I14" s="36">
        <v>2.5199579309876898E-4</v>
      </c>
      <c r="J14" s="32">
        <v>0.29307110737386838</v>
      </c>
      <c r="K14" s="32">
        <v>2.9307110737386831E-4</v>
      </c>
      <c r="L14" s="32">
        <v>2.9307110737386833E-7</v>
      </c>
      <c r="M14" s="36">
        <v>1.0550559865459262E-6</v>
      </c>
      <c r="N14" s="36">
        <v>1</v>
      </c>
      <c r="O14" s="36">
        <v>1E-3</v>
      </c>
      <c r="P14" s="36">
        <v>9.9999999999999995E-7</v>
      </c>
      <c r="Q14" s="36">
        <v>4.6422463408020744E-7</v>
      </c>
      <c r="R14" s="36">
        <v>1.0234389137688382E-3</v>
      </c>
      <c r="S14" s="36">
        <v>1.0234389137688383E-6</v>
      </c>
      <c r="T14" s="36">
        <v>8.3333333333333331E-5</v>
      </c>
      <c r="U14" s="36">
        <v>2.5199579309876908E-8</v>
      </c>
    </row>
    <row r="15" spans="1:21">
      <c r="A15" s="34" t="s">
        <v>199</v>
      </c>
      <c r="B15" s="35">
        <v>1055055.986545926</v>
      </c>
      <c r="C15" s="32">
        <v>1055.0559865459261</v>
      </c>
      <c r="D15" s="32">
        <f t="shared" si="1"/>
        <v>1.0550559865459261</v>
      </c>
      <c r="E15" s="33">
        <f t="shared" si="0"/>
        <v>1.0550559865459262E-3</v>
      </c>
      <c r="F15" s="33">
        <f t="shared" si="0"/>
        <v>1.0550559865459262E-6</v>
      </c>
      <c r="G15" s="32">
        <v>251995.79309876898</v>
      </c>
      <c r="H15" s="32">
        <v>251.99579309876896</v>
      </c>
      <c r="I15" s="36">
        <v>0.25199579309876896</v>
      </c>
      <c r="J15" s="32">
        <v>293.0711073738683</v>
      </c>
      <c r="K15" s="32">
        <v>0.29307110737386832</v>
      </c>
      <c r="L15" s="32">
        <v>2.9307110737386831E-4</v>
      </c>
      <c r="M15" s="36">
        <v>1.055055986545926E-3</v>
      </c>
      <c r="N15" s="36">
        <v>999.99999999999989</v>
      </c>
      <c r="O15" s="36">
        <v>0.99999999999999989</v>
      </c>
      <c r="P15" s="36">
        <v>1E-3</v>
      </c>
      <c r="Q15" s="36">
        <v>4.642246340802074E-4</v>
      </c>
      <c r="R15" s="36">
        <v>1.023438913768838</v>
      </c>
      <c r="S15" s="36">
        <v>1.0234389137688382E-3</v>
      </c>
      <c r="T15" s="36">
        <v>8.3333333333333315E-2</v>
      </c>
      <c r="U15" s="36">
        <v>2.5199579309876905E-5</v>
      </c>
    </row>
    <row r="16" spans="1:21">
      <c r="A16" s="34" t="s">
        <v>200</v>
      </c>
      <c r="B16" s="35">
        <v>1055055986.5459261</v>
      </c>
      <c r="C16" s="32">
        <v>1055055.9865459262</v>
      </c>
      <c r="D16" s="32">
        <f t="shared" si="1"/>
        <v>1055.0559865459261</v>
      </c>
      <c r="E16" s="33">
        <f t="shared" si="0"/>
        <v>1.0550559865459261</v>
      </c>
      <c r="F16" s="33">
        <f t="shared" si="0"/>
        <v>1.0550559865459262E-3</v>
      </c>
      <c r="G16" s="32">
        <v>251995793.09876901</v>
      </c>
      <c r="H16" s="32">
        <v>251995.79309876898</v>
      </c>
      <c r="I16" s="36">
        <v>251.99579309876898</v>
      </c>
      <c r="J16" s="32">
        <v>293071.10737386835</v>
      </c>
      <c r="K16" s="32">
        <v>293.07110737386836</v>
      </c>
      <c r="L16" s="32">
        <v>0.29307110737386832</v>
      </c>
      <c r="M16" s="36">
        <v>1.0550559865459261</v>
      </c>
      <c r="N16" s="36">
        <v>1000000</v>
      </c>
      <c r="O16" s="36">
        <v>1000</v>
      </c>
      <c r="P16" s="36">
        <v>1</v>
      </c>
      <c r="Q16" s="36">
        <v>0.46422463408020748</v>
      </c>
      <c r="R16" s="36">
        <v>1023.4389137688381</v>
      </c>
      <c r="S16" s="36">
        <v>1.0234389137688382</v>
      </c>
      <c r="T16" s="36">
        <v>83.333333333333329</v>
      </c>
      <c r="U16" s="36">
        <v>2.5199579309876909E-2</v>
      </c>
    </row>
    <row r="17" spans="1:21">
      <c r="A17" s="34" t="s">
        <v>201</v>
      </c>
      <c r="B17" s="35">
        <v>2272727272.727273</v>
      </c>
      <c r="C17" s="32">
        <v>2272727.2727272729</v>
      </c>
      <c r="D17" s="32">
        <f t="shared" si="1"/>
        <v>2272.727272727273</v>
      </c>
      <c r="E17" s="33">
        <f t="shared" si="0"/>
        <v>2.2727272727272729</v>
      </c>
      <c r="F17" s="33">
        <f t="shared" si="0"/>
        <v>2.2727272727272731E-3</v>
      </c>
      <c r="G17" s="32">
        <v>542831583.24430907</v>
      </c>
      <c r="H17" s="32">
        <v>542831.58324430895</v>
      </c>
      <c r="I17" s="36">
        <v>542.83158324430894</v>
      </c>
      <c r="J17" s="32">
        <v>631313.13131313142</v>
      </c>
      <c r="K17" s="32">
        <v>631.31313131313129</v>
      </c>
      <c r="L17" s="32">
        <v>0.63131313131313138</v>
      </c>
      <c r="M17" s="36">
        <v>2.2727272727272729</v>
      </c>
      <c r="N17" s="36">
        <v>2154129.5454545459</v>
      </c>
      <c r="O17" s="36">
        <v>2154.1295454545457</v>
      </c>
      <c r="P17" s="36">
        <v>2.1541295454545457</v>
      </c>
      <c r="Q17" s="36">
        <v>1</v>
      </c>
      <c r="R17" s="36">
        <v>2204.6200021173613</v>
      </c>
      <c r="S17" s="36">
        <v>2.2046200021173616</v>
      </c>
      <c r="T17" s="36">
        <v>179.51079545454547</v>
      </c>
      <c r="U17" s="36">
        <v>5.4283158324430918E-2</v>
      </c>
    </row>
    <row r="18" spans="1:21">
      <c r="A18" s="34" t="s">
        <v>202</v>
      </c>
      <c r="B18" s="35">
        <v>1030892.9750000001</v>
      </c>
      <c r="C18" s="32">
        <v>1030.8929750000002</v>
      </c>
      <c r="D18" s="32">
        <f t="shared" si="1"/>
        <v>1.0308929750000002</v>
      </c>
      <c r="E18" s="33">
        <f t="shared" si="0"/>
        <v>1.0308929750000003E-3</v>
      </c>
      <c r="F18" s="33">
        <f t="shared" si="0"/>
        <v>1.0308929750000002E-6</v>
      </c>
      <c r="G18" s="32">
        <v>246224.55694086177</v>
      </c>
      <c r="H18" s="32">
        <v>246.22455694086176</v>
      </c>
      <c r="I18" s="36">
        <v>0.24622455694086176</v>
      </c>
      <c r="J18" s="32">
        <v>286.35915972222227</v>
      </c>
      <c r="K18" s="38">
        <v>0.28635915972222226</v>
      </c>
      <c r="L18" s="32">
        <v>2.8635915972222224E-4</v>
      </c>
      <c r="M18" s="36">
        <v>1.0308929750000001E-3</v>
      </c>
      <c r="N18" s="36">
        <v>977.09788688557512</v>
      </c>
      <c r="O18" s="36">
        <v>0.97709788688557508</v>
      </c>
      <c r="P18" s="36">
        <v>9.7709788688557508E-4</v>
      </c>
      <c r="Q18" s="36">
        <v>4.53592909E-4</v>
      </c>
      <c r="R18" s="36">
        <v>1</v>
      </c>
      <c r="S18" s="36">
        <v>1E-3</v>
      </c>
      <c r="T18" s="36">
        <v>8.1424823907131252E-2</v>
      </c>
      <c r="U18" s="36">
        <v>2.4622455694086184E-5</v>
      </c>
    </row>
    <row r="19" spans="1:21">
      <c r="A19" s="34" t="s">
        <v>203</v>
      </c>
      <c r="B19" s="35">
        <v>1030892975</v>
      </c>
      <c r="C19" s="32">
        <v>1030892.975</v>
      </c>
      <c r="D19" s="32">
        <f t="shared" si="1"/>
        <v>1030.892975</v>
      </c>
      <c r="E19" s="33">
        <f t="shared" si="0"/>
        <v>1.030892975</v>
      </c>
      <c r="F19" s="33">
        <f t="shared" si="0"/>
        <v>1.0308929750000001E-3</v>
      </c>
      <c r="G19" s="32">
        <v>246224556.94086176</v>
      </c>
      <c r="H19" s="32">
        <v>246224.55694086174</v>
      </c>
      <c r="I19" s="36">
        <v>246.22455694086173</v>
      </c>
      <c r="J19" s="32">
        <v>286359.15972222225</v>
      </c>
      <c r="K19" s="32">
        <v>286.35915972222222</v>
      </c>
      <c r="L19" s="32">
        <v>0.2863591597222222</v>
      </c>
      <c r="M19" s="36">
        <v>1.030892975</v>
      </c>
      <c r="N19" s="36">
        <v>977097.88688557502</v>
      </c>
      <c r="O19" s="36">
        <v>977.09788688557501</v>
      </c>
      <c r="P19" s="36">
        <v>0.97709788688557497</v>
      </c>
      <c r="Q19" s="36">
        <v>0.45359290899999999</v>
      </c>
      <c r="R19" s="36">
        <v>999.99999999999989</v>
      </c>
      <c r="S19" s="36">
        <v>1</v>
      </c>
      <c r="T19" s="36">
        <v>81.424823907131241</v>
      </c>
      <c r="U19" s="36">
        <v>2.4622455694086182E-2</v>
      </c>
    </row>
    <row r="20" spans="1:21">
      <c r="A20" s="34" t="s">
        <v>204</v>
      </c>
      <c r="B20" s="35">
        <v>12660671.838551113</v>
      </c>
      <c r="C20" s="32">
        <v>12660.671838551114</v>
      </c>
      <c r="D20" s="32">
        <f t="shared" si="1"/>
        <v>12.660671838551114</v>
      </c>
      <c r="E20" s="33">
        <f t="shared" si="0"/>
        <v>1.2660671838551114E-2</v>
      </c>
      <c r="F20" s="33">
        <f t="shared" si="0"/>
        <v>1.2660671838551115E-5</v>
      </c>
      <c r="G20" s="32">
        <v>3023949.5171852284</v>
      </c>
      <c r="H20" s="32">
        <v>3023.9495171852277</v>
      </c>
      <c r="I20" s="36">
        <v>3.023949517185228</v>
      </c>
      <c r="J20" s="32">
        <v>3516.8532884864203</v>
      </c>
      <c r="K20" s="32">
        <v>3.5168532884864203</v>
      </c>
      <c r="L20" s="32">
        <v>3.5168532884864204E-3</v>
      </c>
      <c r="M20" s="36">
        <v>1.2660671838551114E-2</v>
      </c>
      <c r="N20" s="36">
        <v>12000</v>
      </c>
      <c r="O20" s="36">
        <v>12</v>
      </c>
      <c r="P20" s="36">
        <v>1.2E-2</v>
      </c>
      <c r="Q20" s="36">
        <v>5.5706956089624894E-3</v>
      </c>
      <c r="R20" s="36">
        <v>12.281266965226058</v>
      </c>
      <c r="S20" s="36">
        <v>1.228126696522606E-2</v>
      </c>
      <c r="T20" s="36">
        <v>1</v>
      </c>
      <c r="U20" s="36">
        <v>3.0239495171852288E-4</v>
      </c>
    </row>
    <row r="21" spans="1:21">
      <c r="A21" s="34" t="s">
        <v>205</v>
      </c>
      <c r="B21" s="35">
        <v>41867999999.999992</v>
      </c>
      <c r="C21" s="32">
        <v>41867999.999999993</v>
      </c>
      <c r="D21" s="32">
        <f t="shared" si="1"/>
        <v>41867.999999999993</v>
      </c>
      <c r="E21" s="33">
        <f t="shared" si="0"/>
        <v>41.867999999999995</v>
      </c>
      <c r="F21" s="33">
        <f t="shared" si="0"/>
        <v>4.1867999999999995E-2</v>
      </c>
      <c r="G21" s="32">
        <v>9999999999.9999981</v>
      </c>
      <c r="H21" s="32">
        <v>9999999.9999999981</v>
      </c>
      <c r="I21" s="36">
        <v>9999.9999999999964</v>
      </c>
      <c r="J21" s="32">
        <v>11629999.999999998</v>
      </c>
      <c r="K21" s="32">
        <v>11629.999999999996</v>
      </c>
      <c r="L21" s="32">
        <v>11.629999999999997</v>
      </c>
      <c r="M21" s="36">
        <v>41.867999999999995</v>
      </c>
      <c r="N21" s="36">
        <v>39683202.155999996</v>
      </c>
      <c r="O21" s="36">
        <v>39683.202155999992</v>
      </c>
      <c r="P21" s="36">
        <v>39.683202155999993</v>
      </c>
      <c r="Q21" s="36">
        <v>18.421919999999997</v>
      </c>
      <c r="R21" s="36">
        <v>40613.333309405847</v>
      </c>
      <c r="S21" s="36">
        <v>40.613333309405853</v>
      </c>
      <c r="T21" s="36">
        <v>3306.933512999999</v>
      </c>
      <c r="U21" s="36">
        <v>1</v>
      </c>
    </row>
    <row r="23" spans="1:21">
      <c r="A23" s="30"/>
    </row>
    <row r="24" spans="1:21">
      <c r="A24" s="37" t="s">
        <v>42</v>
      </c>
      <c r="B24" s="34" t="s">
        <v>164</v>
      </c>
      <c r="C24" s="34"/>
      <c r="D24" s="34"/>
      <c r="E24" s="34" t="s">
        <v>15</v>
      </c>
    </row>
    <row r="25" spans="1:21">
      <c r="A25" s="34"/>
      <c r="B25" s="35"/>
      <c r="C25" s="33"/>
      <c r="D25" s="33"/>
      <c r="E25" s="33"/>
    </row>
    <row r="26" spans="1:21">
      <c r="A26" s="34" t="s">
        <v>165</v>
      </c>
      <c r="B26" s="36">
        <v>1</v>
      </c>
      <c r="C26" s="32" t="s">
        <v>167</v>
      </c>
      <c r="D26" s="32"/>
      <c r="E26" s="32"/>
    </row>
    <row r="27" spans="1:21">
      <c r="A27" s="34"/>
      <c r="B27" s="36"/>
      <c r="C27" s="32"/>
      <c r="D27" s="32"/>
      <c r="E27" s="32"/>
    </row>
    <row r="28" spans="1:21">
      <c r="A28" s="34" t="s">
        <v>3</v>
      </c>
      <c r="B28" s="36">
        <v>9.689999999999999E-3</v>
      </c>
      <c r="C28" s="32" t="s">
        <v>168</v>
      </c>
      <c r="D28" s="32"/>
      <c r="E28" s="32"/>
    </row>
    <row r="29" spans="1:21">
      <c r="A29" s="34"/>
      <c r="B29" s="35">
        <v>2.9307083333333337E-4</v>
      </c>
      <c r="C29" s="32" t="s">
        <v>169</v>
      </c>
      <c r="D29" s="32"/>
      <c r="E29" s="32"/>
    </row>
    <row r="30" spans="1:21">
      <c r="A30" s="34"/>
      <c r="B30" s="36">
        <v>0.90009000900090008</v>
      </c>
      <c r="C30" s="32" t="s">
        <v>170</v>
      </c>
      <c r="D30" s="32"/>
      <c r="E30" s="32"/>
    </row>
    <row r="31" spans="1:21">
      <c r="A31" s="34"/>
      <c r="B31" s="36">
        <v>1</v>
      </c>
      <c r="C31" s="32" t="s">
        <v>171</v>
      </c>
      <c r="D31" s="32"/>
      <c r="E31" s="32"/>
    </row>
    <row r="32" spans="1:21">
      <c r="A32" s="34"/>
      <c r="B32" s="36"/>
      <c r="C32" s="32"/>
      <c r="D32" s="32"/>
      <c r="E32" s="32"/>
    </row>
    <row r="33" spans="1:5">
      <c r="A33" s="34" t="s">
        <v>172</v>
      </c>
      <c r="B33" s="35">
        <v>2.5399999999999999E-2</v>
      </c>
      <c r="C33" s="32" t="s">
        <v>168</v>
      </c>
      <c r="D33" s="32"/>
      <c r="E33" s="32"/>
    </row>
    <row r="34" spans="1:5">
      <c r="A34" s="34"/>
      <c r="B34" s="35">
        <v>1.3800000000000002E-2</v>
      </c>
      <c r="C34" s="32" t="s">
        <v>173</v>
      </c>
      <c r="D34" s="32"/>
      <c r="E34" s="32"/>
    </row>
    <row r="35" spans="1:5">
      <c r="A35" s="34"/>
      <c r="B35" s="35">
        <v>0.91996320147194111</v>
      </c>
      <c r="C35" s="32" t="s">
        <v>170</v>
      </c>
      <c r="D35" s="32"/>
      <c r="E35" s="32"/>
    </row>
    <row r="36" spans="1:5">
      <c r="A36" s="34"/>
      <c r="B36" s="35">
        <v>1</v>
      </c>
      <c r="C36" s="32" t="s">
        <v>171</v>
      </c>
      <c r="D36" s="32"/>
      <c r="E36" s="32"/>
    </row>
    <row r="37" spans="1:5">
      <c r="A37" s="34"/>
      <c r="B37" s="35"/>
      <c r="C37" s="32"/>
      <c r="D37" s="32"/>
      <c r="E37" s="32"/>
    </row>
    <row r="38" spans="1:5">
      <c r="A38" s="34" t="s">
        <v>174</v>
      </c>
      <c r="B38" s="35">
        <v>3.2799999999999996E-2</v>
      </c>
      <c r="C38" s="32" t="s">
        <v>168</v>
      </c>
      <c r="D38" s="32"/>
      <c r="E38" s="32"/>
    </row>
    <row r="39" spans="1:5">
      <c r="A39" s="34" t="s">
        <v>174</v>
      </c>
      <c r="B39" s="35">
        <v>1.278E-2</v>
      </c>
      <c r="C39" s="32" t="s">
        <v>173</v>
      </c>
      <c r="D39" s="32"/>
      <c r="E39" s="32"/>
    </row>
    <row r="40" spans="1:5">
      <c r="A40" s="34"/>
      <c r="B40" s="35">
        <v>0.91996320147194111</v>
      </c>
      <c r="C40" s="32" t="s">
        <v>170</v>
      </c>
      <c r="D40" s="32"/>
      <c r="E40" s="32"/>
    </row>
    <row r="41" spans="1:5">
      <c r="A41" s="34" t="s">
        <v>174</v>
      </c>
      <c r="B41" s="35">
        <v>1</v>
      </c>
      <c r="C41" s="32" t="s">
        <v>171</v>
      </c>
      <c r="D41" s="32"/>
      <c r="E41" s="32"/>
    </row>
    <row r="42" spans="1:5">
      <c r="A42" s="34"/>
      <c r="B42" s="35"/>
      <c r="C42" s="32"/>
      <c r="D42" s="32"/>
      <c r="E42" s="32"/>
    </row>
    <row r="43" spans="1:5">
      <c r="A43" s="34" t="s">
        <v>175</v>
      </c>
      <c r="B43" s="35">
        <v>11.160189573459716</v>
      </c>
      <c r="C43" s="33" t="s">
        <v>176</v>
      </c>
      <c r="D43" s="33"/>
      <c r="E43" s="33"/>
    </row>
    <row r="44" spans="1:5">
      <c r="A44" s="34"/>
      <c r="B44" s="36">
        <v>0.94786729857819907</v>
      </c>
      <c r="C44" s="32" t="s">
        <v>170</v>
      </c>
      <c r="D44" s="32"/>
      <c r="E44" s="32"/>
    </row>
    <row r="45" spans="1:5">
      <c r="A45" s="34"/>
      <c r="B45" s="36">
        <v>1</v>
      </c>
      <c r="C45" s="32" t="s">
        <v>171</v>
      </c>
      <c r="D45" s="32"/>
      <c r="E45" s="32"/>
    </row>
    <row r="46" spans="1:5">
      <c r="A46" s="34"/>
      <c r="B46" s="36"/>
      <c r="C46" s="32"/>
      <c r="D46" s="32"/>
      <c r="E46" s="32"/>
    </row>
    <row r="47" spans="1:5">
      <c r="A47" s="34" t="s">
        <v>177</v>
      </c>
      <c r="B47" s="35">
        <v>11.798816568047338</v>
      </c>
      <c r="C47" s="32" t="s">
        <v>176</v>
      </c>
      <c r="D47" s="32"/>
      <c r="E47" s="32">
        <v>0.85</v>
      </c>
    </row>
    <row r="48" spans="1:5">
      <c r="A48" s="34" t="s">
        <v>177</v>
      </c>
      <c r="B48" s="36">
        <v>9.9700000000000006</v>
      </c>
      <c r="C48" s="32" t="s">
        <v>168</v>
      </c>
      <c r="D48" s="32"/>
      <c r="E48" s="32"/>
    </row>
    <row r="49" spans="1:5">
      <c r="A49" s="34"/>
      <c r="B49" s="36">
        <v>0.93023255813953487</v>
      </c>
      <c r="C49" s="32" t="s">
        <v>170</v>
      </c>
      <c r="D49" s="32"/>
      <c r="E49" s="32"/>
    </row>
    <row r="50" spans="1:5">
      <c r="A50" s="34" t="s">
        <v>177</v>
      </c>
      <c r="B50" s="36">
        <v>1</v>
      </c>
      <c r="C50" s="32" t="s">
        <v>171</v>
      </c>
      <c r="D50" s="32"/>
      <c r="E50" s="32"/>
    </row>
    <row r="51" spans="1:5">
      <c r="A51" s="34"/>
      <c r="B51" s="35"/>
      <c r="C51" s="32"/>
      <c r="D51" s="32"/>
      <c r="E51" s="32"/>
    </row>
    <row r="52" spans="1:5">
      <c r="A52" s="34" t="s">
        <v>178</v>
      </c>
      <c r="B52" s="35">
        <v>7.2220000000000004</v>
      </c>
      <c r="C52" s="32" t="s">
        <v>176</v>
      </c>
      <c r="D52" s="32"/>
      <c r="E52" s="32"/>
    </row>
    <row r="53" spans="1:5">
      <c r="A53" s="34"/>
      <c r="B53" s="35">
        <v>0.9505703422053231</v>
      </c>
      <c r="C53" s="32" t="s">
        <v>170</v>
      </c>
      <c r="D53" s="32"/>
      <c r="E53" s="32"/>
    </row>
    <row r="54" spans="1:5">
      <c r="A54" s="34" t="s">
        <v>179</v>
      </c>
      <c r="B54" s="35">
        <v>1</v>
      </c>
      <c r="C54" s="32" t="s">
        <v>171</v>
      </c>
      <c r="D54" s="32"/>
      <c r="E54" s="32"/>
    </row>
    <row r="55" spans="1:5">
      <c r="A55" s="34"/>
      <c r="B55" s="35"/>
      <c r="C55" s="32"/>
      <c r="D55" s="32"/>
      <c r="E55" s="32"/>
    </row>
    <row r="56" spans="1:5">
      <c r="A56" s="34" t="s">
        <v>180</v>
      </c>
      <c r="B56" s="35">
        <v>2.2000000000000002</v>
      </c>
      <c r="C56" s="32" t="s">
        <v>176</v>
      </c>
      <c r="D56" s="32"/>
      <c r="E56" s="32"/>
    </row>
    <row r="57" spans="1:5">
      <c r="A57" s="34" t="s">
        <v>181</v>
      </c>
      <c r="B57" s="35">
        <v>2.76</v>
      </c>
      <c r="C57" s="32" t="s">
        <v>176</v>
      </c>
      <c r="D57" s="32"/>
      <c r="E57" s="32"/>
    </row>
    <row r="58" spans="1:5">
      <c r="A58" s="34" t="s">
        <v>182</v>
      </c>
      <c r="B58" s="35">
        <v>4.5999999999999996</v>
      </c>
      <c r="C58" s="32" t="s">
        <v>176</v>
      </c>
      <c r="D58" s="32"/>
      <c r="E58" s="32"/>
    </row>
    <row r="59" spans="1:5">
      <c r="A59" s="34" t="s">
        <v>183</v>
      </c>
      <c r="B59" s="35">
        <v>1.68</v>
      </c>
      <c r="C59" s="32" t="s">
        <v>184</v>
      </c>
      <c r="D59" s="32"/>
      <c r="E59" s="32"/>
    </row>
    <row r="60" spans="1:5">
      <c r="A60" s="34"/>
      <c r="B60" s="35"/>
      <c r="C60" s="32"/>
      <c r="D60" s="32"/>
      <c r="E60" s="32"/>
    </row>
    <row r="61" spans="1:5">
      <c r="A61" s="34" t="s">
        <v>212</v>
      </c>
      <c r="B61" s="35"/>
      <c r="C61" s="33"/>
      <c r="D61" s="33"/>
      <c r="E61" s="33">
        <v>0.8</v>
      </c>
    </row>
    <row r="62" spans="1:5">
      <c r="A62" s="53" t="s">
        <v>152</v>
      </c>
      <c r="B62" s="35"/>
      <c r="C62" s="33"/>
      <c r="D62" s="33"/>
      <c r="E62" s="33">
        <v>1.8</v>
      </c>
    </row>
    <row r="64" spans="1:5">
      <c r="A64" s="55" t="s">
        <v>326</v>
      </c>
      <c r="B64" s="56" t="s">
        <v>327</v>
      </c>
      <c r="C64" s="56" t="s">
        <v>233</v>
      </c>
      <c r="D64" s="56" t="s">
        <v>328</v>
      </c>
      <c r="E64" s="56" t="s">
        <v>329</v>
      </c>
    </row>
    <row r="65" spans="1:6">
      <c r="A65" s="56" t="s">
        <v>327</v>
      </c>
      <c r="B65" s="57">
        <v>1</v>
      </c>
      <c r="C65" s="58">
        <v>1E-3</v>
      </c>
      <c r="D65" s="58">
        <v>3.5274E-2</v>
      </c>
      <c r="E65" s="58">
        <v>2.20462E-3</v>
      </c>
    </row>
    <row r="66" spans="1:6">
      <c r="A66" s="56" t="s">
        <v>233</v>
      </c>
      <c r="B66" s="59">
        <v>1000</v>
      </c>
      <c r="C66" s="60">
        <v>1</v>
      </c>
      <c r="D66" s="60">
        <v>35.274000000000001</v>
      </c>
      <c r="E66" s="60">
        <v>2.2046199999999998</v>
      </c>
    </row>
    <row r="67" spans="1:6">
      <c r="A67" s="56" t="s">
        <v>328</v>
      </c>
      <c r="B67" s="59">
        <v>28.349492544083461</v>
      </c>
      <c r="C67" s="60">
        <v>2.8349492544083463E-2</v>
      </c>
      <c r="D67" s="60">
        <v>1</v>
      </c>
      <c r="E67" s="60">
        <v>6.2499858252537281E-2</v>
      </c>
    </row>
    <row r="68" spans="1:6">
      <c r="A68" s="56" t="s">
        <v>329</v>
      </c>
      <c r="B68" s="59">
        <v>453.59290943563968</v>
      </c>
      <c r="C68" s="60">
        <v>0.45359290943563968</v>
      </c>
      <c r="D68" s="60">
        <v>16.000036287432753</v>
      </c>
      <c r="E68" s="60">
        <v>1</v>
      </c>
    </row>
    <row r="70" spans="1:6">
      <c r="A70" s="55" t="s">
        <v>320</v>
      </c>
      <c r="B70" s="56" t="s">
        <v>322</v>
      </c>
      <c r="C70" s="56" t="s">
        <v>323</v>
      </c>
      <c r="D70" s="56" t="s">
        <v>324</v>
      </c>
      <c r="E70" s="56" t="s">
        <v>321</v>
      </c>
      <c r="F70" s="56" t="s">
        <v>325</v>
      </c>
    </row>
    <row r="71" spans="1:6">
      <c r="A71" s="56" t="s">
        <v>322</v>
      </c>
      <c r="B71" s="57">
        <v>1</v>
      </c>
      <c r="C71" s="58">
        <v>9.9999999999999995E-7</v>
      </c>
      <c r="D71" s="58">
        <v>6.10237E-2</v>
      </c>
      <c r="E71" s="58">
        <v>1E-3</v>
      </c>
      <c r="F71" s="58">
        <v>3.5314700000000003E-5</v>
      </c>
    </row>
    <row r="72" spans="1:6">
      <c r="A72" s="56" t="s">
        <v>323</v>
      </c>
      <c r="B72" s="59">
        <v>1000000</v>
      </c>
      <c r="C72" s="60">
        <v>1</v>
      </c>
      <c r="D72" s="60">
        <v>61023.7</v>
      </c>
      <c r="E72" s="60">
        <v>1000</v>
      </c>
      <c r="F72" s="60">
        <v>35.314700000000002</v>
      </c>
    </row>
    <row r="73" spans="1:6">
      <c r="A73" s="56" t="s">
        <v>324</v>
      </c>
      <c r="B73" s="59">
        <v>16.387075841025698</v>
      </c>
      <c r="C73" s="60">
        <v>1.6387075841025697E-5</v>
      </c>
      <c r="D73" s="60">
        <v>0.99999999999999989</v>
      </c>
      <c r="E73" s="60">
        <v>1.6387075841025698E-2</v>
      </c>
      <c r="F73" s="60">
        <v>5.7870466720307023E-4</v>
      </c>
    </row>
    <row r="74" spans="1:6">
      <c r="A74" s="56" t="s">
        <v>321</v>
      </c>
      <c r="B74" s="59">
        <v>1000</v>
      </c>
      <c r="C74" s="60">
        <v>1E-3</v>
      </c>
      <c r="D74" s="60">
        <v>61.023699999999998</v>
      </c>
      <c r="E74" s="60">
        <v>1</v>
      </c>
      <c r="F74" s="60">
        <v>3.5314700000000004E-2</v>
      </c>
    </row>
    <row r="75" spans="1:6">
      <c r="A75" s="56" t="s">
        <v>325</v>
      </c>
      <c r="B75" s="59">
        <v>28316.819907857065</v>
      </c>
      <c r="C75" s="60">
        <v>2.8316819907857064E-2</v>
      </c>
      <c r="D75" s="60">
        <v>1727.9971230110973</v>
      </c>
      <c r="E75" s="60">
        <v>28.316819907857067</v>
      </c>
      <c r="F75" s="60">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pageSetUpPr fitToPage="1"/>
  </sheetPr>
  <dimension ref="A3:M50"/>
  <sheetViews>
    <sheetView topLeftCell="A13" zoomScale="85" zoomScaleNormal="85" workbookViewId="0">
      <selection activeCell="J50" sqref="J50"/>
    </sheetView>
  </sheetViews>
  <sheetFormatPr baseColWidth="10" defaultColWidth="11.44140625" defaultRowHeight="13.2"/>
  <cols>
    <col min="2" max="2" width="60.6640625" bestFit="1" customWidth="1"/>
    <col min="3" max="3" width="30.44140625" customWidth="1"/>
    <col min="4" max="4" width="12.44140625" bestFit="1" customWidth="1"/>
    <col min="5" max="5" width="17.44140625" bestFit="1" customWidth="1"/>
    <col min="6" max="6" width="13.5546875" bestFit="1" customWidth="1"/>
    <col min="7" max="7" width="12" bestFit="1" customWidth="1"/>
    <col min="8" max="8" width="14" bestFit="1" customWidth="1"/>
    <col min="9" max="9" width="10.6640625" bestFit="1" customWidth="1"/>
    <col min="10" max="10" width="14.88671875" bestFit="1" customWidth="1"/>
    <col min="11" max="11" width="9" bestFit="1" customWidth="1"/>
    <col min="12" max="12" width="10.6640625" bestFit="1" customWidth="1"/>
  </cols>
  <sheetData>
    <row r="3" spans="1:13">
      <c r="A3" s="12" t="s">
        <v>147</v>
      </c>
      <c r="B3" t="s">
        <v>27</v>
      </c>
      <c r="C3" t="s">
        <v>50</v>
      </c>
      <c r="D3" t="s">
        <v>42</v>
      </c>
      <c r="E3" t="s">
        <v>54</v>
      </c>
      <c r="F3" t="s">
        <v>57</v>
      </c>
      <c r="G3" t="s">
        <v>43</v>
      </c>
      <c r="H3" t="s">
        <v>55</v>
      </c>
      <c r="I3" t="s">
        <v>52</v>
      </c>
      <c r="J3" t="s">
        <v>46</v>
      </c>
      <c r="K3" t="s">
        <v>56</v>
      </c>
      <c r="L3" t="s">
        <v>53</v>
      </c>
      <c r="M3" t="s">
        <v>281</v>
      </c>
    </row>
    <row r="4" spans="1:13">
      <c r="A4" s="13" t="s">
        <v>65</v>
      </c>
      <c r="B4" t="s">
        <v>117</v>
      </c>
      <c r="C4" t="str">
        <f>'Sparging Venting'!A25</f>
        <v>Electricité</v>
      </c>
      <c r="D4" s="52">
        <f>'Sparging Venting'!C25</f>
        <v>3698.2964786281982</v>
      </c>
      <c r="E4" t="str">
        <f>'Sparging Venting'!B25</f>
        <v>kWh/t polluant</v>
      </c>
    </row>
    <row r="5" spans="1:13">
      <c r="A5" s="13" t="s">
        <v>65</v>
      </c>
      <c r="B5" t="s">
        <v>117</v>
      </c>
      <c r="C5" t="str">
        <f>'Sparging Venting'!A26</f>
        <v>Charbon actif</v>
      </c>
      <c r="D5" s="52">
        <f>'Sparging Venting'!C26</f>
        <v>7.12347354138399E-2</v>
      </c>
      <c r="E5" t="str">
        <f>'Sparging Venting'!B26</f>
        <v>t/t polluant</v>
      </c>
      <c r="G5" s="52"/>
    </row>
    <row r="6" spans="1:13">
      <c r="A6" s="13" t="s">
        <v>65</v>
      </c>
      <c r="B6" t="s">
        <v>117</v>
      </c>
      <c r="C6" t="str">
        <f>'Sparging Venting'!A29</f>
        <v>Charbon actif souillé</v>
      </c>
      <c r="D6" s="52"/>
      <c r="G6" s="52">
        <f>'Sparging Venting'!C29</f>
        <v>0.87516960651289011</v>
      </c>
      <c r="H6" t="str">
        <f>'Sparging Venting'!B29</f>
        <v>t/t polluant</v>
      </c>
    </row>
    <row r="7" spans="1:13">
      <c r="A7" s="13" t="s">
        <v>65</v>
      </c>
      <c r="B7" s="6" t="s">
        <v>63</v>
      </c>
      <c r="C7" t="str">
        <f>'Pomp ecrem'!A27</f>
        <v>Electricité</v>
      </c>
      <c r="D7" s="52">
        <f>'Pomp ecrem'!C27</f>
        <v>1209.6000000000001</v>
      </c>
      <c r="E7" t="str">
        <f>'Pomp ecrem'!B27</f>
        <v>kWh/t polluant</v>
      </c>
      <c r="G7" s="52"/>
    </row>
    <row r="8" spans="1:13">
      <c r="A8" s="14" t="s">
        <v>65</v>
      </c>
      <c r="B8" s="6" t="s">
        <v>63</v>
      </c>
      <c r="C8" t="str">
        <f>'Pomp ecrem'!A29</f>
        <v>Charbon actif</v>
      </c>
      <c r="D8" s="52">
        <f>'Pomp ecrem'!C29</f>
        <v>0.55999999999999994</v>
      </c>
      <c r="E8" t="str">
        <f>'Pomp ecrem'!B29</f>
        <v>t/t polluant</v>
      </c>
      <c r="G8" s="52"/>
    </row>
    <row r="9" spans="1:13">
      <c r="A9" s="14" t="s">
        <v>65</v>
      </c>
      <c r="B9" s="6" t="s">
        <v>63</v>
      </c>
      <c r="C9" s="6" t="str">
        <f>'Pomp ecrem'!A34</f>
        <v>Polluants récupérés</v>
      </c>
      <c r="D9" s="52"/>
      <c r="G9" s="52">
        <f>'Pomp ecrem'!C34</f>
        <v>1</v>
      </c>
      <c r="H9" t="str">
        <f>'Pomp ecrem'!B34</f>
        <v>t/t polluant</v>
      </c>
    </row>
    <row r="10" spans="1:13">
      <c r="A10" s="14" t="s">
        <v>65</v>
      </c>
      <c r="B10" s="6" t="s">
        <v>63</v>
      </c>
      <c r="C10" s="6" t="str">
        <f>'Pomp ecrem'!A32</f>
        <v>Charbon actif souillé</v>
      </c>
      <c r="D10" s="52"/>
      <c r="G10" s="52">
        <f>'Pomp ecrem'!C32</f>
        <v>0.55999999999999994</v>
      </c>
      <c r="H10" t="str">
        <f>'Pomp ecrem'!B32</f>
        <v>t/t polluant</v>
      </c>
    </row>
    <row r="11" spans="1:13">
      <c r="A11" s="14" t="s">
        <v>65</v>
      </c>
      <c r="B11" t="s">
        <v>33</v>
      </c>
      <c r="C11" s="7" t="str">
        <f>'Lavage eau et extract'!A18</f>
        <v>Electricité pour pompage</v>
      </c>
      <c r="D11" s="94">
        <f>'Lavage eau et extract'!C18</f>
        <v>2574.2574257425745</v>
      </c>
      <c r="E11" s="7" t="str">
        <f>'Lavage eau et extract'!B18</f>
        <v>kWh/t polluant</v>
      </c>
      <c r="G11" s="52"/>
    </row>
    <row r="12" spans="1:13">
      <c r="A12" s="14" t="s">
        <v>65</v>
      </c>
      <c r="B12" t="s">
        <v>33</v>
      </c>
      <c r="C12" s="7" t="str">
        <f>'Lavage eau et extract'!A19</f>
        <v>Surfactant</v>
      </c>
      <c r="D12" s="94">
        <f>'Lavage eau et extract'!C19</f>
        <v>0.26402640264026406</v>
      </c>
      <c r="E12" s="7" t="str">
        <f>'Lavage eau et extract'!B19</f>
        <v>t/t polluant</v>
      </c>
      <c r="G12" s="52"/>
    </row>
    <row r="13" spans="1:13">
      <c r="A13" s="14" t="s">
        <v>65</v>
      </c>
      <c r="B13" t="s">
        <v>33</v>
      </c>
      <c r="C13" s="7" t="str">
        <f>'Lavage eau et extract'!A20</f>
        <v>Oxydant</v>
      </c>
      <c r="D13" s="94">
        <f>'Lavage eau et extract'!C20</f>
        <v>0.33003300330033009</v>
      </c>
      <c r="E13" s="7" t="str">
        <f>'Lavage eau et extract'!B20</f>
        <v>t/t polluant</v>
      </c>
      <c r="G13" s="52"/>
    </row>
    <row r="14" spans="1:13">
      <c r="A14" s="14" t="s">
        <v>65</v>
      </c>
      <c r="B14" t="s">
        <v>33</v>
      </c>
      <c r="C14" s="7" t="str">
        <f>'Lavage eau et extract'!A21</f>
        <v>Concentrat d'ultrafiltration incinéré</v>
      </c>
      <c r="D14" s="52"/>
      <c r="G14" s="94">
        <f>'Lavage eau et extract'!C21</f>
        <v>12.376237623762377</v>
      </c>
      <c r="H14" s="7" t="str">
        <f>'Lavage eau et extract'!B21</f>
        <v>m3/t polluant</v>
      </c>
    </row>
    <row r="15" spans="1:13">
      <c r="A15" s="14" t="s">
        <v>65</v>
      </c>
      <c r="B15" t="s">
        <v>33</v>
      </c>
      <c r="C15" s="7" t="str">
        <f>'Lavage eau et extract'!A22</f>
        <v>Perméat d'ultrafiltration en STEP</v>
      </c>
      <c r="D15" s="52"/>
      <c r="G15" s="94">
        <f>'Lavage eau et extract'!C22</f>
        <v>2.3102310231023102</v>
      </c>
      <c r="H15" s="7" t="str">
        <f>'Lavage eau et extract'!B22</f>
        <v>m3/t polluant</v>
      </c>
    </row>
    <row r="16" spans="1:13">
      <c r="A16" s="14" t="s">
        <v>65</v>
      </c>
      <c r="B16" t="s">
        <v>35</v>
      </c>
      <c r="C16" t="str">
        <f>'Stab physico chim'!A21</f>
        <v>Electricité</v>
      </c>
      <c r="D16" s="52">
        <f>'Stab physico chim'!C21</f>
        <v>286.56716417910451</v>
      </c>
      <c r="E16" t="str">
        <f>'Stab physico chim'!B21</f>
        <v>kWh/t polluant</v>
      </c>
      <c r="G16" s="52"/>
    </row>
    <row r="17" spans="1:13">
      <c r="A17" s="14" t="s">
        <v>65</v>
      </c>
      <c r="B17" t="s">
        <v>35</v>
      </c>
      <c r="C17" t="str">
        <f>'Stab physico chim'!A22</f>
        <v>Permanganate de potassium</v>
      </c>
      <c r="D17" s="52">
        <f>'Stab physico chim'!C22</f>
        <v>3.1614654002713705</v>
      </c>
      <c r="E17" t="str">
        <f>'Stab physico chim'!B22</f>
        <v>t/t hydrocarbure</v>
      </c>
      <c r="G17" s="52"/>
    </row>
    <row r="18" spans="1:13">
      <c r="A18" s="14" t="s">
        <v>65</v>
      </c>
      <c r="B18" t="s">
        <v>35</v>
      </c>
      <c r="C18" t="str">
        <f>'Stab physico chim'!A23</f>
        <v>Eau</v>
      </c>
      <c r="D18" s="52">
        <f>'Stab physico chim'!C23</f>
        <v>75.983717774762553</v>
      </c>
      <c r="E18" t="str">
        <f>'Stab physico chim'!B23</f>
        <v>t/t hydrocarbure</v>
      </c>
      <c r="G18" s="52"/>
    </row>
    <row r="19" spans="1:13">
      <c r="A19" s="13" t="s">
        <v>65</v>
      </c>
      <c r="B19" t="s">
        <v>40</v>
      </c>
      <c r="C19" t="str">
        <f>'Desorption therm'!A19</f>
        <v>Electricité pour chauffage du sol</v>
      </c>
      <c r="D19" s="52">
        <f>'Desorption therm'!C19</f>
        <v>2550</v>
      </c>
      <c r="E19" t="str">
        <f>'Desorption therm'!B19</f>
        <v>kWh/m2</v>
      </c>
      <c r="G19" s="52"/>
    </row>
    <row r="20" spans="1:13">
      <c r="A20" s="13" t="s">
        <v>65</v>
      </c>
      <c r="B20" t="s">
        <v>40</v>
      </c>
      <c r="C20" t="str">
        <f>'Desorption therm'!A20</f>
        <v>Electricité pour utilités</v>
      </c>
      <c r="D20" s="52">
        <f>'Desorption therm'!C20</f>
        <v>0.56399999999999995</v>
      </c>
      <c r="E20" t="str">
        <f>'Desorption therm'!B20</f>
        <v>kWh/m2</v>
      </c>
      <c r="G20" s="52"/>
    </row>
    <row r="21" spans="1:13">
      <c r="A21" s="13" t="s">
        <v>65</v>
      </c>
      <c r="B21" t="s">
        <v>40</v>
      </c>
      <c r="C21" t="str">
        <f>'Desorption therm'!A21</f>
        <v>Charbon actif</v>
      </c>
      <c r="D21" s="52"/>
      <c r="G21" s="52">
        <f>'Desorption therm'!C21</f>
        <v>10</v>
      </c>
      <c r="H21" t="str">
        <f>'Desorption therm'!B21</f>
        <v>t/t hydrocarbures</v>
      </c>
    </row>
    <row r="22" spans="1:13">
      <c r="A22" s="14" t="s">
        <v>70</v>
      </c>
      <c r="B22" s="6" t="s">
        <v>71</v>
      </c>
      <c r="C22" t="str">
        <f>Excavation!A15</f>
        <v>Diesel</v>
      </c>
      <c r="D22" s="52">
        <f>Excavation!B15</f>
        <v>1.9000000000000001E-4</v>
      </c>
      <c r="E22" t="str">
        <f>Excavation!C15</f>
        <v>t/t</v>
      </c>
      <c r="G22" s="52"/>
    </row>
    <row r="23" spans="1:13">
      <c r="A23" s="14" t="s">
        <v>70</v>
      </c>
      <c r="B23" t="s">
        <v>36</v>
      </c>
      <c r="C23" s="6" t="str">
        <f>'Tri selon les fractions'!A15</f>
        <v>Electricité</v>
      </c>
      <c r="D23" s="94">
        <f>'Tri selon les fractions'!B15</f>
        <v>30</v>
      </c>
      <c r="E23" s="7" t="s">
        <v>21</v>
      </c>
      <c r="G23" s="52"/>
    </row>
    <row r="24" spans="1:13">
      <c r="A24" s="14" t="s">
        <v>70</v>
      </c>
      <c r="B24" t="s">
        <v>36</v>
      </c>
      <c r="C24" s="6" t="str">
        <f>'Tri selon les fractions'!A16</f>
        <v>Diesel</v>
      </c>
      <c r="D24" s="94">
        <f>'Tri selon les fractions'!B16*Conversions!$E$47</f>
        <v>0.64600000000000002</v>
      </c>
      <c r="E24" s="47" t="s">
        <v>23</v>
      </c>
      <c r="G24" s="52"/>
    </row>
    <row r="25" spans="1:13">
      <c r="A25" s="13" t="s">
        <v>70</v>
      </c>
      <c r="B25" s="6" t="s">
        <v>64</v>
      </c>
      <c r="C25" t="str">
        <f>'Lavage à l''eau'!A15</f>
        <v>Electricité</v>
      </c>
      <c r="D25" s="94">
        <f>'Lavage à l''eau'!B15</f>
        <v>18.5</v>
      </c>
      <c r="E25" s="7" t="str">
        <f>'Lavage à l''eau'!C15</f>
        <v>kWh/t</v>
      </c>
      <c r="G25" s="52"/>
    </row>
    <row r="26" spans="1:13">
      <c r="A26" s="13" t="s">
        <v>70</v>
      </c>
      <c r="B26" s="6" t="s">
        <v>64</v>
      </c>
      <c r="C26" t="str">
        <f>'Lavage à l''eau'!A16</f>
        <v>Surfactant</v>
      </c>
      <c r="D26" s="94">
        <f>'Lavage à l''eau'!B16</f>
        <v>0.6</v>
      </c>
      <c r="E26" s="7" t="str">
        <f>'Lavage à l''eau'!C16</f>
        <v>kg/t</v>
      </c>
      <c r="G26" s="52"/>
    </row>
    <row r="27" spans="1:13">
      <c r="A27" s="13" t="s">
        <v>70</v>
      </c>
      <c r="B27" s="6" t="s">
        <v>64</v>
      </c>
      <c r="C27" t="str">
        <f>'Lavage à l''eau'!A17</f>
        <v>Eau</v>
      </c>
      <c r="D27" s="94">
        <f>'Lavage à l''eau'!B17</f>
        <v>1</v>
      </c>
      <c r="E27" s="7" t="str">
        <f>'Lavage à l''eau'!C17</f>
        <v>m3/t</v>
      </c>
      <c r="G27" s="52"/>
    </row>
    <row r="28" spans="1:13">
      <c r="A28" s="13" t="s">
        <v>70</v>
      </c>
      <c r="B28" s="6" t="s">
        <v>64</v>
      </c>
      <c r="C28" t="str">
        <f>'Lavage à l''eau'!A21</f>
        <v>Gâteau avec fines</v>
      </c>
      <c r="D28" s="94"/>
      <c r="E28" s="7"/>
      <c r="G28" s="52">
        <f>'Lavage à l''eau'!B21</f>
        <v>2</v>
      </c>
      <c r="H28" t="str">
        <f>'Lavage à l''eau'!C21</f>
        <v>t/t fines</v>
      </c>
    </row>
    <row r="29" spans="1:13">
      <c r="A29" s="13" t="s">
        <v>70</v>
      </c>
      <c r="B29" s="6" t="s">
        <v>372</v>
      </c>
      <c r="C29" s="6" t="s">
        <v>222</v>
      </c>
      <c r="D29" s="94"/>
      <c r="E29" s="7"/>
      <c r="G29" s="52">
        <v>1</v>
      </c>
      <c r="H29" s="6" t="s">
        <v>221</v>
      </c>
    </row>
    <row r="30" spans="1:13">
      <c r="A30" s="13" t="s">
        <v>70</v>
      </c>
      <c r="B30" s="6" t="s">
        <v>279</v>
      </c>
      <c r="C30" s="6" t="s">
        <v>222</v>
      </c>
      <c r="D30" s="52"/>
      <c r="F30" s="3"/>
      <c r="G30" s="52">
        <v>1</v>
      </c>
      <c r="H30" s="6" t="s">
        <v>221</v>
      </c>
      <c r="M30" s="6"/>
    </row>
    <row r="31" spans="1:13">
      <c r="A31" s="13" t="s">
        <v>70</v>
      </c>
      <c r="B31" s="6" t="s">
        <v>280</v>
      </c>
      <c r="C31" s="6" t="s">
        <v>0</v>
      </c>
      <c r="D31" s="52">
        <v>1.5</v>
      </c>
      <c r="E31" t="s">
        <v>21</v>
      </c>
      <c r="F31" s="3" t="s">
        <v>374</v>
      </c>
      <c r="G31" s="52"/>
      <c r="H31" s="6"/>
      <c r="M31" s="6"/>
    </row>
    <row r="32" spans="1:13">
      <c r="A32" s="13" t="s">
        <v>70</v>
      </c>
      <c r="B32" s="6" t="s">
        <v>280</v>
      </c>
      <c r="C32" s="6" t="s">
        <v>1</v>
      </c>
      <c r="D32" s="52">
        <f>1.1/Conversions!E47</f>
        <v>1.2941176470588236</v>
      </c>
      <c r="E32" t="s">
        <v>21</v>
      </c>
      <c r="F32" s="3" t="s">
        <v>374</v>
      </c>
      <c r="G32" s="52"/>
      <c r="H32" s="6"/>
      <c r="M32" s="6"/>
    </row>
    <row r="33" spans="1:13">
      <c r="A33" s="13" t="s">
        <v>70</v>
      </c>
      <c r="B33" s="6" t="s">
        <v>280</v>
      </c>
      <c r="C33" s="6" t="s">
        <v>222</v>
      </c>
      <c r="D33" s="52"/>
      <c r="F33" s="3"/>
      <c r="G33" s="52">
        <v>1.2</v>
      </c>
      <c r="H33" s="6" t="s">
        <v>221</v>
      </c>
      <c r="M33" s="6"/>
    </row>
    <row r="34" spans="1:13">
      <c r="A34" s="93" t="s">
        <v>70</v>
      </c>
      <c r="B34" s="6" t="s">
        <v>38</v>
      </c>
      <c r="C34" s="6" t="s">
        <v>373</v>
      </c>
      <c r="D34" s="52"/>
      <c r="F34" s="3"/>
      <c r="G34" s="52">
        <v>0.9</v>
      </c>
      <c r="H34" s="6" t="s">
        <v>221</v>
      </c>
      <c r="M34" s="6"/>
    </row>
    <row r="35" spans="1:13">
      <c r="A35" s="13" t="s">
        <v>70</v>
      </c>
      <c r="B35" t="s">
        <v>39</v>
      </c>
      <c r="C35" t="str">
        <f>'Co Inci cimenterie'!A15</f>
        <v>Electricité</v>
      </c>
      <c r="D35" s="52">
        <f>'Co Inci cimenterie'!B15</f>
        <v>30</v>
      </c>
      <c r="E35" t="str">
        <f>'Co Inci cimenterie'!C15</f>
        <v>kWh/t</v>
      </c>
      <c r="G35" s="52"/>
    </row>
    <row r="36" spans="1:13">
      <c r="A36" s="14" t="s">
        <v>70</v>
      </c>
      <c r="B36" t="s">
        <v>39</v>
      </c>
      <c r="C36" t="str">
        <f>'Co Inci cimenterie'!A16</f>
        <v>Diesel</v>
      </c>
      <c r="D36" s="52">
        <f>'Co Inci cimenterie'!B16</f>
        <v>0.19</v>
      </c>
      <c r="E36" t="str">
        <f>'Co Inci cimenterie'!C16</f>
        <v>kg/t</v>
      </c>
      <c r="G36" s="52"/>
    </row>
    <row r="37" spans="1:13">
      <c r="A37" s="13" t="s">
        <v>70</v>
      </c>
      <c r="B37" t="s">
        <v>39</v>
      </c>
      <c r="C37" t="str">
        <f>'Co Inci cimenterie'!A23</f>
        <v>Marne</v>
      </c>
      <c r="D37" s="52"/>
      <c r="G37" s="52"/>
      <c r="J37">
        <f>'Co Inci cimenterie'!B23</f>
        <v>250</v>
      </c>
      <c r="K37" t="str">
        <f>'Co Inci cimenterie'!C23</f>
        <v>kg/t</v>
      </c>
    </row>
    <row r="38" spans="1:13">
      <c r="A38" s="13" t="s">
        <v>70</v>
      </c>
      <c r="B38" t="s">
        <v>39</v>
      </c>
      <c r="C38" t="str">
        <f>'Co Inci cimenterie'!A24</f>
        <v>Calcaire</v>
      </c>
      <c r="D38" s="52"/>
      <c r="G38" s="52"/>
      <c r="J38">
        <f>'Co Inci cimenterie'!B24</f>
        <v>750</v>
      </c>
      <c r="K38" t="str">
        <f>'Co Inci cimenterie'!C24</f>
        <v>kg/t</v>
      </c>
    </row>
    <row r="39" spans="1:13">
      <c r="A39" s="13" t="s">
        <v>70</v>
      </c>
      <c r="B39" s="6" t="s">
        <v>62</v>
      </c>
      <c r="C39" t="str">
        <f>Biotertre!A20</f>
        <v>Diesel pour pelle mécanique</v>
      </c>
      <c r="D39" s="52">
        <f>Biotertre!C20</f>
        <v>4.2782948526765063E-2</v>
      </c>
      <c r="E39" t="str">
        <f>Biotertre!B20</f>
        <v>t/t hydrocarbures</v>
      </c>
      <c r="G39" s="52"/>
    </row>
    <row r="40" spans="1:13">
      <c r="A40" s="13" t="s">
        <v>70</v>
      </c>
      <c r="B40" s="6" t="s">
        <v>62</v>
      </c>
      <c r="C40" t="str">
        <f>Biotertre!A21</f>
        <v>Phosphate de sodium</v>
      </c>
      <c r="D40" s="52">
        <f>Biotertre!C21</f>
        <v>0.22167429423561477</v>
      </c>
      <c r="E40" t="str">
        <f>Biotertre!B21</f>
        <v>t/t hydrocarbures</v>
      </c>
      <c r="G40" s="52"/>
    </row>
    <row r="41" spans="1:13">
      <c r="A41" s="13" t="s">
        <v>70</v>
      </c>
      <c r="B41" s="6" t="s">
        <v>62</v>
      </c>
      <c r="C41" t="str">
        <f>Biotertre!A22</f>
        <v>Urée</v>
      </c>
      <c r="D41" s="52">
        <f>Biotertre!C22</f>
        <v>8.269230769230769E-2</v>
      </c>
      <c r="E41" t="str">
        <f>Biotertre!B22</f>
        <v>t/t hydrocarbures</v>
      </c>
      <c r="G41" s="52"/>
    </row>
    <row r="42" spans="1:13">
      <c r="A42" s="13" t="s">
        <v>70</v>
      </c>
      <c r="B42" s="6" t="s">
        <v>62</v>
      </c>
      <c r="C42" t="str">
        <f>Biotertre!A23</f>
        <v>Agent structurant (Compost)</v>
      </c>
      <c r="D42" s="52">
        <f>Biotertre!C23</f>
        <v>0.12855453283282769</v>
      </c>
      <c r="E42" t="str">
        <f>Biotertre!B23</f>
        <v>t/t hydrocarbures</v>
      </c>
      <c r="G42" s="52"/>
    </row>
    <row r="43" spans="1:13">
      <c r="A43" s="13" t="s">
        <v>70</v>
      </c>
      <c r="B43" s="6" t="s">
        <v>62</v>
      </c>
      <c r="C43" t="str">
        <f>Biotertre!A26</f>
        <v>Electricité pour pompe de circulation des lixiviats</v>
      </c>
      <c r="D43" s="52">
        <f>Biotertre!C26</f>
        <v>291.56168046485317</v>
      </c>
      <c r="E43" t="str">
        <f>Biotertre!B26</f>
        <v>kWh/t hydrocarbures</v>
      </c>
      <c r="G43" s="52"/>
    </row>
    <row r="44" spans="1:13">
      <c r="A44" s="13" t="s">
        <v>70</v>
      </c>
      <c r="B44" s="6" t="s">
        <v>62</v>
      </c>
      <c r="C44" t="str">
        <f>Biotertre!A27</f>
        <v>Charbon actif</v>
      </c>
      <c r="D44" s="52">
        <f>Biotertre!C27</f>
        <v>3.7537923587185685E-3</v>
      </c>
      <c r="E44" t="str">
        <f>Biotertre!B27</f>
        <v>t/t hydrocarbures</v>
      </c>
      <c r="G44" s="52"/>
    </row>
    <row r="45" spans="1:13">
      <c r="A45" s="13" t="s">
        <v>70</v>
      </c>
      <c r="B45" s="6" t="s">
        <v>62</v>
      </c>
      <c r="C45" t="str">
        <f>Biotertre!A28</f>
        <v>Eau</v>
      </c>
      <c r="D45" s="52">
        <f>Biotertre!C28</f>
        <v>0.44505494505494503</v>
      </c>
      <c r="E45" t="str">
        <f>Biotertre!B28</f>
        <v>m3/t hydrocarbure</v>
      </c>
      <c r="G45" s="52"/>
    </row>
    <row r="46" spans="1:13">
      <c r="A46" s="13" t="s">
        <v>70</v>
      </c>
      <c r="B46" s="6" t="s">
        <v>388</v>
      </c>
      <c r="C46" t="s">
        <v>59</v>
      </c>
      <c r="D46" s="52"/>
      <c r="G46" s="52"/>
      <c r="J46">
        <v>1000</v>
      </c>
      <c r="K46" t="s">
        <v>23</v>
      </c>
    </row>
    <row r="50" spans="2:2">
      <c r="B50" s="6"/>
    </row>
  </sheetData>
  <pageMargins left="0.25" right="0.25" top="0.75" bottom="0.75" header="0.3" footer="0.3"/>
  <pageSetup paperSize="9" scale="61"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8">
    <pageSetUpPr fitToPage="1"/>
  </sheetPr>
  <dimension ref="A4:M40"/>
  <sheetViews>
    <sheetView zoomScaleNormal="100" workbookViewId="0">
      <selection activeCell="B21" sqref="B21"/>
    </sheetView>
  </sheetViews>
  <sheetFormatPr baseColWidth="10" defaultColWidth="11.44140625" defaultRowHeight="13.2"/>
  <cols>
    <col min="2" max="2" width="66.109375" customWidth="1"/>
    <col min="3" max="5" width="17.33203125" customWidth="1"/>
    <col min="6" max="8" width="14.6640625" customWidth="1"/>
    <col min="9" max="11" width="29.44140625" customWidth="1"/>
  </cols>
  <sheetData>
    <row r="4" spans="1:11">
      <c r="A4" s="6" t="s">
        <v>148</v>
      </c>
      <c r="B4" t="s">
        <v>42</v>
      </c>
      <c r="C4" t="s">
        <v>120</v>
      </c>
      <c r="D4" s="6" t="s">
        <v>54</v>
      </c>
      <c r="E4" t="s">
        <v>5</v>
      </c>
      <c r="F4" t="s">
        <v>44</v>
      </c>
      <c r="G4" s="6" t="s">
        <v>56</v>
      </c>
      <c r="H4" t="s">
        <v>52</v>
      </c>
      <c r="I4" t="s">
        <v>45</v>
      </c>
      <c r="J4" s="6" t="s">
        <v>55</v>
      </c>
      <c r="K4" t="s">
        <v>53</v>
      </c>
    </row>
    <row r="5" spans="1:11">
      <c r="A5" s="11" t="s">
        <v>42</v>
      </c>
      <c r="B5" t="s">
        <v>49</v>
      </c>
      <c r="C5" s="31">
        <f>0.02403/Conversions!D11</f>
        <v>6.6749999999999986E-3</v>
      </c>
      <c r="D5" s="6" t="s">
        <v>163</v>
      </c>
      <c r="E5" s="6" t="s">
        <v>206</v>
      </c>
      <c r="F5">
        <f>0.00119</f>
        <v>1.1900000000000001E-3</v>
      </c>
      <c r="G5" s="6" t="s">
        <v>207</v>
      </c>
      <c r="H5" s="6" t="s">
        <v>206</v>
      </c>
      <c r="I5">
        <v>0</v>
      </c>
    </row>
    <row r="6" spans="1:11">
      <c r="A6" s="11"/>
      <c r="B6" s="6" t="s">
        <v>14</v>
      </c>
      <c r="C6" s="31">
        <f>0.11/Conversions!D11</f>
        <v>3.0555555555555551E-2</v>
      </c>
      <c r="D6" s="6" t="s">
        <v>163</v>
      </c>
      <c r="E6" s="6" t="s">
        <v>231</v>
      </c>
      <c r="F6" s="47">
        <f>2/1000</f>
        <v>2E-3</v>
      </c>
      <c r="G6" s="6" t="s">
        <v>207</v>
      </c>
      <c r="H6" s="6" t="s">
        <v>245</v>
      </c>
      <c r="I6">
        <v>0</v>
      </c>
    </row>
    <row r="7" spans="1:11">
      <c r="A7" s="10"/>
      <c r="B7" t="s">
        <v>11</v>
      </c>
      <c r="C7">
        <f>70.5/Conversions!D11</f>
        <v>19.583333333333332</v>
      </c>
      <c r="D7" s="6" t="s">
        <v>163</v>
      </c>
      <c r="E7" s="7" t="s">
        <v>313</v>
      </c>
      <c r="F7">
        <v>1.7589999999999999</v>
      </c>
      <c r="G7" s="6" t="s">
        <v>207</v>
      </c>
      <c r="H7" t="s">
        <v>118</v>
      </c>
      <c r="I7">
        <v>0</v>
      </c>
    </row>
    <row r="8" spans="1:11">
      <c r="A8" s="10"/>
      <c r="B8" s="6" t="s">
        <v>261</v>
      </c>
      <c r="C8">
        <v>0</v>
      </c>
      <c r="D8" s="6" t="s">
        <v>163</v>
      </c>
      <c r="E8" s="47" t="s">
        <v>262</v>
      </c>
      <c r="F8">
        <v>0</v>
      </c>
      <c r="G8" s="6" t="s">
        <v>207</v>
      </c>
      <c r="H8" s="6" t="s">
        <v>262</v>
      </c>
      <c r="I8">
        <v>0</v>
      </c>
    </row>
    <row r="9" spans="1:11">
      <c r="A9" s="11"/>
      <c r="B9" s="6" t="s">
        <v>162</v>
      </c>
      <c r="C9">
        <f>1.24*Conversions!B48</f>
        <v>12.3628</v>
      </c>
      <c r="D9" s="6" t="s">
        <v>186</v>
      </c>
      <c r="E9" t="s">
        <v>119</v>
      </c>
      <c r="F9">
        <f>0.31*Conversions!B48</f>
        <v>3.0907</v>
      </c>
      <c r="G9" s="6" t="s">
        <v>185</v>
      </c>
      <c r="H9" t="s">
        <v>51</v>
      </c>
      <c r="I9">
        <v>0</v>
      </c>
    </row>
    <row r="10" spans="1:11">
      <c r="A10" s="11"/>
      <c r="B10" s="6" t="s">
        <v>116</v>
      </c>
      <c r="C10" s="7">
        <f>BDDFE[[#This Row],[Effet de serre]]*C11/F11</f>
        <v>7.658823529411765</v>
      </c>
      <c r="D10" s="6" t="s">
        <v>87</v>
      </c>
      <c r="E10" t="s">
        <v>314</v>
      </c>
      <c r="F10" s="7">
        <f>0.00031*1000</f>
        <v>0.31</v>
      </c>
      <c r="G10" s="6" t="s">
        <v>246</v>
      </c>
      <c r="H10" s="6" t="s">
        <v>189</v>
      </c>
      <c r="I10">
        <v>0</v>
      </c>
    </row>
    <row r="11" spans="1:11">
      <c r="A11" s="10"/>
      <c r="B11" t="s">
        <v>73</v>
      </c>
      <c r="C11">
        <v>2.52</v>
      </c>
      <c r="D11" s="6" t="s">
        <v>154</v>
      </c>
      <c r="E11" t="s">
        <v>119</v>
      </c>
      <c r="F11">
        <v>0.10199999999999999</v>
      </c>
      <c r="G11" s="6" t="s">
        <v>155</v>
      </c>
      <c r="H11" t="s">
        <v>119</v>
      </c>
      <c r="I11">
        <v>0</v>
      </c>
      <c r="J11" s="6"/>
    </row>
    <row r="12" spans="1:11">
      <c r="A12" s="10"/>
      <c r="B12" t="s">
        <v>48</v>
      </c>
      <c r="C12">
        <v>1.23</v>
      </c>
      <c r="D12" s="6" t="s">
        <v>154</v>
      </c>
      <c r="E12" t="s">
        <v>119</v>
      </c>
      <c r="F12">
        <v>0.30099999999999999</v>
      </c>
      <c r="G12" s="6" t="s">
        <v>155</v>
      </c>
      <c r="H12" t="s">
        <v>119</v>
      </c>
      <c r="I12">
        <v>0</v>
      </c>
    </row>
    <row r="13" spans="1:11">
      <c r="A13" s="10"/>
      <c r="B13" s="6" t="s">
        <v>3</v>
      </c>
      <c r="C13">
        <v>1.06</v>
      </c>
      <c r="D13" s="6" t="s">
        <v>289</v>
      </c>
      <c r="E13" t="s">
        <v>119</v>
      </c>
      <c r="F13">
        <v>0.22800000000000001</v>
      </c>
      <c r="G13" s="6" t="s">
        <v>155</v>
      </c>
      <c r="H13" t="s">
        <v>119</v>
      </c>
      <c r="I13">
        <v>0</v>
      </c>
    </row>
    <row r="14" spans="1:11">
      <c r="A14" s="10"/>
      <c r="B14" t="s">
        <v>59</v>
      </c>
      <c r="C14">
        <v>8.4000000000000005E-2</v>
      </c>
      <c r="D14" s="6" t="s">
        <v>163</v>
      </c>
      <c r="E14" t="s">
        <v>119</v>
      </c>
      <c r="F14">
        <v>1.2999999999999999E-2</v>
      </c>
      <c r="G14" s="6" t="s">
        <v>207</v>
      </c>
      <c r="H14" t="s">
        <v>119</v>
      </c>
      <c r="I14">
        <v>0</v>
      </c>
    </row>
    <row r="15" spans="1:11">
      <c r="A15" s="10"/>
      <c r="B15" s="6" t="s">
        <v>13</v>
      </c>
      <c r="C15" s="31">
        <f>0.11/Conversions!D11</f>
        <v>3.0555555555555551E-2</v>
      </c>
      <c r="D15" s="6" t="s">
        <v>163</v>
      </c>
      <c r="E15" s="6" t="s">
        <v>277</v>
      </c>
      <c r="F15" s="47">
        <f>2/1000</f>
        <v>2E-3</v>
      </c>
      <c r="G15" s="6" t="s">
        <v>207</v>
      </c>
      <c r="H15" s="6" t="s">
        <v>277</v>
      </c>
      <c r="I15">
        <v>0</v>
      </c>
    </row>
    <row r="16" spans="1:11" ht="15.6">
      <c r="A16" s="10"/>
      <c r="B16" s="6" t="s">
        <v>113</v>
      </c>
      <c r="C16" s="7">
        <f>10.14/Conversions!D11</f>
        <v>2.8166666666666664</v>
      </c>
      <c r="D16" s="6" t="s">
        <v>240</v>
      </c>
      <c r="E16" s="6" t="s">
        <v>206</v>
      </c>
      <c r="F16">
        <v>2.4</v>
      </c>
      <c r="G16" s="6" t="s">
        <v>207</v>
      </c>
      <c r="H16" s="6" t="s">
        <v>189</v>
      </c>
      <c r="I16">
        <v>0</v>
      </c>
    </row>
    <row r="17" spans="1:13" ht="15.6">
      <c r="A17" s="10"/>
      <c r="B17" s="6" t="s">
        <v>310</v>
      </c>
      <c r="C17" s="7">
        <f>10.14/Conversions!D11</f>
        <v>2.8166666666666664</v>
      </c>
      <c r="D17" s="6" t="s">
        <v>240</v>
      </c>
      <c r="E17" s="6" t="s">
        <v>206</v>
      </c>
      <c r="F17">
        <v>1.34</v>
      </c>
      <c r="G17" s="6" t="s">
        <v>207</v>
      </c>
      <c r="H17" s="6" t="s">
        <v>245</v>
      </c>
      <c r="I17">
        <v>0</v>
      </c>
      <c r="L17" s="6"/>
      <c r="M17" s="6" t="s">
        <v>218</v>
      </c>
    </row>
    <row r="18" spans="1:13">
      <c r="A18" s="10"/>
      <c r="B18" s="6" t="s">
        <v>97</v>
      </c>
      <c r="C18" s="7">
        <f>BDDFE[[#This Row],[Effet de serre]]*C16/F16</f>
        <v>1.9016020833333334</v>
      </c>
      <c r="D18" s="6" t="s">
        <v>163</v>
      </c>
      <c r="E18" t="s">
        <v>316</v>
      </c>
      <c r="F18" s="7">
        <v>1.6203000000000001</v>
      </c>
      <c r="G18" s="6" t="s">
        <v>207</v>
      </c>
      <c r="H18" s="6" t="s">
        <v>189</v>
      </c>
      <c r="I18">
        <v>0</v>
      </c>
    </row>
    <row r="19" spans="1:13" ht="15.6">
      <c r="A19" s="10"/>
      <c r="B19" s="6" t="s">
        <v>265</v>
      </c>
      <c r="C19" s="7">
        <f>41.8/Conversions!D11</f>
        <v>11.611111111111109</v>
      </c>
      <c r="D19" s="6" t="s">
        <v>272</v>
      </c>
      <c r="E19" s="6" t="s">
        <v>206</v>
      </c>
      <c r="F19" s="7">
        <v>0.61599999999999999</v>
      </c>
      <c r="G19" s="6" t="s">
        <v>317</v>
      </c>
      <c r="H19" s="6" t="s">
        <v>206</v>
      </c>
      <c r="I19">
        <v>0</v>
      </c>
    </row>
    <row r="20" spans="1:13">
      <c r="A20" s="10"/>
      <c r="B20" s="6" t="s">
        <v>309</v>
      </c>
      <c r="C20" s="7">
        <v>27</v>
      </c>
      <c r="D20" s="6" t="s">
        <v>163</v>
      </c>
      <c r="E20" s="6" t="s">
        <v>206</v>
      </c>
      <c r="F20" s="7">
        <v>1.35</v>
      </c>
      <c r="G20" s="6" t="s">
        <v>207</v>
      </c>
      <c r="H20" s="6" t="s">
        <v>206</v>
      </c>
      <c r="I20">
        <v>0</v>
      </c>
    </row>
    <row r="21" spans="1:13">
      <c r="A21" s="10" t="s">
        <v>2</v>
      </c>
      <c r="B21" t="s">
        <v>8</v>
      </c>
      <c r="C21">
        <v>0.52400000000000002</v>
      </c>
      <c r="D21" s="6" t="s">
        <v>187</v>
      </c>
      <c r="E21" s="6" t="s">
        <v>119</v>
      </c>
      <c r="F21">
        <v>0.11</v>
      </c>
      <c r="G21" s="6" t="s">
        <v>188</v>
      </c>
      <c r="H21" t="s">
        <v>119</v>
      </c>
      <c r="I21">
        <v>0</v>
      </c>
    </row>
    <row r="22" spans="1:13" ht="15.6">
      <c r="A22" s="10"/>
      <c r="B22" t="s">
        <v>270</v>
      </c>
      <c r="C22" s="52">
        <f>C21*BDDFE[[#This Row],[Effet de serre]]/F21</f>
        <v>1.3195272727272729</v>
      </c>
      <c r="D22" s="6" t="s">
        <v>283</v>
      </c>
      <c r="E22" s="6" t="s">
        <v>12</v>
      </c>
      <c r="F22">
        <v>0.27700000000000002</v>
      </c>
      <c r="G22" s="6" t="s">
        <v>188</v>
      </c>
      <c r="H22" t="s">
        <v>119</v>
      </c>
      <c r="I22">
        <v>0</v>
      </c>
    </row>
    <row r="23" spans="1:13">
      <c r="A23" s="10"/>
      <c r="B23" t="s">
        <v>58</v>
      </c>
      <c r="C23">
        <v>0.18</v>
      </c>
      <c r="D23" s="6" t="s">
        <v>187</v>
      </c>
      <c r="E23" t="s">
        <v>119</v>
      </c>
      <c r="F23">
        <v>4.7E-2</v>
      </c>
      <c r="G23" s="6" t="s">
        <v>188</v>
      </c>
      <c r="H23" t="s">
        <v>119</v>
      </c>
      <c r="I23">
        <v>0</v>
      </c>
    </row>
    <row r="24" spans="1:13">
      <c r="A24" s="10"/>
      <c r="B24" t="s">
        <v>60</v>
      </c>
      <c r="C24">
        <v>0.152</v>
      </c>
      <c r="D24" s="6" t="s">
        <v>187</v>
      </c>
      <c r="E24" t="s">
        <v>119</v>
      </c>
      <c r="F24">
        <v>1.4E-2</v>
      </c>
      <c r="G24" s="6" t="s">
        <v>188</v>
      </c>
      <c r="H24" t="s">
        <v>119</v>
      </c>
      <c r="I24">
        <v>0</v>
      </c>
    </row>
    <row r="25" spans="1:13">
      <c r="A25" s="11" t="s">
        <v>161</v>
      </c>
      <c r="B25" s="6" t="s">
        <v>158</v>
      </c>
      <c r="C25">
        <v>1.67</v>
      </c>
      <c r="D25" s="6" t="s">
        <v>159</v>
      </c>
      <c r="E25" t="s">
        <v>119</v>
      </c>
      <c r="F25">
        <v>0.41199999999999998</v>
      </c>
      <c r="G25" s="6" t="s">
        <v>160</v>
      </c>
      <c r="H25" t="s">
        <v>119</v>
      </c>
      <c r="I25">
        <v>0</v>
      </c>
    </row>
    <row r="26" spans="1:13">
      <c r="A26" s="10"/>
      <c r="B26" s="6" t="s">
        <v>217</v>
      </c>
      <c r="C26">
        <f>0.03168/Conversions!D11</f>
        <v>8.7999999999999988E-3</v>
      </c>
      <c r="D26" s="6" t="s">
        <v>269</v>
      </c>
      <c r="E26" s="6" t="s">
        <v>206</v>
      </c>
      <c r="F26" s="31">
        <v>1.6900000000000001E-3</v>
      </c>
      <c r="G26" s="6" t="s">
        <v>207</v>
      </c>
      <c r="H26" s="6" t="s">
        <v>206</v>
      </c>
      <c r="I26">
        <v>0.3</v>
      </c>
      <c r="J26" s="6" t="s">
        <v>214</v>
      </c>
      <c r="K26" s="6" t="s">
        <v>209</v>
      </c>
    </row>
    <row r="27" spans="1:13" ht="15.6">
      <c r="A27" s="10"/>
      <c r="B27" s="6" t="s">
        <v>216</v>
      </c>
      <c r="C27" s="7">
        <f>34.01/Conversions!$D$11</f>
        <v>9.4472222222222211</v>
      </c>
      <c r="D27" s="6" t="s">
        <v>284</v>
      </c>
      <c r="E27" s="6" t="s">
        <v>206</v>
      </c>
      <c r="F27" s="7">
        <f>3.44</f>
        <v>3.44</v>
      </c>
      <c r="G27" s="6" t="s">
        <v>207</v>
      </c>
      <c r="H27" s="6" t="s">
        <v>206</v>
      </c>
      <c r="I27">
        <v>0.05</v>
      </c>
      <c r="J27" s="6" t="s">
        <v>214</v>
      </c>
      <c r="K27" s="6" t="s">
        <v>209</v>
      </c>
    </row>
    <row r="28" spans="1:13" ht="15.6">
      <c r="A28" s="10"/>
      <c r="B28" s="6" t="s">
        <v>319</v>
      </c>
      <c r="C28" s="7">
        <f>34.01/Conversions!$D$11</f>
        <v>9.4472222222222211</v>
      </c>
      <c r="D28" s="6" t="s">
        <v>284</v>
      </c>
      <c r="E28" s="6" t="s">
        <v>206</v>
      </c>
      <c r="F28" s="7">
        <f>3.44</f>
        <v>3.44</v>
      </c>
      <c r="G28" s="6" t="s">
        <v>207</v>
      </c>
      <c r="H28" s="6" t="s">
        <v>206</v>
      </c>
      <c r="I28">
        <v>0.9</v>
      </c>
      <c r="J28" s="6" t="s">
        <v>214</v>
      </c>
      <c r="K28" s="6" t="s">
        <v>209</v>
      </c>
    </row>
    <row r="29" spans="1:13" ht="15.6">
      <c r="A29" s="10"/>
      <c r="B29" s="6" t="s">
        <v>285</v>
      </c>
      <c r="C29" s="7">
        <f>34.01/Conversions!D11</f>
        <v>9.4472222222222211</v>
      </c>
      <c r="D29" s="6" t="s">
        <v>284</v>
      </c>
      <c r="E29" s="6" t="s">
        <v>206</v>
      </c>
      <c r="F29" s="7">
        <f>3.44</f>
        <v>3.44</v>
      </c>
      <c r="G29" s="6" t="s">
        <v>207</v>
      </c>
      <c r="H29" s="6" t="s">
        <v>206</v>
      </c>
      <c r="I29">
        <v>0.05</v>
      </c>
      <c r="J29" s="6" t="s">
        <v>214</v>
      </c>
      <c r="K29" s="6" t="s">
        <v>209</v>
      </c>
    </row>
    <row r="30" spans="1:13" ht="15.6">
      <c r="A30" s="10"/>
      <c r="B30" s="6" t="s">
        <v>278</v>
      </c>
      <c r="C30" s="7">
        <f>C11*BDDFE[[#This Row],[Effet de serre]]/F11</f>
        <v>1.358823529411765E-3</v>
      </c>
      <c r="D30" s="6" t="s">
        <v>354</v>
      </c>
      <c r="E30" t="s">
        <v>12</v>
      </c>
      <c r="F30" s="7">
        <f>0.055/1000</f>
        <v>5.5000000000000002E-5</v>
      </c>
      <c r="G30" s="6" t="s">
        <v>207</v>
      </c>
      <c r="H30" t="s">
        <v>355</v>
      </c>
      <c r="I30">
        <v>0</v>
      </c>
      <c r="J30" s="6" t="s">
        <v>214</v>
      </c>
      <c r="K30" s="6" t="s">
        <v>318</v>
      </c>
    </row>
    <row r="31" spans="1:13">
      <c r="A31" s="10"/>
      <c r="B31" s="6" t="s">
        <v>286</v>
      </c>
      <c r="C31">
        <f>0.007769/Conversions!D11</f>
        <v>2.158055555555555E-3</v>
      </c>
      <c r="D31" s="6" t="s">
        <v>269</v>
      </c>
      <c r="E31" s="6" t="s">
        <v>206</v>
      </c>
      <c r="F31">
        <f>0.000534/Conversions!D11</f>
        <v>1.483333333333333E-4</v>
      </c>
      <c r="G31" s="6" t="s">
        <v>207</v>
      </c>
      <c r="H31" s="6" t="s">
        <v>206</v>
      </c>
      <c r="J31" s="6"/>
      <c r="K31" s="6"/>
    </row>
    <row r="32" spans="1:13">
      <c r="A32" s="10"/>
      <c r="B32" s="6" t="s">
        <v>287</v>
      </c>
      <c r="C32">
        <f>0.69/Conversions!D11</f>
        <v>0.19166666666666662</v>
      </c>
      <c r="D32" s="6" t="s">
        <v>269</v>
      </c>
      <c r="E32" s="6" t="s">
        <v>206</v>
      </c>
      <c r="F32" s="31">
        <v>3.32E-2</v>
      </c>
      <c r="G32" s="6" t="s">
        <v>207</v>
      </c>
      <c r="H32" s="6" t="s">
        <v>206</v>
      </c>
      <c r="J32" s="6"/>
      <c r="K32" s="6"/>
    </row>
    <row r="33" spans="1:11">
      <c r="A33" s="10"/>
      <c r="B33" s="6" t="s">
        <v>280</v>
      </c>
      <c r="C33">
        <f>('BDD trait'!D31*'BDD FE'!C11+'BDD trait'!D32*'BDD FE'!C9)/1000</f>
        <v>1.9778917647058827E-2</v>
      </c>
      <c r="D33" s="6" t="s">
        <v>269</v>
      </c>
      <c r="E33" s="6" t="s">
        <v>12</v>
      </c>
      <c r="F33" s="31">
        <f>('BDD trait'!D31*'BDD FE'!C11+'BDD trait'!D32*'BDD FE'!C9)/1000</f>
        <v>1.9778917647058827E-2</v>
      </c>
      <c r="G33" s="6" t="s">
        <v>207</v>
      </c>
      <c r="H33" s="6" t="s">
        <v>12</v>
      </c>
      <c r="J33" s="6"/>
      <c r="K33" s="6"/>
    </row>
    <row r="35" spans="1:11">
      <c r="A35" s="6" t="s">
        <v>242</v>
      </c>
    </row>
    <row r="36" spans="1:11">
      <c r="A36" s="6" t="s">
        <v>241</v>
      </c>
      <c r="B36" s="6" t="s">
        <v>315</v>
      </c>
    </row>
    <row r="37" spans="1:11">
      <c r="A37" s="6" t="s">
        <v>273</v>
      </c>
      <c r="B37" s="6" t="s">
        <v>274</v>
      </c>
    </row>
    <row r="38" spans="1:11">
      <c r="A38" s="6" t="s">
        <v>275</v>
      </c>
      <c r="B38" s="6" t="s">
        <v>276</v>
      </c>
    </row>
    <row r="39" spans="1:11">
      <c r="A39" s="6" t="s">
        <v>282</v>
      </c>
      <c r="B39" s="6" t="s">
        <v>288</v>
      </c>
    </row>
    <row r="40" spans="1:11">
      <c r="A40" s="6" t="s">
        <v>356</v>
      </c>
      <c r="B40" s="6" t="s">
        <v>357</v>
      </c>
    </row>
  </sheetData>
  <pageMargins left="0.25" right="0.25" top="0.75" bottom="0.75" header="0.3" footer="0.3"/>
  <pageSetup paperSize="9" scale="4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9">
    <outlinePr summaryBelow="0"/>
  </sheetPr>
  <dimension ref="A1:V506"/>
  <sheetViews>
    <sheetView zoomScale="90" zoomScaleNormal="90" workbookViewId="0">
      <pane xSplit="5" ySplit="5" topLeftCell="F74" activePane="bottomRight" state="frozenSplit"/>
      <selection pane="topRight" activeCell="F1" sqref="F1"/>
      <selection pane="bottomLeft" activeCell="A6" sqref="A6"/>
      <selection pane="bottomRight" activeCell="C82" sqref="C82"/>
    </sheetView>
  </sheetViews>
  <sheetFormatPr baseColWidth="10" defaultColWidth="11.44140625" defaultRowHeight="13.2" outlineLevelRow="1"/>
  <cols>
    <col min="2" max="2" width="14.44140625" style="4" customWidth="1"/>
    <col min="3" max="4" width="12.33203125" customWidth="1"/>
    <col min="5" max="5" width="25.6640625" style="4" customWidth="1"/>
    <col min="6" max="6" width="12.6640625" bestFit="1" customWidth="1"/>
    <col min="7" max="7" width="11.5546875" customWidth="1"/>
    <col min="8" max="8" width="9.6640625" bestFit="1" customWidth="1"/>
    <col min="9" max="9" width="11.5546875" customWidth="1"/>
    <col min="10" max="10" width="9.6640625" bestFit="1" customWidth="1"/>
    <col min="11" max="11" width="11.5546875" customWidth="1"/>
    <col min="12" max="12" width="12.88671875" style="2" bestFit="1" customWidth="1"/>
    <col min="13" max="17" width="12.88671875" style="2" customWidth="1"/>
    <col min="21" max="21" width="18" customWidth="1"/>
  </cols>
  <sheetData>
    <row r="1" spans="1:22">
      <c r="C1" s="1"/>
      <c r="D1" s="1"/>
    </row>
    <row r="2" spans="1:22" s="4" customFormat="1">
      <c r="L2" s="5"/>
      <c r="M2" s="5"/>
      <c r="N2" s="5"/>
      <c r="O2" s="5"/>
      <c r="P2" s="5"/>
      <c r="Q2" s="5"/>
    </row>
    <row r="3" spans="1:22">
      <c r="A3" t="s">
        <v>138</v>
      </c>
      <c r="B3" s="4" t="s">
        <v>139</v>
      </c>
      <c r="C3" t="s">
        <v>4</v>
      </c>
      <c r="D3" t="s">
        <v>340</v>
      </c>
      <c r="E3" s="4" t="s">
        <v>140</v>
      </c>
      <c r="F3" t="s">
        <v>42</v>
      </c>
      <c r="G3" t="s">
        <v>141</v>
      </c>
      <c r="H3" t="s">
        <v>43</v>
      </c>
      <c r="I3" t="s">
        <v>142</v>
      </c>
      <c r="J3" t="s">
        <v>46</v>
      </c>
      <c r="K3" t="s">
        <v>143</v>
      </c>
      <c r="L3" s="2" t="s">
        <v>16</v>
      </c>
      <c r="M3" s="2" t="s">
        <v>16</v>
      </c>
      <c r="N3" s="2" t="s">
        <v>16</v>
      </c>
      <c r="O3" s="2" t="s">
        <v>135</v>
      </c>
      <c r="P3" s="2" t="s">
        <v>135</v>
      </c>
      <c r="Q3" s="2" t="s">
        <v>135</v>
      </c>
      <c r="R3" t="s">
        <v>137</v>
      </c>
      <c r="S3" t="s">
        <v>137</v>
      </c>
      <c r="T3" s="2" t="s">
        <v>137</v>
      </c>
      <c r="U3" s="3" t="s">
        <v>364</v>
      </c>
      <c r="V3" s="41"/>
    </row>
    <row r="4" spans="1:22">
      <c r="D4" s="72" t="s">
        <v>359</v>
      </c>
      <c r="E4" s="84" t="s">
        <v>359</v>
      </c>
      <c r="L4" s="3" t="s">
        <v>151</v>
      </c>
      <c r="M4" s="3" t="s">
        <v>18</v>
      </c>
      <c r="N4" s="3" t="s">
        <v>342</v>
      </c>
      <c r="O4" s="3" t="s">
        <v>151</v>
      </c>
      <c r="P4" s="3" t="s">
        <v>18</v>
      </c>
      <c r="Q4" s="3" t="s">
        <v>342</v>
      </c>
      <c r="R4" s="3" t="s">
        <v>151</v>
      </c>
      <c r="S4" s="3" t="s">
        <v>18</v>
      </c>
      <c r="T4" s="3" t="s">
        <v>342</v>
      </c>
      <c r="U4" s="41" t="s">
        <v>215</v>
      </c>
    </row>
    <row r="5" spans="1:22">
      <c r="D5" s="72" t="s">
        <v>359</v>
      </c>
      <c r="E5" s="84" t="s">
        <v>359</v>
      </c>
      <c r="L5" s="3" t="s">
        <v>211</v>
      </c>
      <c r="M5" s="3" t="s">
        <v>211</v>
      </c>
      <c r="N5" s="3" t="s">
        <v>211</v>
      </c>
      <c r="O5" s="3" t="s">
        <v>210</v>
      </c>
      <c r="P5" s="3" t="s">
        <v>210</v>
      </c>
      <c r="Q5" s="3" t="s">
        <v>210</v>
      </c>
      <c r="R5" s="3" t="s">
        <v>20</v>
      </c>
      <c r="S5" s="3" t="s">
        <v>20</v>
      </c>
      <c r="T5" s="3" t="s">
        <v>20</v>
      </c>
    </row>
    <row r="6" spans="1:22" ht="13.8" thickBot="1">
      <c r="E6" s="85"/>
      <c r="F6" s="7"/>
      <c r="G6" s="7"/>
      <c r="H6" s="7"/>
      <c r="I6" s="7"/>
      <c r="J6" s="7"/>
      <c r="K6" s="7"/>
      <c r="R6" s="9"/>
    </row>
    <row r="7" spans="1:22" outlineLevel="1">
      <c r="A7" s="15"/>
      <c r="B7" s="80" t="s">
        <v>28</v>
      </c>
      <c r="C7" s="25" t="s">
        <v>220</v>
      </c>
      <c r="D7" s="25"/>
      <c r="E7" s="86"/>
      <c r="F7" s="109"/>
      <c r="G7" s="16"/>
      <c r="H7" s="16"/>
      <c r="I7" s="16"/>
      <c r="J7" s="100"/>
      <c r="K7" s="16"/>
      <c r="L7" s="109"/>
      <c r="M7" s="100"/>
      <c r="N7" s="109"/>
      <c r="O7" s="109"/>
      <c r="P7" s="109"/>
      <c r="Q7" s="109"/>
      <c r="R7" s="126"/>
      <c r="S7" s="126"/>
      <c r="T7" s="109"/>
      <c r="U7" s="22"/>
    </row>
    <row r="8" spans="1:22" outlineLevel="1">
      <c r="A8" s="17"/>
      <c r="B8" s="81"/>
      <c r="C8" s="21"/>
      <c r="D8" s="21"/>
      <c r="E8" s="87" t="s">
        <v>152</v>
      </c>
      <c r="F8" s="110">
        <v>1</v>
      </c>
      <c r="G8" s="18" t="s">
        <v>20</v>
      </c>
      <c r="H8" s="98"/>
      <c r="I8" s="18"/>
      <c r="J8" s="101"/>
      <c r="K8" s="18"/>
      <c r="L8" s="98"/>
      <c r="M8" s="101"/>
      <c r="N8" s="98"/>
      <c r="O8" s="98"/>
      <c r="P8" s="98"/>
      <c r="Q8" s="98"/>
      <c r="R8" s="127"/>
      <c r="S8" s="127"/>
      <c r="T8" s="98"/>
      <c r="U8" s="76">
        <v>8</v>
      </c>
    </row>
    <row r="9" spans="1:22" outlineLevel="1">
      <c r="A9" s="17"/>
      <c r="B9" s="81"/>
      <c r="C9" s="21"/>
      <c r="D9" s="21"/>
      <c r="E9" s="87" t="s">
        <v>153</v>
      </c>
      <c r="F9" s="111">
        <v>3</v>
      </c>
      <c r="G9" s="18" t="s">
        <v>20</v>
      </c>
      <c r="H9" s="98"/>
      <c r="I9" s="18"/>
      <c r="J9" s="101"/>
      <c r="K9" s="18"/>
      <c r="L9" s="98"/>
      <c r="M9" s="101"/>
      <c r="N9" s="98"/>
      <c r="O9" s="98"/>
      <c r="P9" s="98"/>
      <c r="Q9" s="98"/>
      <c r="R9" s="127"/>
      <c r="S9" s="127"/>
      <c r="T9" s="98"/>
      <c r="U9" s="23"/>
    </row>
    <row r="10" spans="1:22" outlineLevel="1">
      <c r="A10" s="17"/>
      <c r="B10" s="81"/>
      <c r="C10" s="21"/>
      <c r="D10" s="21" t="s">
        <v>144</v>
      </c>
      <c r="E10" s="81" t="str">
        <f>'BDD trait'!$C$4</f>
        <v>Electricité</v>
      </c>
      <c r="F10" s="98">
        <f>'BDD trait'!$D$4</f>
        <v>3698.2964786281982</v>
      </c>
      <c r="G10" s="18" t="str">
        <f>'BDD trait'!$E$4</f>
        <v>kWh/t polluant</v>
      </c>
      <c r="H10" s="98"/>
      <c r="I10" s="18"/>
      <c r="J10" s="101"/>
      <c r="K10" s="18"/>
      <c r="L10" s="98">
        <f>F9*F10*'BDD FE'!$C$11/1000</f>
        <v>27.959121378429177</v>
      </c>
      <c r="M10" s="101"/>
      <c r="N10" s="98">
        <f>L10+M10</f>
        <v>27.959121378429177</v>
      </c>
      <c r="O10" s="98">
        <f>F9*F10*'BDD FE'!$F$11/1000</f>
        <v>1.1316787224602285</v>
      </c>
      <c r="P10" s="98"/>
      <c r="Q10" s="98">
        <f>O10+P10</f>
        <v>1.1316787224602285</v>
      </c>
      <c r="R10" s="98"/>
      <c r="S10" s="98"/>
      <c r="T10" s="98"/>
      <c r="U10" s="23"/>
    </row>
    <row r="11" spans="1:22" outlineLevel="1">
      <c r="A11" s="17"/>
      <c r="B11" s="81"/>
      <c r="C11" s="27"/>
      <c r="D11" s="27" t="s">
        <v>144</v>
      </c>
      <c r="E11" s="81" t="str">
        <f>'BDD trait'!$C$5</f>
        <v>Charbon actif</v>
      </c>
      <c r="F11" s="98">
        <f>'BDD trait'!$D$5</f>
        <v>7.12347354138399E-2</v>
      </c>
      <c r="G11" s="18" t="str">
        <f>'BDD trait'!$H$6</f>
        <v>t/t polluant</v>
      </c>
      <c r="H11" s="98"/>
      <c r="I11" s="18"/>
      <c r="J11" s="101"/>
      <c r="K11" s="18"/>
      <c r="L11" s="98">
        <f>F8*F11*'BDD FE'!$C$7</f>
        <v>1.3950135685210312</v>
      </c>
      <c r="M11" s="101"/>
      <c r="N11" s="98">
        <f t="shared" ref="N11:N12" si="0">L11+M11</f>
        <v>1.3950135685210312</v>
      </c>
      <c r="O11" s="98">
        <f>F9*F11*'BDD FE'!$F$7</f>
        <v>0.37590569877883312</v>
      </c>
      <c r="P11" s="98"/>
      <c r="Q11" s="98">
        <f t="shared" ref="Q11:Q12" si="1">O11+P11</f>
        <v>0.37590569877883312</v>
      </c>
      <c r="R11" s="98"/>
      <c r="S11" s="98"/>
      <c r="T11" s="98"/>
      <c r="U11" s="23"/>
    </row>
    <row r="12" spans="1:22" ht="27" outlineLevel="1" thickBot="1">
      <c r="A12" s="19"/>
      <c r="B12" s="82"/>
      <c r="C12" s="29"/>
      <c r="D12" s="29" t="s">
        <v>145</v>
      </c>
      <c r="E12" s="82" t="str">
        <f>'BDD trait'!$C$6</f>
        <v>Charbon actif souillé</v>
      </c>
      <c r="F12" s="40"/>
      <c r="G12" s="20"/>
      <c r="H12" s="40">
        <f>'BDD trait'!$G$6</f>
        <v>0.87516960651289011</v>
      </c>
      <c r="I12" s="20" t="str">
        <f>'BDD trait'!$H$6</f>
        <v>t/t polluant</v>
      </c>
      <c r="J12" s="102"/>
      <c r="K12" s="20"/>
      <c r="L12" s="124">
        <f>F9*H12*'BDD FE'!$C$26</f>
        <v>2.3104477611940295E-2</v>
      </c>
      <c r="M12" s="102"/>
      <c r="N12" s="40">
        <f t="shared" si="0"/>
        <v>2.3104477611940295E-2</v>
      </c>
      <c r="O12" s="40">
        <f>F9*H12*'BDD FE'!$F$26</f>
        <v>4.4371099050203528E-3</v>
      </c>
      <c r="P12" s="40"/>
      <c r="Q12" s="40">
        <f t="shared" si="1"/>
        <v>4.4371099050203528E-3</v>
      </c>
      <c r="R12" s="40">
        <f>F9*H12*'BDD FE'!$I$26</f>
        <v>0.787652645861601</v>
      </c>
      <c r="S12" s="40"/>
      <c r="T12" s="40">
        <f>R12+S12</f>
        <v>0.787652645861601</v>
      </c>
      <c r="U12" s="78" t="s">
        <v>19</v>
      </c>
    </row>
    <row r="13" spans="1:22" ht="13.8" thickBot="1">
      <c r="E13" s="85"/>
      <c r="F13" s="112"/>
      <c r="G13" s="7"/>
      <c r="H13" s="112"/>
      <c r="I13" s="7"/>
      <c r="J13" s="105"/>
      <c r="K13" s="7"/>
      <c r="L13" s="31"/>
      <c r="M13" s="103"/>
      <c r="N13" s="31"/>
      <c r="O13" s="31"/>
      <c r="P13" s="31"/>
      <c r="Q13" s="31"/>
      <c r="R13" s="128"/>
      <c r="S13" s="128"/>
      <c r="T13" s="31"/>
    </row>
    <row r="14" spans="1:22" ht="26.4" outlineLevel="1">
      <c r="A14" s="15"/>
      <c r="B14" s="80" t="s">
        <v>29</v>
      </c>
      <c r="C14" s="25" t="s">
        <v>220</v>
      </c>
      <c r="D14" s="25"/>
      <c r="E14" s="86"/>
      <c r="F14" s="109"/>
      <c r="G14" s="16"/>
      <c r="H14" s="109"/>
      <c r="I14" s="16"/>
      <c r="J14" s="100"/>
      <c r="K14" s="16"/>
      <c r="L14" s="109"/>
      <c r="M14" s="100"/>
      <c r="N14" s="109"/>
      <c r="O14" s="109"/>
      <c r="P14" s="109"/>
      <c r="Q14" s="109"/>
      <c r="R14" s="126"/>
      <c r="S14" s="126"/>
      <c r="T14" s="109"/>
      <c r="U14" s="22"/>
    </row>
    <row r="15" spans="1:22" outlineLevel="1">
      <c r="A15" s="17"/>
      <c r="B15" s="81"/>
      <c r="C15" s="21"/>
      <c r="D15" s="21"/>
      <c r="E15" s="87" t="s">
        <v>152</v>
      </c>
      <c r="F15" s="110">
        <v>1</v>
      </c>
      <c r="G15" s="18" t="s">
        <v>20</v>
      </c>
      <c r="H15" s="98"/>
      <c r="I15" s="18"/>
      <c r="J15" s="101"/>
      <c r="K15" s="18"/>
      <c r="L15" s="98"/>
      <c r="M15" s="101"/>
      <c r="N15" s="98"/>
      <c r="O15" s="98"/>
      <c r="P15" s="98"/>
      <c r="Q15" s="98"/>
      <c r="R15" s="127"/>
      <c r="S15" s="127"/>
      <c r="T15" s="98"/>
      <c r="U15" s="76">
        <v>8</v>
      </c>
    </row>
    <row r="16" spans="1:22" outlineLevel="1">
      <c r="A16" s="17"/>
      <c r="B16" s="81"/>
      <c r="C16" s="21"/>
      <c r="D16" s="21"/>
      <c r="E16" s="87" t="s">
        <v>153</v>
      </c>
      <c r="F16" s="111">
        <v>3</v>
      </c>
      <c r="G16" s="18" t="s">
        <v>20</v>
      </c>
      <c r="H16" s="98"/>
      <c r="I16" s="18"/>
      <c r="J16" s="101"/>
      <c r="K16" s="18"/>
      <c r="L16" s="98"/>
      <c r="M16" s="101"/>
      <c r="N16" s="98"/>
      <c r="O16" s="98"/>
      <c r="P16" s="98"/>
      <c r="Q16" s="98"/>
      <c r="R16" s="127"/>
      <c r="S16" s="127"/>
      <c r="T16" s="98"/>
      <c r="U16" s="23"/>
    </row>
    <row r="17" spans="1:21" outlineLevel="1">
      <c r="A17" s="17"/>
      <c r="B17" s="81"/>
      <c r="C17" s="21"/>
      <c r="D17" s="21" t="s">
        <v>144</v>
      </c>
      <c r="E17" s="81" t="str">
        <f>'BDD trait'!$C$12</f>
        <v>Surfactant</v>
      </c>
      <c r="F17" s="98">
        <f>'BDD trait'!$D$4</f>
        <v>3698.2964786281982</v>
      </c>
      <c r="G17" s="18" t="str">
        <f>'BDD trait'!$E$4</f>
        <v>kWh/t polluant</v>
      </c>
      <c r="H17" s="98"/>
      <c r="I17" s="18"/>
      <c r="J17" s="101"/>
      <c r="K17" s="18"/>
      <c r="L17" s="98">
        <f>F16*F17*'BDD FE'!$C$11/1000</f>
        <v>27.959121378429177</v>
      </c>
      <c r="M17" s="101"/>
      <c r="N17" s="98">
        <f>L17+M17</f>
        <v>27.959121378429177</v>
      </c>
      <c r="O17" s="98">
        <f>F16*F17*'BDD FE'!$F$11/1000</f>
        <v>1.1316787224602285</v>
      </c>
      <c r="P17" s="98"/>
      <c r="Q17" s="98">
        <f>O17+P17</f>
        <v>1.1316787224602285</v>
      </c>
      <c r="R17" s="98"/>
      <c r="S17" s="98"/>
      <c r="T17" s="98"/>
      <c r="U17" s="23"/>
    </row>
    <row r="18" spans="1:21" outlineLevel="1">
      <c r="A18" s="17"/>
      <c r="B18" s="81"/>
      <c r="C18" s="27"/>
      <c r="D18" s="27" t="s">
        <v>144</v>
      </c>
      <c r="E18" s="81" t="str">
        <f>'BDD trait'!$C$13</f>
        <v>Oxydant</v>
      </c>
      <c r="F18" s="98">
        <f>'BDD trait'!$D$5</f>
        <v>7.12347354138399E-2</v>
      </c>
      <c r="G18" s="18" t="str">
        <f>'BDD trait'!$H$6</f>
        <v>t/t polluant</v>
      </c>
      <c r="H18" s="98"/>
      <c r="I18" s="18"/>
      <c r="J18" s="101"/>
      <c r="K18" s="18"/>
      <c r="L18" s="98">
        <f>F15*F18*'BDD FE'!$C$7</f>
        <v>1.3950135685210312</v>
      </c>
      <c r="M18" s="101"/>
      <c r="N18" s="98">
        <f>L18+M18</f>
        <v>1.3950135685210312</v>
      </c>
      <c r="O18" s="98">
        <f>F16*F18*'BDD FE'!$F$7</f>
        <v>0.37590569877883312</v>
      </c>
      <c r="P18" s="98"/>
      <c r="Q18" s="98">
        <f>O18+P18</f>
        <v>0.37590569877883312</v>
      </c>
      <c r="R18" s="98"/>
      <c r="S18" s="98"/>
      <c r="T18" s="98"/>
      <c r="U18" s="23"/>
    </row>
    <row r="19" spans="1:21" ht="27" outlineLevel="1" thickBot="1">
      <c r="A19" s="19"/>
      <c r="B19" s="82"/>
      <c r="C19" s="29"/>
      <c r="D19" s="29" t="s">
        <v>145</v>
      </c>
      <c r="E19" s="82" t="str">
        <f>'BDD trait'!$C$14</f>
        <v>Concentrat d'ultrafiltration incinéré</v>
      </c>
      <c r="F19" s="40"/>
      <c r="G19" s="20"/>
      <c r="H19" s="40">
        <f>'BDD trait'!$G$6</f>
        <v>0.87516960651289011</v>
      </c>
      <c r="I19" s="20" t="str">
        <f>'BDD trait'!$H$6</f>
        <v>t/t polluant</v>
      </c>
      <c r="J19" s="102"/>
      <c r="K19" s="20"/>
      <c r="L19" s="124">
        <f>F16*H19*'BDD FE'!$C$26</f>
        <v>2.3104477611940295E-2</v>
      </c>
      <c r="M19" s="102"/>
      <c r="N19" s="40">
        <f t="shared" ref="N19" si="2">L19+M19</f>
        <v>2.3104477611940295E-2</v>
      </c>
      <c r="O19" s="40">
        <f>F16*H19*'BDD FE'!$F$26</f>
        <v>4.4371099050203528E-3</v>
      </c>
      <c r="P19" s="40"/>
      <c r="Q19" s="40">
        <f t="shared" ref="Q19" si="3">O19+P19</f>
        <v>4.4371099050203528E-3</v>
      </c>
      <c r="R19" s="40">
        <f>F16*H19*'BDD FE'!$I$26</f>
        <v>0.787652645861601</v>
      </c>
      <c r="S19" s="40"/>
      <c r="T19" s="40">
        <f>R19+S19</f>
        <v>0.787652645861601</v>
      </c>
      <c r="U19" s="78" t="s">
        <v>19</v>
      </c>
    </row>
    <row r="20" spans="1:21" ht="13.8" outlineLevel="1" thickBot="1">
      <c r="A20" s="18"/>
      <c r="B20" s="81"/>
      <c r="C20" s="27"/>
      <c r="D20" s="27"/>
      <c r="E20" s="81"/>
      <c r="F20" s="98"/>
      <c r="G20" s="18"/>
      <c r="H20" s="98"/>
      <c r="I20" s="18"/>
      <c r="J20" s="101"/>
      <c r="K20" s="18"/>
      <c r="L20" s="98"/>
      <c r="M20" s="101"/>
      <c r="N20" s="98"/>
      <c r="O20" s="98"/>
      <c r="P20" s="98"/>
      <c r="Q20" s="98"/>
      <c r="R20" s="98"/>
      <c r="S20" s="98"/>
      <c r="T20" s="98"/>
    </row>
    <row r="21" spans="1:21" outlineLevel="1">
      <c r="A21" s="15"/>
      <c r="B21" s="80" t="s">
        <v>28</v>
      </c>
      <c r="C21" s="42" t="s">
        <v>63</v>
      </c>
      <c r="D21" s="42"/>
      <c r="E21" s="86"/>
      <c r="F21" s="109"/>
      <c r="G21" s="16"/>
      <c r="H21" s="109"/>
      <c r="I21" s="16"/>
      <c r="J21" s="100"/>
      <c r="K21" s="16"/>
      <c r="L21" s="109"/>
      <c r="M21" s="100"/>
      <c r="N21" s="109"/>
      <c r="O21" s="109"/>
      <c r="P21" s="109"/>
      <c r="Q21" s="109"/>
      <c r="R21" s="109"/>
      <c r="S21" s="109"/>
      <c r="T21" s="109"/>
      <c r="U21" s="22"/>
    </row>
    <row r="22" spans="1:21" outlineLevel="1">
      <c r="A22" s="17"/>
      <c r="B22" s="81"/>
      <c r="C22" s="27"/>
      <c r="D22" s="27"/>
      <c r="E22" s="87" t="s">
        <v>152</v>
      </c>
      <c r="F22" s="110">
        <v>1</v>
      </c>
      <c r="G22" s="18" t="s">
        <v>20</v>
      </c>
      <c r="H22" s="98"/>
      <c r="I22" s="18"/>
      <c r="J22" s="101"/>
      <c r="K22" s="18"/>
      <c r="L22" s="98"/>
      <c r="M22" s="101"/>
      <c r="N22" s="98"/>
      <c r="O22" s="98"/>
      <c r="P22" s="98"/>
      <c r="Q22" s="98"/>
      <c r="R22" s="98"/>
      <c r="S22" s="98"/>
      <c r="T22" s="98"/>
      <c r="U22" s="76">
        <v>8</v>
      </c>
    </row>
    <row r="23" spans="1:21" outlineLevel="1">
      <c r="A23" s="17"/>
      <c r="B23" s="81"/>
      <c r="C23" s="27"/>
      <c r="D23" s="27"/>
      <c r="E23" s="87" t="s">
        <v>153</v>
      </c>
      <c r="F23" s="111">
        <v>3</v>
      </c>
      <c r="G23" s="18" t="s">
        <v>20</v>
      </c>
      <c r="H23" s="98"/>
      <c r="I23" s="18"/>
      <c r="J23" s="101"/>
      <c r="K23" s="18"/>
      <c r="L23" s="98"/>
      <c r="M23" s="101"/>
      <c r="N23" s="98"/>
      <c r="O23" s="98"/>
      <c r="P23" s="98"/>
      <c r="Q23" s="98"/>
      <c r="R23" s="98"/>
      <c r="S23" s="98"/>
      <c r="T23" s="98"/>
      <c r="U23" s="23"/>
    </row>
    <row r="24" spans="1:21" outlineLevel="1">
      <c r="A24" s="17"/>
      <c r="B24" s="81"/>
      <c r="C24" s="27"/>
      <c r="D24" s="27" t="s">
        <v>144</v>
      </c>
      <c r="E24" s="81" t="str">
        <f>'BDD trait'!$C$7</f>
        <v>Electricité</v>
      </c>
      <c r="F24" s="98">
        <f>'BDD trait'!$D$7</f>
        <v>1209.6000000000001</v>
      </c>
      <c r="G24" s="18" t="str">
        <f>'BDD trait'!$E$7</f>
        <v>kWh/t polluant</v>
      </c>
      <c r="H24" s="98"/>
      <c r="I24" s="18"/>
      <c r="J24" s="101"/>
      <c r="K24" s="18"/>
      <c r="L24" s="98">
        <f>F23*F24*'BDD FE'!$C$11/1000</f>
        <v>9.1445760000000007</v>
      </c>
      <c r="M24" s="101"/>
      <c r="N24" s="98">
        <f>L24+M24</f>
        <v>9.1445760000000007</v>
      </c>
      <c r="O24" s="98">
        <f>F23*F24*'BDD FE'!$F$11/1000</f>
        <v>0.37013760000000001</v>
      </c>
      <c r="P24" s="98"/>
      <c r="Q24" s="98">
        <f>O24+P24</f>
        <v>0.37013760000000001</v>
      </c>
      <c r="R24" s="98"/>
      <c r="S24" s="98"/>
      <c r="T24" s="98"/>
      <c r="U24" s="23"/>
    </row>
    <row r="25" spans="1:21" outlineLevel="1">
      <c r="A25" s="17"/>
      <c r="B25" s="81"/>
      <c r="C25" s="27"/>
      <c r="D25" s="27" t="s">
        <v>144</v>
      </c>
      <c r="E25" s="81" t="str">
        <f>'BDD trait'!$C$8</f>
        <v>Charbon actif</v>
      </c>
      <c r="F25" s="98">
        <f>'BDD trait'!$D$8</f>
        <v>0.55999999999999994</v>
      </c>
      <c r="G25" s="18" t="str">
        <f>'BDD trait'!$E$8</f>
        <v>t/t polluant</v>
      </c>
      <c r="H25" s="98"/>
      <c r="I25" s="18"/>
      <c r="J25" s="101"/>
      <c r="K25" s="18"/>
      <c r="L25" s="98">
        <f>F23*F25*'BDD FE'!$C$7</f>
        <v>32.899999999999991</v>
      </c>
      <c r="M25" s="101"/>
      <c r="N25" s="98">
        <f>L25+M25</f>
        <v>32.899999999999991</v>
      </c>
      <c r="O25" s="98">
        <f>F23*F25*'BDD FE'!$F$7</f>
        <v>2.9551199999999995</v>
      </c>
      <c r="P25" s="98"/>
      <c r="Q25" s="98">
        <f>O25+P25</f>
        <v>2.9551199999999995</v>
      </c>
      <c r="R25" s="98"/>
      <c r="S25" s="98"/>
      <c r="T25" s="98"/>
      <c r="U25" s="23"/>
    </row>
    <row r="26" spans="1:21" ht="26.4" outlineLevel="1">
      <c r="A26" s="17"/>
      <c r="B26" s="81"/>
      <c r="C26" s="27"/>
      <c r="D26" s="27" t="s">
        <v>145</v>
      </c>
      <c r="E26" s="81" t="str">
        <f>'BDD trait'!$C$10</f>
        <v>Charbon actif souillé</v>
      </c>
      <c r="F26" s="98"/>
      <c r="G26" s="18"/>
      <c r="H26" s="98">
        <f>'BDD trait'!$G$10</f>
        <v>0.55999999999999994</v>
      </c>
      <c r="I26" s="18" t="str">
        <f>'BDD trait'!$H$10</f>
        <v>t/t polluant</v>
      </c>
      <c r="J26" s="101"/>
      <c r="K26" s="18"/>
      <c r="L26" s="98">
        <f>F23*H26*'BDD FE'!$C$26</f>
        <v>1.4783999999999995E-2</v>
      </c>
      <c r="M26" s="101"/>
      <c r="N26" s="98">
        <f t="shared" ref="N26" si="4">L26+M26</f>
        <v>1.4783999999999995E-2</v>
      </c>
      <c r="O26" s="98">
        <f>F23*H26*'BDD FE'!$F$26</f>
        <v>2.8391999999999996E-3</v>
      </c>
      <c r="P26" s="98"/>
      <c r="Q26" s="98">
        <f t="shared" ref="Q26" si="5">O26+P26</f>
        <v>2.8391999999999996E-3</v>
      </c>
      <c r="R26" s="98">
        <f>F23*H26*'BDD FE'!$I$26</f>
        <v>0.50399999999999989</v>
      </c>
      <c r="S26" s="98"/>
      <c r="T26" s="98">
        <f>R26+S26</f>
        <v>0.50399999999999989</v>
      </c>
      <c r="U26" s="79" t="s">
        <v>19</v>
      </c>
    </row>
    <row r="27" spans="1:21" ht="27" outlineLevel="1" thickBot="1">
      <c r="A27" s="19"/>
      <c r="B27" s="82"/>
      <c r="C27" s="29"/>
      <c r="D27" s="29" t="s">
        <v>145</v>
      </c>
      <c r="E27" s="82" t="str">
        <f>'BDD trait'!$C$9</f>
        <v>Polluants récupérés</v>
      </c>
      <c r="F27" s="40"/>
      <c r="G27" s="20"/>
      <c r="H27" s="40">
        <f>'BDD trait'!$G$9</f>
        <v>1</v>
      </c>
      <c r="I27" s="20" t="str">
        <f>'BDD trait'!$H$9</f>
        <v>t/t polluant</v>
      </c>
      <c r="J27" s="102"/>
      <c r="K27" s="20"/>
      <c r="L27" s="123">
        <f>F23*H27*'BDD FE'!$C$27</f>
        <v>28.341666666666661</v>
      </c>
      <c r="M27" s="102"/>
      <c r="N27" s="40">
        <f t="shared" ref="N27" si="6">L27+M27</f>
        <v>28.341666666666661</v>
      </c>
      <c r="O27" s="123">
        <f>F23*H27*'BDD FE'!$F$27</f>
        <v>10.32</v>
      </c>
      <c r="P27" s="40"/>
      <c r="Q27" s="40">
        <f t="shared" ref="Q27" si="7">O27+P27</f>
        <v>10.32</v>
      </c>
      <c r="R27" s="123">
        <f>F23*H27*'BDD FE'!$I$27</f>
        <v>0.15000000000000002</v>
      </c>
      <c r="S27" s="123"/>
      <c r="T27" s="40">
        <f>R27+S27</f>
        <v>0.15000000000000002</v>
      </c>
      <c r="U27" s="78" t="s">
        <v>38</v>
      </c>
    </row>
    <row r="28" spans="1:21" ht="13.8" outlineLevel="1" thickBot="1">
      <c r="A28" s="18"/>
      <c r="C28" s="27"/>
      <c r="D28" s="27"/>
      <c r="E28" s="81"/>
      <c r="F28" s="98"/>
      <c r="G28" s="18"/>
      <c r="H28" s="98"/>
      <c r="I28" s="18"/>
      <c r="J28" s="101"/>
      <c r="K28" s="18"/>
      <c r="L28" s="98"/>
      <c r="M28" s="101"/>
      <c r="N28" s="98"/>
      <c r="O28" s="98"/>
      <c r="P28" s="98"/>
      <c r="Q28" s="98"/>
      <c r="R28" s="98"/>
      <c r="S28" s="98"/>
      <c r="T28" s="98"/>
    </row>
    <row r="29" spans="1:21" ht="26.4" outlineLevel="1">
      <c r="A29" s="15"/>
      <c r="B29" s="80" t="s">
        <v>29</v>
      </c>
      <c r="C29" s="42" t="s">
        <v>63</v>
      </c>
      <c r="D29" s="42"/>
      <c r="E29" s="86"/>
      <c r="F29" s="109"/>
      <c r="G29" s="16"/>
      <c r="H29" s="109"/>
      <c r="I29" s="16"/>
      <c r="J29" s="100"/>
      <c r="K29" s="16"/>
      <c r="L29" s="109"/>
      <c r="M29" s="100"/>
      <c r="N29" s="109"/>
      <c r="O29" s="109"/>
      <c r="P29" s="109"/>
      <c r="Q29" s="109"/>
      <c r="R29" s="109"/>
      <c r="S29" s="109"/>
      <c r="T29" s="109"/>
      <c r="U29" s="22"/>
    </row>
    <row r="30" spans="1:21" outlineLevel="1">
      <c r="A30" s="17"/>
      <c r="B30" s="81"/>
      <c r="C30" s="27"/>
      <c r="D30" s="27"/>
      <c r="E30" s="87" t="s">
        <v>152</v>
      </c>
      <c r="F30" s="110">
        <v>1</v>
      </c>
      <c r="G30" s="18" t="s">
        <v>20</v>
      </c>
      <c r="H30" s="98"/>
      <c r="I30" s="18"/>
      <c r="J30" s="101"/>
      <c r="K30" s="18"/>
      <c r="L30" s="98"/>
      <c r="M30" s="101"/>
      <c r="N30" s="98"/>
      <c r="O30" s="98"/>
      <c r="P30" s="98"/>
      <c r="Q30" s="98"/>
      <c r="R30" s="98"/>
      <c r="S30" s="98"/>
      <c r="T30" s="98"/>
      <c r="U30" s="76">
        <v>8</v>
      </c>
    </row>
    <row r="31" spans="1:21" outlineLevel="1">
      <c r="A31" s="17"/>
      <c r="B31" s="81"/>
      <c r="C31" s="27"/>
      <c r="D31" s="27"/>
      <c r="E31" s="87" t="s">
        <v>153</v>
      </c>
      <c r="F31" s="111">
        <v>3</v>
      </c>
      <c r="G31" s="18" t="s">
        <v>20</v>
      </c>
      <c r="H31" s="98"/>
      <c r="I31" s="18"/>
      <c r="J31" s="101"/>
      <c r="K31" s="18"/>
      <c r="L31" s="98"/>
      <c r="M31" s="101"/>
      <c r="N31" s="98"/>
      <c r="O31" s="98"/>
      <c r="P31" s="98"/>
      <c r="Q31" s="98"/>
      <c r="R31" s="98"/>
      <c r="S31" s="98"/>
      <c r="T31" s="98"/>
      <c r="U31" s="23"/>
    </row>
    <row r="32" spans="1:21" outlineLevel="1">
      <c r="A32" s="17"/>
      <c r="B32" s="81"/>
      <c r="C32" s="27"/>
      <c r="D32" s="27" t="s">
        <v>144</v>
      </c>
      <c r="E32" s="81" t="str">
        <f>'BDD trait'!$C$7</f>
        <v>Electricité</v>
      </c>
      <c r="F32" s="98">
        <f>'BDD trait'!$D$7</f>
        <v>1209.6000000000001</v>
      </c>
      <c r="G32" s="18" t="str">
        <f>'BDD trait'!$E$7</f>
        <v>kWh/t polluant</v>
      </c>
      <c r="H32" s="98"/>
      <c r="I32" s="18"/>
      <c r="J32" s="101"/>
      <c r="K32" s="18"/>
      <c r="L32" s="98">
        <f>F31*F32*'BDD FE'!$C$11/1000</f>
        <v>9.1445760000000007</v>
      </c>
      <c r="M32" s="101"/>
      <c r="N32" s="98">
        <f>L32+M32</f>
        <v>9.1445760000000007</v>
      </c>
      <c r="O32" s="98">
        <f>F31*F32*'BDD FE'!$F$11/1000</f>
        <v>0.37013760000000001</v>
      </c>
      <c r="P32" s="98"/>
      <c r="Q32" s="98">
        <f>O32+P32</f>
        <v>0.37013760000000001</v>
      </c>
      <c r="R32" s="98"/>
      <c r="S32" s="98"/>
      <c r="T32" s="98"/>
      <c r="U32" s="23"/>
    </row>
    <row r="33" spans="1:21" outlineLevel="1">
      <c r="A33" s="17"/>
      <c r="B33" s="81"/>
      <c r="C33" s="27"/>
      <c r="D33" s="27" t="s">
        <v>144</v>
      </c>
      <c r="E33" s="81" t="str">
        <f>'BDD trait'!$C$8</f>
        <v>Charbon actif</v>
      </c>
      <c r="F33" s="98">
        <f>'BDD trait'!$D$8</f>
        <v>0.55999999999999994</v>
      </c>
      <c r="G33" s="18" t="str">
        <f>'BDD trait'!$E$8</f>
        <v>t/t polluant</v>
      </c>
      <c r="H33" s="98"/>
      <c r="I33" s="18"/>
      <c r="J33" s="101"/>
      <c r="K33" s="18"/>
      <c r="L33" s="98">
        <f>F31*F33*'BDD FE'!$C$7</f>
        <v>32.899999999999991</v>
      </c>
      <c r="M33" s="101"/>
      <c r="N33" s="98">
        <f>L33+M33</f>
        <v>32.899999999999991</v>
      </c>
      <c r="O33" s="98">
        <f>F31*F33*'BDD FE'!$F$7</f>
        <v>2.9551199999999995</v>
      </c>
      <c r="P33" s="98"/>
      <c r="Q33" s="98">
        <f>O33+P33</f>
        <v>2.9551199999999995</v>
      </c>
      <c r="R33" s="98"/>
      <c r="S33" s="98"/>
      <c r="T33" s="98"/>
      <c r="U33" s="23"/>
    </row>
    <row r="34" spans="1:21" ht="26.4" outlineLevel="1">
      <c r="A34" s="17"/>
      <c r="B34" s="81"/>
      <c r="C34" s="27"/>
      <c r="D34" s="27" t="s">
        <v>145</v>
      </c>
      <c r="E34" s="81" t="str">
        <f>'BDD trait'!$C$10</f>
        <v>Charbon actif souillé</v>
      </c>
      <c r="F34" s="98"/>
      <c r="G34" s="18"/>
      <c r="H34" s="98">
        <f>'BDD trait'!$G$10</f>
        <v>0.55999999999999994</v>
      </c>
      <c r="I34" s="18" t="str">
        <f>'BDD trait'!$H$10</f>
        <v>t/t polluant</v>
      </c>
      <c r="J34" s="101"/>
      <c r="K34" s="18"/>
      <c r="L34" s="98">
        <f>F31*H34*'BDD FE'!$C$26</f>
        <v>1.4783999999999995E-2</v>
      </c>
      <c r="M34" s="101"/>
      <c r="N34" s="98">
        <f t="shared" ref="N34" si="8">L34+M34</f>
        <v>1.4783999999999995E-2</v>
      </c>
      <c r="O34" s="98">
        <f>F31*H34*'BDD FE'!$F$26</f>
        <v>2.8391999999999996E-3</v>
      </c>
      <c r="P34" s="98"/>
      <c r="Q34" s="98">
        <f t="shared" ref="Q34" si="9">O34+P34</f>
        <v>2.8391999999999996E-3</v>
      </c>
      <c r="R34" s="98">
        <f>F31*H34*'BDD FE'!$I$26</f>
        <v>0.50399999999999989</v>
      </c>
      <c r="S34" s="98"/>
      <c r="T34" s="98">
        <f>R34+S34</f>
        <v>0.50399999999999989</v>
      </c>
      <c r="U34" s="79" t="s">
        <v>19</v>
      </c>
    </row>
    <row r="35" spans="1:21" ht="27" outlineLevel="1" thickBot="1">
      <c r="A35" s="19"/>
      <c r="B35" s="82"/>
      <c r="C35" s="29"/>
      <c r="D35" s="29" t="s">
        <v>145</v>
      </c>
      <c r="E35" s="82" t="str">
        <f>'BDD trait'!$C$17</f>
        <v>Permanganate de potassium</v>
      </c>
      <c r="F35" s="40"/>
      <c r="G35" s="20"/>
      <c r="H35" s="40">
        <f>'BDD trait'!$G$9</f>
        <v>1</v>
      </c>
      <c r="I35" s="20" t="str">
        <f>'BDD trait'!$H$9</f>
        <v>t/t polluant</v>
      </c>
      <c r="J35" s="102"/>
      <c r="K35" s="20"/>
      <c r="L35" s="123">
        <f>F31*H35*'BDD FE'!$C$27</f>
        <v>28.341666666666661</v>
      </c>
      <c r="M35" s="102"/>
      <c r="N35" s="40">
        <f t="shared" ref="N35" si="10">L35+M35</f>
        <v>28.341666666666661</v>
      </c>
      <c r="O35" s="123">
        <f>F31*H35*'BDD FE'!$F$27</f>
        <v>10.32</v>
      </c>
      <c r="P35" s="40"/>
      <c r="Q35" s="40">
        <f t="shared" ref="Q35" si="11">O35+P35</f>
        <v>10.32</v>
      </c>
      <c r="R35" s="123">
        <f>F31*H35*'BDD FE'!$I$27</f>
        <v>0.15000000000000002</v>
      </c>
      <c r="S35" s="123"/>
      <c r="T35" s="40">
        <f>R35+S35</f>
        <v>0.15000000000000002</v>
      </c>
      <c r="U35" s="78" t="s">
        <v>38</v>
      </c>
    </row>
    <row r="36" spans="1:21" ht="13.8" outlineLevel="1" thickBot="1">
      <c r="A36" s="18"/>
      <c r="B36" s="81"/>
      <c r="C36" s="27"/>
      <c r="D36" s="27"/>
      <c r="E36" s="81"/>
      <c r="F36" s="98"/>
      <c r="G36" s="18"/>
      <c r="H36" s="98"/>
      <c r="I36" s="18"/>
      <c r="J36" s="101"/>
      <c r="K36" s="18"/>
      <c r="L36" s="98"/>
      <c r="M36" s="101"/>
      <c r="N36" s="98"/>
      <c r="O36" s="98"/>
      <c r="P36" s="98"/>
      <c r="Q36" s="98"/>
      <c r="R36" s="98"/>
      <c r="S36" s="98"/>
      <c r="T36" s="98"/>
    </row>
    <row r="37" spans="1:21">
      <c r="A37" s="15"/>
      <c r="B37" s="80" t="s">
        <v>28</v>
      </c>
      <c r="C37" s="16" t="s">
        <v>33</v>
      </c>
      <c r="D37" s="16"/>
      <c r="E37" s="86"/>
      <c r="F37" s="109"/>
      <c r="G37" s="16"/>
      <c r="H37" s="109"/>
      <c r="I37" s="16"/>
      <c r="J37" s="100"/>
      <c r="K37" s="16"/>
      <c r="L37" s="109"/>
      <c r="M37" s="100"/>
      <c r="N37" s="109"/>
      <c r="O37" s="109"/>
      <c r="P37" s="109"/>
      <c r="Q37" s="109"/>
      <c r="R37" s="126"/>
      <c r="S37" s="126"/>
      <c r="T37" s="109"/>
      <c r="U37" s="22"/>
    </row>
    <row r="38" spans="1:21" outlineLevel="1">
      <c r="A38" s="17"/>
      <c r="B38" s="81"/>
      <c r="C38" s="18"/>
      <c r="D38" s="18"/>
      <c r="E38" s="87" t="s">
        <v>152</v>
      </c>
      <c r="F38" s="110">
        <v>1</v>
      </c>
      <c r="G38" s="18" t="s">
        <v>20</v>
      </c>
      <c r="H38" s="98"/>
      <c r="I38" s="18"/>
      <c r="J38" s="101"/>
      <c r="K38" s="18"/>
      <c r="L38" s="98"/>
      <c r="M38" s="101"/>
      <c r="N38" s="98"/>
      <c r="O38" s="98"/>
      <c r="P38" s="98"/>
      <c r="Q38" s="98"/>
      <c r="R38" s="98"/>
      <c r="S38" s="98"/>
      <c r="T38" s="98"/>
      <c r="U38" s="76">
        <v>8</v>
      </c>
    </row>
    <row r="39" spans="1:21" outlineLevel="1">
      <c r="A39" s="17"/>
      <c r="B39" s="81"/>
      <c r="C39" s="18"/>
      <c r="D39" s="18"/>
      <c r="E39" s="87" t="s">
        <v>153</v>
      </c>
      <c r="F39" s="111">
        <v>3</v>
      </c>
      <c r="G39" s="18" t="s">
        <v>20</v>
      </c>
      <c r="H39" s="98"/>
      <c r="I39" s="18"/>
      <c r="J39" s="101"/>
      <c r="K39" s="18"/>
      <c r="L39" s="98"/>
      <c r="M39" s="101"/>
      <c r="N39" s="98"/>
      <c r="O39" s="98"/>
      <c r="P39" s="98"/>
      <c r="Q39" s="98"/>
      <c r="R39" s="98"/>
      <c r="S39" s="98"/>
      <c r="T39" s="98"/>
      <c r="U39" s="23"/>
    </row>
    <row r="40" spans="1:21">
      <c r="A40" s="17"/>
      <c r="B40" s="81"/>
      <c r="C40" s="18"/>
      <c r="D40" s="27" t="s">
        <v>144</v>
      </c>
      <c r="E40" s="87" t="str">
        <f>'BDD trait'!$C$11</f>
        <v>Electricité pour pompage</v>
      </c>
      <c r="F40" s="113">
        <f>'BDD trait'!$D$11</f>
        <v>2574.2574257425745</v>
      </c>
      <c r="G40" s="27" t="str">
        <f>'BDD trait'!$E$11</f>
        <v>kWh/t polluant</v>
      </c>
      <c r="H40" s="98"/>
      <c r="I40" s="18"/>
      <c r="J40" s="101"/>
      <c r="K40" s="18"/>
      <c r="L40" s="98">
        <f>F39*F40*'BDD FE'!$C$11/1000</f>
        <v>19.461386138613864</v>
      </c>
      <c r="M40" s="101"/>
      <c r="N40" s="98">
        <f>L40+M40</f>
        <v>19.461386138613864</v>
      </c>
      <c r="O40" s="98">
        <f>F39*F40*'BDD FE'!$F$11/1000</f>
        <v>0.78772277227722776</v>
      </c>
      <c r="P40" s="98"/>
      <c r="Q40" s="98">
        <f>O40+P40</f>
        <v>0.78772277227722776</v>
      </c>
      <c r="R40" s="127"/>
      <c r="S40" s="127"/>
      <c r="T40" s="98"/>
      <c r="U40" s="23"/>
    </row>
    <row r="41" spans="1:21">
      <c r="A41" s="17"/>
      <c r="B41" s="81"/>
      <c r="C41" s="18"/>
      <c r="D41" s="27" t="s">
        <v>144</v>
      </c>
      <c r="E41" s="87" t="str">
        <f>'BDD trait'!$C$12</f>
        <v>Surfactant</v>
      </c>
      <c r="F41" s="113">
        <f>'BDD trait'!$D$12</f>
        <v>0.26402640264026406</v>
      </c>
      <c r="G41" s="27" t="str">
        <f>'BDD trait'!$E$12</f>
        <v>t/t polluant</v>
      </c>
      <c r="H41" s="98"/>
      <c r="I41" s="18"/>
      <c r="J41" s="101"/>
      <c r="K41" s="18"/>
      <c r="L41" s="98">
        <f>F39*F41*'BDD FE'!$F$19</f>
        <v>0.48792079207920791</v>
      </c>
      <c r="M41" s="101"/>
      <c r="N41" s="98">
        <f>L41+M41</f>
        <v>0.48792079207920791</v>
      </c>
      <c r="O41" s="98">
        <f>F39*F41*'BDD FE'!$F$19</f>
        <v>0.48792079207920791</v>
      </c>
      <c r="P41" s="98"/>
      <c r="Q41" s="98">
        <f>O41+P41</f>
        <v>0.48792079207920791</v>
      </c>
      <c r="R41" s="127"/>
      <c r="S41" s="127"/>
      <c r="T41" s="98"/>
      <c r="U41" s="23"/>
    </row>
    <row r="42" spans="1:21" ht="39.6">
      <c r="A42" s="17"/>
      <c r="B42" s="81"/>
      <c r="C42" s="18"/>
      <c r="D42" s="27" t="s">
        <v>144</v>
      </c>
      <c r="E42" s="87" t="str">
        <f>'BDD trait'!$C$13</f>
        <v>Oxydant</v>
      </c>
      <c r="F42" s="113">
        <f>'BDD trait'!$D$13</f>
        <v>0.33003300330033009</v>
      </c>
      <c r="G42" s="27" t="str">
        <f>'BDD trait'!$E$13</f>
        <v>t/t polluant</v>
      </c>
      <c r="H42" s="98"/>
      <c r="I42" s="18"/>
      <c r="J42" s="101"/>
      <c r="K42" s="18"/>
      <c r="L42" s="98">
        <f>F39*F42*'BDD FE'!$C$16</f>
        <v>2.7887788778877893</v>
      </c>
      <c r="M42" s="101"/>
      <c r="N42" s="98">
        <f>L42+M42</f>
        <v>2.7887788778877893</v>
      </c>
      <c r="O42" s="98">
        <f>F39*F42*'BDD FE'!$F$16</f>
        <v>2.3762376237623766</v>
      </c>
      <c r="P42" s="98"/>
      <c r="Q42" s="98">
        <f>O42+P42</f>
        <v>2.3762376237623766</v>
      </c>
      <c r="R42" s="127"/>
      <c r="S42" s="127"/>
      <c r="T42" s="98"/>
      <c r="U42" s="79" t="s">
        <v>371</v>
      </c>
    </row>
    <row r="43" spans="1:21" ht="26.4">
      <c r="A43" s="17"/>
      <c r="B43" s="81"/>
      <c r="C43" s="18"/>
      <c r="D43" s="50" t="s">
        <v>145</v>
      </c>
      <c r="E43" s="87" t="str">
        <f>'BDD trait'!$C$14</f>
        <v>Concentrat d'ultrafiltration incinéré</v>
      </c>
      <c r="F43" s="31"/>
      <c r="H43" s="113">
        <f>'BDD trait'!$G$14</f>
        <v>12.376237623762377</v>
      </c>
      <c r="I43" s="27" t="str">
        <f>'BDD trait'!$H$14</f>
        <v>m3/t polluant</v>
      </c>
      <c r="J43" s="101"/>
      <c r="K43" s="18"/>
      <c r="L43" s="98">
        <f>F39*H43*'BDD FE'!$C$29</f>
        <v>350.76320132013194</v>
      </c>
      <c r="M43" s="101"/>
      <c r="N43" s="98">
        <f>L43+M43</f>
        <v>350.76320132013194</v>
      </c>
      <c r="O43" s="98">
        <f>F39*H43*'BDD FE'!$F$29</f>
        <v>127.72277227722772</v>
      </c>
      <c r="P43" s="98"/>
      <c r="Q43" s="98">
        <f>O43+P43</f>
        <v>127.72277227722772</v>
      </c>
      <c r="R43" s="129">
        <f>F39*H43*'BDD FE'!$I$29</f>
        <v>1.8564356435643565</v>
      </c>
      <c r="S43" s="129"/>
      <c r="T43" s="98">
        <f>R43+S43</f>
        <v>1.8564356435643565</v>
      </c>
      <c r="U43" s="79" t="s">
        <v>38</v>
      </c>
    </row>
    <row r="44" spans="1:21" ht="27" thickBot="1">
      <c r="A44" s="19"/>
      <c r="B44" s="82"/>
      <c r="C44" s="20"/>
      <c r="D44" s="46" t="s">
        <v>145</v>
      </c>
      <c r="E44" s="88" t="str">
        <f>'BDD trait'!$C$15</f>
        <v>Perméat d'ultrafiltration en STEP</v>
      </c>
      <c r="F44" s="40"/>
      <c r="G44" s="20"/>
      <c r="H44" s="122">
        <f>'BDD trait'!$G$15</f>
        <v>2.3102310231023102</v>
      </c>
      <c r="I44" s="46" t="str">
        <f>'BDD trait'!$H$15</f>
        <v>m3/t polluant</v>
      </c>
      <c r="J44" s="102"/>
      <c r="K44" s="20"/>
      <c r="L44" s="40">
        <f>F39*H44*'BDD FE'!$C$30</f>
        <v>9.4175888177053021E-3</v>
      </c>
      <c r="M44" s="102"/>
      <c r="N44" s="40">
        <f t="shared" ref="N44" si="12">L44+M44</f>
        <v>9.4175888177053021E-3</v>
      </c>
      <c r="O44" s="40">
        <f>F39*H44*'BDD FE'!$F$30</f>
        <v>3.811881188118812E-4</v>
      </c>
      <c r="P44" s="40"/>
      <c r="Q44" s="40">
        <f t="shared" ref="Q44" si="13">O44+P44</f>
        <v>3.811881188118812E-4</v>
      </c>
      <c r="R44" s="130"/>
      <c r="S44" s="130"/>
      <c r="T44" s="40"/>
      <c r="U44" s="78" t="s">
        <v>407</v>
      </c>
    </row>
    <row r="45" spans="1:21" ht="13.8" outlineLevel="1" thickBot="1">
      <c r="A45" s="18"/>
      <c r="B45" s="81"/>
      <c r="C45" s="27"/>
      <c r="D45" s="27"/>
      <c r="E45" s="81"/>
      <c r="F45" s="98"/>
      <c r="G45" s="18"/>
      <c r="H45" s="98"/>
      <c r="I45" s="18"/>
      <c r="J45" s="101"/>
      <c r="K45" s="18"/>
      <c r="L45" s="98"/>
      <c r="M45" s="101"/>
      <c r="N45" s="98"/>
      <c r="O45" s="98"/>
      <c r="P45" s="98"/>
      <c r="Q45" s="98"/>
      <c r="R45" s="98"/>
      <c r="S45" s="98"/>
      <c r="T45" s="98"/>
    </row>
    <row r="46" spans="1:21" ht="39.6">
      <c r="A46" s="15"/>
      <c r="B46" s="80" t="s">
        <v>29</v>
      </c>
      <c r="C46" s="16" t="s">
        <v>33</v>
      </c>
      <c r="D46" s="16"/>
      <c r="E46" s="86"/>
      <c r="F46" s="109"/>
      <c r="G46" s="16"/>
      <c r="H46" s="109"/>
      <c r="I46" s="16"/>
      <c r="J46" s="100"/>
      <c r="K46" s="16"/>
      <c r="L46" s="109"/>
      <c r="M46" s="100"/>
      <c r="N46" s="109"/>
      <c r="O46" s="109"/>
      <c r="P46" s="109"/>
      <c r="Q46" s="109"/>
      <c r="R46" s="126"/>
      <c r="S46" s="126"/>
      <c r="T46" s="109"/>
      <c r="U46" s="22"/>
    </row>
    <row r="47" spans="1:21" outlineLevel="1">
      <c r="A47" s="17"/>
      <c r="B47" s="81"/>
      <c r="C47" s="18"/>
      <c r="D47" s="18"/>
      <c r="E47" s="87" t="s">
        <v>152</v>
      </c>
      <c r="F47" s="110">
        <v>1</v>
      </c>
      <c r="G47" s="18" t="s">
        <v>20</v>
      </c>
      <c r="H47" s="98"/>
      <c r="I47" s="18"/>
      <c r="J47" s="101"/>
      <c r="K47" s="18"/>
      <c r="L47" s="98"/>
      <c r="M47" s="101"/>
      <c r="N47" s="98"/>
      <c r="O47" s="98"/>
      <c r="P47" s="98"/>
      <c r="Q47" s="98"/>
      <c r="R47" s="98"/>
      <c r="S47" s="98"/>
      <c r="T47" s="98"/>
      <c r="U47" s="76">
        <v>8</v>
      </c>
    </row>
    <row r="48" spans="1:21" outlineLevel="1">
      <c r="A48" s="17"/>
      <c r="B48" s="81"/>
      <c r="C48" s="18"/>
      <c r="D48" s="18"/>
      <c r="E48" s="87" t="s">
        <v>153</v>
      </c>
      <c r="F48" s="111">
        <v>3</v>
      </c>
      <c r="G48" s="18" t="s">
        <v>20</v>
      </c>
      <c r="H48" s="98"/>
      <c r="I48" s="18"/>
      <c r="J48" s="101"/>
      <c r="K48" s="18"/>
      <c r="L48" s="98"/>
      <c r="M48" s="101"/>
      <c r="N48" s="98"/>
      <c r="O48" s="98"/>
      <c r="P48" s="98"/>
      <c r="Q48" s="98"/>
      <c r="R48" s="98"/>
      <c r="S48" s="98"/>
      <c r="T48" s="98"/>
      <c r="U48" s="23"/>
    </row>
    <row r="49" spans="1:21">
      <c r="A49" s="17"/>
      <c r="B49" s="81"/>
      <c r="C49" s="18"/>
      <c r="D49" s="27" t="s">
        <v>144</v>
      </c>
      <c r="E49" s="87" t="str">
        <f>'BDD trait'!$C$11</f>
        <v>Electricité pour pompage</v>
      </c>
      <c r="F49" s="113">
        <f>'BDD trait'!$D$11</f>
        <v>2574.2574257425745</v>
      </c>
      <c r="G49" s="27" t="str">
        <f>'BDD trait'!$E$11</f>
        <v>kWh/t polluant</v>
      </c>
      <c r="H49" s="98"/>
      <c r="I49" s="18"/>
      <c r="J49" s="101"/>
      <c r="K49" s="18"/>
      <c r="L49" s="98">
        <f>F48*F49*'BDD FE'!$C$11/1000</f>
        <v>19.461386138613864</v>
      </c>
      <c r="M49" s="101"/>
      <c r="N49" s="98">
        <f>L49+M49</f>
        <v>19.461386138613864</v>
      </c>
      <c r="O49" s="98">
        <f>F48*F49*'BDD FE'!$F$11/1000</f>
        <v>0.78772277227722776</v>
      </c>
      <c r="P49" s="98"/>
      <c r="Q49" s="98">
        <f>O49+P49</f>
        <v>0.78772277227722776</v>
      </c>
      <c r="R49" s="127"/>
      <c r="S49" s="127"/>
      <c r="T49" s="98"/>
      <c r="U49" s="23"/>
    </row>
    <row r="50" spans="1:21">
      <c r="A50" s="17"/>
      <c r="B50" s="81"/>
      <c r="C50" s="18"/>
      <c r="D50" s="27" t="s">
        <v>144</v>
      </c>
      <c r="E50" s="87" t="str">
        <f>'BDD trait'!$C$12</f>
        <v>Surfactant</v>
      </c>
      <c r="F50" s="113">
        <f>'BDD trait'!$D$12</f>
        <v>0.26402640264026406</v>
      </c>
      <c r="G50" s="27" t="str">
        <f>'BDD trait'!$E$12</f>
        <v>t/t polluant</v>
      </c>
      <c r="H50" s="98"/>
      <c r="I50" s="18"/>
      <c r="J50" s="101"/>
      <c r="K50" s="18"/>
      <c r="L50" s="98">
        <f>F48*F50*'BDD FE'!$F$19</f>
        <v>0.48792079207920791</v>
      </c>
      <c r="M50" s="101"/>
      <c r="N50" s="98">
        <f>L50+M50</f>
        <v>0.48792079207920791</v>
      </c>
      <c r="O50" s="98">
        <f>F48*F50*'BDD FE'!$F$19</f>
        <v>0.48792079207920791</v>
      </c>
      <c r="P50" s="98"/>
      <c r="Q50" s="98">
        <f>O50+P50</f>
        <v>0.48792079207920791</v>
      </c>
      <c r="R50" s="127"/>
      <c r="S50" s="127"/>
      <c r="T50" s="98"/>
      <c r="U50" s="23"/>
    </row>
    <row r="51" spans="1:21" ht="39.6">
      <c r="A51" s="17"/>
      <c r="B51" s="81"/>
      <c r="C51" s="18"/>
      <c r="D51" s="27" t="s">
        <v>144</v>
      </c>
      <c r="E51" s="87" t="str">
        <f>'BDD trait'!$C$13</f>
        <v>Oxydant</v>
      </c>
      <c r="F51" s="113">
        <f>'BDD trait'!$D$13</f>
        <v>0.33003300330033009</v>
      </c>
      <c r="G51" s="27" t="str">
        <f>'BDD trait'!$E$13</f>
        <v>t/t polluant</v>
      </c>
      <c r="H51" s="98"/>
      <c r="I51" s="18"/>
      <c r="J51" s="101"/>
      <c r="K51" s="18"/>
      <c r="L51" s="98">
        <f>F48*F51*'BDD FE'!$C$16</f>
        <v>2.7887788778877893</v>
      </c>
      <c r="M51" s="101"/>
      <c r="N51" s="98">
        <f>L51+M51</f>
        <v>2.7887788778877893</v>
      </c>
      <c r="O51" s="98">
        <f>F48*F51*'BDD FE'!$F$16</f>
        <v>2.3762376237623766</v>
      </c>
      <c r="P51" s="98"/>
      <c r="Q51" s="98">
        <f>O51+P51</f>
        <v>2.3762376237623766</v>
      </c>
      <c r="R51" s="127"/>
      <c r="S51" s="127"/>
      <c r="T51" s="98"/>
      <c r="U51" s="79" t="s">
        <v>371</v>
      </c>
    </row>
    <row r="52" spans="1:21" ht="26.4">
      <c r="A52" s="17"/>
      <c r="B52" s="81"/>
      <c r="C52" s="18"/>
      <c r="D52" s="50" t="s">
        <v>145</v>
      </c>
      <c r="E52" s="87" t="str">
        <f>'BDD trait'!$C$14</f>
        <v>Concentrat d'ultrafiltration incinéré</v>
      </c>
      <c r="F52" s="31"/>
      <c r="H52" s="113">
        <f>'BDD trait'!$G$14</f>
        <v>12.376237623762377</v>
      </c>
      <c r="I52" s="27" t="str">
        <f>'BDD trait'!$H$14</f>
        <v>m3/t polluant</v>
      </c>
      <c r="J52" s="101"/>
      <c r="K52" s="18"/>
      <c r="L52" s="98">
        <f>F48*H52*'BDD FE'!$C$29</f>
        <v>350.76320132013194</v>
      </c>
      <c r="M52" s="101"/>
      <c r="N52" s="98">
        <f>L52+M52</f>
        <v>350.76320132013194</v>
      </c>
      <c r="O52" s="98">
        <f>F48*H52*'BDD FE'!$F$29</f>
        <v>127.72277227722772</v>
      </c>
      <c r="P52" s="98"/>
      <c r="Q52" s="98">
        <f>O52+P52</f>
        <v>127.72277227722772</v>
      </c>
      <c r="R52" s="129">
        <f>F48*H52*'BDD FE'!$I$29</f>
        <v>1.8564356435643565</v>
      </c>
      <c r="S52" s="129"/>
      <c r="T52" s="98">
        <f>R52+S52</f>
        <v>1.8564356435643565</v>
      </c>
      <c r="U52" s="79" t="s">
        <v>38</v>
      </c>
    </row>
    <row r="53" spans="1:21" ht="27" thickBot="1">
      <c r="A53" s="19"/>
      <c r="B53" s="82"/>
      <c r="C53" s="20"/>
      <c r="D53" s="46" t="s">
        <v>145</v>
      </c>
      <c r="E53" s="88" t="str">
        <f>'BDD trait'!$C$15</f>
        <v>Perméat d'ultrafiltration en STEP</v>
      </c>
      <c r="F53" s="40"/>
      <c r="G53" s="20"/>
      <c r="H53" s="122">
        <f>'BDD trait'!$G$15</f>
        <v>2.3102310231023102</v>
      </c>
      <c r="I53" s="46" t="str">
        <f>'BDD trait'!$H$15</f>
        <v>m3/t polluant</v>
      </c>
      <c r="J53" s="102"/>
      <c r="K53" s="20"/>
      <c r="L53" s="40">
        <f>F48*H53*'BDD FE'!$C$30</f>
        <v>9.4175888177053021E-3</v>
      </c>
      <c r="M53" s="102"/>
      <c r="N53" s="40">
        <f t="shared" ref="N53" si="14">L53+M53</f>
        <v>9.4175888177053021E-3</v>
      </c>
      <c r="O53" s="40">
        <f>F48*H53*'BDD FE'!$F$30</f>
        <v>3.811881188118812E-4</v>
      </c>
      <c r="P53" s="40"/>
      <c r="Q53" s="40">
        <f t="shared" ref="Q53" si="15">O53+P53</f>
        <v>3.811881188118812E-4</v>
      </c>
      <c r="R53" s="130"/>
      <c r="S53" s="130"/>
      <c r="T53" s="40"/>
      <c r="U53" s="78" t="s">
        <v>407</v>
      </c>
    </row>
    <row r="54" spans="1:21" ht="13.8" outlineLevel="1" thickBot="1">
      <c r="A54" s="18"/>
      <c r="B54" s="81"/>
      <c r="C54" s="27"/>
      <c r="D54" s="27"/>
      <c r="E54" s="81"/>
      <c r="F54" s="98"/>
      <c r="G54" s="18"/>
      <c r="H54" s="98"/>
      <c r="I54" s="18"/>
      <c r="J54" s="101"/>
      <c r="K54" s="18"/>
      <c r="L54" s="98"/>
      <c r="M54" s="101"/>
      <c r="N54" s="98"/>
      <c r="O54" s="98"/>
      <c r="P54" s="98"/>
      <c r="Q54" s="98"/>
      <c r="R54" s="98"/>
      <c r="S54" s="98"/>
      <c r="T54" s="98"/>
    </row>
    <row r="55" spans="1:21">
      <c r="A55" s="15"/>
      <c r="B55" s="80" t="s">
        <v>30</v>
      </c>
      <c r="C55" s="16" t="s">
        <v>33</v>
      </c>
      <c r="D55" s="16"/>
      <c r="E55" s="86"/>
      <c r="F55" s="109"/>
      <c r="G55" s="16"/>
      <c r="H55" s="109"/>
      <c r="I55" s="16"/>
      <c r="J55" s="100"/>
      <c r="K55" s="16"/>
      <c r="L55" s="109"/>
      <c r="M55" s="100"/>
      <c r="N55" s="109"/>
      <c r="O55" s="109"/>
      <c r="P55" s="109"/>
      <c r="Q55" s="109"/>
      <c r="R55" s="126"/>
      <c r="S55" s="126"/>
      <c r="T55" s="109"/>
      <c r="U55" s="22"/>
    </row>
    <row r="56" spans="1:21" outlineLevel="1">
      <c r="A56" s="17"/>
      <c r="B56" s="81"/>
      <c r="C56" s="18"/>
      <c r="D56" s="18"/>
      <c r="E56" s="87" t="s">
        <v>152</v>
      </c>
      <c r="F56" s="110">
        <v>1</v>
      </c>
      <c r="G56" s="18" t="s">
        <v>20</v>
      </c>
      <c r="H56" s="98"/>
      <c r="I56" s="18"/>
      <c r="J56" s="101"/>
      <c r="K56" s="18"/>
      <c r="L56" s="98"/>
      <c r="M56" s="101"/>
      <c r="N56" s="98"/>
      <c r="O56" s="98"/>
      <c r="P56" s="98"/>
      <c r="Q56" s="98"/>
      <c r="R56" s="98"/>
      <c r="S56" s="98"/>
      <c r="T56" s="98"/>
      <c r="U56" s="76">
        <v>8</v>
      </c>
    </row>
    <row r="57" spans="1:21" outlineLevel="1">
      <c r="A57" s="17"/>
      <c r="B57" s="81"/>
      <c r="C57" s="18"/>
      <c r="D57" s="18"/>
      <c r="E57" s="87" t="s">
        <v>153</v>
      </c>
      <c r="F57" s="111">
        <v>3</v>
      </c>
      <c r="G57" s="18" t="s">
        <v>20</v>
      </c>
      <c r="H57" s="98"/>
      <c r="I57" s="18"/>
      <c r="J57" s="101"/>
      <c r="K57" s="18"/>
      <c r="L57" s="98"/>
      <c r="M57" s="101"/>
      <c r="N57" s="98"/>
      <c r="O57" s="98"/>
      <c r="P57" s="98"/>
      <c r="Q57" s="98"/>
      <c r="R57" s="98"/>
      <c r="S57" s="98"/>
      <c r="T57" s="98"/>
      <c r="U57" s="23"/>
    </row>
    <row r="58" spans="1:21">
      <c r="A58" s="17"/>
      <c r="B58" s="81"/>
      <c r="C58" s="18"/>
      <c r="D58" s="27" t="s">
        <v>144</v>
      </c>
      <c r="E58" s="87" t="str">
        <f>'BDD trait'!$C$11</f>
        <v>Electricité pour pompage</v>
      </c>
      <c r="F58" s="113">
        <f>'BDD trait'!$D$11</f>
        <v>2574.2574257425745</v>
      </c>
      <c r="G58" s="27" t="str">
        <f>'BDD trait'!$E$11</f>
        <v>kWh/t polluant</v>
      </c>
      <c r="H58" s="98"/>
      <c r="I58" s="18"/>
      <c r="J58" s="101"/>
      <c r="K58" s="18"/>
      <c r="L58" s="98">
        <f>F57*F58*'BDD FE'!$C$11/1000</f>
        <v>19.461386138613864</v>
      </c>
      <c r="M58" s="101"/>
      <c r="N58" s="98">
        <f>L58+M58</f>
        <v>19.461386138613864</v>
      </c>
      <c r="O58" s="98">
        <f>F57*F58*'BDD FE'!$F$11/1000</f>
        <v>0.78772277227722776</v>
      </c>
      <c r="P58" s="98"/>
      <c r="Q58" s="98">
        <f>O58+P58</f>
        <v>0.78772277227722776</v>
      </c>
      <c r="R58" s="127"/>
      <c r="S58" s="127"/>
      <c r="T58" s="98"/>
      <c r="U58" s="23"/>
    </row>
    <row r="59" spans="1:21">
      <c r="A59" s="17"/>
      <c r="B59" s="81"/>
      <c r="C59" s="18"/>
      <c r="D59" s="27" t="s">
        <v>144</v>
      </c>
      <c r="E59" s="87" t="str">
        <f>'BDD trait'!$C$12</f>
        <v>Surfactant</v>
      </c>
      <c r="F59" s="113">
        <f>'BDD trait'!$D$12</f>
        <v>0.26402640264026406</v>
      </c>
      <c r="G59" s="27" t="str">
        <f>'BDD trait'!$E$12</f>
        <v>t/t polluant</v>
      </c>
      <c r="H59" s="98"/>
      <c r="I59" s="18"/>
      <c r="J59" s="101"/>
      <c r="K59" s="18"/>
      <c r="L59" s="98">
        <f>F57*F59*'BDD FE'!$F$19</f>
        <v>0.48792079207920791</v>
      </c>
      <c r="M59" s="101"/>
      <c r="N59" s="98">
        <f>L59+M59</f>
        <v>0.48792079207920791</v>
      </c>
      <c r="O59" s="98">
        <f>F57*F59*'BDD FE'!$F$19</f>
        <v>0.48792079207920791</v>
      </c>
      <c r="P59" s="98"/>
      <c r="Q59" s="98">
        <f>O59+P59</f>
        <v>0.48792079207920791</v>
      </c>
      <c r="R59" s="127"/>
      <c r="S59" s="127"/>
      <c r="T59" s="98"/>
      <c r="U59" s="23"/>
    </row>
    <row r="60" spans="1:21" ht="39.6">
      <c r="A60" s="17"/>
      <c r="B60" s="81"/>
      <c r="C60" s="18"/>
      <c r="D60" s="27" t="s">
        <v>144</v>
      </c>
      <c r="E60" s="87" t="str">
        <f>'BDD trait'!$C$13</f>
        <v>Oxydant</v>
      </c>
      <c r="F60" s="113">
        <f>'BDD trait'!$D$13</f>
        <v>0.33003300330033009</v>
      </c>
      <c r="G60" s="27" t="str">
        <f>'BDD trait'!$E$13</f>
        <v>t/t polluant</v>
      </c>
      <c r="H60" s="98"/>
      <c r="I60" s="18"/>
      <c r="J60" s="101"/>
      <c r="K60" s="18"/>
      <c r="L60" s="98">
        <f>F57*F60*'BDD FE'!$C$16</f>
        <v>2.7887788778877893</v>
      </c>
      <c r="M60" s="101"/>
      <c r="N60" s="98">
        <f>L60+M60</f>
        <v>2.7887788778877893</v>
      </c>
      <c r="O60" s="98">
        <f>F57*F60*'BDD FE'!$F$16</f>
        <v>2.3762376237623766</v>
      </c>
      <c r="P60" s="98"/>
      <c r="Q60" s="98">
        <f>O60+P60</f>
        <v>2.3762376237623766</v>
      </c>
      <c r="R60" s="127"/>
      <c r="S60" s="127"/>
      <c r="T60" s="98"/>
      <c r="U60" s="79" t="s">
        <v>371</v>
      </c>
    </row>
    <row r="61" spans="1:21" ht="26.4">
      <c r="A61" s="17"/>
      <c r="B61" s="81"/>
      <c r="C61" s="18"/>
      <c r="D61" s="50" t="s">
        <v>145</v>
      </c>
      <c r="E61" s="87" t="str">
        <f>'BDD trait'!$C$14</f>
        <v>Concentrat d'ultrafiltration incinéré</v>
      </c>
      <c r="F61" s="31"/>
      <c r="H61" s="113">
        <f>'BDD trait'!$G$14</f>
        <v>12.376237623762377</v>
      </c>
      <c r="I61" s="27" t="str">
        <f>'BDD trait'!$H$14</f>
        <v>m3/t polluant</v>
      </c>
      <c r="J61" s="101"/>
      <c r="K61" s="18"/>
      <c r="L61" s="98">
        <f>F57*H61*'BDD FE'!$C$29</f>
        <v>350.76320132013194</v>
      </c>
      <c r="M61" s="101"/>
      <c r="N61" s="98">
        <f>L61+M61</f>
        <v>350.76320132013194</v>
      </c>
      <c r="O61" s="98">
        <f>F57*H61*'BDD FE'!$F$29</f>
        <v>127.72277227722772</v>
      </c>
      <c r="P61" s="98"/>
      <c r="Q61" s="98">
        <f>O61+P61</f>
        <v>127.72277227722772</v>
      </c>
      <c r="R61" s="129">
        <f>F57*H61*'BDD FE'!$I$29</f>
        <v>1.8564356435643565</v>
      </c>
      <c r="S61" s="129"/>
      <c r="T61" s="98">
        <f>R61+S61</f>
        <v>1.8564356435643565</v>
      </c>
      <c r="U61" s="79" t="s">
        <v>38</v>
      </c>
    </row>
    <row r="62" spans="1:21" ht="27" thickBot="1">
      <c r="A62" s="19"/>
      <c r="B62" s="82"/>
      <c r="C62" s="20"/>
      <c r="D62" s="46" t="s">
        <v>145</v>
      </c>
      <c r="E62" s="88" t="str">
        <f>'BDD trait'!$C$15</f>
        <v>Perméat d'ultrafiltration en STEP</v>
      </c>
      <c r="F62" s="40"/>
      <c r="G62" s="20"/>
      <c r="H62" s="122">
        <f>'BDD trait'!$G$15</f>
        <v>2.3102310231023102</v>
      </c>
      <c r="I62" s="46" t="str">
        <f>'BDD trait'!$H$15</f>
        <v>m3/t polluant</v>
      </c>
      <c r="J62" s="102"/>
      <c r="K62" s="20"/>
      <c r="L62" s="40">
        <f>F57*H62*'BDD FE'!$C$30</f>
        <v>9.4175888177053021E-3</v>
      </c>
      <c r="M62" s="102"/>
      <c r="N62" s="40">
        <f t="shared" ref="N62" si="16">L62+M62</f>
        <v>9.4175888177053021E-3</v>
      </c>
      <c r="O62" s="40">
        <f>F57*H62*'BDD FE'!$F$30</f>
        <v>3.811881188118812E-4</v>
      </c>
      <c r="P62" s="40"/>
      <c r="Q62" s="40">
        <f t="shared" ref="Q62" si="17">O62+P62</f>
        <v>3.811881188118812E-4</v>
      </c>
      <c r="R62" s="130"/>
      <c r="S62" s="130"/>
      <c r="T62" s="40"/>
      <c r="U62" s="78" t="s">
        <v>407</v>
      </c>
    </row>
    <row r="63" spans="1:21" ht="13.8" outlineLevel="1" thickBot="1">
      <c r="A63" s="18"/>
      <c r="B63" s="81"/>
      <c r="C63" s="27"/>
      <c r="D63" s="27"/>
      <c r="E63" s="81"/>
      <c r="F63" s="98"/>
      <c r="G63" s="18"/>
      <c r="H63" s="98"/>
      <c r="I63" s="18"/>
      <c r="J63" s="101"/>
      <c r="K63" s="18"/>
      <c r="L63" s="98"/>
      <c r="M63" s="101"/>
      <c r="N63" s="98"/>
      <c r="O63" s="98"/>
      <c r="P63" s="98"/>
      <c r="Q63" s="98"/>
      <c r="R63" s="98"/>
      <c r="S63" s="98"/>
      <c r="T63" s="98"/>
    </row>
    <row r="64" spans="1:21">
      <c r="A64" s="15"/>
      <c r="B64" s="80" t="s">
        <v>31</v>
      </c>
      <c r="C64" s="16" t="s">
        <v>33</v>
      </c>
      <c r="D64" s="16"/>
      <c r="E64" s="86"/>
      <c r="F64" s="109"/>
      <c r="G64" s="16"/>
      <c r="H64" s="109"/>
      <c r="I64" s="16"/>
      <c r="J64" s="100"/>
      <c r="K64" s="16"/>
      <c r="L64" s="109"/>
      <c r="M64" s="100"/>
      <c r="N64" s="109"/>
      <c r="O64" s="109"/>
      <c r="P64" s="109"/>
      <c r="Q64" s="109"/>
      <c r="R64" s="126"/>
      <c r="S64" s="126"/>
      <c r="T64" s="109"/>
      <c r="U64" s="22"/>
    </row>
    <row r="65" spans="1:21" outlineLevel="1">
      <c r="A65" s="17"/>
      <c r="B65" s="81"/>
      <c r="C65" s="18"/>
      <c r="D65" s="18"/>
      <c r="E65" s="87" t="s">
        <v>152</v>
      </c>
      <c r="F65" s="110">
        <v>1</v>
      </c>
      <c r="G65" s="18" t="s">
        <v>20</v>
      </c>
      <c r="H65" s="98"/>
      <c r="I65" s="18"/>
      <c r="J65" s="101"/>
      <c r="K65" s="18"/>
      <c r="L65" s="98"/>
      <c r="M65" s="101"/>
      <c r="N65" s="98"/>
      <c r="O65" s="98"/>
      <c r="P65" s="98"/>
      <c r="Q65" s="98"/>
      <c r="R65" s="98"/>
      <c r="S65" s="98"/>
      <c r="T65" s="98"/>
      <c r="U65" s="76">
        <v>8</v>
      </c>
    </row>
    <row r="66" spans="1:21" outlineLevel="1">
      <c r="A66" s="17"/>
      <c r="B66" s="81"/>
      <c r="C66" s="18"/>
      <c r="D66" s="18"/>
      <c r="E66" s="87" t="s">
        <v>153</v>
      </c>
      <c r="F66" s="111">
        <v>3</v>
      </c>
      <c r="G66" s="18" t="s">
        <v>20</v>
      </c>
      <c r="H66" s="98"/>
      <c r="I66" s="18"/>
      <c r="J66" s="101"/>
      <c r="K66" s="18"/>
      <c r="L66" s="98"/>
      <c r="M66" s="101"/>
      <c r="N66" s="98"/>
      <c r="O66" s="98"/>
      <c r="P66" s="98"/>
      <c r="Q66" s="98"/>
      <c r="R66" s="98"/>
      <c r="S66" s="98"/>
      <c r="T66" s="98"/>
      <c r="U66" s="23"/>
    </row>
    <row r="67" spans="1:21">
      <c r="A67" s="17"/>
      <c r="B67" s="81"/>
      <c r="C67" s="18"/>
      <c r="D67" s="27" t="s">
        <v>144</v>
      </c>
      <c r="E67" s="87" t="str">
        <f>'BDD trait'!$C$11</f>
        <v>Electricité pour pompage</v>
      </c>
      <c r="F67" s="113">
        <f>'BDD trait'!$D$11</f>
        <v>2574.2574257425745</v>
      </c>
      <c r="G67" s="27" t="str">
        <f>'BDD trait'!$E$11</f>
        <v>kWh/t polluant</v>
      </c>
      <c r="H67" s="98"/>
      <c r="I67" s="18"/>
      <c r="J67" s="101"/>
      <c r="K67" s="18"/>
      <c r="L67" s="98">
        <f>F66*F67*'BDD FE'!$C$11/1000</f>
        <v>19.461386138613864</v>
      </c>
      <c r="M67" s="101"/>
      <c r="N67" s="98">
        <f>L67+M67</f>
        <v>19.461386138613864</v>
      </c>
      <c r="O67" s="98">
        <f>F66*F67*'BDD FE'!$F$11/1000</f>
        <v>0.78772277227722776</v>
      </c>
      <c r="P67" s="98"/>
      <c r="Q67" s="98">
        <f>O67+P67</f>
        <v>0.78772277227722776</v>
      </c>
      <c r="R67" s="127"/>
      <c r="S67" s="127"/>
      <c r="T67" s="98"/>
      <c r="U67" s="23"/>
    </row>
    <row r="68" spans="1:21">
      <c r="A68" s="17"/>
      <c r="B68" s="81"/>
      <c r="C68" s="18"/>
      <c r="D68" s="27" t="s">
        <v>144</v>
      </c>
      <c r="E68" s="87" t="str">
        <f>'BDD trait'!$C$12</f>
        <v>Surfactant</v>
      </c>
      <c r="F68" s="113">
        <f>'BDD trait'!$D$12</f>
        <v>0.26402640264026406</v>
      </c>
      <c r="G68" s="27" t="str">
        <f>'BDD trait'!$E$12</f>
        <v>t/t polluant</v>
      </c>
      <c r="H68" s="98"/>
      <c r="I68" s="18"/>
      <c r="J68" s="101"/>
      <c r="K68" s="18"/>
      <c r="L68" s="98">
        <f>F66*F68*'BDD FE'!$F$19</f>
        <v>0.48792079207920791</v>
      </c>
      <c r="M68" s="101"/>
      <c r="N68" s="98">
        <f>L68+M68</f>
        <v>0.48792079207920791</v>
      </c>
      <c r="O68" s="98">
        <f>F66*F68*'BDD FE'!$F$19</f>
        <v>0.48792079207920791</v>
      </c>
      <c r="P68" s="98"/>
      <c r="Q68" s="98">
        <f>O68+P68</f>
        <v>0.48792079207920791</v>
      </c>
      <c r="R68" s="127"/>
      <c r="S68" s="127"/>
      <c r="T68" s="98"/>
      <c r="U68" s="23"/>
    </row>
    <row r="69" spans="1:21" ht="39.6">
      <c r="A69" s="17"/>
      <c r="B69" s="81"/>
      <c r="C69" s="18"/>
      <c r="D69" s="27" t="s">
        <v>144</v>
      </c>
      <c r="E69" s="87" t="str">
        <f>'BDD trait'!$C$13</f>
        <v>Oxydant</v>
      </c>
      <c r="F69" s="113">
        <f>'BDD trait'!$D$13</f>
        <v>0.33003300330033009</v>
      </c>
      <c r="G69" s="27" t="str">
        <f>'BDD trait'!$E$13</f>
        <v>t/t polluant</v>
      </c>
      <c r="H69" s="98"/>
      <c r="I69" s="18"/>
      <c r="J69" s="101"/>
      <c r="K69" s="18"/>
      <c r="L69" s="98">
        <f>F66*F69*'BDD FE'!$C$16</f>
        <v>2.7887788778877893</v>
      </c>
      <c r="M69" s="101"/>
      <c r="N69" s="98">
        <f>L69+M69</f>
        <v>2.7887788778877893</v>
      </c>
      <c r="O69" s="98">
        <f>F66*F69*'BDD FE'!$F$16</f>
        <v>2.3762376237623766</v>
      </c>
      <c r="P69" s="98"/>
      <c r="Q69" s="98">
        <f>O69+P69</f>
        <v>2.3762376237623766</v>
      </c>
      <c r="R69" s="127"/>
      <c r="S69" s="127"/>
      <c r="T69" s="98"/>
      <c r="U69" s="79" t="s">
        <v>371</v>
      </c>
    </row>
    <row r="70" spans="1:21" ht="26.4">
      <c r="A70" s="17"/>
      <c r="B70" s="81"/>
      <c r="C70" s="18"/>
      <c r="D70" s="50" t="s">
        <v>145</v>
      </c>
      <c r="E70" s="87" t="str">
        <f>'BDD trait'!$C$14</f>
        <v>Concentrat d'ultrafiltration incinéré</v>
      </c>
      <c r="F70" s="31"/>
      <c r="H70" s="113">
        <f>'BDD trait'!$G$14</f>
        <v>12.376237623762377</v>
      </c>
      <c r="I70" s="27" t="str">
        <f>'BDD trait'!$H$14</f>
        <v>m3/t polluant</v>
      </c>
      <c r="J70" s="101"/>
      <c r="K70" s="18"/>
      <c r="L70" s="98">
        <f>F66*H70*'BDD FE'!$C$29</f>
        <v>350.76320132013194</v>
      </c>
      <c r="M70" s="101"/>
      <c r="N70" s="98">
        <f>L70+M70</f>
        <v>350.76320132013194</v>
      </c>
      <c r="O70" s="98">
        <f>F66*H70*'BDD FE'!$F$29</f>
        <v>127.72277227722772</v>
      </c>
      <c r="P70" s="98"/>
      <c r="Q70" s="98">
        <f>O70+P70</f>
        <v>127.72277227722772</v>
      </c>
      <c r="R70" s="129">
        <f>F66*H70*'BDD FE'!$I$29</f>
        <v>1.8564356435643565</v>
      </c>
      <c r="S70" s="129"/>
      <c r="T70" s="98">
        <f>R70+S70</f>
        <v>1.8564356435643565</v>
      </c>
      <c r="U70" s="79" t="s">
        <v>38</v>
      </c>
    </row>
    <row r="71" spans="1:21" ht="27" thickBot="1">
      <c r="A71" s="19"/>
      <c r="B71" s="82"/>
      <c r="C71" s="20"/>
      <c r="D71" s="46" t="s">
        <v>145</v>
      </c>
      <c r="E71" s="88" t="str">
        <f>'BDD trait'!$C$15</f>
        <v>Perméat d'ultrafiltration en STEP</v>
      </c>
      <c r="F71" s="40"/>
      <c r="G71" s="20"/>
      <c r="H71" s="122">
        <f>'BDD trait'!$G$15</f>
        <v>2.3102310231023102</v>
      </c>
      <c r="I71" s="46" t="str">
        <f>'BDD trait'!$H$15</f>
        <v>m3/t polluant</v>
      </c>
      <c r="J71" s="102"/>
      <c r="K71" s="20"/>
      <c r="L71" s="40">
        <f>F66*H71*'BDD FE'!$C$30</f>
        <v>9.4175888177053021E-3</v>
      </c>
      <c r="M71" s="102"/>
      <c r="N71" s="40">
        <f t="shared" ref="N71" si="18">L71+M71</f>
        <v>9.4175888177053021E-3</v>
      </c>
      <c r="O71" s="40">
        <f>F66*H71*'BDD FE'!$F$30</f>
        <v>3.811881188118812E-4</v>
      </c>
      <c r="P71" s="40"/>
      <c r="Q71" s="40">
        <f t="shared" ref="Q71" si="19">O71+P71</f>
        <v>3.811881188118812E-4</v>
      </c>
      <c r="R71" s="130"/>
      <c r="S71" s="130"/>
      <c r="T71" s="40"/>
      <c r="U71" s="78" t="s">
        <v>407</v>
      </c>
    </row>
    <row r="72" spans="1:21" ht="13.8" outlineLevel="1" thickBot="1">
      <c r="A72" s="18"/>
      <c r="B72" s="81"/>
      <c r="C72" s="27"/>
      <c r="D72" s="27"/>
      <c r="E72" s="81"/>
      <c r="F72" s="98"/>
      <c r="G72" s="18"/>
      <c r="H72" s="98"/>
      <c r="I72" s="18"/>
      <c r="J72" s="101"/>
      <c r="K72" s="18"/>
      <c r="L72" s="98"/>
      <c r="M72" s="101"/>
      <c r="N72" s="98"/>
      <c r="O72" s="98"/>
      <c r="P72" s="98"/>
      <c r="Q72" s="98"/>
      <c r="R72" s="98"/>
      <c r="S72" s="98"/>
      <c r="T72" s="98"/>
    </row>
    <row r="73" spans="1:21" ht="52.8">
      <c r="A73" s="15"/>
      <c r="B73" s="80" t="s">
        <v>32</v>
      </c>
      <c r="C73" s="16" t="s">
        <v>33</v>
      </c>
      <c r="D73" s="16"/>
      <c r="E73" s="86"/>
      <c r="F73" s="109"/>
      <c r="G73" s="16"/>
      <c r="H73" s="109"/>
      <c r="I73" s="16"/>
      <c r="J73" s="100"/>
      <c r="K73" s="16"/>
      <c r="L73" s="109"/>
      <c r="M73" s="100"/>
      <c r="N73" s="109"/>
      <c r="O73" s="109"/>
      <c r="P73" s="109"/>
      <c r="Q73" s="109"/>
      <c r="R73" s="126"/>
      <c r="S73" s="126"/>
      <c r="T73" s="109"/>
      <c r="U73" s="22"/>
    </row>
    <row r="74" spans="1:21" outlineLevel="1">
      <c r="A74" s="17"/>
      <c r="B74" s="81"/>
      <c r="C74" s="18"/>
      <c r="D74" s="18"/>
      <c r="E74" s="87" t="s">
        <v>152</v>
      </c>
      <c r="F74" s="110">
        <v>1</v>
      </c>
      <c r="G74" s="18" t="s">
        <v>20</v>
      </c>
      <c r="H74" s="98"/>
      <c r="I74" s="18"/>
      <c r="J74" s="101"/>
      <c r="K74" s="18"/>
      <c r="L74" s="98"/>
      <c r="M74" s="101"/>
      <c r="N74" s="98"/>
      <c r="O74" s="98"/>
      <c r="P74" s="98"/>
      <c r="Q74" s="98"/>
      <c r="R74" s="98"/>
      <c r="S74" s="98"/>
      <c r="T74" s="98"/>
      <c r="U74" s="76">
        <v>8</v>
      </c>
    </row>
    <row r="75" spans="1:21" outlineLevel="1">
      <c r="A75" s="17"/>
      <c r="B75" s="81"/>
      <c r="C75" s="18"/>
      <c r="D75" s="18"/>
      <c r="E75" s="87" t="s">
        <v>153</v>
      </c>
      <c r="F75" s="111">
        <v>3</v>
      </c>
      <c r="G75" s="18" t="s">
        <v>20</v>
      </c>
      <c r="H75" s="98"/>
      <c r="I75" s="18"/>
      <c r="J75" s="101"/>
      <c r="K75" s="18"/>
      <c r="L75" s="98"/>
      <c r="M75" s="101"/>
      <c r="N75" s="98"/>
      <c r="O75" s="98"/>
      <c r="P75" s="98"/>
      <c r="Q75" s="98"/>
      <c r="R75" s="98"/>
      <c r="S75" s="98"/>
      <c r="T75" s="98"/>
      <c r="U75" s="23"/>
    </row>
    <row r="76" spans="1:21">
      <c r="A76" s="17"/>
      <c r="B76" s="81"/>
      <c r="C76" s="18"/>
      <c r="D76" s="27" t="s">
        <v>144</v>
      </c>
      <c r="E76" s="87" t="str">
        <f>'BDD trait'!$C$11</f>
        <v>Electricité pour pompage</v>
      </c>
      <c r="F76" s="113">
        <f>'BDD trait'!$D$11</f>
        <v>2574.2574257425745</v>
      </c>
      <c r="G76" s="27" t="str">
        <f>'BDD trait'!$E$11</f>
        <v>kWh/t polluant</v>
      </c>
      <c r="H76" s="98"/>
      <c r="I76" s="18"/>
      <c r="J76" s="101"/>
      <c r="K76" s="18"/>
      <c r="L76" s="98">
        <f>F452*F76*'BDD FE'!$C$11/1000</f>
        <v>25.94851485148515</v>
      </c>
      <c r="M76" s="101"/>
      <c r="N76" s="98">
        <f>L76+M76</f>
        <v>25.94851485148515</v>
      </c>
      <c r="O76" s="98">
        <f>F75*F76*'BDD FE'!$F$11/1000</f>
        <v>0.78772277227722776</v>
      </c>
      <c r="P76" s="98"/>
      <c r="Q76" s="98">
        <f>O76+P76</f>
        <v>0.78772277227722776</v>
      </c>
      <c r="R76" s="127"/>
      <c r="S76" s="127"/>
      <c r="T76" s="98"/>
      <c r="U76" s="23"/>
    </row>
    <row r="77" spans="1:21">
      <c r="A77" s="17"/>
      <c r="B77" s="81"/>
      <c r="C77" s="18"/>
      <c r="D77" s="27" t="s">
        <v>144</v>
      </c>
      <c r="E77" s="87" t="str">
        <f>'BDD trait'!$C$12</f>
        <v>Surfactant</v>
      </c>
      <c r="F77" s="113">
        <f>'BDD trait'!$D$12</f>
        <v>0.26402640264026406</v>
      </c>
      <c r="G77" s="27" t="str">
        <f>'BDD trait'!$E$12</f>
        <v>t/t polluant</v>
      </c>
      <c r="H77" s="98"/>
      <c r="I77" s="18"/>
      <c r="J77" s="101"/>
      <c r="K77" s="18"/>
      <c r="L77" s="98">
        <f>F452*F77*'BDD FE'!$F$19</f>
        <v>0.65056105610561066</v>
      </c>
      <c r="M77" s="101"/>
      <c r="N77" s="98">
        <f>L77+M77</f>
        <v>0.65056105610561066</v>
      </c>
      <c r="O77" s="98">
        <f>F75*F77*'BDD FE'!$F$19</f>
        <v>0.48792079207920791</v>
      </c>
      <c r="P77" s="98"/>
      <c r="Q77" s="98">
        <f>O77+P77</f>
        <v>0.48792079207920791</v>
      </c>
      <c r="R77" s="127"/>
      <c r="S77" s="127"/>
      <c r="T77" s="98"/>
      <c r="U77" s="23"/>
    </row>
    <row r="78" spans="1:21" ht="39.6">
      <c r="A78" s="17"/>
      <c r="B78" s="81"/>
      <c r="C78" s="18"/>
      <c r="D78" s="27" t="s">
        <v>144</v>
      </c>
      <c r="E78" s="87" t="str">
        <f>'BDD trait'!$C$13</f>
        <v>Oxydant</v>
      </c>
      <c r="F78" s="113">
        <f>'BDD trait'!$D$13</f>
        <v>0.33003300330033009</v>
      </c>
      <c r="G78" s="27" t="str">
        <f>'BDD trait'!$E$13</f>
        <v>t/t polluant</v>
      </c>
      <c r="H78" s="98"/>
      <c r="I78" s="18"/>
      <c r="J78" s="101"/>
      <c r="K78" s="18"/>
      <c r="L78" s="98">
        <f>F452*F78*'BDD FE'!$C$16</f>
        <v>3.7183718371837187</v>
      </c>
      <c r="M78" s="101"/>
      <c r="N78" s="98">
        <f>L78+M78</f>
        <v>3.7183718371837187</v>
      </c>
      <c r="O78" s="98">
        <f>F75*F78*'BDD FE'!$F$16</f>
        <v>2.3762376237623766</v>
      </c>
      <c r="P78" s="98"/>
      <c r="Q78" s="98">
        <f>O78+P78</f>
        <v>2.3762376237623766</v>
      </c>
      <c r="R78" s="127"/>
      <c r="S78" s="127"/>
      <c r="T78" s="98"/>
      <c r="U78" s="79" t="s">
        <v>371</v>
      </c>
    </row>
    <row r="79" spans="1:21" ht="26.4">
      <c r="A79" s="17"/>
      <c r="B79" s="81"/>
      <c r="C79" s="18"/>
      <c r="D79" s="50" t="s">
        <v>145</v>
      </c>
      <c r="E79" s="87" t="str">
        <f>'BDD trait'!$C$14</f>
        <v>Concentrat d'ultrafiltration incinéré</v>
      </c>
      <c r="F79" s="31"/>
      <c r="H79" s="113">
        <f>'BDD trait'!$G$14</f>
        <v>12.376237623762377</v>
      </c>
      <c r="I79" s="27" t="str">
        <f>'BDD trait'!$H$14</f>
        <v>m3/t polluant</v>
      </c>
      <c r="J79" s="101"/>
      <c r="K79" s="18"/>
      <c r="L79" s="98">
        <f>F75*H79*'BDD FE'!$C$29</f>
        <v>350.76320132013194</v>
      </c>
      <c r="M79" s="101"/>
      <c r="N79" s="98">
        <f>L79+M79</f>
        <v>350.76320132013194</v>
      </c>
      <c r="O79" s="98">
        <f>F75*H79*'BDD FE'!$F$29</f>
        <v>127.72277227722772</v>
      </c>
      <c r="P79" s="98"/>
      <c r="Q79" s="98">
        <f>O79+P79</f>
        <v>127.72277227722772</v>
      </c>
      <c r="R79" s="129">
        <f>F75*H79*'BDD FE'!$I$29</f>
        <v>1.8564356435643565</v>
      </c>
      <c r="S79" s="129"/>
      <c r="T79" s="98">
        <f>R79+S79</f>
        <v>1.8564356435643565</v>
      </c>
      <c r="U79" s="79" t="s">
        <v>38</v>
      </c>
    </row>
    <row r="80" spans="1:21" ht="27" thickBot="1">
      <c r="A80" s="19"/>
      <c r="B80" s="82"/>
      <c r="C80" s="20"/>
      <c r="D80" s="46" t="s">
        <v>145</v>
      </c>
      <c r="E80" s="88" t="str">
        <f>'BDD trait'!$C$15</f>
        <v>Perméat d'ultrafiltration en STEP</v>
      </c>
      <c r="F80" s="40"/>
      <c r="G80" s="20"/>
      <c r="H80" s="122">
        <f>'BDD trait'!$G$15</f>
        <v>2.3102310231023102</v>
      </c>
      <c r="I80" s="46" t="str">
        <f>'BDD trait'!$H$15</f>
        <v>m3/t polluant</v>
      </c>
      <c r="J80" s="102"/>
      <c r="K80" s="20"/>
      <c r="L80" s="40">
        <f>F75*H80*'BDD FE'!$C$30</f>
        <v>9.4175888177053021E-3</v>
      </c>
      <c r="M80" s="102"/>
      <c r="N80" s="40">
        <f t="shared" ref="N80" si="20">L80+M80</f>
        <v>9.4175888177053021E-3</v>
      </c>
      <c r="O80" s="40">
        <f>F75*H80*'BDD FE'!$F$30</f>
        <v>3.811881188118812E-4</v>
      </c>
      <c r="P80" s="40"/>
      <c r="Q80" s="40">
        <f t="shared" ref="Q80" si="21">O80+P80</f>
        <v>3.811881188118812E-4</v>
      </c>
      <c r="R80" s="130"/>
      <c r="S80" s="130"/>
      <c r="T80" s="40"/>
      <c r="U80" s="78" t="s">
        <v>407</v>
      </c>
    </row>
    <row r="81" spans="1:21" ht="13.8" thickBot="1">
      <c r="F81" s="31"/>
      <c r="H81" s="31"/>
      <c r="J81" s="103"/>
      <c r="L81" s="31"/>
      <c r="M81" s="103"/>
      <c r="N81" s="31"/>
      <c r="O81" s="31"/>
      <c r="P81" s="31"/>
      <c r="Q81" s="31"/>
      <c r="R81" s="128"/>
      <c r="S81" s="128"/>
      <c r="T81" s="31"/>
    </row>
    <row r="82" spans="1:21">
      <c r="A82" s="15"/>
      <c r="B82" s="83" t="s">
        <v>28</v>
      </c>
      <c r="C82" s="16" t="s">
        <v>35</v>
      </c>
      <c r="D82" s="16"/>
      <c r="E82" s="86"/>
      <c r="F82" s="109"/>
      <c r="G82" s="16"/>
      <c r="H82" s="109"/>
      <c r="I82" s="16"/>
      <c r="J82" s="100"/>
      <c r="K82" s="16"/>
      <c r="L82" s="109"/>
      <c r="M82" s="100"/>
      <c r="N82" s="109"/>
      <c r="O82" s="109"/>
      <c r="P82" s="109"/>
      <c r="Q82" s="109"/>
      <c r="R82" s="126"/>
      <c r="S82" s="126"/>
      <c r="T82" s="109"/>
      <c r="U82" s="22"/>
    </row>
    <row r="83" spans="1:21">
      <c r="A83" s="17"/>
      <c r="B83" s="81"/>
      <c r="C83" s="18"/>
      <c r="D83" s="18"/>
      <c r="E83" s="87" t="s">
        <v>152</v>
      </c>
      <c r="F83" s="110">
        <v>1</v>
      </c>
      <c r="G83" s="18" t="s">
        <v>20</v>
      </c>
      <c r="H83" s="98"/>
      <c r="I83" s="18"/>
      <c r="J83" s="101"/>
      <c r="K83" s="18"/>
      <c r="L83" s="98"/>
      <c r="M83" s="101"/>
      <c r="N83" s="98"/>
      <c r="O83" s="98"/>
      <c r="P83" s="98"/>
      <c r="Q83" s="98"/>
      <c r="R83" s="127"/>
      <c r="S83" s="127"/>
      <c r="T83" s="98"/>
      <c r="U83" s="76">
        <v>8</v>
      </c>
    </row>
    <row r="84" spans="1:21">
      <c r="A84" s="17"/>
      <c r="B84" s="81"/>
      <c r="C84" s="18"/>
      <c r="D84" s="18"/>
      <c r="E84" s="87" t="s">
        <v>153</v>
      </c>
      <c r="F84" s="111">
        <v>3</v>
      </c>
      <c r="G84" s="18" t="s">
        <v>20</v>
      </c>
      <c r="H84" s="98"/>
      <c r="I84" s="18"/>
      <c r="J84" s="101"/>
      <c r="K84" s="18"/>
      <c r="L84" s="98"/>
      <c r="M84" s="101"/>
      <c r="N84" s="98"/>
      <c r="O84" s="98"/>
      <c r="P84" s="98"/>
      <c r="Q84" s="98"/>
      <c r="R84" s="127"/>
      <c r="S84" s="127"/>
      <c r="T84" s="98"/>
      <c r="U84" s="23"/>
    </row>
    <row r="85" spans="1:21">
      <c r="A85" s="17"/>
      <c r="B85" s="81"/>
      <c r="C85" s="18"/>
      <c r="D85" s="27" t="s">
        <v>144</v>
      </c>
      <c r="E85" s="87" t="str">
        <f>'BDD trait'!$C$16</f>
        <v>Electricité</v>
      </c>
      <c r="F85" s="113">
        <f>'BDD trait'!$D$16</f>
        <v>286.56716417910451</v>
      </c>
      <c r="G85" s="27" t="str">
        <f>'BDD trait'!$E$16</f>
        <v>kWh/t polluant</v>
      </c>
      <c r="H85" s="98"/>
      <c r="I85" s="18"/>
      <c r="J85" s="101"/>
      <c r="K85" s="18"/>
      <c r="L85" s="98">
        <f>F84*F85*'BDD FE'!$C$11/1000</f>
        <v>2.1664477611940303</v>
      </c>
      <c r="M85" s="101"/>
      <c r="N85" s="98">
        <f>L85+M85</f>
        <v>2.1664477611940303</v>
      </c>
      <c r="O85" s="98">
        <f>F84*F85*'BDD FE'!$F$11/1000</f>
        <v>8.7689552238805979E-2</v>
      </c>
      <c r="P85" s="98"/>
      <c r="Q85" s="98">
        <f>O85+P85</f>
        <v>8.7689552238805979E-2</v>
      </c>
      <c r="R85" s="127"/>
      <c r="S85" s="127"/>
      <c r="T85" s="98"/>
      <c r="U85" s="23"/>
    </row>
    <row r="86" spans="1:21">
      <c r="A86" s="17"/>
      <c r="B86" s="81"/>
      <c r="C86" s="18"/>
      <c r="D86" s="27" t="s">
        <v>144</v>
      </c>
      <c r="E86" s="87" t="str">
        <f>'BDD trait'!$C$17</f>
        <v>Permanganate de potassium</v>
      </c>
      <c r="F86" s="113">
        <f>'BDD trait'!$D$17</f>
        <v>3.1614654002713705</v>
      </c>
      <c r="G86" s="27" t="str">
        <f>'BDD trait'!$E$17</f>
        <v>t/t hydrocarbure</v>
      </c>
      <c r="H86" s="98"/>
      <c r="I86" s="18"/>
      <c r="J86" s="101"/>
      <c r="K86" s="18"/>
      <c r="L86" s="98">
        <f>F84*F86*'BDD FE'!$C$16</f>
        <v>26.714382632293077</v>
      </c>
      <c r="M86" s="101"/>
      <c r="N86" s="98">
        <f>L86+M86</f>
        <v>26.714382632293077</v>
      </c>
      <c r="O86" s="98">
        <f>F84*F86*'BDD FE'!$F$16</f>
        <v>22.762550881953864</v>
      </c>
      <c r="P86" s="98"/>
      <c r="Q86" s="98">
        <f>O86+P86</f>
        <v>22.762550881953864</v>
      </c>
      <c r="R86" s="127"/>
      <c r="S86" s="127"/>
      <c r="T86" s="98"/>
      <c r="U86" s="23"/>
    </row>
    <row r="87" spans="1:21" ht="13.8" thickBot="1">
      <c r="A87" s="19"/>
      <c r="B87" s="82"/>
      <c r="C87" s="20"/>
      <c r="D87" s="46" t="s">
        <v>144</v>
      </c>
      <c r="E87" s="82" t="str">
        <f>'BDD trait'!$C$18</f>
        <v>Eau</v>
      </c>
      <c r="F87" s="40">
        <f>'BDD trait'!$D$18</f>
        <v>75.983717774762553</v>
      </c>
      <c r="G87" s="20" t="str">
        <f>'BDD trait'!$E$18</f>
        <v>t/t hydrocarbure</v>
      </c>
      <c r="H87" s="40"/>
      <c r="I87" s="20"/>
      <c r="J87" s="102"/>
      <c r="K87" s="20"/>
      <c r="L87" s="40">
        <f>F84*F87*'BDD FE'!$C$10/1000</f>
        <v>1.745837656636603</v>
      </c>
      <c r="M87" s="102"/>
      <c r="N87" s="40">
        <f t="shared" ref="N87" si="22">L87+M87</f>
        <v>1.745837656636603</v>
      </c>
      <c r="O87" s="40">
        <f>F84*F87*'BDD FE'!$F$10/1000</f>
        <v>7.0664857530529174E-2</v>
      </c>
      <c r="P87" s="40"/>
      <c r="Q87" s="40">
        <f t="shared" ref="Q87" si="23">O87+P87</f>
        <v>7.0664857530529174E-2</v>
      </c>
      <c r="R87" s="131"/>
      <c r="S87" s="131"/>
      <c r="T87" s="40"/>
      <c r="U87" s="24"/>
    </row>
    <row r="88" spans="1:21" ht="13.8" thickBot="1">
      <c r="F88" s="31"/>
      <c r="H88" s="31"/>
      <c r="J88" s="103"/>
      <c r="L88" s="31"/>
      <c r="M88" s="103"/>
      <c r="N88" s="31"/>
      <c r="O88" s="31"/>
      <c r="P88" s="31"/>
      <c r="Q88" s="31"/>
      <c r="R88" s="128"/>
      <c r="S88" s="128"/>
      <c r="T88" s="31"/>
    </row>
    <row r="89" spans="1:21" ht="26.4">
      <c r="A89" s="15"/>
      <c r="B89" s="80" t="s">
        <v>29</v>
      </c>
      <c r="C89" s="16" t="s">
        <v>35</v>
      </c>
      <c r="D89" s="16"/>
      <c r="E89" s="86"/>
      <c r="F89" s="109"/>
      <c r="G89" s="16"/>
      <c r="H89" s="109"/>
      <c r="I89" s="16"/>
      <c r="J89" s="100"/>
      <c r="K89" s="16"/>
      <c r="L89" s="109"/>
      <c r="M89" s="100"/>
      <c r="N89" s="109"/>
      <c r="O89" s="109"/>
      <c r="P89" s="109"/>
      <c r="Q89" s="109"/>
      <c r="R89" s="126"/>
      <c r="S89" s="126"/>
      <c r="T89" s="109"/>
      <c r="U89" s="22"/>
    </row>
    <row r="90" spans="1:21">
      <c r="A90" s="17"/>
      <c r="B90" s="81"/>
      <c r="C90" s="18"/>
      <c r="D90" s="18"/>
      <c r="E90" s="87" t="s">
        <v>152</v>
      </c>
      <c r="F90" s="110">
        <v>1</v>
      </c>
      <c r="G90" s="18" t="s">
        <v>20</v>
      </c>
      <c r="H90" s="98"/>
      <c r="I90" s="18"/>
      <c r="J90" s="101"/>
      <c r="K90" s="18"/>
      <c r="L90" s="98"/>
      <c r="M90" s="101"/>
      <c r="N90" s="98"/>
      <c r="O90" s="98"/>
      <c r="P90" s="98"/>
      <c r="Q90" s="98"/>
      <c r="R90" s="127"/>
      <c r="S90" s="127"/>
      <c r="T90" s="98"/>
      <c r="U90" s="76">
        <v>8</v>
      </c>
    </row>
    <row r="91" spans="1:21">
      <c r="A91" s="17"/>
      <c r="B91" s="81"/>
      <c r="C91" s="18"/>
      <c r="D91" s="18"/>
      <c r="E91" s="87" t="s">
        <v>153</v>
      </c>
      <c r="F91" s="111">
        <v>3</v>
      </c>
      <c r="G91" s="18" t="s">
        <v>20</v>
      </c>
      <c r="H91" s="98"/>
      <c r="I91" s="18"/>
      <c r="J91" s="101"/>
      <c r="K91" s="18"/>
      <c r="L91" s="98"/>
      <c r="M91" s="101"/>
      <c r="N91" s="98"/>
      <c r="O91" s="98"/>
      <c r="P91" s="98"/>
      <c r="Q91" s="98"/>
      <c r="R91" s="127"/>
      <c r="S91" s="127"/>
      <c r="T91" s="98"/>
      <c r="U91" s="23"/>
    </row>
    <row r="92" spans="1:21">
      <c r="A92" s="17"/>
      <c r="B92" s="81"/>
      <c r="C92" s="18"/>
      <c r="D92" s="27" t="s">
        <v>144</v>
      </c>
      <c r="E92" s="87" t="str">
        <f>'BDD trait'!$C$16</f>
        <v>Electricité</v>
      </c>
      <c r="F92" s="113">
        <f>'BDD trait'!$D$16</f>
        <v>286.56716417910451</v>
      </c>
      <c r="G92" s="27" t="str">
        <f>'BDD trait'!$E$16</f>
        <v>kWh/t polluant</v>
      </c>
      <c r="H92" s="98"/>
      <c r="I92" s="18"/>
      <c r="J92" s="101"/>
      <c r="K92" s="18"/>
      <c r="L92" s="98">
        <f>F91*F92*'BDD FE'!$C$11/1000</f>
        <v>2.1664477611940303</v>
      </c>
      <c r="M92" s="101"/>
      <c r="N92" s="98">
        <f>L92+M92</f>
        <v>2.1664477611940303</v>
      </c>
      <c r="O92" s="98">
        <f>F91*F92*'BDD FE'!$F$11/1000</f>
        <v>8.7689552238805979E-2</v>
      </c>
      <c r="P92" s="98"/>
      <c r="Q92" s="98">
        <f>O92+P92</f>
        <v>8.7689552238805979E-2</v>
      </c>
      <c r="R92" s="127"/>
      <c r="S92" s="127"/>
      <c r="T92" s="98"/>
      <c r="U92" s="23"/>
    </row>
    <row r="93" spans="1:21">
      <c r="A93" s="17"/>
      <c r="B93" s="81"/>
      <c r="C93" s="18"/>
      <c r="D93" s="27" t="s">
        <v>144</v>
      </c>
      <c r="E93" s="87" t="str">
        <f>'BDD trait'!$C$17</f>
        <v>Permanganate de potassium</v>
      </c>
      <c r="F93" s="113">
        <f>'BDD trait'!$D$17</f>
        <v>3.1614654002713705</v>
      </c>
      <c r="G93" s="27" t="str">
        <f>'BDD trait'!$E$17</f>
        <v>t/t hydrocarbure</v>
      </c>
      <c r="H93" s="98"/>
      <c r="I93" s="18"/>
      <c r="J93" s="101"/>
      <c r="K93" s="18"/>
      <c r="L93" s="98">
        <f>F91*F93*'BDD FE'!$C$16</f>
        <v>26.714382632293077</v>
      </c>
      <c r="M93" s="101"/>
      <c r="N93" s="98">
        <f>L93+M93</f>
        <v>26.714382632293077</v>
      </c>
      <c r="O93" s="98">
        <f>F91*F93*'BDD FE'!$F$16</f>
        <v>22.762550881953864</v>
      </c>
      <c r="P93" s="98"/>
      <c r="Q93" s="98">
        <f>O93+P93</f>
        <v>22.762550881953864</v>
      </c>
      <c r="R93" s="127"/>
      <c r="S93" s="127"/>
      <c r="T93" s="98"/>
      <c r="U93" s="23"/>
    </row>
    <row r="94" spans="1:21" ht="13.8" thickBot="1">
      <c r="A94" s="19"/>
      <c r="B94" s="82"/>
      <c r="C94" s="20"/>
      <c r="D94" s="46" t="s">
        <v>144</v>
      </c>
      <c r="E94" s="82" t="str">
        <f>'BDD trait'!$C$18</f>
        <v>Eau</v>
      </c>
      <c r="F94" s="40">
        <f>'BDD trait'!$D$18</f>
        <v>75.983717774762553</v>
      </c>
      <c r="G94" s="20" t="str">
        <f>'BDD trait'!$E$18</f>
        <v>t/t hydrocarbure</v>
      </c>
      <c r="H94" s="40"/>
      <c r="I94" s="20"/>
      <c r="J94" s="102"/>
      <c r="K94" s="20"/>
      <c r="L94" s="40">
        <f>F91*F94*'BDD FE'!$C$10/1000</f>
        <v>1.745837656636603</v>
      </c>
      <c r="M94" s="102"/>
      <c r="N94" s="40">
        <f t="shared" ref="N94" si="24">L94+M94</f>
        <v>1.745837656636603</v>
      </c>
      <c r="O94" s="40">
        <f>F91*F94*'BDD FE'!$F$10/1000</f>
        <v>7.0664857530529174E-2</v>
      </c>
      <c r="P94" s="40"/>
      <c r="Q94" s="40">
        <f t="shared" ref="Q94" si="25">O94+P94</f>
        <v>7.0664857530529174E-2</v>
      </c>
      <c r="R94" s="131"/>
      <c r="S94" s="131"/>
      <c r="T94" s="40"/>
      <c r="U94" s="24"/>
    </row>
    <row r="95" spans="1:21" ht="13.8" thickBot="1">
      <c r="F95" s="31"/>
      <c r="H95" s="31"/>
      <c r="J95" s="103"/>
      <c r="L95" s="31"/>
      <c r="M95" s="103"/>
      <c r="N95" s="31"/>
      <c r="O95" s="31"/>
      <c r="P95" s="31"/>
      <c r="Q95" s="31"/>
      <c r="R95" s="128"/>
      <c r="S95" s="128"/>
      <c r="T95" s="31"/>
    </row>
    <row r="96" spans="1:21" ht="52.8">
      <c r="A96" s="15"/>
      <c r="B96" s="80" t="s">
        <v>32</v>
      </c>
      <c r="C96" s="16" t="s">
        <v>35</v>
      </c>
      <c r="D96" s="16"/>
      <c r="E96" s="86"/>
      <c r="F96" s="109"/>
      <c r="G96" s="16"/>
      <c r="H96" s="109"/>
      <c r="I96" s="16"/>
      <c r="J96" s="100"/>
      <c r="K96" s="16"/>
      <c r="L96" s="109"/>
      <c r="M96" s="100"/>
      <c r="N96" s="109"/>
      <c r="O96" s="109"/>
      <c r="P96" s="109"/>
      <c r="Q96" s="109"/>
      <c r="R96" s="126"/>
      <c r="S96" s="126"/>
      <c r="T96" s="109"/>
      <c r="U96" s="22"/>
    </row>
    <row r="97" spans="1:21">
      <c r="A97" s="17"/>
      <c r="B97" s="81"/>
      <c r="C97" s="18"/>
      <c r="D97" s="18"/>
      <c r="E97" s="87" t="s">
        <v>152</v>
      </c>
      <c r="F97" s="110">
        <v>1</v>
      </c>
      <c r="G97" s="18" t="s">
        <v>20</v>
      </c>
      <c r="H97" s="98"/>
      <c r="I97" s="18"/>
      <c r="J97" s="101"/>
      <c r="K97" s="18"/>
      <c r="L97" s="98"/>
      <c r="M97" s="101"/>
      <c r="N97" s="98"/>
      <c r="O97" s="98"/>
      <c r="P97" s="98"/>
      <c r="Q97" s="98"/>
      <c r="R97" s="127"/>
      <c r="S97" s="127"/>
      <c r="T97" s="98"/>
      <c r="U97" s="76">
        <v>8</v>
      </c>
    </row>
    <row r="98" spans="1:21">
      <c r="A98" s="17"/>
      <c r="B98" s="81"/>
      <c r="C98" s="18"/>
      <c r="D98" s="18"/>
      <c r="E98" s="87" t="s">
        <v>153</v>
      </c>
      <c r="F98" s="111">
        <v>3</v>
      </c>
      <c r="G98" s="18" t="s">
        <v>20</v>
      </c>
      <c r="H98" s="98"/>
      <c r="I98" s="18"/>
      <c r="J98" s="101"/>
      <c r="K98" s="18"/>
      <c r="L98" s="98"/>
      <c r="M98" s="101"/>
      <c r="N98" s="98"/>
      <c r="O98" s="98"/>
      <c r="P98" s="98"/>
      <c r="Q98" s="98"/>
      <c r="R98" s="127"/>
      <c r="S98" s="127"/>
      <c r="T98" s="98"/>
      <c r="U98" s="23"/>
    </row>
    <row r="99" spans="1:21">
      <c r="A99" s="17"/>
      <c r="B99" s="81"/>
      <c r="C99" s="18"/>
      <c r="D99" s="27" t="s">
        <v>144</v>
      </c>
      <c r="E99" s="87" t="str">
        <f>'BDD trait'!$C$16</f>
        <v>Electricité</v>
      </c>
      <c r="F99" s="113">
        <f>'BDD trait'!$D$16</f>
        <v>286.56716417910451</v>
      </c>
      <c r="G99" s="27" t="str">
        <f>'BDD trait'!$E$16</f>
        <v>kWh/t polluant</v>
      </c>
      <c r="H99" s="98"/>
      <c r="I99" s="18"/>
      <c r="J99" s="101"/>
      <c r="K99" s="18"/>
      <c r="L99" s="98">
        <f>F98*F99*'BDD FE'!$C$11/1000</f>
        <v>2.1664477611940303</v>
      </c>
      <c r="M99" s="101"/>
      <c r="N99" s="98">
        <f>L99+M99</f>
        <v>2.1664477611940303</v>
      </c>
      <c r="O99" s="98">
        <f>F98*F99*'BDD FE'!$F$11/1000</f>
        <v>8.7689552238805979E-2</v>
      </c>
      <c r="P99" s="98"/>
      <c r="Q99" s="98">
        <f>O99+P99</f>
        <v>8.7689552238805979E-2</v>
      </c>
      <c r="R99" s="127"/>
      <c r="S99" s="127"/>
      <c r="T99" s="98"/>
      <c r="U99" s="23"/>
    </row>
    <row r="100" spans="1:21">
      <c r="A100" s="17"/>
      <c r="B100" s="81"/>
      <c r="C100" s="18"/>
      <c r="D100" s="27" t="s">
        <v>144</v>
      </c>
      <c r="E100" s="87" t="str">
        <f>'BDD trait'!$C$17</f>
        <v>Permanganate de potassium</v>
      </c>
      <c r="F100" s="113">
        <f>'BDD trait'!$D$17</f>
        <v>3.1614654002713705</v>
      </c>
      <c r="G100" s="27" t="str">
        <f>'BDD trait'!$E$17</f>
        <v>t/t hydrocarbure</v>
      </c>
      <c r="H100" s="98"/>
      <c r="I100" s="18"/>
      <c r="J100" s="101"/>
      <c r="K100" s="18"/>
      <c r="L100" s="98">
        <f>F98*F100*'BDD FE'!$C$16</f>
        <v>26.714382632293077</v>
      </c>
      <c r="M100" s="101"/>
      <c r="N100" s="98">
        <f>L100+M100</f>
        <v>26.714382632293077</v>
      </c>
      <c r="O100" s="98">
        <f>F98*F100*'BDD FE'!$F$16</f>
        <v>22.762550881953864</v>
      </c>
      <c r="P100" s="98"/>
      <c r="Q100" s="98">
        <f>O100+P100</f>
        <v>22.762550881953864</v>
      </c>
      <c r="R100" s="127"/>
      <c r="S100" s="127"/>
      <c r="T100" s="98"/>
      <c r="U100" s="23"/>
    </row>
    <row r="101" spans="1:21" ht="13.8" thickBot="1">
      <c r="A101" s="19"/>
      <c r="B101" s="82"/>
      <c r="C101" s="20"/>
      <c r="D101" s="46" t="s">
        <v>144</v>
      </c>
      <c r="E101" s="82" t="str">
        <f>'BDD trait'!$C$18</f>
        <v>Eau</v>
      </c>
      <c r="F101" s="40">
        <f>'BDD trait'!$D$18</f>
        <v>75.983717774762553</v>
      </c>
      <c r="G101" s="20" t="str">
        <f>'BDD trait'!$E$18</f>
        <v>t/t hydrocarbure</v>
      </c>
      <c r="H101" s="40"/>
      <c r="I101" s="20"/>
      <c r="J101" s="102"/>
      <c r="K101" s="20"/>
      <c r="L101" s="40">
        <f>F98*F101*'BDD FE'!$C$10/1000</f>
        <v>1.745837656636603</v>
      </c>
      <c r="M101" s="102"/>
      <c r="N101" s="40">
        <f t="shared" ref="N101" si="26">L101+M101</f>
        <v>1.745837656636603</v>
      </c>
      <c r="O101" s="40">
        <f>F98*F101*'BDD FE'!$F$10/1000</f>
        <v>7.0664857530529174E-2</v>
      </c>
      <c r="P101" s="40"/>
      <c r="Q101" s="40">
        <f t="shared" ref="Q101" si="27">O101+P101</f>
        <v>7.0664857530529174E-2</v>
      </c>
      <c r="R101" s="131"/>
      <c r="S101" s="131"/>
      <c r="T101" s="40"/>
      <c r="U101" s="24"/>
    </row>
    <row r="102" spans="1:21" ht="13.8" thickBot="1">
      <c r="F102" s="31"/>
      <c r="H102" s="31"/>
      <c r="J102" s="103"/>
      <c r="L102" s="31"/>
      <c r="M102" s="103"/>
      <c r="N102" s="31"/>
      <c r="O102" s="31"/>
      <c r="P102" s="31"/>
      <c r="Q102" s="31"/>
      <c r="R102" s="128"/>
      <c r="S102" s="128"/>
      <c r="T102" s="31"/>
    </row>
    <row r="103" spans="1:21">
      <c r="A103" s="15"/>
      <c r="B103" s="83" t="s">
        <v>28</v>
      </c>
      <c r="C103" s="16" t="s">
        <v>40</v>
      </c>
      <c r="D103" s="16"/>
      <c r="E103" s="86"/>
      <c r="F103" s="109"/>
      <c r="G103" s="16"/>
      <c r="H103" s="109"/>
      <c r="I103" s="16"/>
      <c r="J103" s="100"/>
      <c r="K103" s="16"/>
      <c r="L103" s="109"/>
      <c r="M103" s="100"/>
      <c r="N103" s="109"/>
      <c r="O103" s="109"/>
      <c r="P103" s="109"/>
      <c r="Q103" s="109"/>
      <c r="R103" s="126"/>
      <c r="S103" s="126"/>
      <c r="T103" s="109"/>
      <c r="U103" s="22"/>
    </row>
    <row r="104" spans="1:21">
      <c r="A104" s="17"/>
      <c r="B104" s="81"/>
      <c r="C104" s="18"/>
      <c r="D104" s="18"/>
      <c r="E104" s="87" t="s">
        <v>152</v>
      </c>
      <c r="F104" s="110">
        <v>1</v>
      </c>
      <c r="G104" s="18" t="s">
        <v>20</v>
      </c>
      <c r="H104" s="98"/>
      <c r="I104" s="18"/>
      <c r="J104" s="101"/>
      <c r="K104" s="18"/>
      <c r="L104" s="98"/>
      <c r="M104" s="101"/>
      <c r="N104" s="98"/>
      <c r="O104" s="98"/>
      <c r="P104" s="98"/>
      <c r="Q104" s="98"/>
      <c r="R104" s="127"/>
      <c r="S104" s="127"/>
      <c r="T104" s="98"/>
      <c r="U104" s="76">
        <v>8</v>
      </c>
    </row>
    <row r="105" spans="1:21">
      <c r="A105" s="17"/>
      <c r="B105" s="81"/>
      <c r="C105" s="18"/>
      <c r="D105" s="18"/>
      <c r="E105" s="87" t="s">
        <v>153</v>
      </c>
      <c r="F105" s="111">
        <v>3</v>
      </c>
      <c r="G105" s="18" t="s">
        <v>20</v>
      </c>
      <c r="H105" s="98"/>
      <c r="I105" s="18"/>
      <c r="J105" s="101"/>
      <c r="K105" s="18"/>
      <c r="L105" s="98"/>
      <c r="M105" s="101"/>
      <c r="N105" s="98"/>
      <c r="O105" s="98"/>
      <c r="P105" s="98"/>
      <c r="Q105" s="98"/>
      <c r="R105" s="127"/>
      <c r="S105" s="127"/>
      <c r="T105" s="98"/>
      <c r="U105" s="23"/>
    </row>
    <row r="106" spans="1:21">
      <c r="A106" s="17"/>
      <c r="B106" s="81"/>
      <c r="C106" s="18"/>
      <c r="D106" s="18"/>
      <c r="E106" s="87" t="s">
        <v>256</v>
      </c>
      <c r="F106" s="114">
        <v>5</v>
      </c>
      <c r="G106" s="18" t="s">
        <v>232</v>
      </c>
      <c r="H106" s="98"/>
      <c r="I106" s="18"/>
      <c r="J106" s="101"/>
      <c r="K106" s="18"/>
      <c r="L106" s="98"/>
      <c r="M106" s="101"/>
      <c r="N106" s="98"/>
      <c r="O106" s="98"/>
      <c r="P106" s="98"/>
      <c r="Q106" s="98"/>
      <c r="R106" s="127"/>
      <c r="S106" s="127"/>
      <c r="T106" s="98"/>
      <c r="U106" s="23"/>
    </row>
    <row r="107" spans="1:21" ht="26.4">
      <c r="A107" s="17"/>
      <c r="B107" s="81"/>
      <c r="C107" s="18"/>
      <c r="D107" s="27" t="s">
        <v>144</v>
      </c>
      <c r="E107" s="89" t="str">
        <f>'BDD trait'!$C$19</f>
        <v>Electricité pour chauffage du sol</v>
      </c>
      <c r="F107" s="115">
        <f>'BDD trait'!$D$19</f>
        <v>2550</v>
      </c>
      <c r="G107" s="50" t="str">
        <f>'BDD trait'!$E$19</f>
        <v>kWh/m2</v>
      </c>
      <c r="H107" s="98"/>
      <c r="I107" s="18"/>
      <c r="J107" s="101"/>
      <c r="K107" s="18"/>
      <c r="L107" s="98">
        <f>F107*F106*'BDD FE'!$C$11</f>
        <v>32130</v>
      </c>
      <c r="M107" s="101"/>
      <c r="N107" s="98">
        <f>L107+M107</f>
        <v>32130</v>
      </c>
      <c r="O107" s="98">
        <f>F107*F106*'BDD FE'!$F$11/1000</f>
        <v>1.3005</v>
      </c>
      <c r="P107" s="98"/>
      <c r="Q107" s="98">
        <f>O107+P107</f>
        <v>1.3005</v>
      </c>
      <c r="R107" s="127"/>
      <c r="S107" s="127"/>
      <c r="T107" s="98"/>
      <c r="U107" s="23"/>
    </row>
    <row r="108" spans="1:21">
      <c r="A108" s="17"/>
      <c r="B108" s="81"/>
      <c r="C108" s="18"/>
      <c r="D108" s="27" t="s">
        <v>144</v>
      </c>
      <c r="E108" s="89" t="str">
        <f>'BDD trait'!$C$20</f>
        <v>Electricité pour utilités</v>
      </c>
      <c r="F108" s="115">
        <f>'BDD trait'!$D$20</f>
        <v>0.56399999999999995</v>
      </c>
      <c r="G108" s="50" t="str">
        <f>'BDD trait'!$E$20</f>
        <v>kWh/m2</v>
      </c>
      <c r="H108" s="98"/>
      <c r="I108" s="18"/>
      <c r="J108" s="101"/>
      <c r="K108" s="18"/>
      <c r="L108" s="98">
        <f>F108*F106*'BDD FE'!$C$11</f>
        <v>7.1063999999999998</v>
      </c>
      <c r="M108" s="101"/>
      <c r="N108" s="98">
        <f>L108+M108</f>
        <v>7.1063999999999998</v>
      </c>
      <c r="O108" s="98">
        <f>F106*F108*'BDD FE'!$F$11/1000</f>
        <v>2.8763999999999998E-4</v>
      </c>
      <c r="P108" s="98"/>
      <c r="Q108" s="98">
        <f>O108+P108</f>
        <v>2.8763999999999998E-4</v>
      </c>
      <c r="R108" s="127"/>
      <c r="S108" s="127"/>
      <c r="T108" s="98"/>
      <c r="U108" s="23"/>
    </row>
    <row r="109" spans="1:21">
      <c r="A109" s="17"/>
      <c r="B109" s="81"/>
      <c r="C109" s="18"/>
      <c r="D109" s="27" t="s">
        <v>144</v>
      </c>
      <c r="E109" s="89" t="str">
        <f>'BDD trait'!$C$21</f>
        <v>Charbon actif</v>
      </c>
      <c r="F109" s="115">
        <f>'BDD trait'!$G$21</f>
        <v>10</v>
      </c>
      <c r="G109" s="50" t="str">
        <f>'BDD trait'!$H$21</f>
        <v>t/t hydrocarbures</v>
      </c>
      <c r="H109" s="98"/>
      <c r="I109" s="18"/>
      <c r="J109" s="101"/>
      <c r="K109" s="18"/>
      <c r="L109" s="98">
        <f>F105*F109*'BDD FE'!$C$7</f>
        <v>587.5</v>
      </c>
      <c r="M109" s="101"/>
      <c r="N109" s="98">
        <f>L109+M109</f>
        <v>587.5</v>
      </c>
      <c r="O109" s="98">
        <f>F109*F105*'BDD FE'!$F$7</f>
        <v>52.769999999999996</v>
      </c>
      <c r="P109" s="98"/>
      <c r="Q109" s="98">
        <f>O109+P109</f>
        <v>52.769999999999996</v>
      </c>
      <c r="R109" s="127"/>
      <c r="S109" s="127"/>
      <c r="T109" s="98"/>
      <c r="U109" s="23"/>
    </row>
    <row r="110" spans="1:21" ht="27" thickBot="1">
      <c r="A110" s="19"/>
      <c r="B110" s="82"/>
      <c r="C110" s="20"/>
      <c r="D110" s="46" t="s">
        <v>145</v>
      </c>
      <c r="E110" s="82" t="str">
        <f>E109</f>
        <v>Charbon actif</v>
      </c>
      <c r="F110" s="40"/>
      <c r="G110" s="20"/>
      <c r="H110" s="40">
        <f>'Desorption therm'!$C$24</f>
        <v>10</v>
      </c>
      <c r="I110" s="20" t="str">
        <f>'Desorption therm'!$B$24</f>
        <v>t/t hydrocarbures</v>
      </c>
      <c r="J110" s="102"/>
      <c r="K110" s="20"/>
      <c r="L110" s="40">
        <f>F105*H110*'BDD FE'!$C$26</f>
        <v>0.26399999999999996</v>
      </c>
      <c r="M110" s="102"/>
      <c r="N110" s="40">
        <f t="shared" ref="N110" si="28">L110+M110</f>
        <v>0.26399999999999996</v>
      </c>
      <c r="O110" s="40">
        <f>F105*H110*'BDD FE'!$F$26</f>
        <v>5.0700000000000002E-2</v>
      </c>
      <c r="P110" s="40"/>
      <c r="Q110" s="40">
        <f t="shared" ref="Q110" si="29">O110+P110</f>
        <v>5.0700000000000002E-2</v>
      </c>
      <c r="R110" s="40">
        <f>F105*H110*'BDD FE'!$I$26</f>
        <v>9</v>
      </c>
      <c r="S110" s="40"/>
      <c r="T110" s="40">
        <f>R110+S110</f>
        <v>9</v>
      </c>
      <c r="U110" s="78" t="s">
        <v>19</v>
      </c>
    </row>
    <row r="111" spans="1:21" ht="13.8" thickBot="1">
      <c r="F111" s="31"/>
      <c r="H111" s="31"/>
      <c r="J111" s="103"/>
      <c r="L111" s="31"/>
      <c r="M111" s="103"/>
      <c r="N111" s="31"/>
      <c r="O111" s="31"/>
      <c r="P111" s="31"/>
      <c r="Q111" s="31"/>
      <c r="R111" s="128"/>
      <c r="S111" s="128"/>
      <c r="T111" s="31"/>
    </row>
    <row r="112" spans="1:21" ht="26.4">
      <c r="A112" s="15"/>
      <c r="B112" s="80" t="s">
        <v>29</v>
      </c>
      <c r="C112" s="16" t="s">
        <v>40</v>
      </c>
      <c r="D112" s="16"/>
      <c r="E112" s="86"/>
      <c r="F112" s="109"/>
      <c r="G112" s="16"/>
      <c r="H112" s="109"/>
      <c r="I112" s="16"/>
      <c r="J112" s="100"/>
      <c r="K112" s="16"/>
      <c r="L112" s="109"/>
      <c r="M112" s="100"/>
      <c r="N112" s="109"/>
      <c r="O112" s="109"/>
      <c r="P112" s="109"/>
      <c r="Q112" s="109"/>
      <c r="R112" s="126"/>
      <c r="S112" s="126"/>
      <c r="T112" s="109"/>
      <c r="U112" s="22"/>
    </row>
    <row r="113" spans="1:21">
      <c r="A113" s="17"/>
      <c r="B113" s="81"/>
      <c r="C113" s="18"/>
      <c r="D113" s="18"/>
      <c r="E113" s="87" t="s">
        <v>152</v>
      </c>
      <c r="F113" s="110">
        <v>1</v>
      </c>
      <c r="G113" s="18" t="s">
        <v>20</v>
      </c>
      <c r="H113" s="98"/>
      <c r="I113" s="18"/>
      <c r="J113" s="101"/>
      <c r="K113" s="18"/>
      <c r="L113" s="98"/>
      <c r="M113" s="101"/>
      <c r="N113" s="98"/>
      <c r="O113" s="98"/>
      <c r="P113" s="98"/>
      <c r="Q113" s="98"/>
      <c r="R113" s="127"/>
      <c r="S113" s="127"/>
      <c r="T113" s="98"/>
      <c r="U113" s="76">
        <v>8</v>
      </c>
    </row>
    <row r="114" spans="1:21">
      <c r="A114" s="17"/>
      <c r="B114" s="81"/>
      <c r="C114" s="18"/>
      <c r="D114" s="18"/>
      <c r="E114" s="87" t="s">
        <v>153</v>
      </c>
      <c r="F114" s="111">
        <v>3</v>
      </c>
      <c r="G114" s="18" t="s">
        <v>20</v>
      </c>
      <c r="H114" s="98"/>
      <c r="I114" s="18"/>
      <c r="J114" s="101"/>
      <c r="K114" s="18"/>
      <c r="L114" s="98"/>
      <c r="M114" s="101"/>
      <c r="N114" s="98"/>
      <c r="O114" s="98"/>
      <c r="P114" s="98"/>
      <c r="Q114" s="98"/>
      <c r="R114" s="127"/>
      <c r="S114" s="127"/>
      <c r="T114" s="98"/>
      <c r="U114" s="23"/>
    </row>
    <row r="115" spans="1:21">
      <c r="A115" s="17"/>
      <c r="B115" s="81"/>
      <c r="C115" s="18"/>
      <c r="D115" s="18"/>
      <c r="E115" s="87" t="s">
        <v>256</v>
      </c>
      <c r="F115" s="114">
        <v>5</v>
      </c>
      <c r="G115" s="18" t="s">
        <v>232</v>
      </c>
      <c r="H115" s="98"/>
      <c r="I115" s="18"/>
      <c r="J115" s="101"/>
      <c r="K115" s="18"/>
      <c r="L115" s="98"/>
      <c r="M115" s="101"/>
      <c r="N115" s="98"/>
      <c r="O115" s="98"/>
      <c r="P115" s="98"/>
      <c r="Q115" s="98"/>
      <c r="R115" s="127"/>
      <c r="S115" s="127"/>
      <c r="T115" s="98"/>
      <c r="U115" s="23"/>
    </row>
    <row r="116" spans="1:21" ht="26.4">
      <c r="A116" s="17"/>
      <c r="B116" s="81"/>
      <c r="C116" s="18"/>
      <c r="D116" s="27" t="s">
        <v>144</v>
      </c>
      <c r="E116" s="89" t="str">
        <f>'BDD trait'!$C$19</f>
        <v>Electricité pour chauffage du sol</v>
      </c>
      <c r="F116" s="115">
        <f>'BDD trait'!$D$19</f>
        <v>2550</v>
      </c>
      <c r="G116" s="50" t="str">
        <f>'BDD trait'!$E$19</f>
        <v>kWh/m2</v>
      </c>
      <c r="H116" s="98"/>
      <c r="I116" s="18"/>
      <c r="J116" s="101"/>
      <c r="K116" s="18"/>
      <c r="L116" s="98">
        <f>F116*F115*'BDD FE'!$C$11</f>
        <v>32130</v>
      </c>
      <c r="M116" s="101"/>
      <c r="N116" s="98">
        <f>L116+M116</f>
        <v>32130</v>
      </c>
      <c r="O116" s="98">
        <f>F116*F115*'BDD FE'!$F$11/1000</f>
        <v>1.3005</v>
      </c>
      <c r="P116" s="98"/>
      <c r="Q116" s="98">
        <f>O116+P116</f>
        <v>1.3005</v>
      </c>
      <c r="R116" s="127"/>
      <c r="S116" s="127"/>
      <c r="T116" s="98"/>
      <c r="U116" s="23"/>
    </row>
    <row r="117" spans="1:21">
      <c r="A117" s="17"/>
      <c r="B117" s="81"/>
      <c r="C117" s="18"/>
      <c r="D117" s="27" t="s">
        <v>144</v>
      </c>
      <c r="E117" s="89" t="str">
        <f>'BDD trait'!$C$20</f>
        <v>Electricité pour utilités</v>
      </c>
      <c r="F117" s="115">
        <f>'BDD trait'!$D$20</f>
        <v>0.56399999999999995</v>
      </c>
      <c r="G117" s="50" t="str">
        <f>'BDD trait'!$E$20</f>
        <v>kWh/m2</v>
      </c>
      <c r="H117" s="98"/>
      <c r="I117" s="18"/>
      <c r="J117" s="101"/>
      <c r="K117" s="18"/>
      <c r="L117" s="98">
        <f>F117*F115*'BDD FE'!$C$11</f>
        <v>7.1063999999999998</v>
      </c>
      <c r="M117" s="101"/>
      <c r="N117" s="98">
        <f>L117+M117</f>
        <v>7.1063999999999998</v>
      </c>
      <c r="O117" s="98">
        <f>F115*F117*'BDD FE'!$F$11/1000</f>
        <v>2.8763999999999998E-4</v>
      </c>
      <c r="P117" s="98"/>
      <c r="Q117" s="98">
        <f>O117+P117</f>
        <v>2.8763999999999998E-4</v>
      </c>
      <c r="R117" s="127"/>
      <c r="S117" s="127"/>
      <c r="T117" s="98"/>
      <c r="U117" s="23"/>
    </row>
    <row r="118" spans="1:21">
      <c r="A118" s="17"/>
      <c r="B118" s="81"/>
      <c r="C118" s="18"/>
      <c r="D118" s="27" t="s">
        <v>144</v>
      </c>
      <c r="E118" s="89" t="str">
        <f>'BDD trait'!$C$21</f>
        <v>Charbon actif</v>
      </c>
      <c r="F118" s="115">
        <f>'BDD trait'!$G$21</f>
        <v>10</v>
      </c>
      <c r="G118" s="50" t="str">
        <f>'BDD trait'!$H$21</f>
        <v>t/t hydrocarbures</v>
      </c>
      <c r="H118" s="98"/>
      <c r="I118" s="18"/>
      <c r="J118" s="101"/>
      <c r="K118" s="18"/>
      <c r="L118" s="98">
        <f>F114*F118*'BDD FE'!$C$7</f>
        <v>587.5</v>
      </c>
      <c r="M118" s="101"/>
      <c r="N118" s="98">
        <f>L118+M118</f>
        <v>587.5</v>
      </c>
      <c r="O118" s="98">
        <f>F118*F114*'BDD FE'!$F$7</f>
        <v>52.769999999999996</v>
      </c>
      <c r="P118" s="98"/>
      <c r="Q118" s="98">
        <f>O118+P118</f>
        <v>52.769999999999996</v>
      </c>
      <c r="R118" s="127"/>
      <c r="S118" s="127"/>
      <c r="T118" s="98"/>
      <c r="U118" s="23"/>
    </row>
    <row r="119" spans="1:21" ht="27" thickBot="1">
      <c r="A119" s="19"/>
      <c r="B119" s="82"/>
      <c r="C119" s="20"/>
      <c r="D119" s="46" t="s">
        <v>145</v>
      </c>
      <c r="E119" s="82" t="str">
        <f>E118</f>
        <v>Charbon actif</v>
      </c>
      <c r="F119" s="40"/>
      <c r="G119" s="20"/>
      <c r="H119" s="40">
        <f>'Desorption therm'!$C$24</f>
        <v>10</v>
      </c>
      <c r="I119" s="20" t="str">
        <f>'Desorption therm'!$B$24</f>
        <v>t/t hydrocarbures</v>
      </c>
      <c r="J119" s="102"/>
      <c r="K119" s="20"/>
      <c r="L119" s="40">
        <f>F114*H119*'BDD FE'!$C$26</f>
        <v>0.26399999999999996</v>
      </c>
      <c r="M119" s="102"/>
      <c r="N119" s="40">
        <f t="shared" ref="N119" si="30">L119+M119</f>
        <v>0.26399999999999996</v>
      </c>
      <c r="O119" s="40">
        <f>F114*H119*'BDD FE'!$F$26</f>
        <v>5.0700000000000002E-2</v>
      </c>
      <c r="P119" s="40"/>
      <c r="Q119" s="40">
        <f t="shared" ref="Q119" si="31">O119+P119</f>
        <v>5.0700000000000002E-2</v>
      </c>
      <c r="R119" s="40">
        <f>F114*H119*'BDD FE'!$I$26</f>
        <v>9</v>
      </c>
      <c r="S119" s="40"/>
      <c r="T119" s="40">
        <f>R119+S119</f>
        <v>9</v>
      </c>
      <c r="U119" s="78" t="s">
        <v>19</v>
      </c>
    </row>
    <row r="120" spans="1:21" ht="13.8" thickBot="1">
      <c r="F120" s="31"/>
      <c r="H120" s="31"/>
      <c r="J120" s="103"/>
      <c r="L120" s="31"/>
      <c r="M120" s="103"/>
      <c r="N120" s="31"/>
      <c r="O120" s="31"/>
      <c r="P120" s="31"/>
      <c r="Q120" s="31"/>
      <c r="R120" s="128"/>
      <c r="S120" s="128"/>
      <c r="T120" s="31"/>
    </row>
    <row r="121" spans="1:21" ht="52.8">
      <c r="A121" s="15"/>
      <c r="B121" s="80" t="s">
        <v>32</v>
      </c>
      <c r="C121" s="16" t="s">
        <v>40</v>
      </c>
      <c r="D121" s="16"/>
      <c r="E121" s="86"/>
      <c r="F121" s="109"/>
      <c r="G121" s="16"/>
      <c r="H121" s="109"/>
      <c r="I121" s="16"/>
      <c r="J121" s="100"/>
      <c r="K121" s="16"/>
      <c r="L121" s="109"/>
      <c r="M121" s="100"/>
      <c r="N121" s="109"/>
      <c r="O121" s="109"/>
      <c r="P121" s="109"/>
      <c r="Q121" s="109"/>
      <c r="R121" s="126"/>
      <c r="S121" s="126"/>
      <c r="T121" s="109"/>
      <c r="U121" s="22"/>
    </row>
    <row r="122" spans="1:21">
      <c r="A122" s="17"/>
      <c r="B122" s="81"/>
      <c r="C122" s="18"/>
      <c r="D122" s="18"/>
      <c r="E122" s="87" t="s">
        <v>152</v>
      </c>
      <c r="F122" s="110">
        <v>1</v>
      </c>
      <c r="G122" s="18" t="s">
        <v>20</v>
      </c>
      <c r="H122" s="98"/>
      <c r="I122" s="18"/>
      <c r="J122" s="101"/>
      <c r="K122" s="18"/>
      <c r="L122" s="98"/>
      <c r="M122" s="101"/>
      <c r="N122" s="98"/>
      <c r="O122" s="98"/>
      <c r="P122" s="98"/>
      <c r="Q122" s="98"/>
      <c r="R122" s="127"/>
      <c r="S122" s="127"/>
      <c r="T122" s="98"/>
      <c r="U122" s="76">
        <v>8</v>
      </c>
    </row>
    <row r="123" spans="1:21">
      <c r="A123" s="17"/>
      <c r="B123" s="81"/>
      <c r="C123" s="18"/>
      <c r="D123" s="18"/>
      <c r="E123" s="87" t="s">
        <v>153</v>
      </c>
      <c r="F123" s="111">
        <v>3</v>
      </c>
      <c r="G123" s="18" t="s">
        <v>20</v>
      </c>
      <c r="H123" s="98"/>
      <c r="I123" s="18"/>
      <c r="J123" s="101"/>
      <c r="K123" s="18"/>
      <c r="L123" s="98"/>
      <c r="M123" s="101"/>
      <c r="N123" s="98"/>
      <c r="O123" s="98"/>
      <c r="P123" s="98"/>
      <c r="Q123" s="98"/>
      <c r="R123" s="127"/>
      <c r="S123" s="127"/>
      <c r="T123" s="98"/>
      <c r="U123" s="23"/>
    </row>
    <row r="124" spans="1:21">
      <c r="A124" s="17"/>
      <c r="B124" s="81"/>
      <c r="C124" s="18"/>
      <c r="D124" s="18"/>
      <c r="E124" s="87" t="s">
        <v>256</v>
      </c>
      <c r="F124" s="114">
        <v>5</v>
      </c>
      <c r="G124" s="18" t="s">
        <v>232</v>
      </c>
      <c r="H124" s="98"/>
      <c r="I124" s="18"/>
      <c r="J124" s="101"/>
      <c r="K124" s="18"/>
      <c r="L124" s="98"/>
      <c r="M124" s="101"/>
      <c r="N124" s="98"/>
      <c r="O124" s="98"/>
      <c r="P124" s="98"/>
      <c r="Q124" s="98"/>
      <c r="R124" s="127"/>
      <c r="S124" s="127"/>
      <c r="T124" s="98"/>
      <c r="U124" s="23"/>
    </row>
    <row r="125" spans="1:21" ht="26.4">
      <c r="A125" s="17"/>
      <c r="B125" s="81"/>
      <c r="C125" s="18"/>
      <c r="D125" s="27" t="s">
        <v>144</v>
      </c>
      <c r="E125" s="89" t="str">
        <f>'BDD trait'!$C$19</f>
        <v>Electricité pour chauffage du sol</v>
      </c>
      <c r="F125" s="115">
        <f>'BDD trait'!$D$19</f>
        <v>2550</v>
      </c>
      <c r="G125" s="50" t="str">
        <f>'BDD trait'!$E$19</f>
        <v>kWh/m2</v>
      </c>
      <c r="H125" s="98"/>
      <c r="I125" s="18"/>
      <c r="J125" s="101"/>
      <c r="K125" s="18"/>
      <c r="L125" s="98">
        <f>F125*F124*'BDD FE'!$C$11</f>
        <v>32130</v>
      </c>
      <c r="M125" s="101"/>
      <c r="N125" s="98">
        <f>L125+M125</f>
        <v>32130</v>
      </c>
      <c r="O125" s="98">
        <f>F125*F124*'BDD FE'!$F$11/1000</f>
        <v>1.3005</v>
      </c>
      <c r="P125" s="98"/>
      <c r="Q125" s="98">
        <f>O125+P125</f>
        <v>1.3005</v>
      </c>
      <c r="R125" s="127"/>
      <c r="S125" s="127"/>
      <c r="T125" s="98"/>
      <c r="U125" s="23"/>
    </row>
    <row r="126" spans="1:21">
      <c r="A126" s="17"/>
      <c r="B126" s="81"/>
      <c r="C126" s="18"/>
      <c r="D126" s="27" t="s">
        <v>144</v>
      </c>
      <c r="E126" s="89" t="str">
        <f>'BDD trait'!$C$20</f>
        <v>Electricité pour utilités</v>
      </c>
      <c r="F126" s="115">
        <f>'BDD trait'!$D$20</f>
        <v>0.56399999999999995</v>
      </c>
      <c r="G126" s="50" t="str">
        <f>'BDD trait'!$E$20</f>
        <v>kWh/m2</v>
      </c>
      <c r="H126" s="98"/>
      <c r="I126" s="18"/>
      <c r="J126" s="101"/>
      <c r="K126" s="18"/>
      <c r="L126" s="98">
        <f>F126*F124*'BDD FE'!$C$11</f>
        <v>7.1063999999999998</v>
      </c>
      <c r="M126" s="101"/>
      <c r="N126" s="98">
        <f>L126+M126</f>
        <v>7.1063999999999998</v>
      </c>
      <c r="O126" s="98">
        <f>F124*F126*'BDD FE'!$F$11/1000</f>
        <v>2.8763999999999998E-4</v>
      </c>
      <c r="P126" s="98"/>
      <c r="Q126" s="98">
        <f>O126+P126</f>
        <v>2.8763999999999998E-4</v>
      </c>
      <c r="R126" s="127"/>
      <c r="S126" s="127"/>
      <c r="T126" s="98"/>
      <c r="U126" s="23"/>
    </row>
    <row r="127" spans="1:21">
      <c r="A127" s="17"/>
      <c r="B127" s="81"/>
      <c r="C127" s="18"/>
      <c r="D127" s="27" t="s">
        <v>144</v>
      </c>
      <c r="E127" s="89" t="str">
        <f>'BDD trait'!$C$21</f>
        <v>Charbon actif</v>
      </c>
      <c r="F127" s="115">
        <f>'BDD trait'!$G$21</f>
        <v>10</v>
      </c>
      <c r="G127" s="50" t="str">
        <f>'BDD trait'!$H$21</f>
        <v>t/t hydrocarbures</v>
      </c>
      <c r="H127" s="98"/>
      <c r="I127" s="18"/>
      <c r="J127" s="101"/>
      <c r="K127" s="18"/>
      <c r="L127" s="98">
        <f>F123*F127*'BDD FE'!$C$7</f>
        <v>587.5</v>
      </c>
      <c r="M127" s="101"/>
      <c r="N127" s="98">
        <f>L127+M127</f>
        <v>587.5</v>
      </c>
      <c r="O127" s="98">
        <f>F127*F123*'BDD FE'!$F$7</f>
        <v>52.769999999999996</v>
      </c>
      <c r="P127" s="98"/>
      <c r="Q127" s="98">
        <f>O127+P127</f>
        <v>52.769999999999996</v>
      </c>
      <c r="R127" s="127"/>
      <c r="S127" s="127"/>
      <c r="T127" s="98"/>
      <c r="U127" s="23"/>
    </row>
    <row r="128" spans="1:21" ht="27" thickBot="1">
      <c r="A128" s="19"/>
      <c r="B128" s="82"/>
      <c r="C128" s="20"/>
      <c r="D128" s="46" t="s">
        <v>145</v>
      </c>
      <c r="E128" s="82" t="str">
        <f>E127</f>
        <v>Charbon actif</v>
      </c>
      <c r="F128" s="40"/>
      <c r="G128" s="20"/>
      <c r="H128" s="40">
        <f>'Desorption therm'!$C$24</f>
        <v>10</v>
      </c>
      <c r="I128" s="20" t="str">
        <f>'Desorption therm'!$B$24</f>
        <v>t/t hydrocarbures</v>
      </c>
      <c r="J128" s="102"/>
      <c r="K128" s="20"/>
      <c r="L128" s="40">
        <f>F123*H128*'BDD FE'!$C$26</f>
        <v>0.26399999999999996</v>
      </c>
      <c r="M128" s="102"/>
      <c r="N128" s="40">
        <f t="shared" ref="N128" si="32">L128+M128</f>
        <v>0.26399999999999996</v>
      </c>
      <c r="O128" s="40">
        <f>F123*H128*'BDD FE'!$F$26</f>
        <v>5.0700000000000002E-2</v>
      </c>
      <c r="P128" s="40"/>
      <c r="Q128" s="40">
        <f t="shared" ref="Q128" si="33">O128+P128</f>
        <v>5.0700000000000002E-2</v>
      </c>
      <c r="R128" s="40">
        <f>F123*H128*'BDD FE'!$I$26</f>
        <v>9</v>
      </c>
      <c r="S128" s="40"/>
      <c r="T128" s="40">
        <f>R128+S128</f>
        <v>9</v>
      </c>
      <c r="U128" s="78" t="s">
        <v>19</v>
      </c>
    </row>
    <row r="129" spans="1:21" ht="13.8" thickBot="1">
      <c r="F129" s="31"/>
      <c r="H129" s="31"/>
      <c r="J129" s="103"/>
      <c r="L129" s="31"/>
      <c r="M129" s="103"/>
      <c r="N129" s="31"/>
      <c r="O129" s="31"/>
      <c r="P129" s="31"/>
      <c r="Q129" s="31"/>
      <c r="R129" s="128"/>
      <c r="S129" s="128"/>
      <c r="T129" s="31"/>
    </row>
    <row r="130" spans="1:21">
      <c r="A130" s="15"/>
      <c r="B130" s="80" t="s">
        <v>28</v>
      </c>
      <c r="C130" s="16" t="s">
        <v>71</v>
      </c>
      <c r="D130" s="16"/>
      <c r="E130" s="86"/>
      <c r="F130" s="109"/>
      <c r="G130" s="16"/>
      <c r="H130" s="109"/>
      <c r="I130" s="16"/>
      <c r="J130" s="100"/>
      <c r="K130" s="16"/>
      <c r="L130" s="109"/>
      <c r="M130" s="100"/>
      <c r="N130" s="109"/>
      <c r="O130" s="109"/>
      <c r="P130" s="109"/>
      <c r="Q130" s="109"/>
      <c r="R130" s="126"/>
      <c r="S130" s="126"/>
      <c r="T130" s="109"/>
      <c r="U130" s="22"/>
    </row>
    <row r="131" spans="1:21">
      <c r="A131" s="17"/>
      <c r="B131" s="81"/>
      <c r="C131" s="18"/>
      <c r="D131" s="18"/>
      <c r="E131" s="87" t="s">
        <v>152</v>
      </c>
      <c r="F131" s="110">
        <v>1</v>
      </c>
      <c r="G131" s="18" t="s">
        <v>20</v>
      </c>
      <c r="H131" s="98"/>
      <c r="I131" s="18"/>
      <c r="J131" s="101"/>
      <c r="K131" s="18"/>
      <c r="L131" s="98"/>
      <c r="M131" s="101"/>
      <c r="N131" s="98"/>
      <c r="O131" s="98"/>
      <c r="P131" s="98"/>
      <c r="Q131" s="98"/>
      <c r="R131" s="127"/>
      <c r="S131" s="127"/>
      <c r="T131" s="98"/>
      <c r="U131" s="76">
        <v>8</v>
      </c>
    </row>
    <row r="132" spans="1:21">
      <c r="A132" s="17"/>
      <c r="B132" s="81"/>
      <c r="C132" s="18"/>
      <c r="D132" s="18"/>
      <c r="E132" s="87" t="s">
        <v>153</v>
      </c>
      <c r="F132" s="111">
        <v>3</v>
      </c>
      <c r="G132" s="18" t="s">
        <v>20</v>
      </c>
      <c r="H132" s="98"/>
      <c r="I132" s="18"/>
      <c r="J132" s="101"/>
      <c r="K132" s="18"/>
      <c r="L132" s="98"/>
      <c r="M132" s="101"/>
      <c r="N132" s="98"/>
      <c r="O132" s="98"/>
      <c r="P132" s="98"/>
      <c r="Q132" s="98"/>
      <c r="R132" s="127"/>
      <c r="S132" s="127"/>
      <c r="T132" s="98"/>
      <c r="U132" s="23"/>
    </row>
    <row r="133" spans="1:21" ht="13.8" thickBot="1">
      <c r="A133" s="19"/>
      <c r="B133" s="82"/>
      <c r="C133" s="20"/>
      <c r="D133" s="46" t="s">
        <v>144</v>
      </c>
      <c r="E133" s="82" t="str">
        <f>'BDD trait'!$C$22</f>
        <v>Diesel</v>
      </c>
      <c r="F133" s="40">
        <f>'BDD trait'!$D$22</f>
        <v>1.9000000000000001E-4</v>
      </c>
      <c r="G133" s="20" t="str">
        <f>'BDD trait'!$E$22</f>
        <v>t/t</v>
      </c>
      <c r="H133" s="40"/>
      <c r="I133" s="20"/>
      <c r="J133" s="102"/>
      <c r="K133" s="20"/>
      <c r="L133" s="40">
        <f>F131*F133*'BDD FE'!$C$9*Conversions!$E$47</f>
        <v>1.9965922000000002E-3</v>
      </c>
      <c r="M133" s="102"/>
      <c r="N133" s="40">
        <f t="shared" ref="N133" si="34">L133+M133</f>
        <v>1.9965922000000002E-3</v>
      </c>
      <c r="O133" s="40">
        <f>F131*F133*'BDD FE'!$F$9*Conversions!$E$47</f>
        <v>4.9914805000000006E-4</v>
      </c>
      <c r="P133" s="40"/>
      <c r="Q133" s="40">
        <f t="shared" ref="Q133" si="35">O133+P133</f>
        <v>4.9914805000000006E-4</v>
      </c>
      <c r="R133" s="131"/>
      <c r="S133" s="131"/>
      <c r="T133" s="40"/>
      <c r="U133" s="24"/>
    </row>
    <row r="134" spans="1:21" ht="13.8" thickBot="1">
      <c r="F134" s="31"/>
      <c r="H134" s="31"/>
      <c r="J134" s="103"/>
      <c r="L134" s="31"/>
      <c r="M134" s="103"/>
      <c r="N134" s="31"/>
      <c r="O134" s="31"/>
      <c r="P134" s="31"/>
      <c r="Q134" s="31"/>
      <c r="R134" s="128"/>
      <c r="S134" s="128"/>
      <c r="T134" s="31"/>
    </row>
    <row r="135" spans="1:21" ht="26.4">
      <c r="A135" s="15"/>
      <c r="B135" s="80" t="s">
        <v>29</v>
      </c>
      <c r="C135" s="16" t="s">
        <v>71</v>
      </c>
      <c r="D135" s="16"/>
      <c r="E135" s="86"/>
      <c r="F135" s="109"/>
      <c r="G135" s="16"/>
      <c r="H135" s="109"/>
      <c r="I135" s="16"/>
      <c r="J135" s="100"/>
      <c r="K135" s="16"/>
      <c r="L135" s="109"/>
      <c r="M135" s="100"/>
      <c r="N135" s="109"/>
      <c r="O135" s="109"/>
      <c r="P135" s="109"/>
      <c r="Q135" s="109"/>
      <c r="R135" s="126"/>
      <c r="S135" s="126"/>
      <c r="T135" s="109"/>
      <c r="U135" s="22"/>
    </row>
    <row r="136" spans="1:21">
      <c r="A136" s="17"/>
      <c r="B136" s="81"/>
      <c r="C136" s="18"/>
      <c r="D136" s="18"/>
      <c r="E136" s="87" t="s">
        <v>152</v>
      </c>
      <c r="F136" s="110">
        <v>1</v>
      </c>
      <c r="G136" s="18" t="s">
        <v>20</v>
      </c>
      <c r="H136" s="98"/>
      <c r="I136" s="18"/>
      <c r="J136" s="101"/>
      <c r="K136" s="18"/>
      <c r="L136" s="98"/>
      <c r="M136" s="101"/>
      <c r="N136" s="98"/>
      <c r="O136" s="98"/>
      <c r="P136" s="98"/>
      <c r="Q136" s="98"/>
      <c r="R136" s="127"/>
      <c r="S136" s="127"/>
      <c r="T136" s="98"/>
      <c r="U136" s="76">
        <v>8</v>
      </c>
    </row>
    <row r="137" spans="1:21">
      <c r="A137" s="17"/>
      <c r="B137" s="81"/>
      <c r="C137" s="18"/>
      <c r="D137" s="18"/>
      <c r="E137" s="87" t="s">
        <v>153</v>
      </c>
      <c r="F137" s="111">
        <v>3</v>
      </c>
      <c r="G137" s="18" t="s">
        <v>20</v>
      </c>
      <c r="H137" s="98"/>
      <c r="I137" s="18"/>
      <c r="J137" s="101"/>
      <c r="K137" s="18"/>
      <c r="L137" s="98"/>
      <c r="M137" s="101"/>
      <c r="N137" s="98"/>
      <c r="O137" s="98"/>
      <c r="P137" s="98"/>
      <c r="Q137" s="98"/>
      <c r="R137" s="127"/>
      <c r="S137" s="127"/>
      <c r="T137" s="98"/>
      <c r="U137" s="23"/>
    </row>
    <row r="138" spans="1:21" ht="13.8" thickBot="1">
      <c r="A138" s="19"/>
      <c r="B138" s="82"/>
      <c r="C138" s="20"/>
      <c r="D138" s="46" t="s">
        <v>144</v>
      </c>
      <c r="E138" s="82" t="str">
        <f>'BDD trait'!$C$22</f>
        <v>Diesel</v>
      </c>
      <c r="F138" s="40">
        <f>'BDD trait'!$D$22</f>
        <v>1.9000000000000001E-4</v>
      </c>
      <c r="G138" s="20" t="str">
        <f>'BDD trait'!$E$22</f>
        <v>t/t</v>
      </c>
      <c r="H138" s="40"/>
      <c r="I138" s="20"/>
      <c r="J138" s="102"/>
      <c r="K138" s="20"/>
      <c r="L138" s="40">
        <f>F136*F138*'BDD FE'!$C$9*Conversions!$E$47</f>
        <v>1.9965922000000002E-3</v>
      </c>
      <c r="M138" s="102"/>
      <c r="N138" s="40">
        <f t="shared" ref="N138" si="36">L138+M138</f>
        <v>1.9965922000000002E-3</v>
      </c>
      <c r="O138" s="40">
        <f>F136*F138*'BDD FE'!$F$9*Conversions!$E$47</f>
        <v>4.9914805000000006E-4</v>
      </c>
      <c r="P138" s="40"/>
      <c r="Q138" s="40">
        <f t="shared" ref="Q138" si="37">O138+P138</f>
        <v>4.9914805000000006E-4</v>
      </c>
      <c r="R138" s="131"/>
      <c r="S138" s="131"/>
      <c r="T138" s="40"/>
      <c r="U138" s="24"/>
    </row>
    <row r="139" spans="1:21" ht="13.8" thickBot="1">
      <c r="F139" s="31"/>
      <c r="H139" s="31"/>
      <c r="J139" s="103"/>
      <c r="L139" s="31"/>
      <c r="M139" s="103"/>
      <c r="N139" s="31"/>
      <c r="O139" s="31"/>
      <c r="P139" s="31"/>
      <c r="Q139" s="31"/>
      <c r="R139" s="128"/>
      <c r="S139" s="128"/>
      <c r="T139" s="31"/>
    </row>
    <row r="140" spans="1:21">
      <c r="A140" s="15"/>
      <c r="B140" s="80" t="s">
        <v>30</v>
      </c>
      <c r="C140" s="16" t="s">
        <v>71</v>
      </c>
      <c r="D140" s="16"/>
      <c r="E140" s="86"/>
      <c r="F140" s="109"/>
      <c r="G140" s="16"/>
      <c r="H140" s="109"/>
      <c r="I140" s="16"/>
      <c r="J140" s="100"/>
      <c r="K140" s="16"/>
      <c r="L140" s="109"/>
      <c r="M140" s="100"/>
      <c r="N140" s="109"/>
      <c r="O140" s="109"/>
      <c r="P140" s="109"/>
      <c r="Q140" s="109"/>
      <c r="R140" s="126"/>
      <c r="S140" s="126"/>
      <c r="T140" s="109"/>
      <c r="U140" s="22"/>
    </row>
    <row r="141" spans="1:21">
      <c r="A141" s="17"/>
      <c r="B141" s="81"/>
      <c r="C141" s="18"/>
      <c r="D141" s="18"/>
      <c r="E141" s="87" t="s">
        <v>152</v>
      </c>
      <c r="F141" s="110">
        <v>1</v>
      </c>
      <c r="G141" s="18" t="s">
        <v>20</v>
      </c>
      <c r="H141" s="98"/>
      <c r="I141" s="18"/>
      <c r="J141" s="101"/>
      <c r="K141" s="18"/>
      <c r="L141" s="98"/>
      <c r="M141" s="101"/>
      <c r="N141" s="98"/>
      <c r="O141" s="98"/>
      <c r="P141" s="98"/>
      <c r="Q141" s="98"/>
      <c r="R141" s="127"/>
      <c r="S141" s="127"/>
      <c r="T141" s="98"/>
      <c r="U141" s="76">
        <v>8</v>
      </c>
    </row>
    <row r="142" spans="1:21">
      <c r="A142" s="17"/>
      <c r="B142" s="81"/>
      <c r="C142" s="18"/>
      <c r="D142" s="18"/>
      <c r="E142" s="87" t="s">
        <v>153</v>
      </c>
      <c r="F142" s="111">
        <v>3</v>
      </c>
      <c r="G142" s="18" t="s">
        <v>20</v>
      </c>
      <c r="H142" s="98"/>
      <c r="I142" s="18"/>
      <c r="J142" s="101"/>
      <c r="K142" s="18"/>
      <c r="L142" s="98"/>
      <c r="M142" s="101"/>
      <c r="N142" s="98"/>
      <c r="O142" s="98"/>
      <c r="P142" s="98"/>
      <c r="Q142" s="98"/>
      <c r="R142" s="127"/>
      <c r="S142" s="127"/>
      <c r="T142" s="98"/>
      <c r="U142" s="23"/>
    </row>
    <row r="143" spans="1:21" ht="13.8" thickBot="1">
      <c r="A143" s="19"/>
      <c r="B143" s="82"/>
      <c r="C143" s="20"/>
      <c r="D143" s="46" t="s">
        <v>144</v>
      </c>
      <c r="E143" s="82" t="str">
        <f>'BDD trait'!$C$22</f>
        <v>Diesel</v>
      </c>
      <c r="F143" s="40">
        <f>'BDD trait'!$D$22</f>
        <v>1.9000000000000001E-4</v>
      </c>
      <c r="G143" s="20" t="str">
        <f>'BDD trait'!$E$22</f>
        <v>t/t</v>
      </c>
      <c r="H143" s="40"/>
      <c r="I143" s="20"/>
      <c r="J143" s="102"/>
      <c r="K143" s="20"/>
      <c r="L143" s="40">
        <f>F141*F143*'BDD FE'!$C$9*Conversions!$E$47</f>
        <v>1.9965922000000002E-3</v>
      </c>
      <c r="M143" s="102"/>
      <c r="N143" s="40">
        <f t="shared" ref="N143" si="38">L143+M143</f>
        <v>1.9965922000000002E-3</v>
      </c>
      <c r="O143" s="40">
        <f>F141*F143*'BDD FE'!$F$9*Conversions!$E$47</f>
        <v>4.9914805000000006E-4</v>
      </c>
      <c r="P143" s="40"/>
      <c r="Q143" s="40">
        <f t="shared" ref="Q143" si="39">O143+P143</f>
        <v>4.9914805000000006E-4</v>
      </c>
      <c r="R143" s="131"/>
      <c r="S143" s="131"/>
      <c r="T143" s="40"/>
      <c r="U143" s="24"/>
    </row>
    <row r="144" spans="1:21" ht="13.8" thickBot="1">
      <c r="F144" s="31"/>
      <c r="H144" s="31"/>
      <c r="J144" s="103"/>
      <c r="L144" s="31"/>
      <c r="M144" s="103"/>
      <c r="N144" s="31"/>
      <c r="O144" s="31"/>
      <c r="P144" s="31"/>
      <c r="Q144" s="31"/>
      <c r="R144" s="128"/>
      <c r="S144" s="128"/>
      <c r="T144" s="31"/>
    </row>
    <row r="145" spans="1:21">
      <c r="A145" s="15"/>
      <c r="B145" s="80" t="s">
        <v>31</v>
      </c>
      <c r="C145" s="16" t="s">
        <v>71</v>
      </c>
      <c r="D145" s="16"/>
      <c r="E145" s="86"/>
      <c r="F145" s="109"/>
      <c r="G145" s="16"/>
      <c r="H145" s="109"/>
      <c r="I145" s="16"/>
      <c r="J145" s="100"/>
      <c r="K145" s="16"/>
      <c r="L145" s="109"/>
      <c r="M145" s="100"/>
      <c r="N145" s="109"/>
      <c r="O145" s="109"/>
      <c r="P145" s="109"/>
      <c r="Q145" s="109"/>
      <c r="R145" s="126"/>
      <c r="S145" s="126"/>
      <c r="T145" s="109"/>
      <c r="U145" s="22"/>
    </row>
    <row r="146" spans="1:21">
      <c r="A146" s="17"/>
      <c r="B146" s="81"/>
      <c r="C146" s="18"/>
      <c r="D146" s="18"/>
      <c r="E146" s="87" t="s">
        <v>152</v>
      </c>
      <c r="F146" s="110">
        <v>1</v>
      </c>
      <c r="G146" s="18" t="s">
        <v>20</v>
      </c>
      <c r="H146" s="98"/>
      <c r="I146" s="18"/>
      <c r="J146" s="101"/>
      <c r="K146" s="18"/>
      <c r="L146" s="98"/>
      <c r="M146" s="101"/>
      <c r="N146" s="98"/>
      <c r="O146" s="98"/>
      <c r="P146" s="98"/>
      <c r="Q146" s="98"/>
      <c r="R146" s="127"/>
      <c r="S146" s="127"/>
      <c r="T146" s="98"/>
      <c r="U146" s="76">
        <v>8</v>
      </c>
    </row>
    <row r="147" spans="1:21">
      <c r="A147" s="17"/>
      <c r="B147" s="81"/>
      <c r="C147" s="18"/>
      <c r="D147" s="18"/>
      <c r="E147" s="87" t="s">
        <v>153</v>
      </c>
      <c r="F147" s="111">
        <v>3</v>
      </c>
      <c r="G147" s="18" t="s">
        <v>20</v>
      </c>
      <c r="H147" s="98"/>
      <c r="I147" s="18"/>
      <c r="J147" s="101"/>
      <c r="K147" s="18"/>
      <c r="L147" s="98"/>
      <c r="M147" s="101"/>
      <c r="N147" s="98"/>
      <c r="O147" s="98"/>
      <c r="P147" s="98"/>
      <c r="Q147" s="98"/>
      <c r="R147" s="127"/>
      <c r="S147" s="127"/>
      <c r="T147" s="98"/>
      <c r="U147" s="23"/>
    </row>
    <row r="148" spans="1:21" ht="13.8" thickBot="1">
      <c r="A148" s="19"/>
      <c r="B148" s="82"/>
      <c r="C148" s="20"/>
      <c r="D148" s="46" t="s">
        <v>144</v>
      </c>
      <c r="E148" s="82" t="str">
        <f>'BDD trait'!$C$22</f>
        <v>Diesel</v>
      </c>
      <c r="F148" s="40">
        <f>'BDD trait'!$D$22</f>
        <v>1.9000000000000001E-4</v>
      </c>
      <c r="G148" s="20" t="str">
        <f>'BDD trait'!$E$22</f>
        <v>t/t</v>
      </c>
      <c r="H148" s="40"/>
      <c r="I148" s="20"/>
      <c r="J148" s="102"/>
      <c r="K148" s="20"/>
      <c r="L148" s="40">
        <f>F146*F148*'BDD FE'!$C$9*Conversions!$E$47</f>
        <v>1.9965922000000002E-3</v>
      </c>
      <c r="M148" s="102"/>
      <c r="N148" s="40">
        <f t="shared" ref="N148" si="40">L148+M148</f>
        <v>1.9965922000000002E-3</v>
      </c>
      <c r="O148" s="40">
        <f>F146*F148*'BDD FE'!$F$9*Conversions!$E$47</f>
        <v>4.9914805000000006E-4</v>
      </c>
      <c r="P148" s="40"/>
      <c r="Q148" s="40">
        <f t="shared" ref="Q148" si="41">O148+P148</f>
        <v>4.9914805000000006E-4</v>
      </c>
      <c r="R148" s="131"/>
      <c r="S148" s="131"/>
      <c r="T148" s="40"/>
      <c r="U148" s="24"/>
    </row>
    <row r="149" spans="1:21" ht="13.8" thickBot="1">
      <c r="F149" s="31"/>
      <c r="H149" s="31"/>
      <c r="J149" s="103"/>
      <c r="L149" s="31"/>
      <c r="M149" s="103"/>
      <c r="N149" s="31"/>
      <c r="O149" s="31"/>
      <c r="P149" s="31"/>
      <c r="Q149" s="31"/>
      <c r="R149" s="128"/>
      <c r="S149" s="128"/>
      <c r="T149" s="31"/>
    </row>
    <row r="150" spans="1:21" ht="52.8">
      <c r="A150" s="15"/>
      <c r="B150" s="80" t="s">
        <v>32</v>
      </c>
      <c r="C150" s="16" t="s">
        <v>71</v>
      </c>
      <c r="D150" s="16"/>
      <c r="E150" s="86"/>
      <c r="F150" s="109"/>
      <c r="G150" s="16"/>
      <c r="H150" s="109"/>
      <c r="I150" s="16"/>
      <c r="J150" s="100"/>
      <c r="K150" s="16"/>
      <c r="L150" s="109"/>
      <c r="M150" s="100"/>
      <c r="N150" s="109"/>
      <c r="O150" s="109"/>
      <c r="P150" s="109"/>
      <c r="Q150" s="109"/>
      <c r="R150" s="126"/>
      <c r="S150" s="126"/>
      <c r="T150" s="109"/>
      <c r="U150" s="22"/>
    </row>
    <row r="151" spans="1:21">
      <c r="A151" s="17"/>
      <c r="B151" s="81"/>
      <c r="C151" s="18"/>
      <c r="D151" s="18"/>
      <c r="E151" s="87" t="s">
        <v>152</v>
      </c>
      <c r="F151" s="110">
        <v>1</v>
      </c>
      <c r="G151" s="18" t="s">
        <v>20</v>
      </c>
      <c r="H151" s="98"/>
      <c r="I151" s="18"/>
      <c r="J151" s="101"/>
      <c r="K151" s="18"/>
      <c r="L151" s="98"/>
      <c r="M151" s="101"/>
      <c r="N151" s="98"/>
      <c r="O151" s="98"/>
      <c r="P151" s="98"/>
      <c r="Q151" s="98"/>
      <c r="R151" s="127"/>
      <c r="S151" s="127"/>
      <c r="T151" s="98"/>
      <c r="U151" s="76">
        <v>8</v>
      </c>
    </row>
    <row r="152" spans="1:21">
      <c r="A152" s="17"/>
      <c r="B152" s="81"/>
      <c r="C152" s="18"/>
      <c r="D152" s="18"/>
      <c r="E152" s="87" t="s">
        <v>153</v>
      </c>
      <c r="F152" s="111">
        <v>3</v>
      </c>
      <c r="G152" s="18" t="s">
        <v>20</v>
      </c>
      <c r="H152" s="98"/>
      <c r="I152" s="18"/>
      <c r="J152" s="101"/>
      <c r="K152" s="18"/>
      <c r="L152" s="98"/>
      <c r="M152" s="101"/>
      <c r="N152" s="98"/>
      <c r="O152" s="98"/>
      <c r="P152" s="98"/>
      <c r="Q152" s="98"/>
      <c r="R152" s="127"/>
      <c r="S152" s="127"/>
      <c r="T152" s="98"/>
      <c r="U152" s="23"/>
    </row>
    <row r="153" spans="1:21" ht="13.8" thickBot="1">
      <c r="A153" s="19"/>
      <c r="B153" s="82"/>
      <c r="C153" s="20"/>
      <c r="D153" s="46" t="s">
        <v>144</v>
      </c>
      <c r="E153" s="82" t="str">
        <f>'BDD trait'!$C$22</f>
        <v>Diesel</v>
      </c>
      <c r="F153" s="40">
        <f>'BDD trait'!$D$22</f>
        <v>1.9000000000000001E-4</v>
      </c>
      <c r="G153" s="20" t="str">
        <f>'BDD trait'!$E$22</f>
        <v>t/t</v>
      </c>
      <c r="H153" s="40"/>
      <c r="I153" s="20"/>
      <c r="J153" s="102"/>
      <c r="K153" s="20"/>
      <c r="L153" s="40">
        <f>F151*F153*'BDD FE'!$C$9*Conversions!$E$47</f>
        <v>1.9965922000000002E-3</v>
      </c>
      <c r="M153" s="102"/>
      <c r="N153" s="40">
        <f t="shared" ref="N153" si="42">L153+M153</f>
        <v>1.9965922000000002E-3</v>
      </c>
      <c r="O153" s="40">
        <f>F151*F153*'BDD FE'!$F$9*Conversions!$E$47</f>
        <v>4.9914805000000006E-4</v>
      </c>
      <c r="P153" s="40"/>
      <c r="Q153" s="40">
        <f t="shared" ref="Q153" si="43">O153+P153</f>
        <v>4.9914805000000006E-4</v>
      </c>
      <c r="R153" s="131"/>
      <c r="S153" s="131"/>
      <c r="T153" s="40"/>
      <c r="U153" s="24"/>
    </row>
    <row r="154" spans="1:21" ht="13.8" thickBot="1">
      <c r="F154" s="31"/>
      <c r="H154" s="31"/>
      <c r="J154" s="103"/>
      <c r="L154" s="31"/>
      <c r="M154" s="103"/>
      <c r="N154" s="31"/>
      <c r="O154" s="31"/>
      <c r="P154" s="31"/>
      <c r="Q154" s="31"/>
      <c r="R154" s="128"/>
      <c r="S154" s="128"/>
      <c r="T154" s="31"/>
    </row>
    <row r="155" spans="1:21">
      <c r="A155" s="15"/>
      <c r="B155" s="80" t="s">
        <v>28</v>
      </c>
      <c r="C155" s="16" t="s">
        <v>36</v>
      </c>
      <c r="D155" s="16"/>
      <c r="E155" s="86"/>
      <c r="F155" s="109"/>
      <c r="G155" s="16"/>
      <c r="H155" s="109"/>
      <c r="I155" s="16"/>
      <c r="J155" s="100"/>
      <c r="K155" s="16"/>
      <c r="L155" s="109"/>
      <c r="M155" s="100"/>
      <c r="N155" s="109"/>
      <c r="O155" s="109"/>
      <c r="P155" s="109"/>
      <c r="Q155" s="109"/>
      <c r="R155" s="126"/>
      <c r="S155" s="126"/>
      <c r="T155" s="109"/>
      <c r="U155" s="22"/>
    </row>
    <row r="156" spans="1:21">
      <c r="A156" s="17"/>
      <c r="B156" s="81"/>
      <c r="C156" s="18"/>
      <c r="D156" s="18"/>
      <c r="E156" s="87" t="s">
        <v>152</v>
      </c>
      <c r="F156" s="110">
        <v>1</v>
      </c>
      <c r="G156" s="18" t="s">
        <v>20</v>
      </c>
      <c r="H156" s="98"/>
      <c r="I156" s="18"/>
      <c r="J156" s="101"/>
      <c r="K156" s="18"/>
      <c r="L156" s="98"/>
      <c r="M156" s="101"/>
      <c r="N156" s="98"/>
      <c r="O156" s="98"/>
      <c r="P156" s="98"/>
      <c r="Q156" s="98"/>
      <c r="R156" s="127"/>
      <c r="S156" s="127"/>
      <c r="T156" s="98"/>
      <c r="U156" s="76">
        <v>8</v>
      </c>
    </row>
    <row r="157" spans="1:21">
      <c r="A157" s="17"/>
      <c r="B157" s="81"/>
      <c r="C157" s="18"/>
      <c r="D157" s="18"/>
      <c r="E157" s="87" t="s">
        <v>153</v>
      </c>
      <c r="F157" s="111">
        <v>3</v>
      </c>
      <c r="G157" s="18" t="s">
        <v>20</v>
      </c>
      <c r="H157" s="98"/>
      <c r="I157" s="18"/>
      <c r="J157" s="101"/>
      <c r="K157" s="18"/>
      <c r="L157" s="98"/>
      <c r="M157" s="101"/>
      <c r="N157" s="98"/>
      <c r="O157" s="98"/>
      <c r="P157" s="98"/>
      <c r="Q157" s="98"/>
      <c r="R157" s="127"/>
      <c r="S157" s="127"/>
      <c r="T157" s="98"/>
      <c r="U157" s="23"/>
    </row>
    <row r="158" spans="1:21">
      <c r="A158" s="17"/>
      <c r="B158" s="81"/>
      <c r="C158" s="18"/>
      <c r="D158" s="27" t="s">
        <v>144</v>
      </c>
      <c r="E158" s="87" t="str">
        <f>'BDD trait'!$C$23</f>
        <v>Electricité</v>
      </c>
      <c r="F158" s="113">
        <f>'BDD trait'!$D$23</f>
        <v>30</v>
      </c>
      <c r="G158" s="27" t="str">
        <f>'BDD trait'!$E$23</f>
        <v>kWh/t</v>
      </c>
      <c r="H158" s="98"/>
      <c r="I158" s="18"/>
      <c r="J158" s="101"/>
      <c r="K158" s="18"/>
      <c r="L158" s="98">
        <f>F156*F158*'BDD FE'!$C$11/1000</f>
        <v>7.5600000000000001E-2</v>
      </c>
      <c r="M158" s="101"/>
      <c r="N158" s="98">
        <f>L158+M158</f>
        <v>7.5600000000000001E-2</v>
      </c>
      <c r="O158" s="98">
        <f>F156*F158*'BDD FE'!$F$11/1000</f>
        <v>3.0599999999999998E-3</v>
      </c>
      <c r="P158" s="98"/>
      <c r="Q158" s="98">
        <f>O158+P158</f>
        <v>3.0599999999999998E-3</v>
      </c>
      <c r="R158" s="127"/>
      <c r="S158" s="127"/>
      <c r="T158" s="98"/>
      <c r="U158" s="23"/>
    </row>
    <row r="159" spans="1:21" ht="13.8" thickBot="1">
      <c r="A159" s="19"/>
      <c r="B159" s="82"/>
      <c r="C159" s="20"/>
      <c r="D159" s="46" t="s">
        <v>144</v>
      </c>
      <c r="E159" s="82" t="str">
        <f>'BDD trait'!$C$24</f>
        <v>Diesel</v>
      </c>
      <c r="F159" s="40">
        <f>'BDD trait'!$D$24</f>
        <v>0.64600000000000002</v>
      </c>
      <c r="G159" s="20" t="str">
        <f>'BDD trait'!$E$24</f>
        <v>kg/t</v>
      </c>
      <c r="H159" s="40"/>
      <c r="I159" s="20"/>
      <c r="J159" s="102"/>
      <c r="K159" s="20"/>
      <c r="L159" s="40">
        <f>F156*F159*'BDD FE'!$C$9/1000</f>
        <v>7.9863688000000009E-3</v>
      </c>
      <c r="M159" s="102"/>
      <c r="N159" s="40">
        <f t="shared" ref="N159" si="44">L159+M159</f>
        <v>7.9863688000000009E-3</v>
      </c>
      <c r="O159" s="40">
        <f>F156*F159*'BDD FE'!$F$9/1000</f>
        <v>1.9965922000000002E-3</v>
      </c>
      <c r="P159" s="40"/>
      <c r="Q159" s="40">
        <f t="shared" ref="Q159" si="45">O159+P159</f>
        <v>1.9965922000000002E-3</v>
      </c>
      <c r="R159" s="131"/>
      <c r="S159" s="131"/>
      <c r="T159" s="40"/>
      <c r="U159" s="24"/>
    </row>
    <row r="160" spans="1:21" ht="13.8" thickBot="1">
      <c r="F160" s="31"/>
      <c r="H160" s="31"/>
      <c r="J160" s="103"/>
      <c r="L160" s="31"/>
      <c r="M160" s="103"/>
      <c r="N160" s="31"/>
      <c r="O160" s="31"/>
      <c r="P160" s="31"/>
      <c r="Q160" s="31"/>
      <c r="R160" s="128"/>
      <c r="S160" s="128"/>
      <c r="T160" s="31"/>
    </row>
    <row r="161" spans="1:21" ht="39.6">
      <c r="A161" s="15"/>
      <c r="B161" s="80" t="s">
        <v>29</v>
      </c>
      <c r="C161" s="16" t="s">
        <v>36</v>
      </c>
      <c r="D161" s="16"/>
      <c r="E161" s="86"/>
      <c r="F161" s="109"/>
      <c r="G161" s="16"/>
      <c r="H161" s="109"/>
      <c r="I161" s="16"/>
      <c r="J161" s="100"/>
      <c r="K161" s="16"/>
      <c r="L161" s="109"/>
      <c r="M161" s="100"/>
      <c r="N161" s="109"/>
      <c r="O161" s="109"/>
      <c r="P161" s="109"/>
      <c r="Q161" s="109"/>
      <c r="R161" s="126"/>
      <c r="S161" s="126"/>
      <c r="T161" s="109"/>
      <c r="U161" s="22"/>
    </row>
    <row r="162" spans="1:21">
      <c r="A162" s="17"/>
      <c r="B162" s="81"/>
      <c r="C162" s="18"/>
      <c r="D162" s="18"/>
      <c r="E162" s="87" t="s">
        <v>152</v>
      </c>
      <c r="F162" s="110">
        <v>1</v>
      </c>
      <c r="G162" s="18" t="s">
        <v>20</v>
      </c>
      <c r="H162" s="98"/>
      <c r="I162" s="18"/>
      <c r="J162" s="101"/>
      <c r="K162" s="18"/>
      <c r="L162" s="98"/>
      <c r="M162" s="101"/>
      <c r="N162" s="98"/>
      <c r="O162" s="98"/>
      <c r="P162" s="98"/>
      <c r="Q162" s="98"/>
      <c r="R162" s="127"/>
      <c r="S162" s="127"/>
      <c r="T162" s="98"/>
      <c r="U162" s="76">
        <v>8</v>
      </c>
    </row>
    <row r="163" spans="1:21">
      <c r="A163" s="17"/>
      <c r="B163" s="81"/>
      <c r="C163" s="18"/>
      <c r="D163" s="18"/>
      <c r="E163" s="87" t="s">
        <v>153</v>
      </c>
      <c r="F163" s="111">
        <v>3</v>
      </c>
      <c r="G163" s="18" t="s">
        <v>20</v>
      </c>
      <c r="H163" s="98"/>
      <c r="I163" s="18"/>
      <c r="J163" s="101"/>
      <c r="K163" s="18"/>
      <c r="L163" s="98"/>
      <c r="M163" s="101"/>
      <c r="N163" s="98"/>
      <c r="O163" s="98"/>
      <c r="P163" s="98"/>
      <c r="Q163" s="98"/>
      <c r="R163" s="127"/>
      <c r="S163" s="127"/>
      <c r="T163" s="98"/>
      <c r="U163" s="23"/>
    </row>
    <row r="164" spans="1:21">
      <c r="A164" s="17"/>
      <c r="B164" s="81"/>
      <c r="C164" s="18"/>
      <c r="D164" s="27" t="s">
        <v>144</v>
      </c>
      <c r="E164" s="87" t="str">
        <f>'BDD trait'!$C$23</f>
        <v>Electricité</v>
      </c>
      <c r="F164" s="113">
        <f>'BDD trait'!$D$23</f>
        <v>30</v>
      </c>
      <c r="G164" s="27" t="str">
        <f>'BDD trait'!$E$23</f>
        <v>kWh/t</v>
      </c>
      <c r="H164" s="98"/>
      <c r="I164" s="18"/>
      <c r="J164" s="101"/>
      <c r="K164" s="18"/>
      <c r="L164" s="98">
        <f>F162*F164*'BDD FE'!$C$11/1000</f>
        <v>7.5600000000000001E-2</v>
      </c>
      <c r="M164" s="101"/>
      <c r="N164" s="98">
        <f>L164+M164</f>
        <v>7.5600000000000001E-2</v>
      </c>
      <c r="O164" s="98">
        <f>F162*F164*'BDD FE'!$F$11/1000</f>
        <v>3.0599999999999998E-3</v>
      </c>
      <c r="P164" s="98"/>
      <c r="Q164" s="98">
        <f>O164+P164</f>
        <v>3.0599999999999998E-3</v>
      </c>
      <c r="R164" s="127"/>
      <c r="S164" s="127"/>
      <c r="T164" s="98"/>
      <c r="U164" s="23"/>
    </row>
    <row r="165" spans="1:21" ht="13.8" thickBot="1">
      <c r="A165" s="19"/>
      <c r="B165" s="82"/>
      <c r="C165" s="20"/>
      <c r="D165" s="46" t="s">
        <v>144</v>
      </c>
      <c r="E165" s="82" t="str">
        <f>'BDD trait'!$C$24</f>
        <v>Diesel</v>
      </c>
      <c r="F165" s="40">
        <f>'BDD trait'!$D$24</f>
        <v>0.64600000000000002</v>
      </c>
      <c r="G165" s="20" t="str">
        <f>'BDD trait'!$E$24</f>
        <v>kg/t</v>
      </c>
      <c r="H165" s="40"/>
      <c r="I165" s="20"/>
      <c r="J165" s="102"/>
      <c r="K165" s="20"/>
      <c r="L165" s="40">
        <f>F162*F165*'BDD FE'!$C$9/1000</f>
        <v>7.9863688000000009E-3</v>
      </c>
      <c r="M165" s="102"/>
      <c r="N165" s="40">
        <f t="shared" ref="N165" si="46">L165+M165</f>
        <v>7.9863688000000009E-3</v>
      </c>
      <c r="O165" s="40">
        <f>F162*F165*'BDD FE'!$F$9/1000</f>
        <v>1.9965922000000002E-3</v>
      </c>
      <c r="P165" s="40"/>
      <c r="Q165" s="40">
        <f t="shared" ref="Q165" si="47">O165+P165</f>
        <v>1.9965922000000002E-3</v>
      </c>
      <c r="R165" s="131"/>
      <c r="S165" s="131"/>
      <c r="T165" s="40"/>
      <c r="U165" s="24"/>
    </row>
    <row r="166" spans="1:21" ht="13.8" thickBot="1">
      <c r="F166" s="31"/>
      <c r="H166" s="31"/>
      <c r="J166" s="103"/>
      <c r="L166" s="31"/>
      <c r="M166" s="103"/>
      <c r="N166" s="31"/>
      <c r="O166" s="31"/>
      <c r="P166" s="31"/>
      <c r="Q166" s="31"/>
      <c r="R166" s="128"/>
      <c r="S166" s="128"/>
      <c r="T166" s="31"/>
    </row>
    <row r="167" spans="1:21">
      <c r="A167" s="15"/>
      <c r="B167" s="80" t="s">
        <v>30</v>
      </c>
      <c r="C167" s="16" t="s">
        <v>36</v>
      </c>
      <c r="D167" s="16"/>
      <c r="E167" s="86"/>
      <c r="F167" s="109"/>
      <c r="G167" s="16"/>
      <c r="H167" s="109"/>
      <c r="I167" s="16"/>
      <c r="J167" s="100"/>
      <c r="K167" s="16"/>
      <c r="L167" s="109"/>
      <c r="M167" s="100"/>
      <c r="N167" s="109"/>
      <c r="O167" s="109"/>
      <c r="P167" s="109"/>
      <c r="Q167" s="109"/>
      <c r="R167" s="126"/>
      <c r="S167" s="126"/>
      <c r="T167" s="109"/>
      <c r="U167" s="22"/>
    </row>
    <row r="168" spans="1:21">
      <c r="A168" s="17"/>
      <c r="B168" s="81"/>
      <c r="C168" s="18"/>
      <c r="D168" s="18"/>
      <c r="E168" s="87" t="s">
        <v>152</v>
      </c>
      <c r="F168" s="110">
        <v>1</v>
      </c>
      <c r="G168" s="18" t="s">
        <v>20</v>
      </c>
      <c r="H168" s="98"/>
      <c r="I168" s="18"/>
      <c r="J168" s="101"/>
      <c r="K168" s="18"/>
      <c r="L168" s="98"/>
      <c r="M168" s="101"/>
      <c r="N168" s="98"/>
      <c r="O168" s="98"/>
      <c r="P168" s="98"/>
      <c r="Q168" s="98"/>
      <c r="R168" s="127"/>
      <c r="S168" s="127"/>
      <c r="T168" s="98"/>
      <c r="U168" s="76">
        <v>8</v>
      </c>
    </row>
    <row r="169" spans="1:21">
      <c r="A169" s="17"/>
      <c r="B169" s="81"/>
      <c r="C169" s="18"/>
      <c r="D169" s="18"/>
      <c r="E169" s="87" t="s">
        <v>153</v>
      </c>
      <c r="F169" s="111">
        <v>3</v>
      </c>
      <c r="G169" s="18" t="s">
        <v>20</v>
      </c>
      <c r="H169" s="98"/>
      <c r="I169" s="18"/>
      <c r="J169" s="101"/>
      <c r="K169" s="18"/>
      <c r="L169" s="98"/>
      <c r="M169" s="101"/>
      <c r="N169" s="98"/>
      <c r="O169" s="98"/>
      <c r="P169" s="98"/>
      <c r="Q169" s="98"/>
      <c r="R169" s="127"/>
      <c r="S169" s="127"/>
      <c r="T169" s="98"/>
      <c r="U169" s="23"/>
    </row>
    <row r="170" spans="1:21">
      <c r="A170" s="17"/>
      <c r="B170" s="81"/>
      <c r="C170" s="18"/>
      <c r="D170" s="27" t="s">
        <v>144</v>
      </c>
      <c r="E170" s="87" t="str">
        <f>'BDD trait'!$C$23</f>
        <v>Electricité</v>
      </c>
      <c r="F170" s="113">
        <f>'BDD trait'!$D$23</f>
        <v>30</v>
      </c>
      <c r="G170" s="27" t="str">
        <f>'BDD trait'!$E$23</f>
        <v>kWh/t</v>
      </c>
      <c r="H170" s="98"/>
      <c r="I170" s="18"/>
      <c r="J170" s="101"/>
      <c r="K170" s="18"/>
      <c r="L170" s="98">
        <f>F168*F170*'BDD FE'!$C$11/1000</f>
        <v>7.5600000000000001E-2</v>
      </c>
      <c r="M170" s="101"/>
      <c r="N170" s="98">
        <f>L170+M170</f>
        <v>7.5600000000000001E-2</v>
      </c>
      <c r="O170" s="98">
        <f>F168*F170*'BDD FE'!$F$11/1000</f>
        <v>3.0599999999999998E-3</v>
      </c>
      <c r="P170" s="98"/>
      <c r="Q170" s="98">
        <f>O170+P170</f>
        <v>3.0599999999999998E-3</v>
      </c>
      <c r="R170" s="127"/>
      <c r="S170" s="127"/>
      <c r="T170" s="98"/>
      <c r="U170" s="23"/>
    </row>
    <row r="171" spans="1:21" ht="13.8" thickBot="1">
      <c r="A171" s="19"/>
      <c r="B171" s="82"/>
      <c r="C171" s="20"/>
      <c r="D171" s="46" t="s">
        <v>144</v>
      </c>
      <c r="E171" s="82" t="str">
        <f>'BDD trait'!$C$24</f>
        <v>Diesel</v>
      </c>
      <c r="F171" s="40">
        <f>'BDD trait'!$D$24</f>
        <v>0.64600000000000002</v>
      </c>
      <c r="G171" s="20" t="str">
        <f>'BDD trait'!$E$24</f>
        <v>kg/t</v>
      </c>
      <c r="H171" s="40"/>
      <c r="I171" s="20"/>
      <c r="J171" s="102"/>
      <c r="K171" s="20"/>
      <c r="L171" s="40">
        <f>F168*F171*'BDD FE'!$C$9/1000</f>
        <v>7.9863688000000009E-3</v>
      </c>
      <c r="M171" s="102"/>
      <c r="N171" s="40">
        <f t="shared" ref="N171" si="48">L171+M171</f>
        <v>7.9863688000000009E-3</v>
      </c>
      <c r="O171" s="40">
        <f>F168*F171*'BDD FE'!$F$9/1000</f>
        <v>1.9965922000000002E-3</v>
      </c>
      <c r="P171" s="40"/>
      <c r="Q171" s="40">
        <f t="shared" ref="Q171" si="49">O171+P171</f>
        <v>1.9965922000000002E-3</v>
      </c>
      <c r="R171" s="131"/>
      <c r="S171" s="131"/>
      <c r="T171" s="40"/>
      <c r="U171" s="24"/>
    </row>
    <row r="172" spans="1:21" ht="13.8" thickBot="1">
      <c r="F172" s="31"/>
      <c r="H172" s="31"/>
      <c r="J172" s="103"/>
      <c r="L172" s="31"/>
      <c r="M172" s="103"/>
      <c r="N172" s="31"/>
      <c r="O172" s="31"/>
      <c r="P172" s="31"/>
      <c r="Q172" s="31"/>
      <c r="R172" s="128"/>
      <c r="S172" s="128"/>
      <c r="T172" s="31"/>
    </row>
    <row r="173" spans="1:21">
      <c r="A173" s="15"/>
      <c r="B173" s="80" t="s">
        <v>31</v>
      </c>
      <c r="C173" s="16" t="s">
        <v>36</v>
      </c>
      <c r="D173" s="16"/>
      <c r="E173" s="86"/>
      <c r="F173" s="109"/>
      <c r="G173" s="16"/>
      <c r="H173" s="109"/>
      <c r="I173" s="16"/>
      <c r="J173" s="100"/>
      <c r="K173" s="16"/>
      <c r="L173" s="109"/>
      <c r="M173" s="100"/>
      <c r="N173" s="109"/>
      <c r="O173" s="109"/>
      <c r="P173" s="109"/>
      <c r="Q173" s="109"/>
      <c r="R173" s="126"/>
      <c r="S173" s="126"/>
      <c r="T173" s="109"/>
      <c r="U173" s="22"/>
    </row>
    <row r="174" spans="1:21">
      <c r="A174" s="17"/>
      <c r="B174" s="81"/>
      <c r="C174" s="18"/>
      <c r="D174" s="18"/>
      <c r="E174" s="87" t="s">
        <v>152</v>
      </c>
      <c r="F174" s="110">
        <v>1</v>
      </c>
      <c r="G174" s="18" t="s">
        <v>20</v>
      </c>
      <c r="H174" s="98"/>
      <c r="I174" s="18"/>
      <c r="J174" s="101"/>
      <c r="K174" s="18"/>
      <c r="L174" s="98"/>
      <c r="M174" s="101"/>
      <c r="N174" s="98"/>
      <c r="O174" s="98"/>
      <c r="P174" s="98"/>
      <c r="Q174" s="98"/>
      <c r="R174" s="127"/>
      <c r="S174" s="127"/>
      <c r="T174" s="98"/>
      <c r="U174" s="76">
        <v>8</v>
      </c>
    </row>
    <row r="175" spans="1:21">
      <c r="A175" s="17"/>
      <c r="B175" s="81"/>
      <c r="C175" s="18"/>
      <c r="D175" s="18"/>
      <c r="E175" s="87" t="s">
        <v>153</v>
      </c>
      <c r="F175" s="111">
        <v>3</v>
      </c>
      <c r="G175" s="18" t="s">
        <v>20</v>
      </c>
      <c r="H175" s="98"/>
      <c r="I175" s="18"/>
      <c r="J175" s="101"/>
      <c r="K175" s="18"/>
      <c r="L175" s="98"/>
      <c r="M175" s="101"/>
      <c r="N175" s="98"/>
      <c r="O175" s="98"/>
      <c r="P175" s="98"/>
      <c r="Q175" s="98"/>
      <c r="R175" s="127"/>
      <c r="S175" s="127"/>
      <c r="T175" s="98"/>
      <c r="U175" s="23"/>
    </row>
    <row r="176" spans="1:21">
      <c r="A176" s="17"/>
      <c r="B176" s="81"/>
      <c r="C176" s="18"/>
      <c r="D176" s="27" t="s">
        <v>144</v>
      </c>
      <c r="E176" s="87" t="str">
        <f>'BDD trait'!$C$23</f>
        <v>Electricité</v>
      </c>
      <c r="F176" s="113">
        <f>'BDD trait'!$D$23</f>
        <v>30</v>
      </c>
      <c r="G176" s="27" t="str">
        <f>'BDD trait'!$E$23</f>
        <v>kWh/t</v>
      </c>
      <c r="H176" s="98"/>
      <c r="I176" s="18"/>
      <c r="J176" s="101"/>
      <c r="K176" s="18"/>
      <c r="L176" s="98">
        <f>F174*F176*'BDD FE'!$C$11/1000</f>
        <v>7.5600000000000001E-2</v>
      </c>
      <c r="M176" s="101"/>
      <c r="N176" s="98">
        <f>L176+M176</f>
        <v>7.5600000000000001E-2</v>
      </c>
      <c r="O176" s="98">
        <f>F174*F176*'BDD FE'!$F$11/1000</f>
        <v>3.0599999999999998E-3</v>
      </c>
      <c r="P176" s="98"/>
      <c r="Q176" s="98">
        <f>O176+P176</f>
        <v>3.0599999999999998E-3</v>
      </c>
      <c r="R176" s="127"/>
      <c r="S176" s="127"/>
      <c r="T176" s="98"/>
      <c r="U176" s="23"/>
    </row>
    <row r="177" spans="1:21" ht="13.8" thickBot="1">
      <c r="A177" s="19"/>
      <c r="B177" s="82"/>
      <c r="C177" s="20"/>
      <c r="D177" s="46" t="s">
        <v>144</v>
      </c>
      <c r="E177" s="82" t="str">
        <f>'BDD trait'!$C$24</f>
        <v>Diesel</v>
      </c>
      <c r="F177" s="40">
        <f>'BDD trait'!$D$24</f>
        <v>0.64600000000000002</v>
      </c>
      <c r="G177" s="20" t="str">
        <f>'BDD trait'!$E$24</f>
        <v>kg/t</v>
      </c>
      <c r="H177" s="40"/>
      <c r="I177" s="20"/>
      <c r="J177" s="102"/>
      <c r="K177" s="20"/>
      <c r="L177" s="40">
        <f>F174*F177*'BDD FE'!$C$9/1000</f>
        <v>7.9863688000000009E-3</v>
      </c>
      <c r="M177" s="102"/>
      <c r="N177" s="40">
        <f t="shared" ref="N177" si="50">L177+M177</f>
        <v>7.9863688000000009E-3</v>
      </c>
      <c r="O177" s="40">
        <f>F174*F177*'BDD FE'!$F$9/1000</f>
        <v>1.9965922000000002E-3</v>
      </c>
      <c r="P177" s="40"/>
      <c r="Q177" s="40">
        <f t="shared" ref="Q177" si="51">O177+P177</f>
        <v>1.9965922000000002E-3</v>
      </c>
      <c r="R177" s="131"/>
      <c r="S177" s="131"/>
      <c r="T177" s="40"/>
      <c r="U177" s="24"/>
    </row>
    <row r="178" spans="1:21" ht="13.8" thickBot="1">
      <c r="F178" s="31"/>
      <c r="H178" s="31"/>
      <c r="J178" s="103"/>
      <c r="L178" s="31"/>
      <c r="M178" s="103"/>
      <c r="N178" s="31"/>
      <c r="O178" s="31"/>
      <c r="P178" s="31"/>
      <c r="Q178" s="31"/>
      <c r="R178" s="128"/>
      <c r="S178" s="128"/>
      <c r="T178" s="31"/>
    </row>
    <row r="179" spans="1:21" ht="52.8">
      <c r="A179" s="15"/>
      <c r="B179" s="80" t="s">
        <v>32</v>
      </c>
      <c r="C179" s="16" t="s">
        <v>36</v>
      </c>
      <c r="D179" s="16"/>
      <c r="E179" s="86"/>
      <c r="F179" s="109"/>
      <c r="G179" s="16"/>
      <c r="H179" s="109"/>
      <c r="I179" s="16"/>
      <c r="J179" s="100"/>
      <c r="K179" s="16"/>
      <c r="L179" s="109"/>
      <c r="M179" s="100"/>
      <c r="N179" s="109"/>
      <c r="O179" s="109"/>
      <c r="P179" s="109"/>
      <c r="Q179" s="109"/>
      <c r="R179" s="126"/>
      <c r="S179" s="126"/>
      <c r="T179" s="109"/>
      <c r="U179" s="22"/>
    </row>
    <row r="180" spans="1:21">
      <c r="A180" s="17"/>
      <c r="B180" s="81"/>
      <c r="C180" s="18"/>
      <c r="D180" s="18"/>
      <c r="E180" s="87" t="s">
        <v>152</v>
      </c>
      <c r="F180" s="110">
        <v>1</v>
      </c>
      <c r="G180" s="18" t="s">
        <v>20</v>
      </c>
      <c r="H180" s="98"/>
      <c r="I180" s="18"/>
      <c r="J180" s="101"/>
      <c r="K180" s="18"/>
      <c r="L180" s="98"/>
      <c r="M180" s="101"/>
      <c r="N180" s="98"/>
      <c r="O180" s="98"/>
      <c r="P180" s="98"/>
      <c r="Q180" s="98"/>
      <c r="R180" s="127"/>
      <c r="S180" s="127"/>
      <c r="T180" s="98"/>
      <c r="U180" s="76">
        <v>8</v>
      </c>
    </row>
    <row r="181" spans="1:21">
      <c r="A181" s="17"/>
      <c r="B181" s="81"/>
      <c r="C181" s="18"/>
      <c r="D181" s="18"/>
      <c r="E181" s="87" t="s">
        <v>153</v>
      </c>
      <c r="F181" s="111">
        <v>3</v>
      </c>
      <c r="G181" s="18" t="s">
        <v>20</v>
      </c>
      <c r="H181" s="98"/>
      <c r="I181" s="18"/>
      <c r="J181" s="101"/>
      <c r="K181" s="18"/>
      <c r="L181" s="98"/>
      <c r="M181" s="101"/>
      <c r="N181" s="98"/>
      <c r="O181" s="98"/>
      <c r="P181" s="98"/>
      <c r="Q181" s="98"/>
      <c r="R181" s="127"/>
      <c r="S181" s="127"/>
      <c r="T181" s="98"/>
      <c r="U181" s="23"/>
    </row>
    <row r="182" spans="1:21">
      <c r="A182" s="17"/>
      <c r="B182" s="81"/>
      <c r="C182" s="18"/>
      <c r="D182" s="27" t="s">
        <v>144</v>
      </c>
      <c r="E182" s="87" t="str">
        <f>'BDD trait'!$C$23</f>
        <v>Electricité</v>
      </c>
      <c r="F182" s="113">
        <f>'BDD trait'!$D$23</f>
        <v>30</v>
      </c>
      <c r="G182" s="27" t="str">
        <f>'BDD trait'!$E$23</f>
        <v>kWh/t</v>
      </c>
      <c r="H182" s="98"/>
      <c r="I182" s="18"/>
      <c r="J182" s="101"/>
      <c r="K182" s="18"/>
      <c r="L182" s="98">
        <f>F180*F182*'BDD FE'!$C$11/1000</f>
        <v>7.5600000000000001E-2</v>
      </c>
      <c r="M182" s="101"/>
      <c r="N182" s="98">
        <f>L182+M182</f>
        <v>7.5600000000000001E-2</v>
      </c>
      <c r="O182" s="98">
        <f>F180*F182*'BDD FE'!$F$11/1000</f>
        <v>3.0599999999999998E-3</v>
      </c>
      <c r="P182" s="98"/>
      <c r="Q182" s="98">
        <f>O182+P182</f>
        <v>3.0599999999999998E-3</v>
      </c>
      <c r="R182" s="127"/>
      <c r="S182" s="127"/>
      <c r="T182" s="98"/>
      <c r="U182" s="23"/>
    </row>
    <row r="183" spans="1:21" ht="13.8" thickBot="1">
      <c r="A183" s="19"/>
      <c r="B183" s="82"/>
      <c r="C183" s="20"/>
      <c r="D183" s="46" t="s">
        <v>144</v>
      </c>
      <c r="E183" s="82" t="str">
        <f>'BDD trait'!$C$24</f>
        <v>Diesel</v>
      </c>
      <c r="F183" s="40">
        <f>'BDD trait'!$D$24</f>
        <v>0.64600000000000002</v>
      </c>
      <c r="G183" s="20" t="str">
        <f>'BDD trait'!$E$24</f>
        <v>kg/t</v>
      </c>
      <c r="H183" s="40"/>
      <c r="I183" s="20"/>
      <c r="J183" s="102"/>
      <c r="K183" s="20"/>
      <c r="L183" s="40">
        <f>F180*F183*'BDD FE'!$C$9/1000</f>
        <v>7.9863688000000009E-3</v>
      </c>
      <c r="M183" s="102"/>
      <c r="N183" s="40">
        <f t="shared" ref="N183" si="52">L183+M183</f>
        <v>7.9863688000000009E-3</v>
      </c>
      <c r="O183" s="40">
        <f>F180*F183*'BDD FE'!$F$9/1000</f>
        <v>1.9965922000000002E-3</v>
      </c>
      <c r="P183" s="40"/>
      <c r="Q183" s="40">
        <f t="shared" ref="Q183" si="53">O183+P183</f>
        <v>1.9965922000000002E-3</v>
      </c>
      <c r="R183" s="131"/>
      <c r="S183" s="131"/>
      <c r="T183" s="40"/>
      <c r="U183" s="24"/>
    </row>
    <row r="184" spans="1:21" ht="13.8" thickBot="1">
      <c r="F184" s="31"/>
      <c r="H184" s="31"/>
      <c r="J184" s="103"/>
      <c r="L184" s="31"/>
      <c r="M184" s="103"/>
      <c r="N184" s="31"/>
      <c r="O184" s="31"/>
      <c r="P184" s="31"/>
      <c r="Q184" s="31"/>
      <c r="R184" s="128"/>
      <c r="S184" s="128"/>
      <c r="T184" s="31"/>
    </row>
    <row r="185" spans="1:21" ht="26.4">
      <c r="A185" s="15"/>
      <c r="B185" s="80" t="s">
        <v>29</v>
      </c>
      <c r="C185" s="16" t="s">
        <v>64</v>
      </c>
      <c r="D185" s="16"/>
      <c r="E185" s="86"/>
      <c r="F185" s="109"/>
      <c r="G185" s="16"/>
      <c r="H185" s="109"/>
      <c r="I185" s="16"/>
      <c r="J185" s="100"/>
      <c r="K185" s="16"/>
      <c r="L185" s="109"/>
      <c r="M185" s="100"/>
      <c r="N185" s="109"/>
      <c r="O185" s="109"/>
      <c r="P185" s="109"/>
      <c r="Q185" s="109"/>
      <c r="R185" s="126"/>
      <c r="S185" s="126"/>
      <c r="T185" s="109"/>
      <c r="U185" s="22"/>
    </row>
    <row r="186" spans="1:21">
      <c r="A186" s="17"/>
      <c r="B186" s="81"/>
      <c r="C186" s="18"/>
      <c r="D186" s="18"/>
      <c r="E186" s="87" t="s">
        <v>152</v>
      </c>
      <c r="F186" s="110">
        <v>1</v>
      </c>
      <c r="G186" s="18" t="s">
        <v>20</v>
      </c>
      <c r="H186" s="98"/>
      <c r="I186" s="18"/>
      <c r="J186" s="101"/>
      <c r="K186" s="18"/>
      <c r="L186" s="98"/>
      <c r="M186" s="101"/>
      <c r="N186" s="98"/>
      <c r="O186" s="98"/>
      <c r="P186" s="98"/>
      <c r="Q186" s="98"/>
      <c r="R186" s="127"/>
      <c r="S186" s="127"/>
      <c r="T186" s="98"/>
      <c r="U186" s="76">
        <v>8</v>
      </c>
    </row>
    <row r="187" spans="1:21">
      <c r="A187" s="17"/>
      <c r="B187" s="81"/>
      <c r="C187" s="18"/>
      <c r="D187" s="18"/>
      <c r="E187" s="87" t="s">
        <v>153</v>
      </c>
      <c r="F187" s="111">
        <v>3</v>
      </c>
      <c r="G187" s="18" t="s">
        <v>20</v>
      </c>
      <c r="H187" s="98"/>
      <c r="I187" s="18"/>
      <c r="J187" s="101"/>
      <c r="K187" s="18"/>
      <c r="L187" s="98"/>
      <c r="M187" s="101"/>
      <c r="N187" s="98"/>
      <c r="O187" s="98"/>
      <c r="P187" s="98"/>
      <c r="Q187" s="98"/>
      <c r="R187" s="127"/>
      <c r="S187" s="127"/>
      <c r="T187" s="98"/>
      <c r="U187" s="23"/>
    </row>
    <row r="188" spans="1:21" ht="26.4">
      <c r="A188" s="17"/>
      <c r="B188" s="81"/>
      <c r="C188" s="18"/>
      <c r="D188" s="18"/>
      <c r="E188" s="87" t="s">
        <v>271</v>
      </c>
      <c r="F188" s="116">
        <v>6</v>
      </c>
      <c r="G188" s="27" t="s">
        <v>234</v>
      </c>
      <c r="H188" s="98"/>
      <c r="I188" s="18"/>
      <c r="J188" s="101"/>
      <c r="K188" s="18"/>
      <c r="L188" s="98"/>
      <c r="M188" s="101"/>
      <c r="N188" s="98"/>
      <c r="O188" s="98"/>
      <c r="P188" s="98"/>
      <c r="Q188" s="98"/>
      <c r="R188" s="127"/>
      <c r="S188" s="127"/>
      <c r="T188" s="98"/>
      <c r="U188" s="23"/>
    </row>
    <row r="189" spans="1:21">
      <c r="A189" s="17"/>
      <c r="B189" s="81"/>
      <c r="C189" s="18"/>
      <c r="D189" s="27" t="s">
        <v>144</v>
      </c>
      <c r="E189" s="87" t="str">
        <f>'BDD trait'!$C$25</f>
        <v>Electricité</v>
      </c>
      <c r="F189" s="113">
        <f>'BDD trait'!$D$25</f>
        <v>18.5</v>
      </c>
      <c r="G189" s="27" t="str">
        <f>'BDD trait'!$E$25</f>
        <v>kWh/t</v>
      </c>
      <c r="H189" s="98"/>
      <c r="I189" s="18"/>
      <c r="J189" s="101"/>
      <c r="K189" s="18"/>
      <c r="L189" s="98">
        <f>F186*F189*'BDD FE'!$C$11/1000</f>
        <v>4.6619999999999995E-2</v>
      </c>
      <c r="M189" s="101"/>
      <c r="N189" s="98">
        <f>L189+M189</f>
        <v>4.6619999999999995E-2</v>
      </c>
      <c r="O189" s="98">
        <f>F186*F189*'BDD FE'!$F$11/1000</f>
        <v>1.8869999999999998E-3</v>
      </c>
      <c r="P189" s="98"/>
      <c r="Q189" s="98">
        <f>O189+P189</f>
        <v>1.8869999999999998E-3</v>
      </c>
      <c r="R189" s="127"/>
      <c r="S189" s="127"/>
      <c r="T189" s="98"/>
      <c r="U189" s="23"/>
    </row>
    <row r="190" spans="1:21">
      <c r="A190" s="17"/>
      <c r="B190" s="81"/>
      <c r="C190" s="18"/>
      <c r="D190" s="27" t="s">
        <v>144</v>
      </c>
      <c r="E190" s="87" t="str">
        <f>'BDD trait'!$C$26</f>
        <v>Surfactant</v>
      </c>
      <c r="F190" s="113">
        <f>'BDD trait'!$D$26</f>
        <v>0.6</v>
      </c>
      <c r="G190" s="27" t="str">
        <f>'BDD trait'!$E$26</f>
        <v>kg/t</v>
      </c>
      <c r="H190" s="98"/>
      <c r="I190" s="18"/>
      <c r="J190" s="101"/>
      <c r="K190" s="18"/>
      <c r="L190" s="98">
        <f>F186*F190*'BDD FE'!$C$19/1000</f>
        <v>6.9666666666666653E-3</v>
      </c>
      <c r="M190" s="101"/>
      <c r="N190" s="98">
        <f>L190+M190</f>
        <v>6.9666666666666653E-3</v>
      </c>
      <c r="O190" s="98">
        <f>F186*F190*'BDD FE'!$F$19/1000</f>
        <v>3.6959999999999998E-4</v>
      </c>
      <c r="P190" s="98"/>
      <c r="Q190" s="98">
        <f>O190+P190</f>
        <v>3.6959999999999998E-4</v>
      </c>
      <c r="R190" s="127"/>
      <c r="S190" s="127"/>
      <c r="T190" s="98"/>
      <c r="U190" s="23"/>
    </row>
    <row r="191" spans="1:21">
      <c r="A191" s="17"/>
      <c r="B191" s="81"/>
      <c r="C191" s="18"/>
      <c r="D191" s="27" t="s">
        <v>144</v>
      </c>
      <c r="E191" s="87" t="str">
        <f>'BDD trait'!$C$27</f>
        <v>Eau</v>
      </c>
      <c r="F191" s="113">
        <f>'BDD trait'!$D$27</f>
        <v>1</v>
      </c>
      <c r="G191" s="27" t="str">
        <f>'BDD trait'!$E$27</f>
        <v>m3/t</v>
      </c>
      <c r="H191" s="98"/>
      <c r="I191" s="18"/>
      <c r="J191" s="101"/>
      <c r="K191" s="18"/>
      <c r="L191" s="98">
        <f>F186*F191*'BDD FE'!$C$10/1000</f>
        <v>7.6588235294117648E-3</v>
      </c>
      <c r="M191" s="101"/>
      <c r="N191" s="98">
        <f>L191+M191</f>
        <v>7.6588235294117648E-3</v>
      </c>
      <c r="O191" s="98">
        <f>F186*F191*'BDD FE'!$F$10/1000</f>
        <v>3.1E-4</v>
      </c>
      <c r="P191" s="98"/>
      <c r="Q191" s="98">
        <f>O191+P191</f>
        <v>3.1E-4</v>
      </c>
      <c r="R191" s="127"/>
      <c r="S191" s="127"/>
      <c r="T191" s="98"/>
      <c r="U191" s="23"/>
    </row>
    <row r="192" spans="1:21" ht="27" thickBot="1">
      <c r="A192" s="19"/>
      <c r="B192" s="82"/>
      <c r="C192" s="20"/>
      <c r="D192" s="46" t="s">
        <v>145</v>
      </c>
      <c r="E192" s="82" t="str">
        <f>'BDD trait'!$C$28</f>
        <v>Gâteau avec fines</v>
      </c>
      <c r="F192" s="40"/>
      <c r="G192" s="20"/>
      <c r="H192" s="40">
        <f>'BDD trait'!$G$28</f>
        <v>2</v>
      </c>
      <c r="I192" s="20" t="str">
        <f>'BDD trait'!$H$28</f>
        <v>t/t fines</v>
      </c>
      <c r="J192" s="102"/>
      <c r="K192" s="20"/>
      <c r="L192" s="123">
        <f>F186*F188*H192*'BDD FE'!$C$33</f>
        <v>0.23734701176470591</v>
      </c>
      <c r="M192" s="104"/>
      <c r="N192" s="123">
        <f t="shared" ref="N192" si="54">L192+M192</f>
        <v>0.23734701176470591</v>
      </c>
      <c r="O192" s="123">
        <f>F186*F188*H192*'BDD FE'!$F$33</f>
        <v>0.23734701176470591</v>
      </c>
      <c r="P192" s="123"/>
      <c r="Q192" s="123">
        <f t="shared" ref="Q192" si="55">O192+P192</f>
        <v>0.23734701176470591</v>
      </c>
      <c r="R192" s="131">
        <f>F186*F188*H192/100</f>
        <v>0.12</v>
      </c>
      <c r="S192" s="131"/>
      <c r="T192" s="40">
        <f>R192+S192</f>
        <v>0.12</v>
      </c>
      <c r="U192" s="78" t="s">
        <v>280</v>
      </c>
    </row>
    <row r="193" spans="1:21" ht="13.8" thickBot="1">
      <c r="F193" s="31"/>
      <c r="H193" s="31"/>
      <c r="J193" s="103"/>
      <c r="L193" s="112"/>
      <c r="M193" s="105"/>
      <c r="N193" s="112"/>
      <c r="O193" s="112"/>
      <c r="P193" s="112"/>
      <c r="Q193" s="112"/>
      <c r="R193" s="128"/>
      <c r="S193" s="128"/>
      <c r="T193" s="31"/>
    </row>
    <row r="194" spans="1:21">
      <c r="A194" s="15"/>
      <c r="B194" s="80" t="s">
        <v>30</v>
      </c>
      <c r="C194" s="16" t="s">
        <v>64</v>
      </c>
      <c r="D194" s="16"/>
      <c r="E194" s="86"/>
      <c r="F194" s="109"/>
      <c r="G194" s="16"/>
      <c r="H194" s="109"/>
      <c r="I194" s="16"/>
      <c r="J194" s="100"/>
      <c r="K194" s="16"/>
      <c r="L194" s="117"/>
      <c r="M194" s="106"/>
      <c r="N194" s="117"/>
      <c r="O194" s="117"/>
      <c r="P194" s="117"/>
      <c r="Q194" s="117"/>
      <c r="R194" s="126"/>
      <c r="S194" s="126"/>
      <c r="T194" s="109"/>
      <c r="U194" s="22"/>
    </row>
    <row r="195" spans="1:21">
      <c r="A195" s="17"/>
      <c r="B195" s="81"/>
      <c r="C195" s="18"/>
      <c r="D195" s="18"/>
      <c r="E195" s="87" t="s">
        <v>152</v>
      </c>
      <c r="F195" s="110">
        <v>1</v>
      </c>
      <c r="G195" s="18" t="s">
        <v>20</v>
      </c>
      <c r="H195" s="98"/>
      <c r="I195" s="18"/>
      <c r="J195" s="101"/>
      <c r="K195" s="18"/>
      <c r="L195" s="118"/>
      <c r="M195" s="107"/>
      <c r="N195" s="118"/>
      <c r="O195" s="118"/>
      <c r="P195" s="118"/>
      <c r="Q195" s="118"/>
      <c r="R195" s="127"/>
      <c r="S195" s="127"/>
      <c r="T195" s="98"/>
      <c r="U195" s="76">
        <v>8</v>
      </c>
    </row>
    <row r="196" spans="1:21">
      <c r="A196" s="17"/>
      <c r="B196" s="81"/>
      <c r="C196" s="18"/>
      <c r="D196" s="18"/>
      <c r="E196" s="87" t="s">
        <v>153</v>
      </c>
      <c r="F196" s="111">
        <v>3</v>
      </c>
      <c r="G196" s="18" t="s">
        <v>20</v>
      </c>
      <c r="H196" s="98"/>
      <c r="I196" s="18"/>
      <c r="J196" s="101"/>
      <c r="K196" s="18"/>
      <c r="L196" s="118"/>
      <c r="M196" s="107"/>
      <c r="N196" s="118"/>
      <c r="O196" s="118"/>
      <c r="P196" s="118"/>
      <c r="Q196" s="118"/>
      <c r="R196" s="127"/>
      <c r="S196" s="127"/>
      <c r="T196" s="98"/>
      <c r="U196" s="23"/>
    </row>
    <row r="197" spans="1:21" ht="26.4">
      <c r="A197" s="17"/>
      <c r="B197" s="81"/>
      <c r="C197" s="18"/>
      <c r="D197" s="18"/>
      <c r="E197" s="87" t="s">
        <v>271</v>
      </c>
      <c r="F197" s="116">
        <v>6</v>
      </c>
      <c r="G197" s="27" t="s">
        <v>234</v>
      </c>
      <c r="H197" s="98"/>
      <c r="I197" s="18"/>
      <c r="J197" s="101"/>
      <c r="K197" s="18"/>
      <c r="L197" s="118"/>
      <c r="M197" s="107"/>
      <c r="N197" s="118"/>
      <c r="O197" s="118"/>
      <c r="P197" s="118"/>
      <c r="Q197" s="118"/>
      <c r="R197" s="127"/>
      <c r="S197" s="127"/>
      <c r="T197" s="98"/>
      <c r="U197" s="23"/>
    </row>
    <row r="198" spans="1:21">
      <c r="A198" s="17"/>
      <c r="B198" s="81"/>
      <c r="C198" s="18"/>
      <c r="D198" s="27" t="s">
        <v>144</v>
      </c>
      <c r="E198" s="87" t="str">
        <f>'BDD trait'!$C$25</f>
        <v>Electricité</v>
      </c>
      <c r="F198" s="113">
        <f>'BDD trait'!$D$25</f>
        <v>18.5</v>
      </c>
      <c r="G198" s="27" t="str">
        <f>'BDD trait'!$E$25</f>
        <v>kWh/t</v>
      </c>
      <c r="H198" s="98"/>
      <c r="I198" s="18"/>
      <c r="J198" s="101"/>
      <c r="K198" s="18"/>
      <c r="L198" s="118">
        <f>F195*F198*'BDD FE'!$C$11/1000</f>
        <v>4.6619999999999995E-2</v>
      </c>
      <c r="M198" s="107"/>
      <c r="N198" s="118">
        <f>L198+M198</f>
        <v>4.6619999999999995E-2</v>
      </c>
      <c r="O198" s="118">
        <f>F195*F198*'BDD FE'!$F$11/1000</f>
        <v>1.8869999999999998E-3</v>
      </c>
      <c r="P198" s="118"/>
      <c r="Q198" s="118">
        <f>O198+P198</f>
        <v>1.8869999999999998E-3</v>
      </c>
      <c r="R198" s="127"/>
      <c r="S198" s="127"/>
      <c r="T198" s="98"/>
      <c r="U198" s="23"/>
    </row>
    <row r="199" spans="1:21">
      <c r="A199" s="17"/>
      <c r="B199" s="81"/>
      <c r="C199" s="18"/>
      <c r="D199" s="27" t="s">
        <v>144</v>
      </c>
      <c r="E199" s="87" t="str">
        <f>'BDD trait'!$C$26</f>
        <v>Surfactant</v>
      </c>
      <c r="F199" s="113">
        <f>'BDD trait'!$D$26</f>
        <v>0.6</v>
      </c>
      <c r="G199" s="27" t="str">
        <f>'BDD trait'!$E$26</f>
        <v>kg/t</v>
      </c>
      <c r="H199" s="98"/>
      <c r="I199" s="18"/>
      <c r="J199" s="101"/>
      <c r="K199" s="18"/>
      <c r="L199" s="118">
        <f>F195*F199*'BDD FE'!$C$19/1000</f>
        <v>6.9666666666666653E-3</v>
      </c>
      <c r="M199" s="107"/>
      <c r="N199" s="118">
        <f>L199+M199</f>
        <v>6.9666666666666653E-3</v>
      </c>
      <c r="O199" s="118">
        <f>F195*F199*'BDD FE'!$F$19/1000</f>
        <v>3.6959999999999998E-4</v>
      </c>
      <c r="P199" s="118"/>
      <c r="Q199" s="118">
        <f>O199+P199</f>
        <v>3.6959999999999998E-4</v>
      </c>
      <c r="R199" s="127"/>
      <c r="S199" s="127"/>
      <c r="T199" s="98"/>
      <c r="U199" s="23"/>
    </row>
    <row r="200" spans="1:21">
      <c r="A200" s="17"/>
      <c r="B200" s="81"/>
      <c r="C200" s="18"/>
      <c r="D200" s="27" t="s">
        <v>144</v>
      </c>
      <c r="E200" s="87" t="str">
        <f>'BDD trait'!$C$27</f>
        <v>Eau</v>
      </c>
      <c r="F200" s="113">
        <f>'BDD trait'!$D$27</f>
        <v>1</v>
      </c>
      <c r="G200" s="27" t="str">
        <f>'BDD trait'!$E$27</f>
        <v>m3/t</v>
      </c>
      <c r="H200" s="98"/>
      <c r="I200" s="18"/>
      <c r="J200" s="101"/>
      <c r="K200" s="18"/>
      <c r="L200" s="118">
        <f>F195*F200*'BDD FE'!$C$10/1000</f>
        <v>7.6588235294117648E-3</v>
      </c>
      <c r="M200" s="107"/>
      <c r="N200" s="118">
        <f>L200+M200</f>
        <v>7.6588235294117648E-3</v>
      </c>
      <c r="O200" s="118">
        <f>F195*F200*'BDD FE'!$F$10/1000</f>
        <v>3.1E-4</v>
      </c>
      <c r="P200" s="118"/>
      <c r="Q200" s="118">
        <f>O200+P200</f>
        <v>3.1E-4</v>
      </c>
      <c r="R200" s="127"/>
      <c r="S200" s="127"/>
      <c r="T200" s="98"/>
      <c r="U200" s="23"/>
    </row>
    <row r="201" spans="1:21" ht="27" thickBot="1">
      <c r="A201" s="19"/>
      <c r="B201" s="82"/>
      <c r="C201" s="20"/>
      <c r="D201" s="46" t="s">
        <v>145</v>
      </c>
      <c r="E201" s="82" t="str">
        <f>'BDD trait'!$C$28</f>
        <v>Gâteau avec fines</v>
      </c>
      <c r="F201" s="40"/>
      <c r="G201" s="20"/>
      <c r="H201" s="40">
        <f>'BDD trait'!$G$28</f>
        <v>2</v>
      </c>
      <c r="I201" s="20" t="str">
        <f>'BDD trait'!$H$28</f>
        <v>t/t fines</v>
      </c>
      <c r="J201" s="102"/>
      <c r="K201" s="20"/>
      <c r="L201" s="123">
        <f>F195*F197*H201*'BDD FE'!$C$33</f>
        <v>0.23734701176470591</v>
      </c>
      <c r="M201" s="104"/>
      <c r="N201" s="123">
        <f t="shared" ref="N201" si="56">L201+M201</f>
        <v>0.23734701176470591</v>
      </c>
      <c r="O201" s="123">
        <f>F195*F197*H201*'BDD FE'!$F$33</f>
        <v>0.23734701176470591</v>
      </c>
      <c r="P201" s="123"/>
      <c r="Q201" s="123">
        <f t="shared" ref="Q201" si="57">O201+P201</f>
        <v>0.23734701176470591</v>
      </c>
      <c r="R201" s="131">
        <f>F195*F197*H201/100</f>
        <v>0.12</v>
      </c>
      <c r="S201" s="131"/>
      <c r="T201" s="40">
        <f>R201+S201</f>
        <v>0.12</v>
      </c>
      <c r="U201" s="78" t="s">
        <v>280</v>
      </c>
    </row>
    <row r="202" spans="1:21" ht="13.8" thickBot="1">
      <c r="F202" s="31"/>
      <c r="H202" s="31"/>
      <c r="J202" s="103"/>
      <c r="L202" s="112"/>
      <c r="M202" s="105"/>
      <c r="N202" s="112"/>
      <c r="O202" s="112"/>
      <c r="P202" s="112"/>
      <c r="Q202" s="112"/>
      <c r="R202" s="128"/>
      <c r="S202" s="128"/>
      <c r="T202" s="31"/>
    </row>
    <row r="203" spans="1:21">
      <c r="A203" s="15"/>
      <c r="B203" s="80" t="s">
        <v>31</v>
      </c>
      <c r="C203" s="16" t="s">
        <v>64</v>
      </c>
      <c r="D203" s="16"/>
      <c r="E203" s="86"/>
      <c r="F203" s="109"/>
      <c r="G203" s="16"/>
      <c r="H203" s="109"/>
      <c r="I203" s="16"/>
      <c r="J203" s="100"/>
      <c r="K203" s="16"/>
      <c r="L203" s="117"/>
      <c r="M203" s="106"/>
      <c r="N203" s="117"/>
      <c r="O203" s="117"/>
      <c r="P203" s="117"/>
      <c r="Q203" s="117"/>
      <c r="R203" s="126"/>
      <c r="S203" s="126"/>
      <c r="T203" s="109"/>
      <c r="U203" s="22"/>
    </row>
    <row r="204" spans="1:21">
      <c r="A204" s="17"/>
      <c r="B204" s="81"/>
      <c r="C204" s="18"/>
      <c r="D204" s="18"/>
      <c r="E204" s="87" t="s">
        <v>152</v>
      </c>
      <c r="F204" s="110">
        <v>1</v>
      </c>
      <c r="G204" s="18" t="s">
        <v>20</v>
      </c>
      <c r="H204" s="98"/>
      <c r="I204" s="18"/>
      <c r="J204" s="101"/>
      <c r="K204" s="18"/>
      <c r="L204" s="118"/>
      <c r="M204" s="107"/>
      <c r="N204" s="118"/>
      <c r="O204" s="118"/>
      <c r="P204" s="118"/>
      <c r="Q204" s="118"/>
      <c r="R204" s="127"/>
      <c r="S204" s="127"/>
      <c r="T204" s="98"/>
      <c r="U204" s="76">
        <v>8</v>
      </c>
    </row>
    <row r="205" spans="1:21">
      <c r="A205" s="17"/>
      <c r="B205" s="81"/>
      <c r="C205" s="18"/>
      <c r="D205" s="18"/>
      <c r="E205" s="87" t="s">
        <v>153</v>
      </c>
      <c r="F205" s="111">
        <v>3</v>
      </c>
      <c r="G205" s="18" t="s">
        <v>20</v>
      </c>
      <c r="H205" s="98"/>
      <c r="I205" s="18"/>
      <c r="J205" s="101"/>
      <c r="K205" s="18"/>
      <c r="L205" s="118"/>
      <c r="M205" s="107"/>
      <c r="N205" s="118"/>
      <c r="O205" s="118"/>
      <c r="P205" s="118"/>
      <c r="Q205" s="118"/>
      <c r="R205" s="127"/>
      <c r="S205" s="127"/>
      <c r="T205" s="98"/>
      <c r="U205" s="23"/>
    </row>
    <row r="206" spans="1:21" ht="26.4">
      <c r="A206" s="17"/>
      <c r="B206" s="81"/>
      <c r="C206" s="18"/>
      <c r="D206" s="18"/>
      <c r="E206" s="87" t="s">
        <v>271</v>
      </c>
      <c r="F206" s="116">
        <v>6</v>
      </c>
      <c r="G206" s="27" t="s">
        <v>234</v>
      </c>
      <c r="H206" s="98"/>
      <c r="I206" s="18"/>
      <c r="J206" s="101"/>
      <c r="K206" s="18"/>
      <c r="L206" s="118"/>
      <c r="M206" s="107"/>
      <c r="N206" s="118"/>
      <c r="O206" s="118"/>
      <c r="P206" s="118"/>
      <c r="Q206" s="118"/>
      <c r="R206" s="127"/>
      <c r="S206" s="127"/>
      <c r="T206" s="98"/>
      <c r="U206" s="23"/>
    </row>
    <row r="207" spans="1:21">
      <c r="A207" s="17"/>
      <c r="B207" s="81"/>
      <c r="C207" s="18"/>
      <c r="D207" s="27" t="s">
        <v>144</v>
      </c>
      <c r="E207" s="87" t="str">
        <f>'BDD trait'!$C$25</f>
        <v>Electricité</v>
      </c>
      <c r="F207" s="113">
        <f>'BDD trait'!$D$25</f>
        <v>18.5</v>
      </c>
      <c r="G207" s="27" t="str">
        <f>'BDD trait'!$E$25</f>
        <v>kWh/t</v>
      </c>
      <c r="H207" s="98"/>
      <c r="I207" s="18"/>
      <c r="J207" s="101"/>
      <c r="K207" s="18"/>
      <c r="L207" s="118">
        <f>F204*F207*'BDD FE'!$C$11/1000</f>
        <v>4.6619999999999995E-2</v>
      </c>
      <c r="M207" s="107"/>
      <c r="N207" s="118">
        <f>L207+M207</f>
        <v>4.6619999999999995E-2</v>
      </c>
      <c r="O207" s="118">
        <f>F204*F207*'BDD FE'!$F$11/1000</f>
        <v>1.8869999999999998E-3</v>
      </c>
      <c r="P207" s="118"/>
      <c r="Q207" s="118">
        <f>O207+P207</f>
        <v>1.8869999999999998E-3</v>
      </c>
      <c r="R207" s="127"/>
      <c r="S207" s="127"/>
      <c r="T207" s="98"/>
      <c r="U207" s="23"/>
    </row>
    <row r="208" spans="1:21">
      <c r="A208" s="17"/>
      <c r="B208" s="81"/>
      <c r="C208" s="18"/>
      <c r="D208" s="27" t="s">
        <v>144</v>
      </c>
      <c r="E208" s="87" t="str">
        <f>'BDD trait'!$C$26</f>
        <v>Surfactant</v>
      </c>
      <c r="F208" s="113">
        <f>'BDD trait'!$D$26</f>
        <v>0.6</v>
      </c>
      <c r="G208" s="27" t="str">
        <f>'BDD trait'!$E$26</f>
        <v>kg/t</v>
      </c>
      <c r="H208" s="98"/>
      <c r="I208" s="18"/>
      <c r="J208" s="101"/>
      <c r="K208" s="18"/>
      <c r="L208" s="118">
        <f>F204*F208*'BDD FE'!$C$19/1000</f>
        <v>6.9666666666666653E-3</v>
      </c>
      <c r="M208" s="107"/>
      <c r="N208" s="118">
        <f>L208+M208</f>
        <v>6.9666666666666653E-3</v>
      </c>
      <c r="O208" s="118">
        <f>F204*F208*'BDD FE'!$F$19/1000</f>
        <v>3.6959999999999998E-4</v>
      </c>
      <c r="P208" s="118"/>
      <c r="Q208" s="118">
        <f>O208+P208</f>
        <v>3.6959999999999998E-4</v>
      </c>
      <c r="R208" s="127"/>
      <c r="S208" s="127"/>
      <c r="T208" s="98"/>
      <c r="U208" s="23"/>
    </row>
    <row r="209" spans="1:21">
      <c r="A209" s="17"/>
      <c r="B209" s="81"/>
      <c r="C209" s="18"/>
      <c r="D209" s="27" t="s">
        <v>144</v>
      </c>
      <c r="E209" s="87" t="str">
        <f>'BDD trait'!$C$27</f>
        <v>Eau</v>
      </c>
      <c r="F209" s="113">
        <f>'BDD trait'!$D$27</f>
        <v>1</v>
      </c>
      <c r="G209" s="27" t="str">
        <f>'BDD trait'!$E$27</f>
        <v>m3/t</v>
      </c>
      <c r="H209" s="98"/>
      <c r="I209" s="18"/>
      <c r="J209" s="101"/>
      <c r="K209" s="18"/>
      <c r="L209" s="118">
        <f>F204*F209*'BDD FE'!$C$10/1000</f>
        <v>7.6588235294117648E-3</v>
      </c>
      <c r="M209" s="107"/>
      <c r="N209" s="118">
        <f>L209+M209</f>
        <v>7.6588235294117648E-3</v>
      </c>
      <c r="O209" s="118">
        <f>F204*F209*'BDD FE'!$F$10/1000</f>
        <v>3.1E-4</v>
      </c>
      <c r="P209" s="118"/>
      <c r="Q209" s="118">
        <f>O209+P209</f>
        <v>3.1E-4</v>
      </c>
      <c r="R209" s="127"/>
      <c r="S209" s="127"/>
      <c r="T209" s="98"/>
      <c r="U209" s="23"/>
    </row>
    <row r="210" spans="1:21" ht="27" thickBot="1">
      <c r="A210" s="19"/>
      <c r="B210" s="82"/>
      <c r="C210" s="20"/>
      <c r="D210" s="46" t="s">
        <v>145</v>
      </c>
      <c r="E210" s="82" t="str">
        <f>'BDD trait'!$C$28</f>
        <v>Gâteau avec fines</v>
      </c>
      <c r="F210" s="40"/>
      <c r="G210" s="20"/>
      <c r="H210" s="40">
        <f>'BDD trait'!$G$28</f>
        <v>2</v>
      </c>
      <c r="I210" s="20" t="str">
        <f>'BDD trait'!$H$28</f>
        <v>t/t fines</v>
      </c>
      <c r="J210" s="102"/>
      <c r="K210" s="20"/>
      <c r="L210" s="123">
        <f>F204*F206*H210*'BDD FE'!$C$33</f>
        <v>0.23734701176470591</v>
      </c>
      <c r="M210" s="104"/>
      <c r="N210" s="123">
        <f t="shared" ref="N210" si="58">L210+M210</f>
        <v>0.23734701176470591</v>
      </c>
      <c r="O210" s="123">
        <f>F204*F206*H210*'BDD FE'!$F$33</f>
        <v>0.23734701176470591</v>
      </c>
      <c r="P210" s="123"/>
      <c r="Q210" s="123">
        <f t="shared" ref="Q210" si="59">O210+P210</f>
        <v>0.23734701176470591</v>
      </c>
      <c r="R210" s="131">
        <f>F204*F206*H210/100</f>
        <v>0.12</v>
      </c>
      <c r="S210" s="131"/>
      <c r="T210" s="40">
        <f>R210+S210</f>
        <v>0.12</v>
      </c>
      <c r="U210" s="78" t="s">
        <v>280</v>
      </c>
    </row>
    <row r="211" spans="1:21" ht="13.8" thickBot="1">
      <c r="F211" s="31"/>
      <c r="H211" s="31"/>
      <c r="J211" s="103"/>
      <c r="L211" s="112"/>
      <c r="M211" s="105"/>
      <c r="N211" s="112"/>
      <c r="O211" s="112"/>
      <c r="P211" s="112"/>
      <c r="Q211" s="112"/>
      <c r="R211" s="128"/>
      <c r="S211" s="128"/>
      <c r="T211" s="31"/>
    </row>
    <row r="212" spans="1:21" ht="52.8">
      <c r="A212" s="15"/>
      <c r="B212" s="80" t="s">
        <v>32</v>
      </c>
      <c r="C212" s="16" t="s">
        <v>64</v>
      </c>
      <c r="D212" s="16"/>
      <c r="E212" s="86"/>
      <c r="F212" s="109"/>
      <c r="G212" s="16"/>
      <c r="H212" s="109"/>
      <c r="I212" s="16"/>
      <c r="J212" s="100"/>
      <c r="K212" s="16"/>
      <c r="L212" s="109"/>
      <c r="M212" s="100"/>
      <c r="N212" s="109"/>
      <c r="O212" s="109"/>
      <c r="P212" s="109"/>
      <c r="Q212" s="109"/>
      <c r="R212" s="126"/>
      <c r="S212" s="126"/>
      <c r="T212" s="109"/>
      <c r="U212" s="22"/>
    </row>
    <row r="213" spans="1:21">
      <c r="A213" s="17"/>
      <c r="B213" s="81"/>
      <c r="C213" s="18"/>
      <c r="D213" s="18"/>
      <c r="E213" s="87" t="s">
        <v>152</v>
      </c>
      <c r="F213" s="110">
        <v>1</v>
      </c>
      <c r="G213" s="18" t="s">
        <v>20</v>
      </c>
      <c r="H213" s="98"/>
      <c r="I213" s="18"/>
      <c r="J213" s="101"/>
      <c r="K213" s="18"/>
      <c r="L213" s="98"/>
      <c r="M213" s="101"/>
      <c r="N213" s="98"/>
      <c r="O213" s="98"/>
      <c r="P213" s="98"/>
      <c r="Q213" s="98"/>
      <c r="R213" s="127"/>
      <c r="S213" s="127"/>
      <c r="T213" s="98"/>
      <c r="U213" s="76">
        <v>8</v>
      </c>
    </row>
    <row r="214" spans="1:21">
      <c r="A214" s="17"/>
      <c r="B214" s="81"/>
      <c r="C214" s="18"/>
      <c r="D214" s="18"/>
      <c r="E214" s="87" t="s">
        <v>153</v>
      </c>
      <c r="F214" s="111">
        <v>3</v>
      </c>
      <c r="G214" s="18" t="s">
        <v>20</v>
      </c>
      <c r="H214" s="98"/>
      <c r="I214" s="18"/>
      <c r="J214" s="101"/>
      <c r="K214" s="18"/>
      <c r="L214" s="98"/>
      <c r="M214" s="101"/>
      <c r="N214" s="98"/>
      <c r="O214" s="98"/>
      <c r="P214" s="98"/>
      <c r="Q214" s="98"/>
      <c r="R214" s="127"/>
      <c r="S214" s="127"/>
      <c r="T214" s="98"/>
      <c r="U214" s="23"/>
    </row>
    <row r="215" spans="1:21" ht="26.4">
      <c r="A215" s="17"/>
      <c r="B215" s="81"/>
      <c r="C215" s="18"/>
      <c r="D215" s="18"/>
      <c r="E215" s="87" t="s">
        <v>271</v>
      </c>
      <c r="F215" s="116">
        <v>6</v>
      </c>
      <c r="G215" s="27" t="s">
        <v>234</v>
      </c>
      <c r="H215" s="98"/>
      <c r="I215" s="18"/>
      <c r="J215" s="101"/>
      <c r="K215" s="18"/>
      <c r="L215" s="98"/>
      <c r="M215" s="101"/>
      <c r="N215" s="98"/>
      <c r="O215" s="98"/>
      <c r="P215" s="98"/>
      <c r="Q215" s="98"/>
      <c r="R215" s="127"/>
      <c r="S215" s="127"/>
      <c r="T215" s="98"/>
      <c r="U215" s="23"/>
    </row>
    <row r="216" spans="1:21">
      <c r="A216" s="17"/>
      <c r="B216" s="81"/>
      <c r="C216" s="18"/>
      <c r="D216" s="27" t="s">
        <v>144</v>
      </c>
      <c r="E216" s="87" t="str">
        <f>'BDD trait'!$C$25</f>
        <v>Electricité</v>
      </c>
      <c r="F216" s="113">
        <f>'BDD trait'!$D$25</f>
        <v>18.5</v>
      </c>
      <c r="G216" s="27" t="str">
        <f>'BDD trait'!$E$25</f>
        <v>kWh/t</v>
      </c>
      <c r="H216" s="98"/>
      <c r="I216" s="18"/>
      <c r="J216" s="101"/>
      <c r="K216" s="18"/>
      <c r="L216" s="98">
        <f>F213*F216*'BDD FE'!$C$11/1000</f>
        <v>4.6619999999999995E-2</v>
      </c>
      <c r="M216" s="101"/>
      <c r="N216" s="98">
        <f>L216+M216</f>
        <v>4.6619999999999995E-2</v>
      </c>
      <c r="O216" s="98">
        <f>F213*F216*'BDD FE'!$F$11/1000</f>
        <v>1.8869999999999998E-3</v>
      </c>
      <c r="P216" s="98"/>
      <c r="Q216" s="98">
        <f>O216+P216</f>
        <v>1.8869999999999998E-3</v>
      </c>
      <c r="R216" s="127"/>
      <c r="S216" s="127"/>
      <c r="T216" s="98"/>
      <c r="U216" s="23"/>
    </row>
    <row r="217" spans="1:21">
      <c r="A217" s="17"/>
      <c r="B217" s="81"/>
      <c r="C217" s="18"/>
      <c r="D217" s="27" t="s">
        <v>144</v>
      </c>
      <c r="E217" s="87" t="str">
        <f>'BDD trait'!$C$26</f>
        <v>Surfactant</v>
      </c>
      <c r="F217" s="113">
        <f>'BDD trait'!$D$26</f>
        <v>0.6</v>
      </c>
      <c r="G217" s="27" t="str">
        <f>'BDD trait'!$E$26</f>
        <v>kg/t</v>
      </c>
      <c r="H217" s="98"/>
      <c r="I217" s="18"/>
      <c r="J217" s="101"/>
      <c r="K217" s="18"/>
      <c r="L217" s="98">
        <f>F213*F217*'BDD FE'!$C$19/1000</f>
        <v>6.9666666666666653E-3</v>
      </c>
      <c r="M217" s="101"/>
      <c r="N217" s="98">
        <f>L217+M217</f>
        <v>6.9666666666666653E-3</v>
      </c>
      <c r="O217" s="98">
        <f>F213*F217*'BDD FE'!$F$19/1000</f>
        <v>3.6959999999999998E-4</v>
      </c>
      <c r="P217" s="98"/>
      <c r="Q217" s="98">
        <f>O217+P217</f>
        <v>3.6959999999999998E-4</v>
      </c>
      <c r="R217" s="127"/>
      <c r="S217" s="127"/>
      <c r="T217" s="98"/>
      <c r="U217" s="23"/>
    </row>
    <row r="218" spans="1:21">
      <c r="A218" s="17"/>
      <c r="B218" s="81"/>
      <c r="C218" s="18"/>
      <c r="D218" s="27" t="s">
        <v>144</v>
      </c>
      <c r="E218" s="87" t="str">
        <f>'BDD trait'!$C$27</f>
        <v>Eau</v>
      </c>
      <c r="F218" s="113">
        <f>'BDD trait'!$D$27</f>
        <v>1</v>
      </c>
      <c r="G218" s="27" t="str">
        <f>'BDD trait'!$E$27</f>
        <v>m3/t</v>
      </c>
      <c r="H218" s="98"/>
      <c r="I218" s="18"/>
      <c r="J218" s="101"/>
      <c r="K218" s="18"/>
      <c r="L218" s="98">
        <f>F213*F218*'BDD FE'!$C$10/1000</f>
        <v>7.6588235294117648E-3</v>
      </c>
      <c r="M218" s="101"/>
      <c r="N218" s="98">
        <f>L218+M218</f>
        <v>7.6588235294117648E-3</v>
      </c>
      <c r="O218" s="98">
        <f>F213*F218*'BDD FE'!$F$10/1000</f>
        <v>3.1E-4</v>
      </c>
      <c r="P218" s="98"/>
      <c r="Q218" s="98">
        <f>O218+P218</f>
        <v>3.1E-4</v>
      </c>
      <c r="R218" s="127"/>
      <c r="S218" s="127"/>
      <c r="T218" s="98"/>
      <c r="U218" s="23"/>
    </row>
    <row r="219" spans="1:21" ht="27" thickBot="1">
      <c r="A219" s="19"/>
      <c r="B219" s="82"/>
      <c r="C219" s="20"/>
      <c r="D219" s="46" t="s">
        <v>145</v>
      </c>
      <c r="E219" s="82" t="str">
        <f>'BDD trait'!$C$28</f>
        <v>Gâteau avec fines</v>
      </c>
      <c r="F219" s="40"/>
      <c r="G219" s="20"/>
      <c r="H219" s="40">
        <f>'BDD trait'!$G$28</f>
        <v>2</v>
      </c>
      <c r="I219" s="20" t="str">
        <f>'BDD trait'!$H$28</f>
        <v>t/t fines</v>
      </c>
      <c r="J219" s="102"/>
      <c r="K219" s="20"/>
      <c r="L219" s="123">
        <f>F213*F215*H219*'BDD FE'!$C$33</f>
        <v>0.23734701176470591</v>
      </c>
      <c r="M219" s="104"/>
      <c r="N219" s="123">
        <f t="shared" ref="N219" si="60">L219+M219</f>
        <v>0.23734701176470591</v>
      </c>
      <c r="O219" s="123">
        <f>F213*F215*H219*'BDD FE'!$F$33</f>
        <v>0.23734701176470591</v>
      </c>
      <c r="P219" s="123"/>
      <c r="Q219" s="123">
        <f t="shared" ref="Q219" si="61">O219+P219</f>
        <v>0.23734701176470591</v>
      </c>
      <c r="R219" s="131">
        <f>F213*F215*H219/100</f>
        <v>0.12</v>
      </c>
      <c r="S219" s="131"/>
      <c r="T219" s="40">
        <f>R219+S219</f>
        <v>0.12</v>
      </c>
      <c r="U219" s="78" t="s">
        <v>280</v>
      </c>
    </row>
    <row r="220" spans="1:21" ht="13.8" thickBot="1">
      <c r="F220" s="31"/>
      <c r="H220" s="31"/>
      <c r="J220" s="103"/>
      <c r="L220" s="31"/>
      <c r="M220" s="103"/>
      <c r="N220" s="31"/>
      <c r="O220" s="31"/>
      <c r="P220" s="31"/>
      <c r="Q220" s="31"/>
      <c r="R220" s="125"/>
      <c r="S220" s="125"/>
      <c r="T220" s="125"/>
    </row>
    <row r="221" spans="1:21">
      <c r="A221" s="15"/>
      <c r="B221" s="80" t="s">
        <v>28</v>
      </c>
      <c r="C221" s="25" t="s">
        <v>372</v>
      </c>
      <c r="D221" s="16"/>
      <c r="E221" s="90"/>
      <c r="F221" s="117"/>
      <c r="G221" s="43"/>
      <c r="H221" s="117"/>
      <c r="I221" s="43"/>
      <c r="J221" s="106"/>
      <c r="K221" s="43"/>
      <c r="L221" s="109"/>
      <c r="M221" s="100"/>
      <c r="N221" s="109"/>
      <c r="O221" s="109"/>
      <c r="P221" s="109"/>
      <c r="Q221" s="109"/>
      <c r="R221" s="126"/>
      <c r="S221" s="126"/>
      <c r="T221" s="109"/>
      <c r="U221" s="22"/>
    </row>
    <row r="222" spans="1:21" outlineLevel="1">
      <c r="A222" s="17"/>
      <c r="B222" s="81"/>
      <c r="C222" s="21"/>
      <c r="D222" s="21"/>
      <c r="E222" s="87" t="s">
        <v>152</v>
      </c>
      <c r="F222" s="110">
        <v>1</v>
      </c>
      <c r="G222" s="18" t="s">
        <v>20</v>
      </c>
      <c r="H222" s="98"/>
      <c r="I222" s="18"/>
      <c r="J222" s="101"/>
      <c r="K222" s="18"/>
      <c r="L222" s="98"/>
      <c r="M222" s="101"/>
      <c r="N222" s="98"/>
      <c r="O222" s="98"/>
      <c r="P222" s="98"/>
      <c r="Q222" s="98"/>
      <c r="R222" s="127"/>
      <c r="S222" s="127"/>
      <c r="T222" s="98"/>
      <c r="U222" s="76">
        <v>8</v>
      </c>
    </row>
    <row r="223" spans="1:21" ht="13.8" thickBot="1">
      <c r="A223" s="19"/>
      <c r="B223" s="82"/>
      <c r="C223" s="20"/>
      <c r="D223" s="46" t="s">
        <v>145</v>
      </c>
      <c r="E223" s="91" t="str">
        <f>E222</f>
        <v>Terre polluée</v>
      </c>
      <c r="F223" s="40"/>
      <c r="G223" s="20"/>
      <c r="H223" s="123">
        <f>'BDD trait'!$G$29</f>
        <v>1</v>
      </c>
      <c r="I223" s="44" t="str">
        <f>'BDD trait'!$H$29</f>
        <v>t/t terre</v>
      </c>
      <c r="J223" s="104"/>
      <c r="K223" s="44"/>
      <c r="L223" s="40">
        <f>H223*'BDD FE'!$C$31</f>
        <v>2.158055555555555E-3</v>
      </c>
      <c r="M223" s="102"/>
      <c r="N223" s="40">
        <f t="shared" ref="N223" si="62">L223+M223</f>
        <v>2.158055555555555E-3</v>
      </c>
      <c r="O223" s="40">
        <f>H223*'BDD FE'!$F$31</f>
        <v>1.483333333333333E-4</v>
      </c>
      <c r="P223" s="40"/>
      <c r="Q223" s="40">
        <f t="shared" ref="Q223" si="63">O223+P223</f>
        <v>1.483333333333333E-4</v>
      </c>
      <c r="R223" s="130">
        <f>F222*H223</f>
        <v>1</v>
      </c>
      <c r="S223" s="130"/>
      <c r="T223" s="40">
        <f>R223+S223</f>
        <v>1</v>
      </c>
      <c r="U223" s="24"/>
    </row>
    <row r="224" spans="1:21" ht="13.8" thickBot="1">
      <c r="F224" s="31"/>
      <c r="H224" s="31"/>
      <c r="J224" s="103"/>
      <c r="L224" s="31"/>
      <c r="M224" s="103"/>
      <c r="N224" s="31"/>
      <c r="O224" s="31"/>
      <c r="P224" s="31"/>
      <c r="Q224" s="31"/>
      <c r="R224" s="125"/>
      <c r="S224" s="125"/>
      <c r="T224" s="125"/>
    </row>
    <row r="225" spans="1:21" ht="39.6">
      <c r="A225" s="15"/>
      <c r="B225" s="80" t="s">
        <v>29</v>
      </c>
      <c r="C225" s="25" t="s">
        <v>372</v>
      </c>
      <c r="D225" s="16"/>
      <c r="E225" s="90"/>
      <c r="F225" s="117"/>
      <c r="G225" s="43"/>
      <c r="H225" s="117"/>
      <c r="I225" s="43"/>
      <c r="J225" s="106"/>
      <c r="K225" s="43"/>
      <c r="L225" s="109"/>
      <c r="M225" s="100"/>
      <c r="N225" s="109"/>
      <c r="O225" s="109"/>
      <c r="P225" s="109"/>
      <c r="Q225" s="109"/>
      <c r="R225" s="126"/>
      <c r="S225" s="126"/>
      <c r="T225" s="109"/>
      <c r="U225" s="22"/>
    </row>
    <row r="226" spans="1:21" outlineLevel="1">
      <c r="A226" s="17"/>
      <c r="B226" s="81"/>
      <c r="C226" s="21"/>
      <c r="D226" s="21"/>
      <c r="E226" s="87" t="s">
        <v>152</v>
      </c>
      <c r="F226" s="110">
        <v>1</v>
      </c>
      <c r="G226" s="18" t="s">
        <v>20</v>
      </c>
      <c r="H226" s="98"/>
      <c r="I226" s="18"/>
      <c r="J226" s="101"/>
      <c r="K226" s="18"/>
      <c r="L226" s="98"/>
      <c r="M226" s="101"/>
      <c r="N226" s="98"/>
      <c r="O226" s="98"/>
      <c r="P226" s="98"/>
      <c r="Q226" s="98"/>
      <c r="R226" s="127"/>
      <c r="S226" s="127"/>
      <c r="T226" s="98"/>
      <c r="U226" s="76">
        <v>8</v>
      </c>
    </row>
    <row r="227" spans="1:21" ht="13.8" thickBot="1">
      <c r="A227" s="19"/>
      <c r="B227" s="82"/>
      <c r="C227" s="20"/>
      <c r="D227" s="46" t="s">
        <v>145</v>
      </c>
      <c r="E227" s="91" t="str">
        <f>E226</f>
        <v>Terre polluée</v>
      </c>
      <c r="F227" s="40"/>
      <c r="G227" s="20"/>
      <c r="H227" s="123">
        <f>'BDD trait'!$G$29</f>
        <v>1</v>
      </c>
      <c r="I227" s="44" t="str">
        <f>'BDD trait'!$H$29</f>
        <v>t/t terre</v>
      </c>
      <c r="J227" s="104"/>
      <c r="K227" s="44"/>
      <c r="L227" s="40">
        <f>H227*'BDD FE'!$C$31</f>
        <v>2.158055555555555E-3</v>
      </c>
      <c r="M227" s="102"/>
      <c r="N227" s="40">
        <f t="shared" ref="N227" si="64">L227+M227</f>
        <v>2.158055555555555E-3</v>
      </c>
      <c r="O227" s="40">
        <f>H227*'BDD FE'!$F$31</f>
        <v>1.483333333333333E-4</v>
      </c>
      <c r="P227" s="40"/>
      <c r="Q227" s="40">
        <f t="shared" ref="Q227" si="65">O227+P227</f>
        <v>1.483333333333333E-4</v>
      </c>
      <c r="R227" s="130">
        <f>F226*H227</f>
        <v>1</v>
      </c>
      <c r="S227" s="130"/>
      <c r="T227" s="40">
        <f>R227+S227</f>
        <v>1</v>
      </c>
      <c r="U227" s="24"/>
    </row>
    <row r="228" spans="1:21" ht="13.8" thickBot="1">
      <c r="F228" s="31"/>
      <c r="H228" s="31"/>
      <c r="J228" s="103"/>
      <c r="L228" s="31"/>
      <c r="M228" s="103"/>
      <c r="N228" s="31"/>
      <c r="O228" s="31"/>
      <c r="P228" s="31"/>
      <c r="Q228" s="31"/>
      <c r="R228" s="125"/>
      <c r="S228" s="125"/>
      <c r="T228" s="125"/>
    </row>
    <row r="229" spans="1:21">
      <c r="A229" s="15"/>
      <c r="B229" s="80" t="s">
        <v>30</v>
      </c>
      <c r="C229" s="25" t="s">
        <v>372</v>
      </c>
      <c r="D229" s="16"/>
      <c r="E229" s="90"/>
      <c r="F229" s="117"/>
      <c r="G229" s="43"/>
      <c r="H229" s="117"/>
      <c r="I229" s="43"/>
      <c r="J229" s="106"/>
      <c r="K229" s="43"/>
      <c r="L229" s="109"/>
      <c r="M229" s="100"/>
      <c r="N229" s="109"/>
      <c r="O229" s="109"/>
      <c r="P229" s="109"/>
      <c r="Q229" s="109"/>
      <c r="R229" s="126"/>
      <c r="S229" s="126"/>
      <c r="T229" s="109"/>
      <c r="U229" s="22"/>
    </row>
    <row r="230" spans="1:21" outlineLevel="1">
      <c r="A230" s="17"/>
      <c r="B230" s="81"/>
      <c r="C230" s="21"/>
      <c r="D230" s="21"/>
      <c r="E230" s="87" t="s">
        <v>152</v>
      </c>
      <c r="F230" s="110">
        <v>1</v>
      </c>
      <c r="G230" s="18" t="s">
        <v>20</v>
      </c>
      <c r="H230" s="98"/>
      <c r="I230" s="18"/>
      <c r="J230" s="101"/>
      <c r="K230" s="18"/>
      <c r="L230" s="98"/>
      <c r="M230" s="101"/>
      <c r="N230" s="98"/>
      <c r="O230" s="98"/>
      <c r="P230" s="98"/>
      <c r="Q230" s="98"/>
      <c r="R230" s="127"/>
      <c r="S230" s="127"/>
      <c r="T230" s="98"/>
      <c r="U230" s="76">
        <v>8</v>
      </c>
    </row>
    <row r="231" spans="1:21" ht="13.8" thickBot="1">
      <c r="A231" s="19"/>
      <c r="B231" s="82"/>
      <c r="C231" s="20"/>
      <c r="D231" s="46" t="s">
        <v>145</v>
      </c>
      <c r="E231" s="91" t="str">
        <f>E230</f>
        <v>Terre polluée</v>
      </c>
      <c r="F231" s="40"/>
      <c r="G231" s="20"/>
      <c r="H231" s="123">
        <f>'BDD trait'!$G$29</f>
        <v>1</v>
      </c>
      <c r="I231" s="44" t="str">
        <f>'BDD trait'!$H$29</f>
        <v>t/t terre</v>
      </c>
      <c r="J231" s="104"/>
      <c r="K231" s="44"/>
      <c r="L231" s="40">
        <f>H231*'BDD FE'!$C$31</f>
        <v>2.158055555555555E-3</v>
      </c>
      <c r="M231" s="102"/>
      <c r="N231" s="40">
        <f t="shared" ref="N231" si="66">L231+M231</f>
        <v>2.158055555555555E-3</v>
      </c>
      <c r="O231" s="40">
        <f>H231*'BDD FE'!$F$31</f>
        <v>1.483333333333333E-4</v>
      </c>
      <c r="P231" s="40"/>
      <c r="Q231" s="40">
        <f t="shared" ref="Q231" si="67">O231+P231</f>
        <v>1.483333333333333E-4</v>
      </c>
      <c r="R231" s="130">
        <f>F230*H231</f>
        <v>1</v>
      </c>
      <c r="S231" s="130"/>
      <c r="T231" s="40">
        <f>R231+S231</f>
        <v>1</v>
      </c>
      <c r="U231" s="24"/>
    </row>
    <row r="232" spans="1:21" ht="13.8" thickBot="1">
      <c r="F232" s="31"/>
      <c r="H232" s="31"/>
      <c r="J232" s="103"/>
      <c r="L232" s="31"/>
      <c r="M232" s="103"/>
      <c r="N232" s="31"/>
      <c r="O232" s="31"/>
      <c r="P232" s="31"/>
      <c r="Q232" s="31"/>
      <c r="R232" s="125"/>
      <c r="S232" s="125"/>
      <c r="T232" s="125"/>
    </row>
    <row r="233" spans="1:21">
      <c r="A233" s="15"/>
      <c r="B233" s="80" t="s">
        <v>31</v>
      </c>
      <c r="C233" s="25" t="s">
        <v>372</v>
      </c>
      <c r="D233" s="16"/>
      <c r="E233" s="90"/>
      <c r="F233" s="117"/>
      <c r="G233" s="43"/>
      <c r="H233" s="117"/>
      <c r="I233" s="43"/>
      <c r="J233" s="106"/>
      <c r="K233" s="43"/>
      <c r="L233" s="109"/>
      <c r="M233" s="100"/>
      <c r="N233" s="109"/>
      <c r="O233" s="109"/>
      <c r="P233" s="109"/>
      <c r="Q233" s="109"/>
      <c r="R233" s="126"/>
      <c r="S233" s="126"/>
      <c r="T233" s="109"/>
      <c r="U233" s="22"/>
    </row>
    <row r="234" spans="1:21" outlineLevel="1">
      <c r="A234" s="17"/>
      <c r="B234" s="81"/>
      <c r="C234" s="21"/>
      <c r="D234" s="21"/>
      <c r="E234" s="87" t="s">
        <v>152</v>
      </c>
      <c r="F234" s="110">
        <v>1</v>
      </c>
      <c r="G234" s="18" t="s">
        <v>20</v>
      </c>
      <c r="H234" s="98"/>
      <c r="I234" s="18"/>
      <c r="J234" s="101"/>
      <c r="K234" s="18"/>
      <c r="L234" s="98"/>
      <c r="M234" s="101"/>
      <c r="N234" s="98"/>
      <c r="O234" s="98"/>
      <c r="P234" s="98"/>
      <c r="Q234" s="98"/>
      <c r="R234" s="127"/>
      <c r="S234" s="127"/>
      <c r="T234" s="98"/>
      <c r="U234" s="76">
        <v>8</v>
      </c>
    </row>
    <row r="235" spans="1:21" ht="13.8" thickBot="1">
      <c r="A235" s="19"/>
      <c r="B235" s="82"/>
      <c r="C235" s="20"/>
      <c r="D235" s="46" t="s">
        <v>145</v>
      </c>
      <c r="E235" s="91" t="str">
        <f>E234</f>
        <v>Terre polluée</v>
      </c>
      <c r="F235" s="40"/>
      <c r="G235" s="20"/>
      <c r="H235" s="123">
        <f>'BDD trait'!$G$29</f>
        <v>1</v>
      </c>
      <c r="I235" s="44" t="str">
        <f>'BDD trait'!$H$29</f>
        <v>t/t terre</v>
      </c>
      <c r="J235" s="104"/>
      <c r="K235" s="44"/>
      <c r="L235" s="40">
        <f>H235*'BDD FE'!$C$31</f>
        <v>2.158055555555555E-3</v>
      </c>
      <c r="M235" s="102"/>
      <c r="N235" s="40">
        <f t="shared" ref="N235" si="68">L235+M235</f>
        <v>2.158055555555555E-3</v>
      </c>
      <c r="O235" s="40">
        <f>H235*'BDD FE'!$F$31</f>
        <v>1.483333333333333E-4</v>
      </c>
      <c r="P235" s="40"/>
      <c r="Q235" s="40">
        <f t="shared" ref="Q235" si="69">O235+P235</f>
        <v>1.483333333333333E-4</v>
      </c>
      <c r="R235" s="130">
        <f>F234*H235</f>
        <v>1</v>
      </c>
      <c r="S235" s="130"/>
      <c r="T235" s="40">
        <f>R235+S235</f>
        <v>1</v>
      </c>
      <c r="U235" s="24"/>
    </row>
    <row r="236" spans="1:21" ht="13.8" thickBot="1">
      <c r="F236" s="31"/>
      <c r="H236" s="31"/>
      <c r="J236" s="103"/>
      <c r="L236" s="31"/>
      <c r="M236" s="103"/>
      <c r="N236" s="31"/>
      <c r="O236" s="31"/>
      <c r="P236" s="31"/>
      <c r="Q236" s="31"/>
      <c r="R236" s="125"/>
      <c r="S236" s="125"/>
      <c r="T236" s="125"/>
    </row>
    <row r="237" spans="1:21" ht="52.8">
      <c r="A237" s="15"/>
      <c r="B237" s="80" t="s">
        <v>32</v>
      </c>
      <c r="C237" s="25" t="s">
        <v>372</v>
      </c>
      <c r="D237" s="16"/>
      <c r="E237" s="90"/>
      <c r="F237" s="117"/>
      <c r="G237" s="43"/>
      <c r="H237" s="117"/>
      <c r="I237" s="43"/>
      <c r="J237" s="106"/>
      <c r="K237" s="43"/>
      <c r="L237" s="109"/>
      <c r="M237" s="100"/>
      <c r="N237" s="109"/>
      <c r="O237" s="109"/>
      <c r="P237" s="109"/>
      <c r="Q237" s="109"/>
      <c r="R237" s="126"/>
      <c r="S237" s="126"/>
      <c r="T237" s="109"/>
      <c r="U237" s="22"/>
    </row>
    <row r="238" spans="1:21" outlineLevel="1">
      <c r="A238" s="17"/>
      <c r="B238" s="81"/>
      <c r="C238" s="21"/>
      <c r="D238" s="21"/>
      <c r="E238" s="87" t="s">
        <v>152</v>
      </c>
      <c r="F238" s="110">
        <v>1</v>
      </c>
      <c r="G238" s="18" t="s">
        <v>20</v>
      </c>
      <c r="H238" s="98"/>
      <c r="I238" s="18"/>
      <c r="J238" s="101"/>
      <c r="K238" s="18"/>
      <c r="L238" s="98"/>
      <c r="M238" s="101"/>
      <c r="N238" s="98"/>
      <c r="O238" s="98"/>
      <c r="P238" s="98"/>
      <c r="Q238" s="98"/>
      <c r="R238" s="127"/>
      <c r="S238" s="127"/>
      <c r="T238" s="98"/>
      <c r="U238" s="76">
        <v>8</v>
      </c>
    </row>
    <row r="239" spans="1:21" ht="13.8" thickBot="1">
      <c r="A239" s="19"/>
      <c r="B239" s="82"/>
      <c r="C239" s="20"/>
      <c r="D239" s="46" t="s">
        <v>145</v>
      </c>
      <c r="E239" s="91" t="str">
        <f>E238</f>
        <v>Terre polluée</v>
      </c>
      <c r="F239" s="40"/>
      <c r="G239" s="20"/>
      <c r="H239" s="123">
        <f>'BDD trait'!$G$29</f>
        <v>1</v>
      </c>
      <c r="I239" s="44" t="str">
        <f>'BDD trait'!$H$29</f>
        <v>t/t terre</v>
      </c>
      <c r="J239" s="104"/>
      <c r="K239" s="44"/>
      <c r="L239" s="40">
        <f>H239*'BDD FE'!$C$31</f>
        <v>2.158055555555555E-3</v>
      </c>
      <c r="M239" s="102"/>
      <c r="N239" s="40">
        <f t="shared" ref="N239" si="70">L239+M239</f>
        <v>2.158055555555555E-3</v>
      </c>
      <c r="O239" s="40">
        <f>H239*'BDD FE'!$F$31</f>
        <v>1.483333333333333E-4</v>
      </c>
      <c r="P239" s="40"/>
      <c r="Q239" s="40">
        <f t="shared" ref="Q239" si="71">O239+P239</f>
        <v>1.483333333333333E-4</v>
      </c>
      <c r="R239" s="130">
        <f>F238*H239</f>
        <v>1</v>
      </c>
      <c r="S239" s="130"/>
      <c r="T239" s="40">
        <f>R239+S239</f>
        <v>1</v>
      </c>
      <c r="U239" s="24"/>
    </row>
    <row r="240" spans="1:21" ht="13.8" thickBot="1">
      <c r="F240" s="31"/>
      <c r="H240" s="31"/>
      <c r="J240" s="103"/>
      <c r="L240" s="31"/>
      <c r="M240" s="103"/>
      <c r="N240" s="31"/>
      <c r="O240" s="31"/>
      <c r="P240" s="31"/>
      <c r="Q240" s="31"/>
      <c r="R240" s="125"/>
      <c r="S240" s="125"/>
      <c r="T240" s="125"/>
    </row>
    <row r="241" spans="1:21">
      <c r="A241" s="15"/>
      <c r="B241" s="80" t="s">
        <v>28</v>
      </c>
      <c r="C241" s="25" t="s">
        <v>279</v>
      </c>
      <c r="D241" s="16"/>
      <c r="E241" s="90"/>
      <c r="F241" s="117"/>
      <c r="G241" s="43"/>
      <c r="H241" s="117"/>
      <c r="I241" s="43"/>
      <c r="J241" s="106"/>
      <c r="K241" s="43"/>
      <c r="L241" s="109"/>
      <c r="M241" s="100"/>
      <c r="N241" s="109"/>
      <c r="O241" s="109"/>
      <c r="P241" s="109"/>
      <c r="Q241" s="109"/>
      <c r="R241" s="126"/>
      <c r="S241" s="126"/>
      <c r="T241" s="109"/>
      <c r="U241" s="22"/>
    </row>
    <row r="242" spans="1:21" outlineLevel="1">
      <c r="A242" s="17"/>
      <c r="B242" s="81"/>
      <c r="C242" s="21"/>
      <c r="D242" s="21"/>
      <c r="E242" s="87" t="s">
        <v>152</v>
      </c>
      <c r="F242" s="110">
        <v>1</v>
      </c>
      <c r="G242" s="18" t="s">
        <v>20</v>
      </c>
      <c r="H242" s="98"/>
      <c r="I242" s="18"/>
      <c r="J242" s="101"/>
      <c r="K242" s="18"/>
      <c r="L242" s="98"/>
      <c r="M242" s="101"/>
      <c r="N242" s="98"/>
      <c r="O242" s="98"/>
      <c r="P242" s="98"/>
      <c r="Q242" s="98"/>
      <c r="R242" s="127"/>
      <c r="S242" s="127"/>
      <c r="T242" s="98"/>
      <c r="U242" s="76">
        <v>8</v>
      </c>
    </row>
    <row r="243" spans="1:21" ht="13.8" thickBot="1">
      <c r="A243" s="19"/>
      <c r="B243" s="82"/>
      <c r="C243" s="20"/>
      <c r="D243" s="46" t="s">
        <v>145</v>
      </c>
      <c r="E243" s="91" t="str">
        <f>E242</f>
        <v>Terre polluée</v>
      </c>
      <c r="F243" s="40"/>
      <c r="G243" s="20"/>
      <c r="H243" s="123">
        <f>'BDD trait'!$G$30</f>
        <v>1</v>
      </c>
      <c r="I243" s="44" t="str">
        <f>'BDD trait'!$H$30</f>
        <v>t/t terre</v>
      </c>
      <c r="J243" s="104"/>
      <c r="K243" s="44"/>
      <c r="L243" s="40">
        <f>H243*'BDD FE'!$C$32</f>
        <v>0.19166666666666662</v>
      </c>
      <c r="M243" s="102"/>
      <c r="N243" s="40">
        <f t="shared" ref="N243" si="72">L243+M243</f>
        <v>0.19166666666666662</v>
      </c>
      <c r="O243" s="40">
        <f>H243*'BDD FE'!$F$32</f>
        <v>3.32E-2</v>
      </c>
      <c r="P243" s="40"/>
      <c r="Q243" s="40">
        <f t="shared" ref="Q243" si="73">O243+P243</f>
        <v>3.32E-2</v>
      </c>
      <c r="R243" s="130">
        <f>F242*H243</f>
        <v>1</v>
      </c>
      <c r="S243" s="130"/>
      <c r="T243" s="40">
        <f>R243+S243</f>
        <v>1</v>
      </c>
      <c r="U243" s="24"/>
    </row>
    <row r="244" spans="1:21" ht="13.8" thickBot="1">
      <c r="F244" s="31"/>
      <c r="H244" s="31"/>
      <c r="J244" s="103"/>
      <c r="L244" s="31"/>
      <c r="M244" s="103"/>
      <c r="N244" s="31"/>
      <c r="O244" s="31"/>
      <c r="P244" s="31"/>
      <c r="Q244" s="31"/>
      <c r="R244" s="125"/>
      <c r="S244" s="125"/>
      <c r="T244" s="125"/>
    </row>
    <row r="245" spans="1:21" ht="39.6">
      <c r="A245" s="15"/>
      <c r="B245" s="80" t="s">
        <v>29</v>
      </c>
      <c r="C245" s="25" t="s">
        <v>279</v>
      </c>
      <c r="D245" s="16"/>
      <c r="E245" s="90"/>
      <c r="F245" s="117"/>
      <c r="G245" s="43"/>
      <c r="H245" s="117"/>
      <c r="I245" s="43"/>
      <c r="J245" s="106"/>
      <c r="K245" s="43"/>
      <c r="L245" s="109"/>
      <c r="M245" s="100"/>
      <c r="N245" s="109"/>
      <c r="O245" s="109"/>
      <c r="P245" s="109"/>
      <c r="Q245" s="109"/>
      <c r="R245" s="126"/>
      <c r="S245" s="126"/>
      <c r="T245" s="109"/>
      <c r="U245" s="22"/>
    </row>
    <row r="246" spans="1:21" outlineLevel="1">
      <c r="A246" s="17"/>
      <c r="B246" s="81"/>
      <c r="C246" s="21"/>
      <c r="D246" s="21"/>
      <c r="E246" s="87" t="s">
        <v>152</v>
      </c>
      <c r="F246" s="110">
        <v>1</v>
      </c>
      <c r="G246" s="18" t="s">
        <v>20</v>
      </c>
      <c r="H246" s="98"/>
      <c r="I246" s="18"/>
      <c r="J246" s="101"/>
      <c r="K246" s="18"/>
      <c r="L246" s="98"/>
      <c r="M246" s="101"/>
      <c r="N246" s="98"/>
      <c r="O246" s="98"/>
      <c r="P246" s="98"/>
      <c r="Q246" s="98"/>
      <c r="R246" s="127"/>
      <c r="S246" s="127"/>
      <c r="T246" s="98"/>
      <c r="U246" s="76">
        <v>8</v>
      </c>
    </row>
    <row r="247" spans="1:21" ht="13.8" thickBot="1">
      <c r="A247" s="19"/>
      <c r="B247" s="82"/>
      <c r="C247" s="20"/>
      <c r="D247" s="46" t="s">
        <v>145</v>
      </c>
      <c r="E247" s="91" t="str">
        <f>E246</f>
        <v>Terre polluée</v>
      </c>
      <c r="F247" s="40"/>
      <c r="G247" s="20"/>
      <c r="H247" s="123">
        <f>'BDD trait'!$G$30</f>
        <v>1</v>
      </c>
      <c r="I247" s="44" t="str">
        <f>'BDD trait'!$H$30</f>
        <v>t/t terre</v>
      </c>
      <c r="J247" s="104"/>
      <c r="K247" s="44"/>
      <c r="L247" s="40">
        <f>H247*'BDD FE'!$C$32</f>
        <v>0.19166666666666662</v>
      </c>
      <c r="M247" s="102"/>
      <c r="N247" s="40">
        <f t="shared" ref="N247" si="74">L247+M247</f>
        <v>0.19166666666666662</v>
      </c>
      <c r="O247" s="40">
        <f>H247*'BDD FE'!$F$32</f>
        <v>3.32E-2</v>
      </c>
      <c r="P247" s="40"/>
      <c r="Q247" s="40">
        <f t="shared" ref="Q247" si="75">O247+P247</f>
        <v>3.32E-2</v>
      </c>
      <c r="R247" s="130">
        <f>F246*H247</f>
        <v>1</v>
      </c>
      <c r="S247" s="130"/>
      <c r="T247" s="40">
        <f>R247+S247</f>
        <v>1</v>
      </c>
      <c r="U247" s="24"/>
    </row>
    <row r="248" spans="1:21" ht="13.8" thickBot="1">
      <c r="F248" s="31"/>
      <c r="H248" s="31"/>
      <c r="J248" s="103"/>
      <c r="L248" s="31"/>
      <c r="M248" s="103"/>
      <c r="N248" s="31"/>
      <c r="O248" s="31"/>
      <c r="P248" s="31"/>
      <c r="Q248" s="31"/>
      <c r="R248" s="125"/>
      <c r="S248" s="125"/>
      <c r="T248" s="125"/>
    </row>
    <row r="249" spans="1:21">
      <c r="A249" s="15"/>
      <c r="B249" s="80" t="s">
        <v>30</v>
      </c>
      <c r="C249" s="25" t="s">
        <v>279</v>
      </c>
      <c r="D249" s="16"/>
      <c r="E249" s="90"/>
      <c r="F249" s="117"/>
      <c r="G249" s="43"/>
      <c r="H249" s="117"/>
      <c r="I249" s="43"/>
      <c r="J249" s="106"/>
      <c r="K249" s="43"/>
      <c r="L249" s="109"/>
      <c r="M249" s="100"/>
      <c r="N249" s="109"/>
      <c r="O249" s="109"/>
      <c r="P249" s="109"/>
      <c r="Q249" s="109"/>
      <c r="R249" s="126"/>
      <c r="S249" s="126"/>
      <c r="T249" s="109"/>
      <c r="U249" s="22"/>
    </row>
    <row r="250" spans="1:21" outlineLevel="1">
      <c r="A250" s="17"/>
      <c r="B250" s="81"/>
      <c r="C250" s="21"/>
      <c r="D250" s="21"/>
      <c r="E250" s="87" t="s">
        <v>152</v>
      </c>
      <c r="F250" s="110">
        <v>1</v>
      </c>
      <c r="G250" s="18" t="s">
        <v>20</v>
      </c>
      <c r="H250" s="98"/>
      <c r="I250" s="18"/>
      <c r="J250" s="101"/>
      <c r="K250" s="18"/>
      <c r="L250" s="98"/>
      <c r="M250" s="101"/>
      <c r="N250" s="98"/>
      <c r="O250" s="98"/>
      <c r="P250" s="98"/>
      <c r="Q250" s="98"/>
      <c r="R250" s="127"/>
      <c r="S250" s="127"/>
      <c r="T250" s="98"/>
      <c r="U250" s="76">
        <v>8</v>
      </c>
    </row>
    <row r="251" spans="1:21" ht="13.8" thickBot="1">
      <c r="A251" s="19"/>
      <c r="B251" s="82"/>
      <c r="C251" s="20"/>
      <c r="D251" s="46" t="s">
        <v>145</v>
      </c>
      <c r="E251" s="91" t="str">
        <f>E250</f>
        <v>Terre polluée</v>
      </c>
      <c r="F251" s="40"/>
      <c r="G251" s="20"/>
      <c r="H251" s="123">
        <f>'BDD trait'!$G$30</f>
        <v>1</v>
      </c>
      <c r="I251" s="44" t="str">
        <f>'BDD trait'!$H$30</f>
        <v>t/t terre</v>
      </c>
      <c r="J251" s="104"/>
      <c r="K251" s="44"/>
      <c r="L251" s="40">
        <f>H251*'BDD FE'!$C$32</f>
        <v>0.19166666666666662</v>
      </c>
      <c r="M251" s="102"/>
      <c r="N251" s="40">
        <f t="shared" ref="N251" si="76">L251+M251</f>
        <v>0.19166666666666662</v>
      </c>
      <c r="O251" s="40">
        <f>H251*'BDD FE'!$F$32</f>
        <v>3.32E-2</v>
      </c>
      <c r="P251" s="40"/>
      <c r="Q251" s="40">
        <f t="shared" ref="Q251" si="77">O251+P251</f>
        <v>3.32E-2</v>
      </c>
      <c r="R251" s="130">
        <f>F250*H251</f>
        <v>1</v>
      </c>
      <c r="S251" s="130"/>
      <c r="T251" s="40">
        <f>R251+S251</f>
        <v>1</v>
      </c>
      <c r="U251" s="24"/>
    </row>
    <row r="252" spans="1:21" ht="13.8" thickBot="1">
      <c r="F252" s="31"/>
      <c r="H252" s="31"/>
      <c r="J252" s="103"/>
      <c r="L252" s="31"/>
      <c r="M252" s="103"/>
      <c r="N252" s="31"/>
      <c r="O252" s="31"/>
      <c r="P252" s="31"/>
      <c r="Q252" s="31"/>
      <c r="R252" s="125"/>
      <c r="S252" s="125"/>
      <c r="T252" s="125"/>
    </row>
    <row r="253" spans="1:21">
      <c r="A253" s="15"/>
      <c r="B253" s="80" t="s">
        <v>31</v>
      </c>
      <c r="C253" s="25" t="s">
        <v>279</v>
      </c>
      <c r="D253" s="16"/>
      <c r="E253" s="90"/>
      <c r="F253" s="117"/>
      <c r="G253" s="43"/>
      <c r="H253" s="117"/>
      <c r="I253" s="43"/>
      <c r="J253" s="106"/>
      <c r="K253" s="43"/>
      <c r="L253" s="109"/>
      <c r="M253" s="100"/>
      <c r="N253" s="109"/>
      <c r="O253" s="109"/>
      <c r="P253" s="109"/>
      <c r="Q253" s="109"/>
      <c r="R253" s="126"/>
      <c r="S253" s="126"/>
      <c r="T253" s="109"/>
      <c r="U253" s="22"/>
    </row>
    <row r="254" spans="1:21" outlineLevel="1">
      <c r="A254" s="17"/>
      <c r="B254" s="81"/>
      <c r="C254" s="21"/>
      <c r="D254" s="21"/>
      <c r="E254" s="87" t="s">
        <v>152</v>
      </c>
      <c r="F254" s="110">
        <v>1</v>
      </c>
      <c r="G254" s="18" t="s">
        <v>20</v>
      </c>
      <c r="H254" s="98"/>
      <c r="I254" s="18"/>
      <c r="J254" s="101"/>
      <c r="K254" s="18"/>
      <c r="L254" s="98"/>
      <c r="M254" s="101"/>
      <c r="N254" s="98"/>
      <c r="O254" s="98"/>
      <c r="P254" s="98"/>
      <c r="Q254" s="98"/>
      <c r="R254" s="127"/>
      <c r="S254" s="127"/>
      <c r="T254" s="98"/>
      <c r="U254" s="76">
        <v>8</v>
      </c>
    </row>
    <row r="255" spans="1:21" ht="13.8" thickBot="1">
      <c r="A255" s="19"/>
      <c r="B255" s="82"/>
      <c r="C255" s="20"/>
      <c r="D255" s="46" t="s">
        <v>145</v>
      </c>
      <c r="E255" s="91" t="str">
        <f>E254</f>
        <v>Terre polluée</v>
      </c>
      <c r="F255" s="40"/>
      <c r="G255" s="20"/>
      <c r="H255" s="123">
        <f>'BDD trait'!$G$30</f>
        <v>1</v>
      </c>
      <c r="I255" s="44" t="str">
        <f>'BDD trait'!$H$30</f>
        <v>t/t terre</v>
      </c>
      <c r="J255" s="104"/>
      <c r="K255" s="44"/>
      <c r="L255" s="40">
        <f>H255*'BDD FE'!$C$32</f>
        <v>0.19166666666666662</v>
      </c>
      <c r="M255" s="102"/>
      <c r="N255" s="40">
        <f t="shared" ref="N255" si="78">L255+M255</f>
        <v>0.19166666666666662</v>
      </c>
      <c r="O255" s="40">
        <f>H255*'BDD FE'!$F$32</f>
        <v>3.32E-2</v>
      </c>
      <c r="P255" s="40"/>
      <c r="Q255" s="40">
        <f t="shared" ref="Q255" si="79">O255+P255</f>
        <v>3.32E-2</v>
      </c>
      <c r="R255" s="130">
        <f>F254*H255</f>
        <v>1</v>
      </c>
      <c r="S255" s="130"/>
      <c r="T255" s="40">
        <f>R255+S255</f>
        <v>1</v>
      </c>
      <c r="U255" s="24"/>
    </row>
    <row r="256" spans="1:21" ht="13.8" thickBot="1">
      <c r="F256" s="31"/>
      <c r="H256" s="31"/>
      <c r="J256" s="103"/>
      <c r="L256" s="31"/>
      <c r="M256" s="103"/>
      <c r="N256" s="31"/>
      <c r="O256" s="31"/>
      <c r="P256" s="31"/>
      <c r="Q256" s="31"/>
      <c r="R256" s="125"/>
      <c r="S256" s="125"/>
      <c r="T256" s="125"/>
    </row>
    <row r="257" spans="1:21" ht="52.8">
      <c r="A257" s="15"/>
      <c r="B257" s="80" t="s">
        <v>32</v>
      </c>
      <c r="C257" s="25" t="s">
        <v>279</v>
      </c>
      <c r="D257" s="16"/>
      <c r="E257" s="90"/>
      <c r="F257" s="117"/>
      <c r="G257" s="43"/>
      <c r="H257" s="117"/>
      <c r="I257" s="43"/>
      <c r="J257" s="106"/>
      <c r="K257" s="43"/>
      <c r="L257" s="109"/>
      <c r="M257" s="100"/>
      <c r="N257" s="109"/>
      <c r="O257" s="109"/>
      <c r="P257" s="109"/>
      <c r="Q257" s="109"/>
      <c r="R257" s="126"/>
      <c r="S257" s="126"/>
      <c r="T257" s="109"/>
      <c r="U257" s="22"/>
    </row>
    <row r="258" spans="1:21" outlineLevel="1">
      <c r="A258" s="17"/>
      <c r="B258" s="81"/>
      <c r="C258" s="21"/>
      <c r="D258" s="21"/>
      <c r="E258" s="87" t="s">
        <v>152</v>
      </c>
      <c r="F258" s="110">
        <v>1</v>
      </c>
      <c r="G258" s="18" t="s">
        <v>20</v>
      </c>
      <c r="H258" s="98"/>
      <c r="I258" s="18"/>
      <c r="J258" s="101"/>
      <c r="K258" s="18"/>
      <c r="L258" s="98"/>
      <c r="M258" s="101"/>
      <c r="N258" s="98"/>
      <c r="O258" s="98"/>
      <c r="P258" s="98"/>
      <c r="Q258" s="98"/>
      <c r="R258" s="127"/>
      <c r="S258" s="127"/>
      <c r="T258" s="98"/>
      <c r="U258" s="76">
        <v>8</v>
      </c>
    </row>
    <row r="259" spans="1:21" ht="13.8" thickBot="1">
      <c r="A259" s="19"/>
      <c r="B259" s="82"/>
      <c r="C259" s="20"/>
      <c r="D259" s="46" t="s">
        <v>145</v>
      </c>
      <c r="E259" s="91" t="str">
        <f>E258</f>
        <v>Terre polluée</v>
      </c>
      <c r="F259" s="40"/>
      <c r="G259" s="20"/>
      <c r="H259" s="123">
        <f>'BDD trait'!$G$30</f>
        <v>1</v>
      </c>
      <c r="I259" s="44" t="str">
        <f>'BDD trait'!$H$30</f>
        <v>t/t terre</v>
      </c>
      <c r="J259" s="104"/>
      <c r="K259" s="44"/>
      <c r="L259" s="40">
        <f>H259*'BDD FE'!$C$32</f>
        <v>0.19166666666666662</v>
      </c>
      <c r="M259" s="102"/>
      <c r="N259" s="40">
        <f t="shared" ref="N259" si="80">L259+M259</f>
        <v>0.19166666666666662</v>
      </c>
      <c r="O259" s="40">
        <f>H259*'BDD FE'!$F$32</f>
        <v>3.32E-2</v>
      </c>
      <c r="P259" s="40"/>
      <c r="Q259" s="40">
        <f t="shared" ref="Q259" si="81">O259+P259</f>
        <v>3.32E-2</v>
      </c>
      <c r="R259" s="130">
        <f>F258*H259</f>
        <v>1</v>
      </c>
      <c r="S259" s="130"/>
      <c r="T259" s="40">
        <f>R259+S259</f>
        <v>1</v>
      </c>
      <c r="U259" s="24"/>
    </row>
    <row r="260" spans="1:21" ht="13.8" thickBot="1">
      <c r="A260" s="17"/>
      <c r="B260" s="81"/>
      <c r="C260" s="18"/>
      <c r="D260" s="27"/>
      <c r="E260" s="92"/>
      <c r="F260" s="98"/>
      <c r="G260" s="18"/>
      <c r="H260" s="118"/>
      <c r="I260" s="21"/>
      <c r="J260" s="107"/>
      <c r="K260" s="21"/>
      <c r="L260" s="98"/>
      <c r="M260" s="101"/>
      <c r="N260" s="98"/>
      <c r="O260" s="98"/>
      <c r="P260" s="98"/>
      <c r="Q260" s="98"/>
      <c r="R260" s="129"/>
      <c r="S260" s="129"/>
      <c r="T260" s="109"/>
    </row>
    <row r="261" spans="1:21">
      <c r="A261" s="15"/>
      <c r="B261" s="80" t="s">
        <v>28</v>
      </c>
      <c r="C261" s="25" t="s">
        <v>280</v>
      </c>
      <c r="D261" s="16"/>
      <c r="E261" s="90"/>
      <c r="F261" s="117"/>
      <c r="G261" s="43"/>
      <c r="H261" s="117"/>
      <c r="I261" s="43"/>
      <c r="J261" s="106"/>
      <c r="K261" s="43"/>
      <c r="L261" s="109"/>
      <c r="M261" s="100"/>
      <c r="N261" s="109"/>
      <c r="O261" s="109"/>
      <c r="P261" s="109"/>
      <c r="Q261" s="109"/>
      <c r="R261" s="126"/>
      <c r="S261" s="126"/>
      <c r="T261" s="109"/>
      <c r="U261" s="22"/>
    </row>
    <row r="262" spans="1:21" outlineLevel="1">
      <c r="A262" s="17"/>
      <c r="B262" s="81"/>
      <c r="C262" s="21"/>
      <c r="D262" s="21"/>
      <c r="E262" s="87" t="s">
        <v>152</v>
      </c>
      <c r="F262" s="110">
        <v>1</v>
      </c>
      <c r="G262" s="18" t="s">
        <v>20</v>
      </c>
      <c r="H262" s="98"/>
      <c r="I262" s="18"/>
      <c r="J262" s="101"/>
      <c r="K262" s="18"/>
      <c r="L262" s="98"/>
      <c r="M262" s="101"/>
      <c r="N262" s="98"/>
      <c r="O262" s="98"/>
      <c r="P262" s="98"/>
      <c r="Q262" s="98"/>
      <c r="R262" s="127"/>
      <c r="S262" s="127"/>
      <c r="T262" s="98"/>
      <c r="U262" s="76">
        <v>8</v>
      </c>
    </row>
    <row r="263" spans="1:21">
      <c r="A263" s="17"/>
      <c r="B263" s="81"/>
      <c r="C263" s="18"/>
      <c r="D263" s="27" t="s">
        <v>144</v>
      </c>
      <c r="E263" s="81" t="str">
        <f>'BDD trait'!$C$31</f>
        <v>Electricité</v>
      </c>
      <c r="F263" s="118">
        <f>'BDD trait'!$D$31</f>
        <v>1.5</v>
      </c>
      <c r="G263" s="21" t="str">
        <f>'BDD trait'!$E$31</f>
        <v>kWh/t</v>
      </c>
      <c r="H263" s="118"/>
      <c r="I263" s="21"/>
      <c r="J263" s="107"/>
      <c r="K263" s="21"/>
      <c r="L263" s="98">
        <f>F262*F263*'BDD FE'!$C$11/1000</f>
        <v>3.7800000000000004E-3</v>
      </c>
      <c r="M263" s="101"/>
      <c r="N263" s="98">
        <f>L263+M263</f>
        <v>3.7800000000000004E-3</v>
      </c>
      <c r="O263" s="98">
        <f>F262*F263*'BDD FE'!$F$11/1000</f>
        <v>1.5300000000000001E-4</v>
      </c>
      <c r="P263" s="98"/>
      <c r="Q263" s="98">
        <f>O263+P263</f>
        <v>1.5300000000000001E-4</v>
      </c>
      <c r="R263" s="127"/>
      <c r="S263" s="127"/>
      <c r="T263" s="98"/>
      <c r="U263" s="23"/>
    </row>
    <row r="264" spans="1:21">
      <c r="A264" s="17"/>
      <c r="B264" s="81"/>
      <c r="C264" s="18"/>
      <c r="D264" s="27" t="s">
        <v>144</v>
      </c>
      <c r="E264" s="81" t="str">
        <f>'BDD trait'!$C$32</f>
        <v>Diesel</v>
      </c>
      <c r="F264" s="119">
        <f>'BDD trait'!$D$32</f>
        <v>1.2941176470588236</v>
      </c>
      <c r="G264" s="81" t="str">
        <f>'BDD trait'!$E$32</f>
        <v>kWh/t</v>
      </c>
      <c r="H264" s="118"/>
      <c r="I264" s="21"/>
      <c r="J264" s="107"/>
      <c r="K264" s="21"/>
      <c r="L264" s="98">
        <f>F262*F264*'BDD FE'!$C$9/1000</f>
        <v>1.5998917647058825E-2</v>
      </c>
      <c r="M264" s="101"/>
      <c r="N264" s="98">
        <f>L264+M264</f>
        <v>1.5998917647058825E-2</v>
      </c>
      <c r="O264" s="98">
        <f>F262*F264*'BDD FE'!$F$9/1000</f>
        <v>3.9997294117647061E-3</v>
      </c>
      <c r="P264" s="98"/>
      <c r="Q264" s="98">
        <f>O264+P264</f>
        <v>3.9997294117647061E-3</v>
      </c>
      <c r="R264" s="127"/>
      <c r="S264" s="127"/>
      <c r="T264" s="98"/>
      <c r="U264" s="23"/>
    </row>
    <row r="265" spans="1:21" ht="13.8" thickBot="1">
      <c r="A265" s="19"/>
      <c r="B265" s="82"/>
      <c r="C265" s="20"/>
      <c r="D265" s="46" t="s">
        <v>145</v>
      </c>
      <c r="E265" s="91" t="str">
        <f>'BDD trait'!$C$33</f>
        <v>Terre stockée</v>
      </c>
      <c r="F265" s="40"/>
      <c r="G265" s="20"/>
      <c r="H265" s="123">
        <f>'BDD trait'!$G$33</f>
        <v>1.2</v>
      </c>
      <c r="I265" s="44" t="str">
        <f>'BDD trait'!$H$33</f>
        <v>t/t terre</v>
      </c>
      <c r="J265" s="104"/>
      <c r="K265" s="44"/>
      <c r="L265" s="40"/>
      <c r="M265" s="102"/>
      <c r="N265" s="40">
        <f t="shared" ref="N265" si="82">L265+M265</f>
        <v>0</v>
      </c>
      <c r="O265" s="40"/>
      <c r="P265" s="40"/>
      <c r="Q265" s="40">
        <f t="shared" ref="Q265" si="83">O265+P265</f>
        <v>0</v>
      </c>
      <c r="R265" s="130">
        <f>F262*H265</f>
        <v>1.2</v>
      </c>
      <c r="S265" s="130"/>
      <c r="T265" s="40">
        <f>R265+S265</f>
        <v>1.2</v>
      </c>
      <c r="U265" s="24"/>
    </row>
    <row r="266" spans="1:21" ht="13.8" thickBot="1">
      <c r="F266" s="31"/>
      <c r="H266" s="31"/>
      <c r="J266" s="103"/>
      <c r="L266" s="125"/>
      <c r="M266" s="108"/>
      <c r="N266" s="125"/>
      <c r="O266" s="125"/>
      <c r="P266" s="125"/>
      <c r="Q266" s="125"/>
      <c r="R266" s="125"/>
      <c r="S266" s="125"/>
      <c r="T266" s="125"/>
    </row>
    <row r="267" spans="1:21" ht="39.6">
      <c r="A267" s="15"/>
      <c r="B267" s="80" t="s">
        <v>29</v>
      </c>
      <c r="C267" s="25" t="s">
        <v>280</v>
      </c>
      <c r="D267" s="16"/>
      <c r="E267" s="90"/>
      <c r="F267" s="117"/>
      <c r="G267" s="43"/>
      <c r="H267" s="117"/>
      <c r="I267" s="43"/>
      <c r="J267" s="106"/>
      <c r="K267" s="43"/>
      <c r="L267" s="109"/>
      <c r="M267" s="100"/>
      <c r="N267" s="109"/>
      <c r="O267" s="109"/>
      <c r="P267" s="109"/>
      <c r="Q267" s="109"/>
      <c r="R267" s="126"/>
      <c r="S267" s="126"/>
      <c r="T267" s="109"/>
      <c r="U267" s="22"/>
    </row>
    <row r="268" spans="1:21" outlineLevel="1">
      <c r="A268" s="17"/>
      <c r="B268" s="81"/>
      <c r="C268" s="21"/>
      <c r="D268" s="21"/>
      <c r="E268" s="87" t="s">
        <v>152</v>
      </c>
      <c r="F268" s="110">
        <v>1</v>
      </c>
      <c r="G268" s="18" t="s">
        <v>20</v>
      </c>
      <c r="H268" s="98"/>
      <c r="I268" s="18"/>
      <c r="J268" s="101"/>
      <c r="K268" s="18"/>
      <c r="L268" s="98"/>
      <c r="M268" s="101"/>
      <c r="N268" s="98"/>
      <c r="O268" s="98"/>
      <c r="P268" s="98"/>
      <c r="Q268" s="98"/>
      <c r="R268" s="127"/>
      <c r="S268" s="127"/>
      <c r="T268" s="98"/>
      <c r="U268" s="76">
        <v>8</v>
      </c>
    </row>
    <row r="269" spans="1:21">
      <c r="A269" s="17"/>
      <c r="B269" s="81"/>
      <c r="C269" s="18"/>
      <c r="D269" s="27" t="s">
        <v>144</v>
      </c>
      <c r="E269" s="81" t="str">
        <f>'BDD trait'!$C$31</f>
        <v>Electricité</v>
      </c>
      <c r="F269" s="118">
        <f>'BDD trait'!$D$31</f>
        <v>1.5</v>
      </c>
      <c r="G269" s="21" t="str">
        <f>'BDD trait'!$E$31</f>
        <v>kWh/t</v>
      </c>
      <c r="H269" s="118"/>
      <c r="I269" s="21"/>
      <c r="J269" s="107"/>
      <c r="K269" s="21"/>
      <c r="L269" s="98">
        <f>F268*F269*'BDD FE'!$C$11/1000</f>
        <v>3.7800000000000004E-3</v>
      </c>
      <c r="M269" s="101"/>
      <c r="N269" s="98">
        <f>L269+M269</f>
        <v>3.7800000000000004E-3</v>
      </c>
      <c r="O269" s="98">
        <f>F268*F269*'BDD FE'!$F$11/1000</f>
        <v>1.5300000000000001E-4</v>
      </c>
      <c r="P269" s="98"/>
      <c r="Q269" s="98">
        <f>O269+P269</f>
        <v>1.5300000000000001E-4</v>
      </c>
      <c r="R269" s="127"/>
      <c r="S269" s="127"/>
      <c r="T269" s="98"/>
      <c r="U269" s="23"/>
    </row>
    <row r="270" spans="1:21">
      <c r="A270" s="17"/>
      <c r="B270" s="81"/>
      <c r="C270" s="18"/>
      <c r="D270" s="27" t="s">
        <v>144</v>
      </c>
      <c r="E270" s="81" t="str">
        <f>'BDD trait'!$C$32</f>
        <v>Diesel</v>
      </c>
      <c r="F270" s="119">
        <f>'BDD trait'!$D$32</f>
        <v>1.2941176470588236</v>
      </c>
      <c r="G270" s="81" t="str">
        <f>'BDD trait'!$E$32</f>
        <v>kWh/t</v>
      </c>
      <c r="H270" s="118"/>
      <c r="I270" s="21"/>
      <c r="J270" s="107"/>
      <c r="K270" s="21"/>
      <c r="L270" s="98">
        <f>F268*F270*'BDD FE'!$C$9/1000</f>
        <v>1.5998917647058825E-2</v>
      </c>
      <c r="M270" s="101"/>
      <c r="N270" s="98">
        <f>L270+M270</f>
        <v>1.5998917647058825E-2</v>
      </c>
      <c r="O270" s="98">
        <f>F268*F270*'BDD FE'!$F$9/1000</f>
        <v>3.9997294117647061E-3</v>
      </c>
      <c r="P270" s="98"/>
      <c r="Q270" s="98">
        <f>O270+P270</f>
        <v>3.9997294117647061E-3</v>
      </c>
      <c r="R270" s="127"/>
      <c r="S270" s="127"/>
      <c r="T270" s="98"/>
      <c r="U270" s="23"/>
    </row>
    <row r="271" spans="1:21" ht="13.8" thickBot="1">
      <c r="A271" s="19"/>
      <c r="B271" s="82"/>
      <c r="C271" s="20"/>
      <c r="D271" s="46" t="s">
        <v>145</v>
      </c>
      <c r="E271" s="91" t="str">
        <f>'BDD trait'!$C$33</f>
        <v>Terre stockée</v>
      </c>
      <c r="F271" s="40"/>
      <c r="G271" s="20"/>
      <c r="H271" s="123">
        <f>'BDD trait'!$G$33</f>
        <v>1.2</v>
      </c>
      <c r="I271" s="44" t="str">
        <f>'BDD trait'!$H$33</f>
        <v>t/t terre</v>
      </c>
      <c r="J271" s="104"/>
      <c r="K271" s="44"/>
      <c r="L271" s="40"/>
      <c r="M271" s="102"/>
      <c r="N271" s="40">
        <f t="shared" ref="N271" si="84">L271+M271</f>
        <v>0</v>
      </c>
      <c r="O271" s="40"/>
      <c r="P271" s="40"/>
      <c r="Q271" s="40">
        <f t="shared" ref="Q271" si="85">O271+P271</f>
        <v>0</v>
      </c>
      <c r="R271" s="130">
        <f>F268*H271</f>
        <v>1.2</v>
      </c>
      <c r="S271" s="130"/>
      <c r="T271" s="40">
        <f>R271+S271</f>
        <v>1.2</v>
      </c>
      <c r="U271" s="24"/>
    </row>
    <row r="272" spans="1:21" ht="13.8" thickBot="1">
      <c r="F272" s="31"/>
      <c r="H272" s="31"/>
      <c r="J272" s="103"/>
      <c r="L272" s="125"/>
      <c r="M272" s="108"/>
      <c r="N272" s="125"/>
      <c r="O272" s="125"/>
      <c r="P272" s="125"/>
      <c r="Q272" s="125"/>
      <c r="R272" s="125"/>
      <c r="S272" s="125"/>
      <c r="T272" s="125"/>
    </row>
    <row r="273" spans="1:21">
      <c r="A273" s="15"/>
      <c r="B273" s="80" t="s">
        <v>30</v>
      </c>
      <c r="C273" s="25" t="s">
        <v>280</v>
      </c>
      <c r="D273" s="16"/>
      <c r="E273" s="90"/>
      <c r="F273" s="117"/>
      <c r="G273" s="43"/>
      <c r="H273" s="117"/>
      <c r="I273" s="43"/>
      <c r="J273" s="106"/>
      <c r="K273" s="43"/>
      <c r="L273" s="109"/>
      <c r="M273" s="100"/>
      <c r="N273" s="109"/>
      <c r="O273" s="109"/>
      <c r="P273" s="109"/>
      <c r="Q273" s="109"/>
      <c r="R273" s="126"/>
      <c r="S273" s="126"/>
      <c r="T273" s="109"/>
      <c r="U273" s="22"/>
    </row>
    <row r="274" spans="1:21" outlineLevel="1">
      <c r="A274" s="17"/>
      <c r="B274" s="81"/>
      <c r="C274" s="21"/>
      <c r="D274" s="21"/>
      <c r="E274" s="87" t="s">
        <v>152</v>
      </c>
      <c r="F274" s="110">
        <v>1</v>
      </c>
      <c r="G274" s="18" t="s">
        <v>20</v>
      </c>
      <c r="H274" s="98"/>
      <c r="I274" s="18"/>
      <c r="J274" s="101"/>
      <c r="K274" s="18"/>
      <c r="L274" s="98"/>
      <c r="M274" s="101"/>
      <c r="N274" s="98"/>
      <c r="O274" s="98"/>
      <c r="P274" s="98"/>
      <c r="Q274" s="98"/>
      <c r="R274" s="127"/>
      <c r="S274" s="127"/>
      <c r="T274" s="98"/>
      <c r="U274" s="76">
        <v>8</v>
      </c>
    </row>
    <row r="275" spans="1:21">
      <c r="A275" s="17"/>
      <c r="B275" s="81"/>
      <c r="C275" s="18"/>
      <c r="D275" s="27" t="s">
        <v>144</v>
      </c>
      <c r="E275" s="81" t="str">
        <f>'BDD trait'!$C$31</f>
        <v>Electricité</v>
      </c>
      <c r="F275" s="118">
        <f>'BDD trait'!$D$31</f>
        <v>1.5</v>
      </c>
      <c r="G275" s="21" t="str">
        <f>'BDD trait'!$E$31</f>
        <v>kWh/t</v>
      </c>
      <c r="H275" s="118"/>
      <c r="I275" s="21"/>
      <c r="J275" s="107"/>
      <c r="K275" s="21"/>
      <c r="L275" s="98">
        <f>F274*F275*'BDD FE'!$C$11/1000</f>
        <v>3.7800000000000004E-3</v>
      </c>
      <c r="M275" s="101"/>
      <c r="N275" s="98">
        <f>L275+M275</f>
        <v>3.7800000000000004E-3</v>
      </c>
      <c r="O275" s="98">
        <f>F274*F275*'BDD FE'!$F$11/1000</f>
        <v>1.5300000000000001E-4</v>
      </c>
      <c r="P275" s="98"/>
      <c r="Q275" s="98">
        <f>O275+P275</f>
        <v>1.5300000000000001E-4</v>
      </c>
      <c r="R275" s="127"/>
      <c r="S275" s="127"/>
      <c r="T275" s="98"/>
      <c r="U275" s="23"/>
    </row>
    <row r="276" spans="1:21">
      <c r="A276" s="17"/>
      <c r="B276" s="81"/>
      <c r="C276" s="18"/>
      <c r="D276" s="27" t="s">
        <v>144</v>
      </c>
      <c r="E276" s="81" t="str">
        <f>'BDD trait'!$C$32</f>
        <v>Diesel</v>
      </c>
      <c r="F276" s="119">
        <f>'BDD trait'!$D$32</f>
        <v>1.2941176470588236</v>
      </c>
      <c r="G276" s="81" t="str">
        <f>'BDD trait'!$E$32</f>
        <v>kWh/t</v>
      </c>
      <c r="H276" s="118"/>
      <c r="I276" s="21"/>
      <c r="J276" s="107"/>
      <c r="K276" s="21"/>
      <c r="L276" s="98">
        <f>F274*F276*'BDD FE'!$C$9/1000</f>
        <v>1.5998917647058825E-2</v>
      </c>
      <c r="M276" s="101"/>
      <c r="N276" s="98">
        <f>L276+M276</f>
        <v>1.5998917647058825E-2</v>
      </c>
      <c r="O276" s="98">
        <f>F274*F276*'BDD FE'!$F$9/1000</f>
        <v>3.9997294117647061E-3</v>
      </c>
      <c r="P276" s="98"/>
      <c r="Q276" s="98">
        <f>O276+P276</f>
        <v>3.9997294117647061E-3</v>
      </c>
      <c r="R276" s="127"/>
      <c r="S276" s="127"/>
      <c r="T276" s="98"/>
      <c r="U276" s="23"/>
    </row>
    <row r="277" spans="1:21" ht="13.8" thickBot="1">
      <c r="A277" s="19"/>
      <c r="B277" s="82"/>
      <c r="C277" s="20"/>
      <c r="D277" s="46" t="s">
        <v>145</v>
      </c>
      <c r="E277" s="91" t="str">
        <f>'BDD trait'!$C$33</f>
        <v>Terre stockée</v>
      </c>
      <c r="F277" s="40"/>
      <c r="G277" s="20"/>
      <c r="H277" s="123">
        <f>'BDD trait'!$G$33</f>
        <v>1.2</v>
      </c>
      <c r="I277" s="44" t="str">
        <f>'BDD trait'!$H$33</f>
        <v>t/t terre</v>
      </c>
      <c r="J277" s="104"/>
      <c r="K277" s="44"/>
      <c r="L277" s="40"/>
      <c r="M277" s="102"/>
      <c r="N277" s="40">
        <f t="shared" ref="N277" si="86">L277+M277</f>
        <v>0</v>
      </c>
      <c r="O277" s="40"/>
      <c r="P277" s="40"/>
      <c r="Q277" s="40">
        <f t="shared" ref="Q277" si="87">O277+P277</f>
        <v>0</v>
      </c>
      <c r="R277" s="130">
        <f>F274*H277</f>
        <v>1.2</v>
      </c>
      <c r="S277" s="130"/>
      <c r="T277" s="40">
        <f>R277+S277</f>
        <v>1.2</v>
      </c>
      <c r="U277" s="24"/>
    </row>
    <row r="278" spans="1:21" ht="13.8" thickBot="1">
      <c r="F278" s="31"/>
      <c r="H278" s="31"/>
      <c r="J278" s="103"/>
      <c r="L278" s="125"/>
      <c r="M278" s="108"/>
      <c r="N278" s="125"/>
      <c r="O278" s="125"/>
      <c r="P278" s="125"/>
      <c r="Q278" s="125"/>
      <c r="R278" s="125"/>
      <c r="S278" s="125"/>
      <c r="T278" s="125"/>
    </row>
    <row r="279" spans="1:21">
      <c r="A279" s="15"/>
      <c r="B279" s="80" t="s">
        <v>31</v>
      </c>
      <c r="C279" s="25" t="s">
        <v>280</v>
      </c>
      <c r="D279" s="16"/>
      <c r="E279" s="90"/>
      <c r="F279" s="117"/>
      <c r="G279" s="43"/>
      <c r="H279" s="117"/>
      <c r="I279" s="43"/>
      <c r="J279" s="106"/>
      <c r="K279" s="43"/>
      <c r="L279" s="109"/>
      <c r="M279" s="100"/>
      <c r="N279" s="109"/>
      <c r="O279" s="109"/>
      <c r="P279" s="109"/>
      <c r="Q279" s="109"/>
      <c r="R279" s="126"/>
      <c r="S279" s="126"/>
      <c r="T279" s="109"/>
      <c r="U279" s="22"/>
    </row>
    <row r="280" spans="1:21" outlineLevel="1">
      <c r="A280" s="17"/>
      <c r="B280" s="81"/>
      <c r="C280" s="21"/>
      <c r="D280" s="21"/>
      <c r="E280" s="87" t="s">
        <v>152</v>
      </c>
      <c r="F280" s="110">
        <v>1</v>
      </c>
      <c r="G280" s="18" t="s">
        <v>20</v>
      </c>
      <c r="H280" s="98"/>
      <c r="I280" s="18"/>
      <c r="J280" s="101"/>
      <c r="K280" s="18"/>
      <c r="L280" s="98"/>
      <c r="M280" s="101"/>
      <c r="N280" s="98"/>
      <c r="O280" s="98"/>
      <c r="P280" s="98"/>
      <c r="Q280" s="98"/>
      <c r="R280" s="127"/>
      <c r="S280" s="127"/>
      <c r="T280" s="98"/>
      <c r="U280" s="76">
        <v>8</v>
      </c>
    </row>
    <row r="281" spans="1:21">
      <c r="A281" s="17"/>
      <c r="B281" s="81"/>
      <c r="C281" s="18"/>
      <c r="D281" s="27" t="s">
        <v>144</v>
      </c>
      <c r="E281" s="81" t="str">
        <f>'BDD trait'!$C$31</f>
        <v>Electricité</v>
      </c>
      <c r="F281" s="118">
        <f>'BDD trait'!$D$31</f>
        <v>1.5</v>
      </c>
      <c r="G281" s="21" t="str">
        <f>'BDD trait'!$E$31</f>
        <v>kWh/t</v>
      </c>
      <c r="H281" s="118"/>
      <c r="I281" s="21"/>
      <c r="J281" s="107"/>
      <c r="K281" s="21"/>
      <c r="L281" s="98">
        <f>F280*F281*'BDD FE'!$C$11/1000</f>
        <v>3.7800000000000004E-3</v>
      </c>
      <c r="M281" s="101"/>
      <c r="N281" s="98">
        <f>L281+M281</f>
        <v>3.7800000000000004E-3</v>
      </c>
      <c r="O281" s="98">
        <f>F280*F281*'BDD FE'!$F$11/1000</f>
        <v>1.5300000000000001E-4</v>
      </c>
      <c r="P281" s="98"/>
      <c r="Q281" s="98">
        <f>O281+P281</f>
        <v>1.5300000000000001E-4</v>
      </c>
      <c r="R281" s="127"/>
      <c r="S281" s="127"/>
      <c r="T281" s="98"/>
      <c r="U281" s="23"/>
    </row>
    <row r="282" spans="1:21">
      <c r="A282" s="17"/>
      <c r="B282" s="81"/>
      <c r="C282" s="18"/>
      <c r="D282" s="27" t="s">
        <v>144</v>
      </c>
      <c r="E282" s="81" t="str">
        <f>'BDD trait'!$C$32</f>
        <v>Diesel</v>
      </c>
      <c r="F282" s="119">
        <f>'BDD trait'!$D$32</f>
        <v>1.2941176470588236</v>
      </c>
      <c r="G282" s="81" t="str">
        <f>'BDD trait'!$E$32</f>
        <v>kWh/t</v>
      </c>
      <c r="H282" s="118"/>
      <c r="I282" s="21"/>
      <c r="J282" s="107"/>
      <c r="K282" s="21"/>
      <c r="L282" s="98">
        <f>F280*F282*'BDD FE'!$C$9/1000</f>
        <v>1.5998917647058825E-2</v>
      </c>
      <c r="M282" s="101"/>
      <c r="N282" s="98">
        <f>L282+M282</f>
        <v>1.5998917647058825E-2</v>
      </c>
      <c r="O282" s="98">
        <f>F280*F282*'BDD FE'!$F$9/1000</f>
        <v>3.9997294117647061E-3</v>
      </c>
      <c r="P282" s="98"/>
      <c r="Q282" s="98">
        <f>O282+P282</f>
        <v>3.9997294117647061E-3</v>
      </c>
      <c r="R282" s="127"/>
      <c r="S282" s="127"/>
      <c r="T282" s="98"/>
      <c r="U282" s="23"/>
    </row>
    <row r="283" spans="1:21" ht="13.8" thickBot="1">
      <c r="A283" s="19"/>
      <c r="B283" s="82"/>
      <c r="C283" s="20"/>
      <c r="D283" s="46" t="s">
        <v>145</v>
      </c>
      <c r="E283" s="91" t="str">
        <f>'BDD trait'!$C$33</f>
        <v>Terre stockée</v>
      </c>
      <c r="F283" s="40"/>
      <c r="G283" s="20"/>
      <c r="H283" s="123">
        <f>'BDD trait'!$G$33</f>
        <v>1.2</v>
      </c>
      <c r="I283" s="44" t="str">
        <f>'BDD trait'!$H$33</f>
        <v>t/t terre</v>
      </c>
      <c r="J283" s="104"/>
      <c r="K283" s="44"/>
      <c r="L283" s="40"/>
      <c r="M283" s="102"/>
      <c r="N283" s="40">
        <f t="shared" ref="N283" si="88">L283+M283</f>
        <v>0</v>
      </c>
      <c r="O283" s="40"/>
      <c r="P283" s="40"/>
      <c r="Q283" s="40">
        <f t="shared" ref="Q283" si="89">O283+P283</f>
        <v>0</v>
      </c>
      <c r="R283" s="130">
        <f>F280*H283</f>
        <v>1.2</v>
      </c>
      <c r="S283" s="130"/>
      <c r="T283" s="40">
        <f>R283+S283</f>
        <v>1.2</v>
      </c>
      <c r="U283" s="24"/>
    </row>
    <row r="284" spans="1:21" ht="13.8" thickBot="1">
      <c r="F284" s="31"/>
      <c r="H284" s="31"/>
      <c r="J284" s="103"/>
      <c r="L284" s="125"/>
      <c r="M284" s="108"/>
      <c r="N284" s="125"/>
      <c r="O284" s="125"/>
      <c r="P284" s="125"/>
      <c r="Q284" s="125"/>
      <c r="R284" s="125"/>
      <c r="S284" s="125"/>
      <c r="T284" s="125"/>
    </row>
    <row r="285" spans="1:21" ht="52.8">
      <c r="A285" s="15"/>
      <c r="B285" s="80" t="s">
        <v>32</v>
      </c>
      <c r="C285" s="25" t="s">
        <v>280</v>
      </c>
      <c r="D285" s="16"/>
      <c r="E285" s="90"/>
      <c r="F285" s="117"/>
      <c r="G285" s="43"/>
      <c r="H285" s="117"/>
      <c r="I285" s="43"/>
      <c r="J285" s="106"/>
      <c r="K285" s="43"/>
      <c r="L285" s="109"/>
      <c r="M285" s="100"/>
      <c r="N285" s="109"/>
      <c r="O285" s="109"/>
      <c r="P285" s="109"/>
      <c r="Q285" s="109"/>
      <c r="R285" s="126"/>
      <c r="S285" s="126"/>
      <c r="T285" s="109"/>
      <c r="U285" s="22"/>
    </row>
    <row r="286" spans="1:21" outlineLevel="1">
      <c r="A286" s="17"/>
      <c r="B286" s="81"/>
      <c r="C286" s="21"/>
      <c r="D286" s="21"/>
      <c r="E286" s="87" t="s">
        <v>152</v>
      </c>
      <c r="F286" s="110">
        <v>1</v>
      </c>
      <c r="G286" s="18" t="s">
        <v>20</v>
      </c>
      <c r="H286" s="98"/>
      <c r="I286" s="18"/>
      <c r="J286" s="101"/>
      <c r="K286" s="18"/>
      <c r="L286" s="98"/>
      <c r="M286" s="101"/>
      <c r="N286" s="98"/>
      <c r="O286" s="98"/>
      <c r="P286" s="98"/>
      <c r="Q286" s="98"/>
      <c r="R286" s="127"/>
      <c r="S286" s="127"/>
      <c r="T286" s="98"/>
      <c r="U286" s="76">
        <v>8</v>
      </c>
    </row>
    <row r="287" spans="1:21">
      <c r="A287" s="17"/>
      <c r="B287" s="81"/>
      <c r="C287" s="18"/>
      <c r="D287" s="27" t="s">
        <v>144</v>
      </c>
      <c r="E287" s="81" t="str">
        <f>'BDD trait'!$C$31</f>
        <v>Electricité</v>
      </c>
      <c r="F287" s="118">
        <f>'BDD trait'!$D$31</f>
        <v>1.5</v>
      </c>
      <c r="G287" s="21" t="str">
        <f>'BDD trait'!$E$31</f>
        <v>kWh/t</v>
      </c>
      <c r="H287" s="118"/>
      <c r="I287" s="21"/>
      <c r="J287" s="107"/>
      <c r="K287" s="21"/>
      <c r="L287" s="98">
        <f>F286*F287*'BDD FE'!$C$11/1000</f>
        <v>3.7800000000000004E-3</v>
      </c>
      <c r="M287" s="101"/>
      <c r="N287" s="98">
        <f>L287+M287</f>
        <v>3.7800000000000004E-3</v>
      </c>
      <c r="O287" s="98">
        <f>F286*F287*'BDD FE'!$F$11/1000</f>
        <v>1.5300000000000001E-4</v>
      </c>
      <c r="P287" s="98"/>
      <c r="Q287" s="98">
        <f>O287+P287</f>
        <v>1.5300000000000001E-4</v>
      </c>
      <c r="R287" s="127"/>
      <c r="S287" s="127"/>
      <c r="T287" s="98"/>
      <c r="U287" s="23"/>
    </row>
    <row r="288" spans="1:21">
      <c r="A288" s="17"/>
      <c r="B288" s="81"/>
      <c r="C288" s="18"/>
      <c r="D288" s="27" t="s">
        <v>144</v>
      </c>
      <c r="E288" s="81" t="str">
        <f>'BDD trait'!$C$32</f>
        <v>Diesel</v>
      </c>
      <c r="F288" s="119">
        <f>'BDD trait'!$D$32</f>
        <v>1.2941176470588236</v>
      </c>
      <c r="G288" s="81" t="str">
        <f>'BDD trait'!$E$32</f>
        <v>kWh/t</v>
      </c>
      <c r="H288" s="118"/>
      <c r="I288" s="21"/>
      <c r="J288" s="107"/>
      <c r="K288" s="21"/>
      <c r="L288" s="98">
        <f>F286*F288*'BDD FE'!$C$9/1000</f>
        <v>1.5998917647058825E-2</v>
      </c>
      <c r="M288" s="101"/>
      <c r="N288" s="98">
        <f>L288+M288</f>
        <v>1.5998917647058825E-2</v>
      </c>
      <c r="O288" s="98">
        <f>F286*F288*'BDD FE'!$F$9/1000</f>
        <v>3.9997294117647061E-3</v>
      </c>
      <c r="P288" s="98"/>
      <c r="Q288" s="98">
        <f>O288+P288</f>
        <v>3.9997294117647061E-3</v>
      </c>
      <c r="R288" s="127"/>
      <c r="S288" s="127"/>
      <c r="T288" s="98"/>
      <c r="U288" s="23"/>
    </row>
    <row r="289" spans="1:21" ht="13.8" thickBot="1">
      <c r="A289" s="19"/>
      <c r="B289" s="82"/>
      <c r="C289" s="20"/>
      <c r="D289" s="46" t="s">
        <v>145</v>
      </c>
      <c r="E289" s="91" t="str">
        <f>'BDD trait'!$C$33</f>
        <v>Terre stockée</v>
      </c>
      <c r="F289" s="40"/>
      <c r="G289" s="20"/>
      <c r="H289" s="123">
        <f>'BDD trait'!$G$33</f>
        <v>1.2</v>
      </c>
      <c r="I289" s="44" t="str">
        <f>'BDD trait'!$H$33</f>
        <v>t/t terre</v>
      </c>
      <c r="J289" s="104"/>
      <c r="K289" s="44"/>
      <c r="L289" s="40"/>
      <c r="M289" s="102"/>
      <c r="N289" s="40">
        <f t="shared" ref="N289" si="90">L289+M289</f>
        <v>0</v>
      </c>
      <c r="O289" s="40"/>
      <c r="P289" s="40"/>
      <c r="Q289" s="40">
        <f t="shared" ref="Q289" si="91">O289+P289</f>
        <v>0</v>
      </c>
      <c r="R289" s="130">
        <f>F286*H289</f>
        <v>1.2</v>
      </c>
      <c r="S289" s="130"/>
      <c r="T289" s="40">
        <f>R289+S289</f>
        <v>1.2</v>
      </c>
      <c r="U289" s="24"/>
    </row>
    <row r="290" spans="1:21" ht="13.8" thickBot="1">
      <c r="F290" s="31"/>
      <c r="H290" s="31"/>
      <c r="J290" s="103"/>
      <c r="L290" s="31"/>
      <c r="M290" s="103"/>
      <c r="N290" s="31"/>
      <c r="O290" s="31"/>
      <c r="P290" s="31"/>
      <c r="Q290" s="31"/>
      <c r="R290" s="128"/>
      <c r="S290" s="128"/>
      <c r="T290" s="31"/>
    </row>
    <row r="291" spans="1:21">
      <c r="A291" s="15"/>
      <c r="B291" s="80" t="s">
        <v>28</v>
      </c>
      <c r="C291" s="16" t="s">
        <v>38</v>
      </c>
      <c r="D291" s="16"/>
      <c r="E291" s="86"/>
      <c r="F291" s="109"/>
      <c r="G291" s="16"/>
      <c r="H291" s="109"/>
      <c r="I291" s="16"/>
      <c r="J291" s="100"/>
      <c r="K291" s="16"/>
      <c r="L291" s="109"/>
      <c r="M291" s="100"/>
      <c r="N291" s="109"/>
      <c r="O291" s="109"/>
      <c r="P291" s="109"/>
      <c r="Q291" s="109"/>
      <c r="R291" s="126"/>
      <c r="S291" s="126"/>
      <c r="T291" s="109"/>
      <c r="U291" s="22"/>
    </row>
    <row r="292" spans="1:21">
      <c r="A292" s="17"/>
      <c r="B292" s="81"/>
      <c r="C292" s="18"/>
      <c r="D292" s="18"/>
      <c r="E292" s="87" t="s">
        <v>152</v>
      </c>
      <c r="F292" s="110">
        <v>1</v>
      </c>
      <c r="G292" s="18" t="s">
        <v>20</v>
      </c>
      <c r="H292" s="98"/>
      <c r="I292" s="18"/>
      <c r="J292" s="101"/>
      <c r="K292" s="18"/>
      <c r="L292" s="98"/>
      <c r="M292" s="101"/>
      <c r="N292" s="98"/>
      <c r="O292" s="98"/>
      <c r="P292" s="98"/>
      <c r="Q292" s="98"/>
      <c r="R292" s="127"/>
      <c r="S292" s="127"/>
      <c r="T292" s="98"/>
      <c r="U292" s="76">
        <v>8</v>
      </c>
    </row>
    <row r="293" spans="1:21" ht="13.8" thickBot="1">
      <c r="A293" s="19"/>
      <c r="B293" s="82"/>
      <c r="C293" s="20"/>
      <c r="D293" s="46" t="s">
        <v>145</v>
      </c>
      <c r="E293" s="82" t="str">
        <f>E292</f>
        <v>Terre polluée</v>
      </c>
      <c r="F293" s="40"/>
      <c r="G293" s="20"/>
      <c r="H293" s="40">
        <f>'BDD trait'!$G$34</f>
        <v>0.9</v>
      </c>
      <c r="I293" s="20" t="str">
        <f>'BDD trait'!$H$34</f>
        <v>t/t terre</v>
      </c>
      <c r="J293" s="102"/>
      <c r="K293" s="20"/>
      <c r="L293" s="40">
        <f>F292*'BDD FE'!$C$27</f>
        <v>9.4472222222222211</v>
      </c>
      <c r="M293" s="102"/>
      <c r="N293" s="40">
        <f t="shared" ref="N293" si="92">L293+M293</f>
        <v>9.4472222222222211</v>
      </c>
      <c r="O293" s="40">
        <f>F292*'BDD FE'!$F$28</f>
        <v>3.44</v>
      </c>
      <c r="P293" s="40"/>
      <c r="Q293" s="40">
        <f t="shared" ref="Q293" si="93">O293+P293</f>
        <v>3.44</v>
      </c>
      <c r="R293" s="131">
        <f>F292*H293*'BDD FE'!I27</f>
        <v>4.5000000000000005E-2</v>
      </c>
      <c r="S293" s="131"/>
      <c r="T293" s="40">
        <f>R293+S293</f>
        <v>4.5000000000000005E-2</v>
      </c>
      <c r="U293" s="24"/>
    </row>
    <row r="294" spans="1:21" ht="13.8" thickBot="1">
      <c r="F294" s="31"/>
      <c r="H294" s="31"/>
      <c r="J294" s="103"/>
      <c r="L294" s="31"/>
      <c r="M294" s="103"/>
      <c r="N294" s="31"/>
      <c r="O294" s="31"/>
      <c r="P294" s="31"/>
      <c r="Q294" s="31"/>
      <c r="R294" s="128"/>
      <c r="S294" s="128"/>
      <c r="T294" s="31"/>
    </row>
    <row r="295" spans="1:21" ht="39.6">
      <c r="A295" s="15"/>
      <c r="B295" s="80" t="s">
        <v>29</v>
      </c>
      <c r="C295" s="16" t="s">
        <v>38</v>
      </c>
      <c r="D295" s="16"/>
      <c r="E295" s="86"/>
      <c r="F295" s="109"/>
      <c r="G295" s="16"/>
      <c r="H295" s="109"/>
      <c r="I295" s="16"/>
      <c r="J295" s="100"/>
      <c r="K295" s="16"/>
      <c r="L295" s="109"/>
      <c r="M295" s="100"/>
      <c r="N295" s="109"/>
      <c r="O295" s="109"/>
      <c r="P295" s="109"/>
      <c r="Q295" s="109"/>
      <c r="R295" s="126"/>
      <c r="S295" s="126"/>
      <c r="T295" s="109"/>
      <c r="U295" s="22"/>
    </row>
    <row r="296" spans="1:21">
      <c r="A296" s="17"/>
      <c r="B296" s="81"/>
      <c r="C296" s="18"/>
      <c r="D296" s="18"/>
      <c r="E296" s="87" t="s">
        <v>152</v>
      </c>
      <c r="F296" s="110">
        <v>1</v>
      </c>
      <c r="G296" s="18" t="s">
        <v>20</v>
      </c>
      <c r="H296" s="98"/>
      <c r="I296" s="18"/>
      <c r="J296" s="101"/>
      <c r="K296" s="18"/>
      <c r="L296" s="98"/>
      <c r="M296" s="101"/>
      <c r="N296" s="98"/>
      <c r="O296" s="98"/>
      <c r="P296" s="98"/>
      <c r="Q296" s="98"/>
      <c r="R296" s="127"/>
      <c r="S296" s="127"/>
      <c r="T296" s="98"/>
      <c r="U296" s="76">
        <v>8</v>
      </c>
    </row>
    <row r="297" spans="1:21" ht="13.8" thickBot="1">
      <c r="A297" s="19"/>
      <c r="B297" s="82"/>
      <c r="C297" s="20"/>
      <c r="D297" s="46" t="s">
        <v>145</v>
      </c>
      <c r="E297" s="82" t="str">
        <f>E296</f>
        <v>Terre polluée</v>
      </c>
      <c r="F297" s="40"/>
      <c r="G297" s="20"/>
      <c r="H297" s="40">
        <f>'BDD trait'!$G$34</f>
        <v>0.9</v>
      </c>
      <c r="I297" s="20" t="str">
        <f>'BDD trait'!$H$34</f>
        <v>t/t terre</v>
      </c>
      <c r="J297" s="102"/>
      <c r="K297" s="20"/>
      <c r="L297" s="40">
        <f>F296*'BDD FE'!$C$28</f>
        <v>9.4472222222222211</v>
      </c>
      <c r="M297" s="102"/>
      <c r="N297" s="40">
        <f t="shared" ref="N297" si="94">L297+M297</f>
        <v>9.4472222222222211</v>
      </c>
      <c r="O297" s="40">
        <f>F296*'BDD FE'!$F$28</f>
        <v>3.44</v>
      </c>
      <c r="P297" s="40"/>
      <c r="Q297" s="40">
        <f t="shared" ref="Q297" si="95">O297+P297</f>
        <v>3.44</v>
      </c>
      <c r="R297" s="131">
        <f>F296*H297</f>
        <v>0.9</v>
      </c>
      <c r="S297" s="131"/>
      <c r="T297" s="40">
        <f>R297+S297</f>
        <v>0.9</v>
      </c>
      <c r="U297" s="24"/>
    </row>
    <row r="298" spans="1:21" ht="13.8" thickBot="1">
      <c r="F298" s="31"/>
      <c r="H298" s="31"/>
      <c r="J298" s="103"/>
      <c r="L298" s="31"/>
      <c r="M298" s="103"/>
      <c r="N298" s="31"/>
      <c r="O298" s="31"/>
      <c r="P298" s="31"/>
      <c r="Q298" s="31"/>
      <c r="R298" s="128"/>
      <c r="S298" s="128"/>
      <c r="T298" s="31"/>
    </row>
    <row r="299" spans="1:21">
      <c r="A299" s="15"/>
      <c r="B299" s="80" t="s">
        <v>30</v>
      </c>
      <c r="C299" s="16" t="s">
        <v>38</v>
      </c>
      <c r="D299" s="16"/>
      <c r="E299" s="86"/>
      <c r="F299" s="109"/>
      <c r="G299" s="16"/>
      <c r="H299" s="109"/>
      <c r="I299" s="16"/>
      <c r="J299" s="100"/>
      <c r="K299" s="16"/>
      <c r="L299" s="109"/>
      <c r="M299" s="100"/>
      <c r="N299" s="109"/>
      <c r="O299" s="109"/>
      <c r="P299" s="109"/>
      <c r="Q299" s="109"/>
      <c r="R299" s="126"/>
      <c r="S299" s="126"/>
      <c r="T299" s="109"/>
      <c r="U299" s="22"/>
    </row>
    <row r="300" spans="1:21">
      <c r="A300" s="17"/>
      <c r="B300" s="81"/>
      <c r="C300" s="18"/>
      <c r="D300" s="18"/>
      <c r="E300" s="87" t="s">
        <v>152</v>
      </c>
      <c r="F300" s="110">
        <v>1</v>
      </c>
      <c r="G300" s="18" t="s">
        <v>20</v>
      </c>
      <c r="H300" s="98"/>
      <c r="I300" s="18"/>
      <c r="J300" s="101"/>
      <c r="K300" s="18"/>
      <c r="L300" s="98"/>
      <c r="M300" s="101"/>
      <c r="N300" s="98"/>
      <c r="O300" s="98"/>
      <c r="P300" s="98"/>
      <c r="Q300" s="98"/>
      <c r="R300" s="127"/>
      <c r="S300" s="127"/>
      <c r="T300" s="98"/>
      <c r="U300" s="76">
        <v>8</v>
      </c>
    </row>
    <row r="301" spans="1:21" ht="13.8" thickBot="1">
      <c r="A301" s="19"/>
      <c r="B301" s="82"/>
      <c r="C301" s="20"/>
      <c r="D301" s="46" t="s">
        <v>145</v>
      </c>
      <c r="E301" s="82" t="str">
        <f>E300</f>
        <v>Terre polluée</v>
      </c>
      <c r="F301" s="40"/>
      <c r="G301" s="20"/>
      <c r="H301" s="40">
        <f>'BDD trait'!$G$34</f>
        <v>0.9</v>
      </c>
      <c r="I301" s="20" t="str">
        <f>'BDD trait'!$H$34</f>
        <v>t/t terre</v>
      </c>
      <c r="J301" s="102"/>
      <c r="K301" s="20"/>
      <c r="L301" s="40">
        <f>F300*'BDD FE'!$C$28</f>
        <v>9.4472222222222211</v>
      </c>
      <c r="M301" s="102"/>
      <c r="N301" s="40">
        <f t="shared" ref="N301" si="96">L301+M301</f>
        <v>9.4472222222222211</v>
      </c>
      <c r="O301" s="40">
        <f>F300*'BDD FE'!$F$28</f>
        <v>3.44</v>
      </c>
      <c r="P301" s="40"/>
      <c r="Q301" s="40">
        <f t="shared" ref="Q301" si="97">O301+P301</f>
        <v>3.44</v>
      </c>
      <c r="R301" s="131">
        <f>F300*H301</f>
        <v>0.9</v>
      </c>
      <c r="S301" s="131"/>
      <c r="T301" s="40">
        <f>R301+S301</f>
        <v>0.9</v>
      </c>
      <c r="U301" s="24"/>
    </row>
    <row r="302" spans="1:21" ht="13.8" thickBot="1">
      <c r="F302" s="31"/>
      <c r="H302" s="31"/>
      <c r="J302" s="103"/>
      <c r="L302" s="31"/>
      <c r="M302" s="103"/>
      <c r="N302" s="31"/>
      <c r="O302" s="31"/>
      <c r="P302" s="31"/>
      <c r="Q302" s="31"/>
      <c r="R302" s="128"/>
      <c r="S302" s="128"/>
      <c r="T302" s="31"/>
    </row>
    <row r="303" spans="1:21">
      <c r="A303" s="15"/>
      <c r="B303" s="80" t="s">
        <v>31</v>
      </c>
      <c r="C303" s="16" t="s">
        <v>38</v>
      </c>
      <c r="D303" s="16"/>
      <c r="E303" s="86"/>
      <c r="F303" s="109"/>
      <c r="G303" s="16"/>
      <c r="H303" s="109"/>
      <c r="I303" s="16"/>
      <c r="J303" s="100"/>
      <c r="K303" s="16"/>
      <c r="L303" s="109"/>
      <c r="M303" s="100"/>
      <c r="N303" s="109"/>
      <c r="O303" s="109"/>
      <c r="P303" s="109"/>
      <c r="Q303" s="109"/>
      <c r="R303" s="126"/>
      <c r="S303" s="126"/>
      <c r="T303" s="109"/>
      <c r="U303" s="22"/>
    </row>
    <row r="304" spans="1:21">
      <c r="A304" s="17"/>
      <c r="B304" s="81"/>
      <c r="C304" s="18"/>
      <c r="D304" s="18"/>
      <c r="E304" s="87" t="s">
        <v>152</v>
      </c>
      <c r="F304" s="110">
        <v>1</v>
      </c>
      <c r="G304" s="18" t="s">
        <v>20</v>
      </c>
      <c r="H304" s="98"/>
      <c r="I304" s="18"/>
      <c r="J304" s="101"/>
      <c r="K304" s="18"/>
      <c r="L304" s="98"/>
      <c r="M304" s="101"/>
      <c r="N304" s="98"/>
      <c r="O304" s="98"/>
      <c r="P304" s="98"/>
      <c r="Q304" s="98"/>
      <c r="R304" s="127"/>
      <c r="S304" s="127"/>
      <c r="T304" s="98"/>
      <c r="U304" s="76">
        <v>8</v>
      </c>
    </row>
    <row r="305" spans="1:21" ht="13.8" thickBot="1">
      <c r="A305" s="19"/>
      <c r="B305" s="82"/>
      <c r="C305" s="20"/>
      <c r="D305" s="46" t="s">
        <v>145</v>
      </c>
      <c r="E305" s="82" t="str">
        <f>E304</f>
        <v>Terre polluée</v>
      </c>
      <c r="F305" s="40"/>
      <c r="G305" s="20"/>
      <c r="H305" s="40">
        <f>'BDD trait'!$G$34</f>
        <v>0.9</v>
      </c>
      <c r="I305" s="20" t="str">
        <f>'BDD trait'!$H$34</f>
        <v>t/t terre</v>
      </c>
      <c r="J305" s="102"/>
      <c r="K305" s="20"/>
      <c r="L305" s="40">
        <f>F304*'BDD FE'!$C$28</f>
        <v>9.4472222222222211</v>
      </c>
      <c r="M305" s="102"/>
      <c r="N305" s="40">
        <f t="shared" ref="N305" si="98">L305+M305</f>
        <v>9.4472222222222211</v>
      </c>
      <c r="O305" s="40">
        <f>F304*'BDD FE'!$F$28</f>
        <v>3.44</v>
      </c>
      <c r="P305" s="40"/>
      <c r="Q305" s="40">
        <f t="shared" ref="Q305" si="99">O305+P305</f>
        <v>3.44</v>
      </c>
      <c r="R305" s="131">
        <f>F304*H305</f>
        <v>0.9</v>
      </c>
      <c r="S305" s="131"/>
      <c r="T305" s="40">
        <f>R305+S305</f>
        <v>0.9</v>
      </c>
      <c r="U305" s="24"/>
    </row>
    <row r="306" spans="1:21" ht="13.8" thickBot="1">
      <c r="F306" s="31"/>
      <c r="H306" s="31"/>
      <c r="J306" s="103"/>
      <c r="L306" s="31"/>
      <c r="M306" s="103"/>
      <c r="N306" s="31"/>
      <c r="O306" s="31"/>
      <c r="P306" s="31"/>
      <c r="Q306" s="31"/>
      <c r="R306" s="128"/>
      <c r="S306" s="128"/>
      <c r="T306" s="31"/>
    </row>
    <row r="307" spans="1:21" ht="52.8">
      <c r="A307" s="15"/>
      <c r="B307" s="80" t="s">
        <v>32</v>
      </c>
      <c r="C307" s="16" t="s">
        <v>38</v>
      </c>
      <c r="D307" s="16"/>
      <c r="E307" s="86"/>
      <c r="F307" s="109"/>
      <c r="G307" s="16"/>
      <c r="H307" s="109"/>
      <c r="I307" s="16"/>
      <c r="J307" s="100"/>
      <c r="K307" s="16"/>
      <c r="L307" s="109"/>
      <c r="M307" s="100"/>
      <c r="N307" s="109"/>
      <c r="O307" s="109"/>
      <c r="P307" s="109"/>
      <c r="Q307" s="109"/>
      <c r="R307" s="126"/>
      <c r="S307" s="126"/>
      <c r="T307" s="109"/>
      <c r="U307" s="22"/>
    </row>
    <row r="308" spans="1:21">
      <c r="A308" s="17"/>
      <c r="B308" s="81"/>
      <c r="C308" s="18"/>
      <c r="D308" s="18"/>
      <c r="E308" s="87" t="s">
        <v>152</v>
      </c>
      <c r="F308" s="110">
        <v>1</v>
      </c>
      <c r="G308" s="18" t="s">
        <v>20</v>
      </c>
      <c r="H308" s="98"/>
      <c r="I308" s="18"/>
      <c r="J308" s="101"/>
      <c r="K308" s="18"/>
      <c r="L308" s="98"/>
      <c r="M308" s="101"/>
      <c r="N308" s="98"/>
      <c r="O308" s="98"/>
      <c r="P308" s="98"/>
      <c r="Q308" s="98"/>
      <c r="R308" s="127"/>
      <c r="S308" s="127"/>
      <c r="T308" s="98"/>
      <c r="U308" s="76">
        <v>8</v>
      </c>
    </row>
    <row r="309" spans="1:21" ht="13.8" thickBot="1">
      <c r="A309" s="19"/>
      <c r="B309" s="82"/>
      <c r="C309" s="20"/>
      <c r="D309" s="46" t="s">
        <v>145</v>
      </c>
      <c r="E309" s="82" t="str">
        <f>E308</f>
        <v>Terre polluée</v>
      </c>
      <c r="F309" s="40"/>
      <c r="G309" s="20"/>
      <c r="H309" s="40">
        <f>'BDD trait'!$G$34</f>
        <v>0.9</v>
      </c>
      <c r="I309" s="20" t="str">
        <f>'BDD trait'!$H$34</f>
        <v>t/t terre</v>
      </c>
      <c r="J309" s="102"/>
      <c r="K309" s="20"/>
      <c r="L309" s="40">
        <f>F308*'BDD FE'!$C$28</f>
        <v>9.4472222222222211</v>
      </c>
      <c r="M309" s="102"/>
      <c r="N309" s="40">
        <f t="shared" ref="N309" si="100">L309+M309</f>
        <v>9.4472222222222211</v>
      </c>
      <c r="O309" s="40">
        <f>F308*'BDD FE'!$F$28</f>
        <v>3.44</v>
      </c>
      <c r="P309" s="40"/>
      <c r="Q309" s="40">
        <f t="shared" ref="Q309" si="101">O309+P309</f>
        <v>3.44</v>
      </c>
      <c r="R309" s="131">
        <f>F308*H309</f>
        <v>0.9</v>
      </c>
      <c r="S309" s="131"/>
      <c r="T309" s="40">
        <f>R309+S309</f>
        <v>0.9</v>
      </c>
      <c r="U309" s="24"/>
    </row>
    <row r="310" spans="1:21" ht="13.8" thickBot="1">
      <c r="F310" s="31"/>
      <c r="H310" s="31"/>
      <c r="J310" s="103"/>
      <c r="L310" s="31"/>
      <c r="M310" s="103"/>
      <c r="N310" s="31"/>
      <c r="O310" s="31"/>
      <c r="P310" s="31"/>
      <c r="Q310" s="31"/>
      <c r="R310" s="128"/>
      <c r="S310" s="128"/>
      <c r="T310" s="31"/>
    </row>
    <row r="311" spans="1:21">
      <c r="A311" s="15"/>
      <c r="B311" s="80" t="s">
        <v>28</v>
      </c>
      <c r="C311" s="16" t="s">
        <v>39</v>
      </c>
      <c r="D311" s="16"/>
      <c r="E311" s="86"/>
      <c r="F311" s="109"/>
      <c r="G311" s="16"/>
      <c r="H311" s="109"/>
      <c r="I311" s="16"/>
      <c r="J311" s="100"/>
      <c r="K311" s="16"/>
      <c r="L311" s="109"/>
      <c r="M311" s="100"/>
      <c r="N311" s="109"/>
      <c r="O311" s="109"/>
      <c r="P311" s="109"/>
      <c r="Q311" s="109"/>
      <c r="R311" s="126"/>
      <c r="S311" s="126"/>
      <c r="T311" s="109"/>
      <c r="U311" s="22"/>
    </row>
    <row r="312" spans="1:21">
      <c r="A312" s="17"/>
      <c r="B312" s="81"/>
      <c r="C312" s="18"/>
      <c r="D312" s="18"/>
      <c r="E312" s="87" t="s">
        <v>152</v>
      </c>
      <c r="F312" s="110">
        <v>1</v>
      </c>
      <c r="G312" s="18" t="s">
        <v>20</v>
      </c>
      <c r="H312" s="98"/>
      <c r="I312" s="18"/>
      <c r="J312" s="101"/>
      <c r="K312" s="18"/>
      <c r="L312" s="98"/>
      <c r="M312" s="101"/>
      <c r="N312" s="98"/>
      <c r="O312" s="98"/>
      <c r="P312" s="98"/>
      <c r="Q312" s="98"/>
      <c r="R312" s="127"/>
      <c r="S312" s="127"/>
      <c r="T312" s="98"/>
      <c r="U312" s="76">
        <v>8</v>
      </c>
    </row>
    <row r="313" spans="1:21">
      <c r="A313" s="17"/>
      <c r="B313" s="81"/>
      <c r="C313" s="18"/>
      <c r="D313" s="27" t="s">
        <v>144</v>
      </c>
      <c r="E313" s="81" t="str">
        <f>'BDD trait'!$C$35</f>
        <v>Electricité</v>
      </c>
      <c r="F313" s="98">
        <f>'BDD trait'!$D$35</f>
        <v>30</v>
      </c>
      <c r="G313" s="18" t="str">
        <f>'BDD trait'!$E$35</f>
        <v>kWh/t</v>
      </c>
      <c r="H313" s="98"/>
      <c r="I313" s="18"/>
      <c r="J313" s="101"/>
      <c r="K313" s="18"/>
      <c r="L313" s="98">
        <f>F312*F313*'BDD FE'!$C$11/1000</f>
        <v>7.5600000000000001E-2</v>
      </c>
      <c r="M313" s="101"/>
      <c r="N313" s="98">
        <f>L313+M313</f>
        <v>7.5600000000000001E-2</v>
      </c>
      <c r="O313" s="98">
        <f>F312*F313*'BDD FE'!$F$11/1000</f>
        <v>3.0599999999999998E-3</v>
      </c>
      <c r="P313" s="98"/>
      <c r="Q313" s="98">
        <f>O313+P313</f>
        <v>3.0599999999999998E-3</v>
      </c>
      <c r="R313" s="127"/>
      <c r="S313" s="127"/>
      <c r="T313" s="98"/>
      <c r="U313" s="23"/>
    </row>
    <row r="314" spans="1:21">
      <c r="A314" s="17"/>
      <c r="B314" s="81"/>
      <c r="C314" s="18"/>
      <c r="D314" s="27" t="s">
        <v>144</v>
      </c>
      <c r="E314" s="81" t="str">
        <f>'BDD trait'!$C$36</f>
        <v>Diesel</v>
      </c>
      <c r="F314" s="98">
        <f>'BDD trait'!$D$36</f>
        <v>0.19</v>
      </c>
      <c r="G314" s="18" t="str">
        <f>'BDD trait'!$E$36</f>
        <v>kg/t</v>
      </c>
      <c r="H314" s="98"/>
      <c r="I314" s="18"/>
      <c r="J314" s="101"/>
      <c r="K314" s="18"/>
      <c r="L314" s="98">
        <f>F312*F314*'BDD FE'!$C$9/1000</f>
        <v>2.3489320000000002E-3</v>
      </c>
      <c r="M314" s="101"/>
      <c r="N314" s="98">
        <f>L314+M314</f>
        <v>2.3489320000000002E-3</v>
      </c>
      <c r="O314" s="98">
        <f>F312*F314*'BDD FE'!$F$9/1000</f>
        <v>5.8723300000000005E-4</v>
      </c>
      <c r="P314" s="98"/>
      <c r="Q314" s="98">
        <f>O314+P314</f>
        <v>5.8723300000000005E-4</v>
      </c>
      <c r="R314" s="127"/>
      <c r="S314" s="127"/>
      <c r="T314" s="98"/>
      <c r="U314" s="23"/>
    </row>
    <row r="315" spans="1:21">
      <c r="A315" s="17"/>
      <c r="B315" s="81"/>
      <c r="C315" s="18"/>
      <c r="D315" s="27" t="s">
        <v>18</v>
      </c>
      <c r="E315" s="81" t="str">
        <f>'BDD trait'!$C$37</f>
        <v>Marne</v>
      </c>
      <c r="F315" s="98"/>
      <c r="G315" s="18"/>
      <c r="H315" s="98"/>
      <c r="I315" s="18"/>
      <c r="J315" s="101">
        <f>'BDD trait'!$J$37</f>
        <v>250</v>
      </c>
      <c r="K315" s="18" t="str">
        <f>'BDD trait'!$K$37</f>
        <v>kg/t</v>
      </c>
      <c r="L315" s="98"/>
      <c r="M315" s="101">
        <f>-F312*J315*'BDD FE'!$C$15/1000</f>
        <v>-7.6388888888888878E-3</v>
      </c>
      <c r="N315" s="98">
        <f>L315+M315</f>
        <v>-7.6388888888888878E-3</v>
      </c>
      <c r="O315" s="98"/>
      <c r="P315" s="31">
        <f>-F312*J315*'BDD FE'!$F$15/1000</f>
        <v>-5.0000000000000001E-4</v>
      </c>
      <c r="Q315" s="98">
        <f>O315+P315</f>
        <v>-5.0000000000000001E-4</v>
      </c>
      <c r="R315" s="31"/>
      <c r="S315" s="31">
        <f>-F312*J315/1000</f>
        <v>-0.25</v>
      </c>
      <c r="T315" s="98">
        <f>R315+S315</f>
        <v>-0.25</v>
      </c>
      <c r="U315" s="23"/>
    </row>
    <row r="316" spans="1:21" ht="13.8" thickBot="1">
      <c r="A316" s="19"/>
      <c r="B316" s="82"/>
      <c r="C316" s="20"/>
      <c r="D316" s="20" t="s">
        <v>18</v>
      </c>
      <c r="E316" s="82" t="str">
        <f>'BDD trait'!$C$38</f>
        <v>Calcaire</v>
      </c>
      <c r="F316" s="40"/>
      <c r="G316" s="20"/>
      <c r="H316" s="40"/>
      <c r="I316" s="20"/>
      <c r="J316" s="102">
        <f>'BDD trait'!$J$38</f>
        <v>750</v>
      </c>
      <c r="K316" s="20" t="str">
        <f>'BDD trait'!$K$38</f>
        <v>kg/t</v>
      </c>
      <c r="L316" s="40"/>
      <c r="M316" s="102">
        <f>-F312*J316*'BDD FE'!$C$6/1000</f>
        <v>-2.2916666666666665E-2</v>
      </c>
      <c r="N316" s="40">
        <f>L316+M316</f>
        <v>-2.2916666666666665E-2</v>
      </c>
      <c r="O316" s="40"/>
      <c r="P316" s="40">
        <f>-F312*J316*'BDD FE'!$F$6/1000</f>
        <v>-1.5E-3</v>
      </c>
      <c r="Q316" s="40">
        <f>O316+P316</f>
        <v>-1.5E-3</v>
      </c>
      <c r="R316" s="131"/>
      <c r="S316" s="131">
        <f>-F312*J316/1000</f>
        <v>-0.75</v>
      </c>
      <c r="T316" s="40">
        <f>R316+S316</f>
        <v>-0.75</v>
      </c>
      <c r="U316" s="24"/>
    </row>
    <row r="317" spans="1:21" ht="13.8" thickBot="1">
      <c r="F317" s="31"/>
      <c r="H317" s="31"/>
      <c r="J317" s="103"/>
      <c r="L317" s="31"/>
      <c r="M317" s="103"/>
      <c r="N317" s="31"/>
      <c r="O317" s="31"/>
      <c r="P317" s="31"/>
      <c r="Q317" s="31"/>
      <c r="R317" s="128"/>
      <c r="S317" s="128"/>
      <c r="T317" s="31"/>
    </row>
    <row r="318" spans="1:21" ht="39.6">
      <c r="A318" s="15"/>
      <c r="B318" s="80" t="s">
        <v>29</v>
      </c>
      <c r="C318" s="16" t="s">
        <v>39</v>
      </c>
      <c r="D318" s="16"/>
      <c r="E318" s="86"/>
      <c r="F318" s="109"/>
      <c r="G318" s="16"/>
      <c r="H318" s="109"/>
      <c r="I318" s="16"/>
      <c r="J318" s="100"/>
      <c r="K318" s="16"/>
      <c r="L318" s="109"/>
      <c r="M318" s="100"/>
      <c r="N318" s="109"/>
      <c r="O318" s="109"/>
      <c r="P318" s="109"/>
      <c r="Q318" s="109"/>
      <c r="R318" s="126"/>
      <c r="S318" s="126"/>
      <c r="T318" s="109"/>
      <c r="U318" s="22"/>
    </row>
    <row r="319" spans="1:21">
      <c r="A319" s="17"/>
      <c r="B319" s="81"/>
      <c r="C319" s="18"/>
      <c r="D319" s="18"/>
      <c r="E319" s="87" t="s">
        <v>152</v>
      </c>
      <c r="F319" s="110">
        <v>1</v>
      </c>
      <c r="G319" s="18" t="s">
        <v>20</v>
      </c>
      <c r="H319" s="98"/>
      <c r="I319" s="18"/>
      <c r="J319" s="101"/>
      <c r="K319" s="18"/>
      <c r="L319" s="98"/>
      <c r="M319" s="101"/>
      <c r="N319" s="98"/>
      <c r="O319" s="98"/>
      <c r="P319" s="98"/>
      <c r="Q319" s="98"/>
      <c r="R319" s="127"/>
      <c r="S319" s="127"/>
      <c r="T319" s="98"/>
      <c r="U319" s="76">
        <v>8</v>
      </c>
    </row>
    <row r="320" spans="1:21">
      <c r="A320" s="17"/>
      <c r="B320" s="81"/>
      <c r="C320" s="18"/>
      <c r="D320" s="27" t="s">
        <v>144</v>
      </c>
      <c r="E320" s="81" t="str">
        <f>'BDD trait'!$C$35</f>
        <v>Electricité</v>
      </c>
      <c r="F320" s="98">
        <f>'BDD trait'!$D$35</f>
        <v>30</v>
      </c>
      <c r="G320" s="18" t="str">
        <f>'BDD trait'!$E$35</f>
        <v>kWh/t</v>
      </c>
      <c r="H320" s="98"/>
      <c r="I320" s="18"/>
      <c r="J320" s="101"/>
      <c r="K320" s="18"/>
      <c r="L320" s="98">
        <f>F319*F320*'BDD FE'!$C$11/1000</f>
        <v>7.5600000000000001E-2</v>
      </c>
      <c r="M320" s="101"/>
      <c r="N320" s="98">
        <f>L320+M320</f>
        <v>7.5600000000000001E-2</v>
      </c>
      <c r="O320" s="98">
        <f>F319*F320*'BDD FE'!$F$11/1000</f>
        <v>3.0599999999999998E-3</v>
      </c>
      <c r="P320" s="98"/>
      <c r="Q320" s="98">
        <f>O320+P320</f>
        <v>3.0599999999999998E-3</v>
      </c>
      <c r="R320" s="127"/>
      <c r="S320" s="127"/>
      <c r="T320" s="98"/>
      <c r="U320" s="23"/>
    </row>
    <row r="321" spans="1:21">
      <c r="A321" s="17"/>
      <c r="B321" s="81"/>
      <c r="C321" s="18"/>
      <c r="D321" s="27" t="s">
        <v>144</v>
      </c>
      <c r="E321" s="81" t="str">
        <f>'BDD trait'!$C$36</f>
        <v>Diesel</v>
      </c>
      <c r="F321" s="98">
        <f>'BDD trait'!$D$36</f>
        <v>0.19</v>
      </c>
      <c r="G321" s="18" t="str">
        <f>'BDD trait'!$E$36</f>
        <v>kg/t</v>
      </c>
      <c r="H321" s="98"/>
      <c r="I321" s="18"/>
      <c r="J321" s="101"/>
      <c r="K321" s="18"/>
      <c r="L321" s="98">
        <f>F319*F321*'BDD FE'!$C$9/1000</f>
        <v>2.3489320000000002E-3</v>
      </c>
      <c r="M321" s="101"/>
      <c r="N321" s="98">
        <f>L321+M321</f>
        <v>2.3489320000000002E-3</v>
      </c>
      <c r="O321" s="98">
        <f>F319*F321*'BDD FE'!$F$9/1000</f>
        <v>5.8723300000000005E-4</v>
      </c>
      <c r="P321" s="98"/>
      <c r="Q321" s="98">
        <f>O321+P321</f>
        <v>5.8723300000000005E-4</v>
      </c>
      <c r="R321" s="127"/>
      <c r="S321" s="127"/>
      <c r="T321" s="98"/>
      <c r="U321" s="23"/>
    </row>
    <row r="322" spans="1:21">
      <c r="A322" s="17"/>
      <c r="B322" s="81"/>
      <c r="C322" s="18"/>
      <c r="D322" s="27" t="s">
        <v>18</v>
      </c>
      <c r="E322" s="81" t="str">
        <f>'BDD trait'!$C$37</f>
        <v>Marne</v>
      </c>
      <c r="F322" s="98"/>
      <c r="G322" s="18"/>
      <c r="H322" s="98"/>
      <c r="I322" s="18"/>
      <c r="J322" s="101">
        <f>'BDD trait'!$J$37</f>
        <v>250</v>
      </c>
      <c r="K322" s="18" t="str">
        <f>'BDD trait'!$K$37</f>
        <v>kg/t</v>
      </c>
      <c r="L322" s="98"/>
      <c r="M322" s="101">
        <f>-F319*J322*'BDD FE'!$C$15/1000</f>
        <v>-7.6388888888888878E-3</v>
      </c>
      <c r="N322" s="98">
        <f>L322+M322</f>
        <v>-7.6388888888888878E-3</v>
      </c>
      <c r="O322" s="98"/>
      <c r="P322" s="31">
        <f>-F319*J322*'BDD FE'!$F$15/1000</f>
        <v>-5.0000000000000001E-4</v>
      </c>
      <c r="Q322" s="98">
        <f>O322+P322</f>
        <v>-5.0000000000000001E-4</v>
      </c>
      <c r="R322" s="31"/>
      <c r="S322" s="31">
        <f>-F319*J322/1000</f>
        <v>-0.25</v>
      </c>
      <c r="T322" s="98">
        <f>R322+S322</f>
        <v>-0.25</v>
      </c>
      <c r="U322" s="23"/>
    </row>
    <row r="323" spans="1:21" ht="13.8" thickBot="1">
      <c r="A323" s="19"/>
      <c r="B323" s="82"/>
      <c r="C323" s="20"/>
      <c r="D323" s="20" t="s">
        <v>18</v>
      </c>
      <c r="E323" s="82" t="str">
        <f>'BDD trait'!$C$38</f>
        <v>Calcaire</v>
      </c>
      <c r="F323" s="40"/>
      <c r="G323" s="20"/>
      <c r="H323" s="40"/>
      <c r="I323" s="20"/>
      <c r="J323" s="102">
        <f>'BDD trait'!$J$38</f>
        <v>750</v>
      </c>
      <c r="K323" s="20" t="str">
        <f>'BDD trait'!$K$38</f>
        <v>kg/t</v>
      </c>
      <c r="L323" s="40"/>
      <c r="M323" s="102">
        <f>-F319*J323*'BDD FE'!$C$6/1000</f>
        <v>-2.2916666666666665E-2</v>
      </c>
      <c r="N323" s="40">
        <f>L323+M323</f>
        <v>-2.2916666666666665E-2</v>
      </c>
      <c r="O323" s="40"/>
      <c r="P323" s="40">
        <f>-F319*J323*'BDD FE'!$F$6/1000</f>
        <v>-1.5E-3</v>
      </c>
      <c r="Q323" s="40">
        <f>O323+P323</f>
        <v>-1.5E-3</v>
      </c>
      <c r="R323" s="131"/>
      <c r="S323" s="131">
        <f>-F319*J323/1000</f>
        <v>-0.75</v>
      </c>
      <c r="T323" s="40">
        <f>R323+S323</f>
        <v>-0.75</v>
      </c>
      <c r="U323" s="24"/>
    </row>
    <row r="324" spans="1:21" ht="13.8" thickBot="1">
      <c r="F324" s="31"/>
      <c r="H324" s="31"/>
      <c r="J324" s="103"/>
      <c r="L324" s="31"/>
      <c r="M324" s="103"/>
      <c r="N324" s="31"/>
      <c r="O324" s="31"/>
      <c r="P324" s="31"/>
      <c r="Q324" s="31"/>
      <c r="R324" s="128"/>
      <c r="S324" s="128"/>
      <c r="T324" s="31"/>
    </row>
    <row r="325" spans="1:21">
      <c r="A325" s="15"/>
      <c r="B325" s="80" t="s">
        <v>30</v>
      </c>
      <c r="C325" s="16" t="s">
        <v>39</v>
      </c>
      <c r="D325" s="16"/>
      <c r="E325" s="86"/>
      <c r="F325" s="109"/>
      <c r="G325" s="16"/>
      <c r="H325" s="109"/>
      <c r="I325" s="16"/>
      <c r="J325" s="100"/>
      <c r="K325" s="16"/>
      <c r="L325" s="109"/>
      <c r="M325" s="100"/>
      <c r="N325" s="109"/>
      <c r="O325" s="109"/>
      <c r="P325" s="109"/>
      <c r="Q325" s="109"/>
      <c r="R325" s="126"/>
      <c r="S325" s="126"/>
      <c r="T325" s="109"/>
      <c r="U325" s="22"/>
    </row>
    <row r="326" spans="1:21">
      <c r="A326" s="17"/>
      <c r="B326" s="81"/>
      <c r="C326" s="18"/>
      <c r="D326" s="18"/>
      <c r="E326" s="87" t="s">
        <v>152</v>
      </c>
      <c r="F326" s="110">
        <v>1</v>
      </c>
      <c r="G326" s="18" t="s">
        <v>20</v>
      </c>
      <c r="H326" s="98"/>
      <c r="I326" s="18"/>
      <c r="J326" s="101"/>
      <c r="K326" s="18"/>
      <c r="L326" s="98"/>
      <c r="M326" s="101"/>
      <c r="N326" s="98"/>
      <c r="O326" s="98"/>
      <c r="P326" s="98"/>
      <c r="Q326" s="98"/>
      <c r="R326" s="127"/>
      <c r="S326" s="127"/>
      <c r="T326" s="98"/>
      <c r="U326" s="76">
        <v>8</v>
      </c>
    </row>
    <row r="327" spans="1:21">
      <c r="A327" s="17"/>
      <c r="B327" s="81"/>
      <c r="C327" s="18"/>
      <c r="D327" s="27" t="s">
        <v>144</v>
      </c>
      <c r="E327" s="81" t="str">
        <f>'BDD trait'!$C$35</f>
        <v>Electricité</v>
      </c>
      <c r="F327" s="98">
        <f>'BDD trait'!$D$35</f>
        <v>30</v>
      </c>
      <c r="G327" s="18" t="str">
        <f>'BDD trait'!$E$35</f>
        <v>kWh/t</v>
      </c>
      <c r="H327" s="98"/>
      <c r="I327" s="18"/>
      <c r="J327" s="101"/>
      <c r="K327" s="18"/>
      <c r="L327" s="98">
        <f>F326*F327*'BDD FE'!$C$11/1000</f>
        <v>7.5600000000000001E-2</v>
      </c>
      <c r="M327" s="101"/>
      <c r="N327" s="98">
        <f>L327+M327</f>
        <v>7.5600000000000001E-2</v>
      </c>
      <c r="O327" s="98">
        <f>F326*F327*'BDD FE'!$F$11/1000</f>
        <v>3.0599999999999998E-3</v>
      </c>
      <c r="P327" s="98"/>
      <c r="Q327" s="98">
        <f>O327+P327</f>
        <v>3.0599999999999998E-3</v>
      </c>
      <c r="R327" s="127"/>
      <c r="S327" s="127"/>
      <c r="T327" s="98"/>
      <c r="U327" s="23"/>
    </row>
    <row r="328" spans="1:21">
      <c r="A328" s="17"/>
      <c r="B328" s="81"/>
      <c r="C328" s="18"/>
      <c r="D328" s="27" t="s">
        <v>144</v>
      </c>
      <c r="E328" s="81" t="str">
        <f>'BDD trait'!$C$36</f>
        <v>Diesel</v>
      </c>
      <c r="F328" s="98">
        <f>'BDD trait'!$D$36</f>
        <v>0.19</v>
      </c>
      <c r="G328" s="18" t="str">
        <f>'BDD trait'!$E$36</f>
        <v>kg/t</v>
      </c>
      <c r="H328" s="98"/>
      <c r="I328" s="18"/>
      <c r="J328" s="101"/>
      <c r="K328" s="18"/>
      <c r="L328" s="98">
        <f>F326*F328*'BDD FE'!$C$9/1000</f>
        <v>2.3489320000000002E-3</v>
      </c>
      <c r="M328" s="101"/>
      <c r="N328" s="98">
        <f>L328+M328</f>
        <v>2.3489320000000002E-3</v>
      </c>
      <c r="O328" s="98">
        <f>F326*F328*'BDD FE'!$F$9/1000</f>
        <v>5.8723300000000005E-4</v>
      </c>
      <c r="P328" s="98"/>
      <c r="Q328" s="98">
        <f>O328+P328</f>
        <v>5.8723300000000005E-4</v>
      </c>
      <c r="R328" s="127"/>
      <c r="S328" s="127"/>
      <c r="T328" s="98"/>
      <c r="U328" s="23"/>
    </row>
    <row r="329" spans="1:21">
      <c r="A329" s="17"/>
      <c r="B329" s="81"/>
      <c r="C329" s="18"/>
      <c r="D329" s="27" t="s">
        <v>18</v>
      </c>
      <c r="E329" s="81" t="str">
        <f>'BDD trait'!$C$37</f>
        <v>Marne</v>
      </c>
      <c r="F329" s="98"/>
      <c r="G329" s="18"/>
      <c r="H329" s="98"/>
      <c r="I329" s="18"/>
      <c r="J329" s="101">
        <f>'BDD trait'!$J$37</f>
        <v>250</v>
      </c>
      <c r="K329" s="18" t="str">
        <f>'BDD trait'!$K$37</f>
        <v>kg/t</v>
      </c>
      <c r="L329" s="98"/>
      <c r="M329" s="101">
        <f>-F326*J329*'BDD FE'!$C$15/1000</f>
        <v>-7.6388888888888878E-3</v>
      </c>
      <c r="N329" s="98">
        <f>L329+M329</f>
        <v>-7.6388888888888878E-3</v>
      </c>
      <c r="O329" s="98"/>
      <c r="P329" s="31">
        <f>-F326*J329*'BDD FE'!$F$15/1000</f>
        <v>-5.0000000000000001E-4</v>
      </c>
      <c r="Q329" s="98">
        <f>O329+P329</f>
        <v>-5.0000000000000001E-4</v>
      </c>
      <c r="R329" s="31"/>
      <c r="S329" s="31">
        <f>-F326*J329/1000</f>
        <v>-0.25</v>
      </c>
      <c r="T329" s="98">
        <f>R329+S329</f>
        <v>-0.25</v>
      </c>
      <c r="U329" s="23"/>
    </row>
    <row r="330" spans="1:21" ht="13.8" thickBot="1">
      <c r="A330" s="19"/>
      <c r="B330" s="82"/>
      <c r="C330" s="20"/>
      <c r="D330" s="20" t="s">
        <v>18</v>
      </c>
      <c r="E330" s="82" t="str">
        <f>'BDD trait'!$C$38</f>
        <v>Calcaire</v>
      </c>
      <c r="F330" s="40"/>
      <c r="G330" s="20"/>
      <c r="H330" s="40"/>
      <c r="I330" s="20"/>
      <c r="J330" s="102">
        <f>'BDD trait'!$J$38</f>
        <v>750</v>
      </c>
      <c r="K330" s="20" t="str">
        <f>'BDD trait'!$K$38</f>
        <v>kg/t</v>
      </c>
      <c r="L330" s="40"/>
      <c r="M330" s="102">
        <f>-F326*J330*'BDD FE'!$C$6/1000</f>
        <v>-2.2916666666666665E-2</v>
      </c>
      <c r="N330" s="40">
        <f>L330+M330</f>
        <v>-2.2916666666666665E-2</v>
      </c>
      <c r="O330" s="40"/>
      <c r="P330" s="40">
        <f>-F326*J330*'BDD FE'!$F$6/1000</f>
        <v>-1.5E-3</v>
      </c>
      <c r="Q330" s="40">
        <f>O330+P330</f>
        <v>-1.5E-3</v>
      </c>
      <c r="R330" s="131"/>
      <c r="S330" s="131">
        <f>-F326*J330/1000</f>
        <v>-0.75</v>
      </c>
      <c r="T330" s="40">
        <f>R330+S330</f>
        <v>-0.75</v>
      </c>
      <c r="U330" s="24"/>
    </row>
    <row r="331" spans="1:21" ht="13.8" thickBot="1">
      <c r="F331" s="31"/>
      <c r="H331" s="31"/>
      <c r="J331" s="103"/>
      <c r="L331" s="31"/>
      <c r="M331" s="103"/>
      <c r="N331" s="31"/>
      <c r="O331" s="31"/>
      <c r="P331" s="31"/>
      <c r="Q331" s="31"/>
      <c r="R331" s="128"/>
      <c r="S331" s="128"/>
      <c r="T331" s="31"/>
    </row>
    <row r="332" spans="1:21">
      <c r="A332" s="15"/>
      <c r="B332" s="80" t="s">
        <v>31</v>
      </c>
      <c r="C332" s="16" t="s">
        <v>39</v>
      </c>
      <c r="D332" s="16"/>
      <c r="E332" s="86"/>
      <c r="F332" s="109"/>
      <c r="G332" s="16"/>
      <c r="H332" s="109"/>
      <c r="I332" s="16"/>
      <c r="J332" s="100"/>
      <c r="K332" s="16"/>
      <c r="L332" s="109"/>
      <c r="M332" s="100"/>
      <c r="N332" s="109"/>
      <c r="O332" s="109"/>
      <c r="P332" s="109"/>
      <c r="Q332" s="109"/>
      <c r="R332" s="126"/>
      <c r="S332" s="126"/>
      <c r="T332" s="109"/>
      <c r="U332" s="22"/>
    </row>
    <row r="333" spans="1:21">
      <c r="A333" s="17"/>
      <c r="B333" s="81"/>
      <c r="C333" s="18"/>
      <c r="D333" s="18"/>
      <c r="E333" s="87" t="s">
        <v>152</v>
      </c>
      <c r="F333" s="110">
        <v>1</v>
      </c>
      <c r="G333" s="18" t="s">
        <v>20</v>
      </c>
      <c r="H333" s="98"/>
      <c r="I333" s="18"/>
      <c r="J333" s="101"/>
      <c r="K333" s="18"/>
      <c r="L333" s="98"/>
      <c r="M333" s="101"/>
      <c r="N333" s="98"/>
      <c r="O333" s="98"/>
      <c r="P333" s="98"/>
      <c r="Q333" s="98"/>
      <c r="R333" s="127"/>
      <c r="S333" s="127"/>
      <c r="T333" s="98"/>
      <c r="U333" s="76">
        <v>8</v>
      </c>
    </row>
    <row r="334" spans="1:21">
      <c r="A334" s="17"/>
      <c r="B334" s="81"/>
      <c r="C334" s="18"/>
      <c r="D334" s="27" t="s">
        <v>144</v>
      </c>
      <c r="E334" s="81" t="str">
        <f>'BDD trait'!$C$35</f>
        <v>Electricité</v>
      </c>
      <c r="F334" s="98">
        <f>'BDD trait'!$D$35</f>
        <v>30</v>
      </c>
      <c r="G334" s="18" t="str">
        <f>'BDD trait'!$E$35</f>
        <v>kWh/t</v>
      </c>
      <c r="H334" s="98"/>
      <c r="I334" s="18"/>
      <c r="J334" s="101"/>
      <c r="K334" s="18"/>
      <c r="L334" s="98">
        <f>F333*F334*'BDD FE'!$C$11/1000</f>
        <v>7.5600000000000001E-2</v>
      </c>
      <c r="M334" s="101"/>
      <c r="N334" s="98">
        <f>L334+M334</f>
        <v>7.5600000000000001E-2</v>
      </c>
      <c r="O334" s="98">
        <f>F333*F334*'BDD FE'!$F$11/1000</f>
        <v>3.0599999999999998E-3</v>
      </c>
      <c r="P334" s="98"/>
      <c r="Q334" s="98">
        <f>O334+P334</f>
        <v>3.0599999999999998E-3</v>
      </c>
      <c r="R334" s="127"/>
      <c r="S334" s="127"/>
      <c r="T334" s="98"/>
      <c r="U334" s="23"/>
    </row>
    <row r="335" spans="1:21">
      <c r="A335" s="17"/>
      <c r="B335" s="81"/>
      <c r="C335" s="18"/>
      <c r="D335" s="27" t="s">
        <v>144</v>
      </c>
      <c r="E335" s="81" t="str">
        <f>'BDD trait'!$C$36</f>
        <v>Diesel</v>
      </c>
      <c r="F335" s="98">
        <f>'BDD trait'!$D$36</f>
        <v>0.19</v>
      </c>
      <c r="G335" s="18" t="str">
        <f>'BDD trait'!$E$36</f>
        <v>kg/t</v>
      </c>
      <c r="H335" s="98"/>
      <c r="I335" s="18"/>
      <c r="J335" s="101"/>
      <c r="K335" s="18"/>
      <c r="L335" s="98">
        <f>F333*F335*'BDD FE'!$C$9/1000</f>
        <v>2.3489320000000002E-3</v>
      </c>
      <c r="M335" s="101"/>
      <c r="N335" s="98">
        <f>L335+M335</f>
        <v>2.3489320000000002E-3</v>
      </c>
      <c r="O335" s="98">
        <f>F333*F335*'BDD FE'!$F$9/1000</f>
        <v>5.8723300000000005E-4</v>
      </c>
      <c r="P335" s="98"/>
      <c r="Q335" s="98">
        <f>O335+P335</f>
        <v>5.8723300000000005E-4</v>
      </c>
      <c r="R335" s="127"/>
      <c r="S335" s="127"/>
      <c r="T335" s="98"/>
      <c r="U335" s="23"/>
    </row>
    <row r="336" spans="1:21">
      <c r="A336" s="17"/>
      <c r="B336" s="81"/>
      <c r="C336" s="18"/>
      <c r="D336" s="27" t="s">
        <v>18</v>
      </c>
      <c r="E336" s="81" t="str">
        <f>'BDD trait'!$C$37</f>
        <v>Marne</v>
      </c>
      <c r="F336" s="98"/>
      <c r="G336" s="18"/>
      <c r="H336" s="98"/>
      <c r="I336" s="18"/>
      <c r="J336" s="101">
        <f>'BDD trait'!$J$37</f>
        <v>250</v>
      </c>
      <c r="K336" s="18" t="str">
        <f>'BDD trait'!$K$37</f>
        <v>kg/t</v>
      </c>
      <c r="L336" s="98"/>
      <c r="M336" s="101">
        <f>-F333*J336*'BDD FE'!$C$15/1000</f>
        <v>-7.6388888888888878E-3</v>
      </c>
      <c r="N336" s="98">
        <f>L336+M336</f>
        <v>-7.6388888888888878E-3</v>
      </c>
      <c r="O336" s="98"/>
      <c r="P336" s="31">
        <f>-F333*J336*'BDD FE'!$F$15/1000</f>
        <v>-5.0000000000000001E-4</v>
      </c>
      <c r="Q336" s="98">
        <f>O336+P336</f>
        <v>-5.0000000000000001E-4</v>
      </c>
      <c r="R336" s="31"/>
      <c r="S336" s="31">
        <f>-F333*J336/1000</f>
        <v>-0.25</v>
      </c>
      <c r="T336" s="98">
        <f>R336+S336</f>
        <v>-0.25</v>
      </c>
      <c r="U336" s="23"/>
    </row>
    <row r="337" spans="1:21" ht="13.8" thickBot="1">
      <c r="A337" s="19"/>
      <c r="B337" s="82"/>
      <c r="C337" s="20"/>
      <c r="D337" s="20" t="s">
        <v>18</v>
      </c>
      <c r="E337" s="82" t="str">
        <f>'BDD trait'!$C$38</f>
        <v>Calcaire</v>
      </c>
      <c r="F337" s="40"/>
      <c r="G337" s="20"/>
      <c r="H337" s="40"/>
      <c r="I337" s="20"/>
      <c r="J337" s="102">
        <f>'BDD trait'!$J$38</f>
        <v>750</v>
      </c>
      <c r="K337" s="20" t="str">
        <f>'BDD trait'!$K$38</f>
        <v>kg/t</v>
      </c>
      <c r="L337" s="40"/>
      <c r="M337" s="102">
        <f>-F333*J337*'BDD FE'!$C$6/1000</f>
        <v>-2.2916666666666665E-2</v>
      </c>
      <c r="N337" s="40">
        <f>L337+M337</f>
        <v>-2.2916666666666665E-2</v>
      </c>
      <c r="O337" s="40"/>
      <c r="P337" s="40">
        <f>-F333*J337*'BDD FE'!$F$6/1000</f>
        <v>-1.5E-3</v>
      </c>
      <c r="Q337" s="40">
        <f>O337+P337</f>
        <v>-1.5E-3</v>
      </c>
      <c r="R337" s="131"/>
      <c r="S337" s="131">
        <f>-F333*J337/1000</f>
        <v>-0.75</v>
      </c>
      <c r="T337" s="40">
        <f>R337+S337</f>
        <v>-0.75</v>
      </c>
      <c r="U337" s="24"/>
    </row>
    <row r="338" spans="1:21" ht="13.8" thickBot="1">
      <c r="F338" s="31"/>
      <c r="H338" s="31"/>
      <c r="J338" s="103"/>
      <c r="L338" s="31"/>
      <c r="M338" s="103"/>
      <c r="N338" s="31"/>
      <c r="O338" s="31"/>
      <c r="P338" s="31"/>
      <c r="Q338" s="31"/>
      <c r="R338" s="128"/>
      <c r="S338" s="128"/>
      <c r="T338" s="31"/>
    </row>
    <row r="339" spans="1:21" ht="52.8">
      <c r="A339" s="15"/>
      <c r="B339" s="80" t="s">
        <v>32</v>
      </c>
      <c r="C339" s="16" t="s">
        <v>39</v>
      </c>
      <c r="D339" s="16"/>
      <c r="E339" s="86"/>
      <c r="F339" s="109"/>
      <c r="G339" s="16"/>
      <c r="H339" s="109"/>
      <c r="I339" s="16"/>
      <c r="J339" s="100"/>
      <c r="K339" s="16"/>
      <c r="L339" s="109"/>
      <c r="M339" s="100"/>
      <c r="N339" s="109"/>
      <c r="O339" s="109"/>
      <c r="P339" s="109"/>
      <c r="Q339" s="109"/>
      <c r="R339" s="126"/>
      <c r="S339" s="126"/>
      <c r="T339" s="109"/>
      <c r="U339" s="22"/>
    </row>
    <row r="340" spans="1:21">
      <c r="A340" s="17"/>
      <c r="B340" s="81"/>
      <c r="C340" s="18"/>
      <c r="D340" s="18"/>
      <c r="E340" s="87" t="s">
        <v>152</v>
      </c>
      <c r="F340" s="110">
        <v>1</v>
      </c>
      <c r="G340" s="18" t="s">
        <v>20</v>
      </c>
      <c r="H340" s="98"/>
      <c r="I340" s="18"/>
      <c r="J340" s="101"/>
      <c r="K340" s="18"/>
      <c r="L340" s="98"/>
      <c r="M340" s="101"/>
      <c r="N340" s="98"/>
      <c r="O340" s="98"/>
      <c r="P340" s="98"/>
      <c r="Q340" s="98"/>
      <c r="R340" s="127"/>
      <c r="S340" s="127"/>
      <c r="T340" s="98"/>
      <c r="U340" s="76">
        <v>8</v>
      </c>
    </row>
    <row r="341" spans="1:21">
      <c r="A341" s="17"/>
      <c r="B341" s="81"/>
      <c r="C341" s="18"/>
      <c r="D341" s="27" t="s">
        <v>144</v>
      </c>
      <c r="E341" s="81" t="str">
        <f>'BDD trait'!$C$35</f>
        <v>Electricité</v>
      </c>
      <c r="F341" s="98">
        <f>'BDD trait'!$D$35</f>
        <v>30</v>
      </c>
      <c r="G341" s="18" t="str">
        <f>'BDD trait'!$E$35</f>
        <v>kWh/t</v>
      </c>
      <c r="H341" s="98"/>
      <c r="I341" s="18"/>
      <c r="J341" s="101"/>
      <c r="K341" s="18"/>
      <c r="L341" s="98">
        <f>F340*F341*'BDD FE'!$C$11/1000</f>
        <v>7.5600000000000001E-2</v>
      </c>
      <c r="M341" s="101"/>
      <c r="N341" s="98">
        <f>L341+M341</f>
        <v>7.5600000000000001E-2</v>
      </c>
      <c r="O341" s="98">
        <f>F340*F341*'BDD FE'!$F$11/1000</f>
        <v>3.0599999999999998E-3</v>
      </c>
      <c r="P341" s="98"/>
      <c r="Q341" s="98">
        <f>O341+P341</f>
        <v>3.0599999999999998E-3</v>
      </c>
      <c r="R341" s="127"/>
      <c r="S341" s="127"/>
      <c r="T341" s="98"/>
      <c r="U341" s="23"/>
    </row>
    <row r="342" spans="1:21">
      <c r="A342" s="17"/>
      <c r="B342" s="81"/>
      <c r="C342" s="18"/>
      <c r="D342" s="27" t="s">
        <v>144</v>
      </c>
      <c r="E342" s="81" t="str">
        <f>'BDD trait'!$C$36</f>
        <v>Diesel</v>
      </c>
      <c r="F342" s="98">
        <f>'BDD trait'!$D$36</f>
        <v>0.19</v>
      </c>
      <c r="G342" s="18" t="str">
        <f>'BDD trait'!$E$36</f>
        <v>kg/t</v>
      </c>
      <c r="H342" s="98"/>
      <c r="I342" s="18"/>
      <c r="J342" s="101"/>
      <c r="K342" s="18"/>
      <c r="L342" s="98">
        <f>F340*F342*'BDD FE'!$C$9/1000</f>
        <v>2.3489320000000002E-3</v>
      </c>
      <c r="M342" s="101"/>
      <c r="N342" s="98">
        <f>L342+M342</f>
        <v>2.3489320000000002E-3</v>
      </c>
      <c r="O342" s="98">
        <f>F340*F342*'BDD FE'!$F$9/1000</f>
        <v>5.8723300000000005E-4</v>
      </c>
      <c r="P342" s="98"/>
      <c r="Q342" s="98">
        <f>O342+P342</f>
        <v>5.8723300000000005E-4</v>
      </c>
      <c r="R342" s="127"/>
      <c r="S342" s="127"/>
      <c r="T342" s="98"/>
      <c r="U342" s="23"/>
    </row>
    <row r="343" spans="1:21">
      <c r="A343" s="17"/>
      <c r="B343" s="81"/>
      <c r="C343" s="18"/>
      <c r="D343" s="27" t="s">
        <v>18</v>
      </c>
      <c r="E343" s="81" t="str">
        <f>'BDD trait'!$C$37</f>
        <v>Marne</v>
      </c>
      <c r="F343" s="98"/>
      <c r="G343" s="18"/>
      <c r="H343" s="98"/>
      <c r="I343" s="18"/>
      <c r="J343" s="101">
        <f>'BDD trait'!$J$37</f>
        <v>250</v>
      </c>
      <c r="K343" s="18" t="str">
        <f>'BDD trait'!$K$37</f>
        <v>kg/t</v>
      </c>
      <c r="L343" s="98"/>
      <c r="M343" s="101">
        <f>-F340*J343*'BDD FE'!$C$15/1000</f>
        <v>-7.6388888888888878E-3</v>
      </c>
      <c r="N343" s="98">
        <f>L343+M343</f>
        <v>-7.6388888888888878E-3</v>
      </c>
      <c r="O343" s="98"/>
      <c r="P343" s="31">
        <f>-F340*J343*'BDD FE'!$F$15/1000</f>
        <v>-5.0000000000000001E-4</v>
      </c>
      <c r="Q343" s="98">
        <f>O343+P343</f>
        <v>-5.0000000000000001E-4</v>
      </c>
      <c r="R343" s="31"/>
      <c r="S343" s="31">
        <f>-F340*J343/1000</f>
        <v>-0.25</v>
      </c>
      <c r="T343" s="98">
        <f>R343+S343</f>
        <v>-0.25</v>
      </c>
      <c r="U343" s="23"/>
    </row>
    <row r="344" spans="1:21" ht="13.8" thickBot="1">
      <c r="A344" s="19"/>
      <c r="B344" s="82"/>
      <c r="C344" s="20"/>
      <c r="D344" s="20" t="s">
        <v>18</v>
      </c>
      <c r="E344" s="82" t="str">
        <f>'BDD trait'!$C$38</f>
        <v>Calcaire</v>
      </c>
      <c r="F344" s="40"/>
      <c r="G344" s="20"/>
      <c r="H344" s="40"/>
      <c r="I344" s="20"/>
      <c r="J344" s="102">
        <f>'BDD trait'!$J$38</f>
        <v>750</v>
      </c>
      <c r="K344" s="20" t="str">
        <f>'BDD trait'!$K$38</f>
        <v>kg/t</v>
      </c>
      <c r="L344" s="40"/>
      <c r="M344" s="102">
        <f>-F340*J344*'BDD FE'!$C$6/1000</f>
        <v>-2.2916666666666665E-2</v>
      </c>
      <c r="N344" s="40">
        <f>L344+M344</f>
        <v>-2.2916666666666665E-2</v>
      </c>
      <c r="O344" s="40"/>
      <c r="P344" s="40">
        <f>-F340*J344*'BDD FE'!$F$6/1000</f>
        <v>-1.5E-3</v>
      </c>
      <c r="Q344" s="40">
        <f>O344+P344</f>
        <v>-1.5E-3</v>
      </c>
      <c r="R344" s="131"/>
      <c r="S344" s="131">
        <f>-F340*J344/1000</f>
        <v>-0.75</v>
      </c>
      <c r="T344" s="40">
        <f>R344+S344</f>
        <v>-0.75</v>
      </c>
      <c r="U344" s="24"/>
    </row>
    <row r="345" spans="1:21" ht="13.8" thickBot="1">
      <c r="F345" s="31"/>
      <c r="H345" s="31"/>
      <c r="J345" s="103"/>
      <c r="L345" s="31"/>
      <c r="M345" s="103"/>
      <c r="N345" s="31"/>
      <c r="O345" s="31"/>
      <c r="P345" s="31"/>
      <c r="Q345" s="31"/>
      <c r="R345" s="128"/>
      <c r="S345" s="128"/>
      <c r="T345" s="109"/>
      <c r="U345" s="16"/>
    </row>
    <row r="346" spans="1:21" ht="39.6">
      <c r="A346" s="15"/>
      <c r="B346" s="80" t="s">
        <v>29</v>
      </c>
      <c r="C346" s="16" t="s">
        <v>62</v>
      </c>
      <c r="D346" s="16"/>
      <c r="E346" s="86"/>
      <c r="F346" s="109"/>
      <c r="G346" s="16"/>
      <c r="H346" s="109"/>
      <c r="I346" s="16"/>
      <c r="J346" s="100"/>
      <c r="K346" s="16"/>
      <c r="L346" s="109"/>
      <c r="M346" s="100"/>
      <c r="N346" s="109"/>
      <c r="O346" s="109"/>
      <c r="P346" s="109"/>
      <c r="Q346" s="109"/>
      <c r="R346" s="126"/>
      <c r="S346" s="126"/>
      <c r="T346" s="109"/>
      <c r="U346" s="22"/>
    </row>
    <row r="347" spans="1:21">
      <c r="A347" s="17"/>
      <c r="B347" s="81"/>
      <c r="C347" s="18"/>
      <c r="D347" s="18"/>
      <c r="E347" s="87" t="s">
        <v>152</v>
      </c>
      <c r="F347" s="110">
        <v>1</v>
      </c>
      <c r="G347" s="18" t="s">
        <v>20</v>
      </c>
      <c r="H347" s="98"/>
      <c r="I347" s="18"/>
      <c r="J347" s="101"/>
      <c r="K347" s="18"/>
      <c r="L347" s="98"/>
      <c r="M347" s="101"/>
      <c r="N347" s="98"/>
      <c r="O347" s="98"/>
      <c r="P347" s="98"/>
      <c r="Q347" s="98"/>
      <c r="R347" s="127"/>
      <c r="S347" s="127"/>
      <c r="T347" s="98"/>
      <c r="U347" s="76">
        <v>8</v>
      </c>
    </row>
    <row r="348" spans="1:21">
      <c r="A348" s="17"/>
      <c r="B348" s="81"/>
      <c r="C348" s="18"/>
      <c r="D348" s="18"/>
      <c r="E348" s="87" t="s">
        <v>153</v>
      </c>
      <c r="F348" s="111">
        <v>3</v>
      </c>
      <c r="G348" s="18" t="s">
        <v>20</v>
      </c>
      <c r="H348" s="98"/>
      <c r="I348" s="18"/>
      <c r="J348" s="101"/>
      <c r="K348" s="18"/>
      <c r="L348" s="98"/>
      <c r="M348" s="101"/>
      <c r="N348" s="98"/>
      <c r="O348" s="98"/>
      <c r="P348" s="98"/>
      <c r="Q348" s="98"/>
      <c r="R348" s="127"/>
      <c r="S348" s="127"/>
      <c r="T348" s="98"/>
      <c r="U348" s="23"/>
    </row>
    <row r="349" spans="1:21">
      <c r="A349" s="17"/>
      <c r="B349" s="81"/>
      <c r="C349" s="18"/>
      <c r="D349" s="27" t="s">
        <v>144</v>
      </c>
      <c r="E349" s="87" t="str">
        <f>'BDD trait'!$C$39</f>
        <v>Diesel pour pelle mécanique</v>
      </c>
      <c r="F349" s="113">
        <f>'BDD trait'!$D$39</f>
        <v>4.2782948526765063E-2</v>
      </c>
      <c r="G349" s="27" t="str">
        <f>'BDD trait'!$E$39</f>
        <v>t/t hydrocarbures</v>
      </c>
      <c r="H349" s="98"/>
      <c r="I349" s="18"/>
      <c r="J349" s="101"/>
      <c r="K349" s="18"/>
      <c r="L349" s="98">
        <f>F348*F349*Conversions!$E$47*'BDD FE'!$C$9/1000</f>
        <v>1.3487384419190623E-3</v>
      </c>
      <c r="M349" s="101"/>
      <c r="N349" s="98">
        <f t="shared" ref="N349:N355" si="102">L349+M349</f>
        <v>1.3487384419190623E-3</v>
      </c>
      <c r="O349" s="98">
        <f>F348*F349*Conversions!$E$47*'BDD FE'!$F$9/1000</f>
        <v>3.3718461047976556E-4</v>
      </c>
      <c r="P349" s="98"/>
      <c r="Q349" s="98">
        <f t="shared" ref="Q349:Q355" si="103">O349+P349</f>
        <v>3.3718461047976556E-4</v>
      </c>
      <c r="R349" s="127"/>
      <c r="S349" s="127"/>
      <c r="T349" s="98"/>
      <c r="U349" s="23"/>
    </row>
    <row r="350" spans="1:21">
      <c r="A350" s="17"/>
      <c r="B350" s="81"/>
      <c r="C350" s="18"/>
      <c r="D350" s="27" t="s">
        <v>144</v>
      </c>
      <c r="E350" s="87" t="str">
        <f>'BDD trait'!$C$40</f>
        <v>Phosphate de sodium</v>
      </c>
      <c r="F350" s="113">
        <f>'BDD trait'!$D$40</f>
        <v>0.22167429423561477</v>
      </c>
      <c r="G350" s="27" t="str">
        <f>'BDD trait'!$E$40</f>
        <v>t/t hydrocarbures</v>
      </c>
      <c r="H350" s="98"/>
      <c r="I350" s="18"/>
      <c r="J350" s="101"/>
      <c r="K350" s="18"/>
      <c r="L350" s="98">
        <f>F348*F350*'BDD FE'!$C$18</f>
        <v>1.264608899219674</v>
      </c>
      <c r="M350" s="101"/>
      <c r="N350" s="98">
        <f t="shared" si="102"/>
        <v>1.264608899219674</v>
      </c>
      <c r="O350" s="98">
        <f>F348*F350*'BDD FE'!$F$18</f>
        <v>1.0775365768498999</v>
      </c>
      <c r="P350" s="98"/>
      <c r="Q350" s="98">
        <f t="shared" si="103"/>
        <v>1.0775365768498999</v>
      </c>
      <c r="R350" s="127"/>
      <c r="S350" s="127"/>
      <c r="T350" s="98"/>
      <c r="U350" s="23"/>
    </row>
    <row r="351" spans="1:21">
      <c r="A351" s="17"/>
      <c r="B351" s="81"/>
      <c r="C351" s="18"/>
      <c r="D351" s="27" t="s">
        <v>144</v>
      </c>
      <c r="E351" s="87" t="str">
        <f>'BDD trait'!$C$42</f>
        <v>Agent structurant (Compost)</v>
      </c>
      <c r="F351" s="113">
        <f>'BDD trait'!$D$42</f>
        <v>0.12855453283282769</v>
      </c>
      <c r="G351" s="27" t="str">
        <f>'BDD trait'!$E$42</f>
        <v>t/t hydrocarbures</v>
      </c>
      <c r="H351" s="98"/>
      <c r="I351" s="18"/>
      <c r="J351" s="101"/>
      <c r="K351" s="18"/>
      <c r="L351" s="98">
        <f>F348*F351*'BDD FE'!$C$8</f>
        <v>0</v>
      </c>
      <c r="M351" s="101"/>
      <c r="N351" s="98">
        <f t="shared" si="102"/>
        <v>0</v>
      </c>
      <c r="O351" s="98">
        <f>F348*F351*'BDD FE'!$F$8</f>
        <v>0</v>
      </c>
      <c r="P351" s="98"/>
      <c r="Q351" s="98">
        <f t="shared" si="103"/>
        <v>0</v>
      </c>
      <c r="R351" s="127"/>
      <c r="S351" s="127"/>
      <c r="T351" s="98"/>
      <c r="U351" s="23"/>
    </row>
    <row r="352" spans="1:21" ht="26.4">
      <c r="A352" s="17"/>
      <c r="B352" s="81"/>
      <c r="C352" s="18"/>
      <c r="D352" s="27" t="s">
        <v>144</v>
      </c>
      <c r="E352" s="87" t="str">
        <f>'BDD trait'!$C$43</f>
        <v>Electricité pour pompe de circulation des lixiviats</v>
      </c>
      <c r="F352" s="113">
        <f>'BDD trait'!$D$43</f>
        <v>291.56168046485317</v>
      </c>
      <c r="G352" s="27" t="str">
        <f>'BDD trait'!$E$43</f>
        <v>kWh/t hydrocarbures</v>
      </c>
      <c r="H352" s="98"/>
      <c r="I352" s="18"/>
      <c r="J352" s="101"/>
      <c r="K352" s="18"/>
      <c r="L352" s="98">
        <f>F348*F352*'BDD FE'!$C$11/1000</f>
        <v>2.2042063043142899</v>
      </c>
      <c r="M352" s="101"/>
      <c r="N352" s="98">
        <f t="shared" si="102"/>
        <v>2.2042063043142899</v>
      </c>
      <c r="O352" s="98">
        <f>F348*F352*'BDD FE'!$F$11/1000</f>
        <v>8.9217874222245058E-2</v>
      </c>
      <c r="P352" s="98"/>
      <c r="Q352" s="98">
        <f t="shared" si="103"/>
        <v>8.9217874222245058E-2</v>
      </c>
      <c r="R352" s="127"/>
      <c r="S352" s="127"/>
      <c r="T352" s="98"/>
      <c r="U352" s="23"/>
    </row>
    <row r="353" spans="1:21">
      <c r="A353" s="17"/>
      <c r="B353" s="81"/>
      <c r="C353" s="18"/>
      <c r="D353" s="27" t="s">
        <v>144</v>
      </c>
      <c r="E353" s="87" t="str">
        <f>'BDD trait'!$C$44</f>
        <v>Charbon actif</v>
      </c>
      <c r="F353" s="113">
        <f>'BDD trait'!$D$44</f>
        <v>3.7537923587185685E-3</v>
      </c>
      <c r="G353" s="27" t="str">
        <f>'BDD trait'!$E$44</f>
        <v>t/t hydrocarbures</v>
      </c>
      <c r="H353" s="98"/>
      <c r="I353" s="18"/>
      <c r="J353" s="101"/>
      <c r="K353" s="18"/>
      <c r="L353" s="98">
        <f>F353*F348*'BDD FE'!$C$7</f>
        <v>0.22053530107471589</v>
      </c>
      <c r="M353" s="101"/>
      <c r="N353" s="98">
        <f t="shared" si="102"/>
        <v>0.22053530107471589</v>
      </c>
      <c r="O353" s="98">
        <f>F348*F353*'BDD FE'!$F$7</f>
        <v>1.9808762276957888E-2</v>
      </c>
      <c r="P353" s="98"/>
      <c r="Q353" s="98">
        <f t="shared" si="103"/>
        <v>1.9808762276957888E-2</v>
      </c>
      <c r="R353" s="127"/>
      <c r="S353" s="127"/>
      <c r="T353" s="98"/>
      <c r="U353" s="23"/>
    </row>
    <row r="354" spans="1:21">
      <c r="A354" s="17"/>
      <c r="B354" s="81"/>
      <c r="C354" s="18"/>
      <c r="D354" s="27" t="s">
        <v>144</v>
      </c>
      <c r="E354" s="87" t="str">
        <f>'BDD trait'!$C$45</f>
        <v>Eau</v>
      </c>
      <c r="F354" s="113">
        <f>'BDD trait'!$D$45</f>
        <v>0.44505494505494503</v>
      </c>
      <c r="G354" s="27" t="str">
        <f>'BDD trait'!$E$45</f>
        <v>m3/t hydrocarbure</v>
      </c>
      <c r="H354" s="98"/>
      <c r="I354" s="18"/>
      <c r="J354" s="101"/>
      <c r="K354" s="18"/>
      <c r="L354" s="98">
        <f>F354*F348*'BDD FE'!$C$10/1000</f>
        <v>1.0225791855203619E-2</v>
      </c>
      <c r="M354" s="101"/>
      <c r="N354" s="98">
        <f t="shared" si="102"/>
        <v>1.0225791855203619E-2</v>
      </c>
      <c r="O354" s="98">
        <f>F354*F348*'BDD FE'!$F$10</f>
        <v>0.41390109890109889</v>
      </c>
      <c r="P354" s="98"/>
      <c r="Q354" s="98">
        <f t="shared" si="103"/>
        <v>0.41390109890109889</v>
      </c>
      <c r="R354" s="127"/>
      <c r="S354" s="127"/>
      <c r="T354" s="98"/>
      <c r="U354" s="23"/>
    </row>
    <row r="355" spans="1:21" ht="13.8" thickBot="1">
      <c r="A355" s="19"/>
      <c r="B355" s="82"/>
      <c r="C355" s="20"/>
      <c r="D355" s="46" t="s">
        <v>145</v>
      </c>
      <c r="E355" s="82" t="str">
        <f>E353</f>
        <v>Charbon actif</v>
      </c>
      <c r="F355" s="40"/>
      <c r="G355" s="20"/>
      <c r="H355" s="40">
        <f>F353</f>
        <v>3.7537923587185685E-3</v>
      </c>
      <c r="I355" s="20" t="str">
        <f>G353</f>
        <v>t/t hydrocarbures</v>
      </c>
      <c r="J355" s="102"/>
      <c r="K355" s="20"/>
      <c r="L355" s="40">
        <f>F348*H355*'BDD FE'!$C$26</f>
        <v>9.9100118270170197E-5</v>
      </c>
      <c r="M355" s="102"/>
      <c r="N355" s="40">
        <f t="shared" si="102"/>
        <v>9.9100118270170197E-5</v>
      </c>
      <c r="O355" s="40">
        <f>F351*H355*'BDD FE'!$F$26</f>
        <v>8.1553826891479164E-7</v>
      </c>
      <c r="P355" s="40"/>
      <c r="Q355" s="40">
        <f t="shared" si="103"/>
        <v>8.1553826891479164E-7</v>
      </c>
      <c r="R355" s="131">
        <f>F348*H355*'BDD FE'!$I$26</f>
        <v>3.3784131228467118E-3</v>
      </c>
      <c r="S355" s="131"/>
      <c r="T355" s="40">
        <f>R355+S355</f>
        <v>3.3784131228467118E-3</v>
      </c>
      <c r="U355" s="77" t="s">
        <v>19</v>
      </c>
    </row>
    <row r="356" spans="1:21" ht="13.8" thickBot="1">
      <c r="F356" s="31"/>
      <c r="H356" s="31"/>
      <c r="J356" s="103"/>
      <c r="L356" s="31"/>
      <c r="M356" s="103"/>
      <c r="N356" s="31"/>
      <c r="O356" s="31"/>
      <c r="P356" s="31"/>
      <c r="Q356" s="31"/>
      <c r="R356" s="128"/>
      <c r="S356" s="128"/>
      <c r="T356" s="31"/>
    </row>
    <row r="357" spans="1:21" ht="52.8">
      <c r="A357" s="15"/>
      <c r="B357" s="80" t="s">
        <v>32</v>
      </c>
      <c r="C357" s="16" t="s">
        <v>62</v>
      </c>
      <c r="D357" s="16"/>
      <c r="E357" s="86"/>
      <c r="F357" s="109"/>
      <c r="G357" s="16"/>
      <c r="H357" s="109"/>
      <c r="I357" s="16"/>
      <c r="J357" s="100"/>
      <c r="K357" s="16"/>
      <c r="L357" s="109"/>
      <c r="M357" s="100"/>
      <c r="N357" s="109"/>
      <c r="O357" s="109"/>
      <c r="P357" s="109"/>
      <c r="Q357" s="109"/>
      <c r="R357" s="126"/>
      <c r="S357" s="126"/>
      <c r="T357" s="109"/>
      <c r="U357" s="22"/>
    </row>
    <row r="358" spans="1:21">
      <c r="A358" s="17"/>
      <c r="B358" s="81"/>
      <c r="C358" s="18"/>
      <c r="D358" s="18"/>
      <c r="E358" s="87" t="s">
        <v>152</v>
      </c>
      <c r="F358" s="110">
        <v>1</v>
      </c>
      <c r="G358" s="18" t="s">
        <v>20</v>
      </c>
      <c r="H358" s="98"/>
      <c r="I358" s="18"/>
      <c r="J358" s="101"/>
      <c r="K358" s="18"/>
      <c r="L358" s="98"/>
      <c r="M358" s="101"/>
      <c r="N358" s="98"/>
      <c r="O358" s="98"/>
      <c r="P358" s="98"/>
      <c r="Q358" s="98"/>
      <c r="R358" s="127"/>
      <c r="S358" s="127"/>
      <c r="T358" s="98"/>
      <c r="U358" s="76">
        <v>8</v>
      </c>
    </row>
    <row r="359" spans="1:21">
      <c r="A359" s="17"/>
      <c r="B359" s="81"/>
      <c r="C359" s="18"/>
      <c r="D359" s="18"/>
      <c r="E359" s="87" t="s">
        <v>153</v>
      </c>
      <c r="F359" s="111">
        <v>3</v>
      </c>
      <c r="G359" s="18" t="s">
        <v>20</v>
      </c>
      <c r="H359" s="98"/>
      <c r="I359" s="18"/>
      <c r="J359" s="101"/>
      <c r="K359" s="18"/>
      <c r="L359" s="98"/>
      <c r="M359" s="101"/>
      <c r="N359" s="98"/>
      <c r="O359" s="98"/>
      <c r="P359" s="98"/>
      <c r="Q359" s="98"/>
      <c r="R359" s="127"/>
      <c r="S359" s="127"/>
      <c r="T359" s="98"/>
      <c r="U359" s="23"/>
    </row>
    <row r="360" spans="1:21">
      <c r="A360" s="17"/>
      <c r="B360" s="81"/>
      <c r="C360" s="18"/>
      <c r="D360" s="27" t="s">
        <v>144</v>
      </c>
      <c r="E360" s="87" t="str">
        <f>'BDD trait'!$C$39</f>
        <v>Diesel pour pelle mécanique</v>
      </c>
      <c r="F360" s="113">
        <f>'BDD trait'!$D$39</f>
        <v>4.2782948526765063E-2</v>
      </c>
      <c r="G360" s="27" t="str">
        <f>'BDD trait'!$E$39</f>
        <v>t/t hydrocarbures</v>
      </c>
      <c r="H360" s="98"/>
      <c r="I360" s="18"/>
      <c r="J360" s="101"/>
      <c r="K360" s="18"/>
      <c r="L360" s="98">
        <f>F359*F360*Conversions!$E$47*'BDD FE'!$C$9/1000</f>
        <v>1.3487384419190623E-3</v>
      </c>
      <c r="M360" s="101"/>
      <c r="N360" s="98">
        <f t="shared" ref="N360:N366" si="104">L360+M360</f>
        <v>1.3487384419190623E-3</v>
      </c>
      <c r="O360" s="98">
        <f>F359*F360*Conversions!$E$47*'BDD FE'!$F$9/1000</f>
        <v>3.3718461047976556E-4</v>
      </c>
      <c r="P360" s="98"/>
      <c r="Q360" s="98">
        <f t="shared" ref="Q360:Q366" si="105">O360+P360</f>
        <v>3.3718461047976556E-4</v>
      </c>
      <c r="R360" s="127"/>
      <c r="S360" s="127"/>
      <c r="T360" s="98"/>
      <c r="U360" s="23"/>
    </row>
    <row r="361" spans="1:21">
      <c r="A361" s="17"/>
      <c r="B361" s="81"/>
      <c r="C361" s="18"/>
      <c r="D361" s="27" t="s">
        <v>144</v>
      </c>
      <c r="E361" s="87" t="str">
        <f>'BDD trait'!$C$40</f>
        <v>Phosphate de sodium</v>
      </c>
      <c r="F361" s="113">
        <f>'BDD trait'!$D$40</f>
        <v>0.22167429423561477</v>
      </c>
      <c r="G361" s="27" t="str">
        <f>'BDD trait'!$E$40</f>
        <v>t/t hydrocarbures</v>
      </c>
      <c r="H361" s="98"/>
      <c r="I361" s="18"/>
      <c r="J361" s="101"/>
      <c r="K361" s="18"/>
      <c r="L361" s="98">
        <f>F359*F361*'BDD FE'!$C$18</f>
        <v>1.264608899219674</v>
      </c>
      <c r="M361" s="101"/>
      <c r="N361" s="98">
        <f t="shared" si="104"/>
        <v>1.264608899219674</v>
      </c>
      <c r="O361" s="98">
        <f>F359*F361*'BDD FE'!$F$18</f>
        <v>1.0775365768498999</v>
      </c>
      <c r="P361" s="98"/>
      <c r="Q361" s="98">
        <f t="shared" si="105"/>
        <v>1.0775365768498999</v>
      </c>
      <c r="R361" s="127"/>
      <c r="S361" s="127"/>
      <c r="T361" s="98"/>
      <c r="U361" s="23"/>
    </row>
    <row r="362" spans="1:21">
      <c r="A362" s="17"/>
      <c r="B362" s="81"/>
      <c r="C362" s="18"/>
      <c r="D362" s="27" t="s">
        <v>144</v>
      </c>
      <c r="E362" s="87" t="str">
        <f>'BDD trait'!$C$42</f>
        <v>Agent structurant (Compost)</v>
      </c>
      <c r="F362" s="113">
        <f>'BDD trait'!$D$42</f>
        <v>0.12855453283282769</v>
      </c>
      <c r="G362" s="27" t="str">
        <f>'BDD trait'!$E$42</f>
        <v>t/t hydrocarbures</v>
      </c>
      <c r="H362" s="98"/>
      <c r="I362" s="18"/>
      <c r="J362" s="101"/>
      <c r="K362" s="18"/>
      <c r="L362" s="98">
        <f>F359*F362*'BDD FE'!$C$8</f>
        <v>0</v>
      </c>
      <c r="M362" s="101"/>
      <c r="N362" s="98">
        <f t="shared" si="104"/>
        <v>0</v>
      </c>
      <c r="O362" s="98">
        <f>F359*F362*'BDD FE'!$F$8</f>
        <v>0</v>
      </c>
      <c r="P362" s="98"/>
      <c r="Q362" s="98">
        <f t="shared" si="105"/>
        <v>0</v>
      </c>
      <c r="R362" s="127"/>
      <c r="S362" s="127"/>
      <c r="T362" s="98"/>
      <c r="U362" s="23"/>
    </row>
    <row r="363" spans="1:21" ht="26.4">
      <c r="A363" s="17"/>
      <c r="B363" s="81"/>
      <c r="C363" s="18"/>
      <c r="D363" s="27" t="s">
        <v>144</v>
      </c>
      <c r="E363" s="87" t="str">
        <f>'BDD trait'!$C$43</f>
        <v>Electricité pour pompe de circulation des lixiviats</v>
      </c>
      <c r="F363" s="113">
        <f>'BDD trait'!$D$43</f>
        <v>291.56168046485317</v>
      </c>
      <c r="G363" s="27" t="str">
        <f>'BDD trait'!$E$43</f>
        <v>kWh/t hydrocarbures</v>
      </c>
      <c r="H363" s="98"/>
      <c r="I363" s="18"/>
      <c r="J363" s="101"/>
      <c r="K363" s="18"/>
      <c r="L363" s="98">
        <f>F359*F363*'BDD FE'!$C$11/1000</f>
        <v>2.2042063043142899</v>
      </c>
      <c r="M363" s="101"/>
      <c r="N363" s="98">
        <f t="shared" si="104"/>
        <v>2.2042063043142899</v>
      </c>
      <c r="O363" s="98">
        <f>F359*F363*'BDD FE'!$F$11/1000</f>
        <v>8.9217874222245058E-2</v>
      </c>
      <c r="P363" s="98"/>
      <c r="Q363" s="98">
        <f t="shared" si="105"/>
        <v>8.9217874222245058E-2</v>
      </c>
      <c r="R363" s="127"/>
      <c r="S363" s="127"/>
      <c r="T363" s="98"/>
      <c r="U363" s="23"/>
    </row>
    <row r="364" spans="1:21">
      <c r="A364" s="17"/>
      <c r="B364" s="81"/>
      <c r="C364" s="18"/>
      <c r="D364" s="27" t="s">
        <v>144</v>
      </c>
      <c r="E364" s="87" t="str">
        <f>'BDD trait'!$C$44</f>
        <v>Charbon actif</v>
      </c>
      <c r="F364" s="113">
        <f>'BDD trait'!$D$44</f>
        <v>3.7537923587185685E-3</v>
      </c>
      <c r="G364" s="27" t="str">
        <f>'BDD trait'!$E$44</f>
        <v>t/t hydrocarbures</v>
      </c>
      <c r="H364" s="98"/>
      <c r="I364" s="18"/>
      <c r="J364" s="101"/>
      <c r="K364" s="18"/>
      <c r="L364" s="98">
        <f>F364*F359*'BDD FE'!$C$7</f>
        <v>0.22053530107471589</v>
      </c>
      <c r="M364" s="101"/>
      <c r="N364" s="98">
        <f t="shared" si="104"/>
        <v>0.22053530107471589</v>
      </c>
      <c r="O364" s="98">
        <f>F359*F364*'BDD FE'!$F$7</f>
        <v>1.9808762276957888E-2</v>
      </c>
      <c r="P364" s="98"/>
      <c r="Q364" s="98">
        <f t="shared" si="105"/>
        <v>1.9808762276957888E-2</v>
      </c>
      <c r="R364" s="127"/>
      <c r="S364" s="127"/>
      <c r="T364" s="98"/>
      <c r="U364" s="23"/>
    </row>
    <row r="365" spans="1:21">
      <c r="A365" s="17"/>
      <c r="B365" s="81"/>
      <c r="C365" s="18"/>
      <c r="D365" s="27" t="s">
        <v>144</v>
      </c>
      <c r="E365" s="87" t="str">
        <f>'BDD trait'!$C$45</f>
        <v>Eau</v>
      </c>
      <c r="F365" s="113">
        <f>'BDD trait'!$D$45</f>
        <v>0.44505494505494503</v>
      </c>
      <c r="G365" s="27" t="str">
        <f>'BDD trait'!$E$45</f>
        <v>m3/t hydrocarbure</v>
      </c>
      <c r="H365" s="98"/>
      <c r="I365" s="18"/>
      <c r="J365" s="101"/>
      <c r="K365" s="18"/>
      <c r="L365" s="98">
        <f>F365*F359*'BDD FE'!$C$10/1000</f>
        <v>1.0225791855203619E-2</v>
      </c>
      <c r="M365" s="101"/>
      <c r="N365" s="98">
        <f t="shared" si="104"/>
        <v>1.0225791855203619E-2</v>
      </c>
      <c r="O365" s="98">
        <f>F365*F359*'BDD FE'!$F$10</f>
        <v>0.41390109890109889</v>
      </c>
      <c r="P365" s="98"/>
      <c r="Q365" s="98">
        <f t="shared" si="105"/>
        <v>0.41390109890109889</v>
      </c>
      <c r="R365" s="127"/>
      <c r="S365" s="127"/>
      <c r="T365" s="98"/>
      <c r="U365" s="23"/>
    </row>
    <row r="366" spans="1:21" ht="13.8" thickBot="1">
      <c r="A366" s="19"/>
      <c r="B366" s="82"/>
      <c r="C366" s="20"/>
      <c r="D366" s="46" t="s">
        <v>145</v>
      </c>
      <c r="E366" s="82" t="str">
        <f>E364</f>
        <v>Charbon actif</v>
      </c>
      <c r="F366" s="40"/>
      <c r="G366" s="20"/>
      <c r="H366" s="40">
        <f>F364</f>
        <v>3.7537923587185685E-3</v>
      </c>
      <c r="I366" s="20" t="str">
        <f>G364</f>
        <v>t/t hydrocarbures</v>
      </c>
      <c r="J366" s="102"/>
      <c r="K366" s="20"/>
      <c r="L366" s="40">
        <f>F359*H366*'BDD FE'!$C$26</f>
        <v>9.9100118270170197E-5</v>
      </c>
      <c r="M366" s="102"/>
      <c r="N366" s="40">
        <f t="shared" si="104"/>
        <v>9.9100118270170197E-5</v>
      </c>
      <c r="O366" s="40">
        <f>F362*H366*'BDD FE'!$F$26</f>
        <v>8.1553826891479164E-7</v>
      </c>
      <c r="P366" s="40"/>
      <c r="Q366" s="40">
        <f t="shared" si="105"/>
        <v>8.1553826891479164E-7</v>
      </c>
      <c r="R366" s="131">
        <f>F359*H366*'BDD FE'!$I$26</f>
        <v>3.3784131228467118E-3</v>
      </c>
      <c r="S366" s="131"/>
      <c r="T366" s="40">
        <f>R366+S366</f>
        <v>3.3784131228467118E-3</v>
      </c>
      <c r="U366" s="77" t="s">
        <v>19</v>
      </c>
    </row>
    <row r="367" spans="1:21" ht="13.8" thickBot="1">
      <c r="F367" s="31"/>
      <c r="H367" s="31"/>
      <c r="J367" s="103"/>
      <c r="L367" s="31"/>
      <c r="M367" s="103"/>
      <c r="N367" s="31"/>
      <c r="O367" s="31"/>
      <c r="P367" s="31"/>
      <c r="Q367" s="31"/>
      <c r="R367" s="128"/>
      <c r="S367" s="128"/>
      <c r="T367" s="31"/>
    </row>
    <row r="368" spans="1:21">
      <c r="A368" s="15"/>
      <c r="B368" s="80" t="s">
        <v>28</v>
      </c>
      <c r="C368" s="25" t="s">
        <v>388</v>
      </c>
      <c r="D368" s="16"/>
      <c r="E368" s="86"/>
      <c r="F368" s="109"/>
      <c r="G368" s="16"/>
      <c r="H368" s="109"/>
      <c r="I368" s="16"/>
      <c r="J368" s="100"/>
      <c r="K368" s="16"/>
      <c r="L368" s="109"/>
      <c r="M368" s="100"/>
      <c r="N368" s="109"/>
      <c r="O368" s="109"/>
      <c r="P368" s="109"/>
      <c r="Q368" s="109"/>
      <c r="R368" s="126"/>
      <c r="S368" s="126"/>
      <c r="T368" s="109"/>
      <c r="U368" s="22"/>
    </row>
    <row r="369" spans="1:21">
      <c r="A369" s="17"/>
      <c r="B369" s="81"/>
      <c r="C369" s="18"/>
      <c r="D369" s="18"/>
      <c r="E369" s="87" t="s">
        <v>152</v>
      </c>
      <c r="F369" s="110">
        <v>1</v>
      </c>
      <c r="G369" s="18" t="s">
        <v>20</v>
      </c>
      <c r="H369" s="98"/>
      <c r="I369" s="18"/>
      <c r="J369" s="101"/>
      <c r="K369" s="18"/>
      <c r="L369" s="98"/>
      <c r="M369" s="101"/>
      <c r="N369" s="98"/>
      <c r="O369" s="98"/>
      <c r="P369" s="98"/>
      <c r="Q369" s="98"/>
      <c r="R369" s="127"/>
      <c r="S369" s="127"/>
      <c r="T369" s="98"/>
      <c r="U369" s="76">
        <v>8</v>
      </c>
    </row>
    <row r="370" spans="1:21" ht="13.8" thickBot="1">
      <c r="A370" s="19"/>
      <c r="B370" s="82"/>
      <c r="C370" s="20"/>
      <c r="D370" s="20" t="s">
        <v>18</v>
      </c>
      <c r="E370" s="82" t="str">
        <f>'BDD trait'!$C$46</f>
        <v>Granulat concassé</v>
      </c>
      <c r="F370" s="40"/>
      <c r="G370" s="20"/>
      <c r="H370" s="40"/>
      <c r="I370" s="20"/>
      <c r="J370" s="102">
        <f>'BDD trait'!$J$46</f>
        <v>1000</v>
      </c>
      <c r="K370" s="20" t="str">
        <f>'BDD trait'!$K$46</f>
        <v>kg/t</v>
      </c>
      <c r="L370" s="40"/>
      <c r="M370" s="102">
        <f>-F369*J370*'BDD FE'!$C$14/1000</f>
        <v>-8.4000000000000005E-2</v>
      </c>
      <c r="N370" s="40">
        <f t="shared" ref="N370" si="106">L370+M370</f>
        <v>-8.4000000000000005E-2</v>
      </c>
      <c r="O370" s="40"/>
      <c r="P370" s="40">
        <f>-F369*J370*'BDD FE'!$F$14/1000</f>
        <v>-1.2999999999999999E-2</v>
      </c>
      <c r="Q370" s="40">
        <f t="shared" ref="Q370" si="107">O370+P370</f>
        <v>-1.2999999999999999E-2</v>
      </c>
      <c r="R370" s="131"/>
      <c r="S370" s="131">
        <f>-F369*J370/1000</f>
        <v>-1</v>
      </c>
      <c r="T370" s="40">
        <f>R370+S370</f>
        <v>-1</v>
      </c>
      <c r="U370" s="24"/>
    </row>
    <row r="371" spans="1:21" ht="13.8" thickBot="1">
      <c r="F371" s="31"/>
      <c r="H371" s="31"/>
      <c r="J371" s="103"/>
      <c r="L371" s="31"/>
      <c r="M371" s="103"/>
      <c r="N371" s="31"/>
      <c r="O371" s="31"/>
      <c r="P371" s="31"/>
      <c r="Q371" s="31"/>
      <c r="R371" s="128"/>
      <c r="S371" s="128"/>
      <c r="T371" s="31"/>
    </row>
    <row r="372" spans="1:21" ht="39.6">
      <c r="A372" s="15"/>
      <c r="B372" s="80" t="s">
        <v>29</v>
      </c>
      <c r="C372" s="25" t="s">
        <v>388</v>
      </c>
      <c r="D372" s="16"/>
      <c r="E372" s="86"/>
      <c r="F372" s="109"/>
      <c r="G372" s="16"/>
      <c r="H372" s="109"/>
      <c r="I372" s="16"/>
      <c r="J372" s="100"/>
      <c r="K372" s="16"/>
      <c r="L372" s="109"/>
      <c r="M372" s="100"/>
      <c r="N372" s="109"/>
      <c r="O372" s="109"/>
      <c r="P372" s="109"/>
      <c r="Q372" s="109"/>
      <c r="R372" s="126"/>
      <c r="S372" s="126"/>
      <c r="T372" s="109"/>
      <c r="U372" s="22"/>
    </row>
    <row r="373" spans="1:21">
      <c r="A373" s="17"/>
      <c r="B373" s="81"/>
      <c r="C373" s="18"/>
      <c r="D373" s="18"/>
      <c r="E373" s="87" t="s">
        <v>152</v>
      </c>
      <c r="F373" s="110">
        <v>1</v>
      </c>
      <c r="G373" s="18" t="s">
        <v>20</v>
      </c>
      <c r="H373" s="98"/>
      <c r="I373" s="18"/>
      <c r="J373" s="101"/>
      <c r="K373" s="18"/>
      <c r="L373" s="98"/>
      <c r="M373" s="101"/>
      <c r="N373" s="98"/>
      <c r="O373" s="98"/>
      <c r="P373" s="98"/>
      <c r="Q373" s="98"/>
      <c r="R373" s="127"/>
      <c r="S373" s="127"/>
      <c r="T373" s="98"/>
      <c r="U373" s="76">
        <v>8</v>
      </c>
    </row>
    <row r="374" spans="1:21" ht="13.8" thickBot="1">
      <c r="A374" s="19"/>
      <c r="B374" s="82"/>
      <c r="C374" s="20"/>
      <c r="D374" s="20" t="s">
        <v>18</v>
      </c>
      <c r="E374" s="82" t="str">
        <f>'BDD trait'!$C$46</f>
        <v>Granulat concassé</v>
      </c>
      <c r="F374" s="40"/>
      <c r="G374" s="20"/>
      <c r="H374" s="40"/>
      <c r="I374" s="20"/>
      <c r="J374" s="102">
        <f>'BDD trait'!$J$46</f>
        <v>1000</v>
      </c>
      <c r="K374" s="20" t="str">
        <f>'BDD trait'!$K$46</f>
        <v>kg/t</v>
      </c>
      <c r="L374" s="40"/>
      <c r="M374" s="102">
        <f>-F373*J374*'BDD FE'!$C$14/1000</f>
        <v>-8.4000000000000005E-2</v>
      </c>
      <c r="N374" s="40">
        <f t="shared" ref="N374" si="108">L374+M374</f>
        <v>-8.4000000000000005E-2</v>
      </c>
      <c r="O374" s="40"/>
      <c r="P374" s="40">
        <f>-F373*J374*'BDD FE'!$F$14/1000</f>
        <v>-1.2999999999999999E-2</v>
      </c>
      <c r="Q374" s="40">
        <f t="shared" ref="Q374" si="109">O374+P374</f>
        <v>-1.2999999999999999E-2</v>
      </c>
      <c r="R374" s="131"/>
      <c r="S374" s="131">
        <f>-F373*J374/1000</f>
        <v>-1</v>
      </c>
      <c r="T374" s="40">
        <f>R374+S374</f>
        <v>-1</v>
      </c>
      <c r="U374" s="24"/>
    </row>
    <row r="375" spans="1:21" ht="13.8" thickBot="1">
      <c r="F375" s="31"/>
      <c r="H375" s="31"/>
      <c r="J375" s="103"/>
      <c r="L375" s="31"/>
      <c r="M375" s="103"/>
      <c r="N375" s="31"/>
      <c r="O375" s="31"/>
      <c r="P375" s="31"/>
      <c r="Q375" s="31"/>
      <c r="R375" s="128"/>
      <c r="S375" s="128"/>
      <c r="T375" s="31"/>
    </row>
    <row r="376" spans="1:21">
      <c r="A376" s="15"/>
      <c r="B376" s="80" t="s">
        <v>30</v>
      </c>
      <c r="C376" s="25" t="s">
        <v>388</v>
      </c>
      <c r="D376" s="16"/>
      <c r="E376" s="86"/>
      <c r="F376" s="109"/>
      <c r="G376" s="16"/>
      <c r="H376" s="109"/>
      <c r="I376" s="16"/>
      <c r="J376" s="100"/>
      <c r="K376" s="16"/>
      <c r="L376" s="109"/>
      <c r="M376" s="100"/>
      <c r="N376" s="109"/>
      <c r="O376" s="109"/>
      <c r="P376" s="109"/>
      <c r="Q376" s="109"/>
      <c r="R376" s="126"/>
      <c r="S376" s="126"/>
      <c r="T376" s="109"/>
      <c r="U376" s="22"/>
    </row>
    <row r="377" spans="1:21">
      <c r="A377" s="17"/>
      <c r="B377" s="81"/>
      <c r="C377" s="18"/>
      <c r="D377" s="18"/>
      <c r="E377" s="87" t="s">
        <v>152</v>
      </c>
      <c r="F377" s="110">
        <v>1</v>
      </c>
      <c r="G377" s="18" t="s">
        <v>20</v>
      </c>
      <c r="H377" s="98"/>
      <c r="I377" s="18"/>
      <c r="J377" s="101"/>
      <c r="K377" s="18"/>
      <c r="L377" s="98"/>
      <c r="M377" s="101"/>
      <c r="N377" s="98"/>
      <c r="O377" s="98"/>
      <c r="P377" s="98"/>
      <c r="Q377" s="98"/>
      <c r="R377" s="127"/>
      <c r="S377" s="127"/>
      <c r="T377" s="98"/>
      <c r="U377" s="76">
        <v>8</v>
      </c>
    </row>
    <row r="378" spans="1:21" ht="13.8" thickBot="1">
      <c r="A378" s="19"/>
      <c r="B378" s="82"/>
      <c r="C378" s="20"/>
      <c r="D378" s="20" t="s">
        <v>18</v>
      </c>
      <c r="E378" s="82" t="str">
        <f>'BDD trait'!$C$46</f>
        <v>Granulat concassé</v>
      </c>
      <c r="F378" s="40"/>
      <c r="G378" s="20"/>
      <c r="H378" s="40"/>
      <c r="I378" s="20"/>
      <c r="J378" s="102">
        <f>'BDD trait'!$J$46</f>
        <v>1000</v>
      </c>
      <c r="K378" s="20" t="str">
        <f>'BDD trait'!$K$46</f>
        <v>kg/t</v>
      </c>
      <c r="L378" s="40"/>
      <c r="M378" s="102">
        <f>-F377*J378*'BDD FE'!$C$14/1000</f>
        <v>-8.4000000000000005E-2</v>
      </c>
      <c r="N378" s="40">
        <f t="shared" ref="N378" si="110">L378+M378</f>
        <v>-8.4000000000000005E-2</v>
      </c>
      <c r="O378" s="40"/>
      <c r="P378" s="40">
        <f>-F377*J378*'BDD FE'!$F$14/1000</f>
        <v>-1.2999999999999999E-2</v>
      </c>
      <c r="Q378" s="40">
        <f t="shared" ref="Q378" si="111">O378+P378</f>
        <v>-1.2999999999999999E-2</v>
      </c>
      <c r="R378" s="131"/>
      <c r="S378" s="131">
        <f>-F377*J378/1000</f>
        <v>-1</v>
      </c>
      <c r="T378" s="40">
        <f>R378+S378</f>
        <v>-1</v>
      </c>
      <c r="U378" s="24"/>
    </row>
    <row r="379" spans="1:21" ht="13.8" thickBot="1">
      <c r="F379" s="31"/>
      <c r="H379" s="31"/>
      <c r="J379" s="103"/>
      <c r="L379" s="31"/>
      <c r="M379" s="103"/>
      <c r="N379" s="31"/>
      <c r="O379" s="31"/>
      <c r="P379" s="31"/>
      <c r="Q379" s="31"/>
      <c r="R379" s="128"/>
      <c r="S379" s="128"/>
      <c r="T379" s="31"/>
    </row>
    <row r="380" spans="1:21">
      <c r="A380" s="15"/>
      <c r="B380" s="80" t="s">
        <v>31</v>
      </c>
      <c r="C380" s="25" t="s">
        <v>388</v>
      </c>
      <c r="D380" s="16"/>
      <c r="E380" s="86"/>
      <c r="F380" s="109"/>
      <c r="G380" s="16"/>
      <c r="H380" s="109"/>
      <c r="I380" s="16"/>
      <c r="J380" s="100"/>
      <c r="K380" s="16"/>
      <c r="L380" s="109"/>
      <c r="M380" s="100"/>
      <c r="N380" s="109"/>
      <c r="O380" s="109"/>
      <c r="P380" s="109"/>
      <c r="Q380" s="109"/>
      <c r="R380" s="126"/>
      <c r="S380" s="126"/>
      <c r="T380" s="109"/>
      <c r="U380" s="22"/>
    </row>
    <row r="381" spans="1:21">
      <c r="A381" s="17"/>
      <c r="B381" s="81"/>
      <c r="C381" s="18"/>
      <c r="D381" s="18"/>
      <c r="E381" s="87" t="s">
        <v>152</v>
      </c>
      <c r="F381" s="110">
        <v>1</v>
      </c>
      <c r="G381" s="18" t="s">
        <v>20</v>
      </c>
      <c r="H381" s="98"/>
      <c r="I381" s="18"/>
      <c r="J381" s="101"/>
      <c r="K381" s="18"/>
      <c r="L381" s="98"/>
      <c r="M381" s="101"/>
      <c r="N381" s="98"/>
      <c r="O381" s="98"/>
      <c r="P381" s="98"/>
      <c r="Q381" s="98"/>
      <c r="R381" s="127"/>
      <c r="S381" s="127"/>
      <c r="T381" s="98"/>
      <c r="U381" s="76">
        <v>8</v>
      </c>
    </row>
    <row r="382" spans="1:21" ht="13.8" thickBot="1">
      <c r="A382" s="19"/>
      <c r="B382" s="82"/>
      <c r="C382" s="20"/>
      <c r="D382" s="20" t="s">
        <v>18</v>
      </c>
      <c r="E382" s="82" t="str">
        <f>'BDD trait'!$C$46</f>
        <v>Granulat concassé</v>
      </c>
      <c r="F382" s="40"/>
      <c r="G382" s="20"/>
      <c r="H382" s="40"/>
      <c r="I382" s="20"/>
      <c r="J382" s="102">
        <f>'BDD trait'!$J$46</f>
        <v>1000</v>
      </c>
      <c r="K382" s="20" t="str">
        <f>'BDD trait'!$K$46</f>
        <v>kg/t</v>
      </c>
      <c r="L382" s="40"/>
      <c r="M382" s="102">
        <f>-F381*J382*'BDD FE'!$C$14/1000</f>
        <v>-8.4000000000000005E-2</v>
      </c>
      <c r="N382" s="40">
        <f t="shared" ref="N382" si="112">L382+M382</f>
        <v>-8.4000000000000005E-2</v>
      </c>
      <c r="O382" s="40"/>
      <c r="P382" s="40">
        <f>-F381*J382*'BDD FE'!$F$14/1000</f>
        <v>-1.2999999999999999E-2</v>
      </c>
      <c r="Q382" s="40">
        <f t="shared" ref="Q382" si="113">O382+P382</f>
        <v>-1.2999999999999999E-2</v>
      </c>
      <c r="R382" s="131"/>
      <c r="S382" s="131">
        <f>-F381*J382/1000</f>
        <v>-1</v>
      </c>
      <c r="T382" s="40">
        <f>R382+S382</f>
        <v>-1</v>
      </c>
      <c r="U382" s="24"/>
    </row>
    <row r="383" spans="1:21" ht="13.8" thickBot="1">
      <c r="F383" s="31"/>
      <c r="H383" s="31"/>
      <c r="J383" s="103"/>
      <c r="L383" s="31"/>
      <c r="M383" s="103"/>
      <c r="N383" s="31"/>
      <c r="O383" s="31"/>
      <c r="P383" s="31"/>
      <c r="Q383" s="31"/>
      <c r="R383" s="128"/>
      <c r="S383" s="128"/>
      <c r="T383" s="31"/>
    </row>
    <row r="384" spans="1:21" ht="52.8">
      <c r="A384" s="15"/>
      <c r="B384" s="80" t="s">
        <v>32</v>
      </c>
      <c r="C384" s="25" t="s">
        <v>388</v>
      </c>
      <c r="D384" s="16"/>
      <c r="E384" s="86"/>
      <c r="F384" s="109"/>
      <c r="G384" s="16"/>
      <c r="H384" s="109"/>
      <c r="I384" s="16"/>
      <c r="J384" s="100"/>
      <c r="K384" s="16"/>
      <c r="L384" s="109"/>
      <c r="M384" s="100"/>
      <c r="N384" s="109"/>
      <c r="O384" s="109"/>
      <c r="P384" s="109"/>
      <c r="Q384" s="109"/>
      <c r="R384" s="126"/>
      <c r="S384" s="126"/>
      <c r="T384" s="109"/>
      <c r="U384" s="22"/>
    </row>
    <row r="385" spans="1:21">
      <c r="A385" s="17"/>
      <c r="B385" s="81"/>
      <c r="C385" s="18"/>
      <c r="D385" s="18"/>
      <c r="E385" s="87" t="s">
        <v>152</v>
      </c>
      <c r="F385" s="110">
        <v>1</v>
      </c>
      <c r="G385" s="18" t="s">
        <v>20</v>
      </c>
      <c r="H385" s="98"/>
      <c r="I385" s="18"/>
      <c r="J385" s="101"/>
      <c r="K385" s="18"/>
      <c r="L385" s="98"/>
      <c r="M385" s="101"/>
      <c r="N385" s="98"/>
      <c r="O385" s="98"/>
      <c r="P385" s="98"/>
      <c r="Q385" s="98"/>
      <c r="R385" s="127"/>
      <c r="S385" s="127"/>
      <c r="T385" s="98"/>
      <c r="U385" s="76">
        <v>8</v>
      </c>
    </row>
    <row r="386" spans="1:21" ht="13.8" thickBot="1">
      <c r="A386" s="19"/>
      <c r="B386" s="82"/>
      <c r="C386" s="20"/>
      <c r="D386" s="20" t="s">
        <v>18</v>
      </c>
      <c r="E386" s="82" t="str">
        <f>'BDD trait'!$C$46</f>
        <v>Granulat concassé</v>
      </c>
      <c r="F386" s="40"/>
      <c r="G386" s="20"/>
      <c r="H386" s="40"/>
      <c r="I386" s="20"/>
      <c r="J386" s="102">
        <f>'BDD trait'!$J$46</f>
        <v>1000</v>
      </c>
      <c r="K386" s="20" t="str">
        <f>'BDD trait'!$K$46</f>
        <v>kg/t</v>
      </c>
      <c r="L386" s="40"/>
      <c r="M386" s="102">
        <f>-F385*J386*'BDD FE'!$C$14/1000</f>
        <v>-8.4000000000000005E-2</v>
      </c>
      <c r="N386" s="40">
        <f t="shared" ref="N386" si="114">L386+M386</f>
        <v>-8.4000000000000005E-2</v>
      </c>
      <c r="O386" s="40"/>
      <c r="P386" s="40">
        <f>-F385*J386*'BDD FE'!$F$14/1000</f>
        <v>-1.2999999999999999E-2</v>
      </c>
      <c r="Q386" s="40">
        <f t="shared" ref="Q386" si="115">O386+P386</f>
        <v>-1.2999999999999999E-2</v>
      </c>
      <c r="R386" s="131"/>
      <c r="S386" s="131">
        <f>-F385*J386/1000</f>
        <v>-1</v>
      </c>
      <c r="T386" s="40">
        <f>R386+S386</f>
        <v>-1</v>
      </c>
      <c r="U386" s="24"/>
    </row>
    <row r="387" spans="1:21" ht="13.8" outlineLevel="1" thickBot="1">
      <c r="A387" s="18"/>
      <c r="B387" s="81"/>
      <c r="C387" s="27"/>
      <c r="D387" s="27"/>
      <c r="E387" s="81"/>
      <c r="F387" s="98"/>
      <c r="G387" s="18"/>
      <c r="H387" s="98"/>
      <c r="I387" s="18"/>
      <c r="J387" s="101"/>
      <c r="K387" s="18"/>
      <c r="L387" s="98"/>
      <c r="M387" s="101"/>
      <c r="N387" s="98"/>
      <c r="O387" s="98"/>
      <c r="P387" s="98"/>
      <c r="Q387" s="98"/>
      <c r="R387" s="98"/>
      <c r="S387" s="98"/>
      <c r="T387" s="98"/>
    </row>
    <row r="388" spans="1:21" outlineLevel="1">
      <c r="A388" s="15"/>
      <c r="B388" s="80" t="s">
        <v>28</v>
      </c>
      <c r="C388" s="25" t="s">
        <v>17</v>
      </c>
      <c r="D388" s="25"/>
      <c r="E388" s="86"/>
      <c r="F388" s="109"/>
      <c r="G388" s="16"/>
      <c r="H388" s="109"/>
      <c r="I388" s="16"/>
      <c r="J388" s="100"/>
      <c r="K388" s="16"/>
      <c r="L388" s="109"/>
      <c r="M388" s="100"/>
      <c r="N388" s="109"/>
      <c r="O388" s="109"/>
      <c r="P388" s="109"/>
      <c r="Q388" s="109"/>
      <c r="R388" s="126"/>
      <c r="S388" s="126"/>
      <c r="T388" s="109"/>
      <c r="U388" s="22"/>
    </row>
    <row r="389" spans="1:21" outlineLevel="1">
      <c r="A389" s="17"/>
      <c r="B389" s="81"/>
      <c r="C389" s="18"/>
      <c r="D389" s="18"/>
      <c r="E389" s="87" t="s">
        <v>152</v>
      </c>
      <c r="F389" s="110">
        <v>1</v>
      </c>
      <c r="G389" s="18" t="s">
        <v>20</v>
      </c>
      <c r="H389" s="98"/>
      <c r="I389" s="18"/>
      <c r="J389" s="101"/>
      <c r="K389" s="18"/>
      <c r="L389" s="98"/>
      <c r="M389" s="101"/>
      <c r="N389" s="98"/>
      <c r="O389" s="98"/>
      <c r="P389" s="98"/>
      <c r="Q389" s="98"/>
      <c r="R389" s="127"/>
      <c r="S389" s="127"/>
      <c r="T389" s="98"/>
      <c r="U389" s="76">
        <v>8</v>
      </c>
    </row>
    <row r="390" spans="1:21" outlineLevel="1">
      <c r="A390" s="17"/>
      <c r="B390" s="81"/>
      <c r="C390" s="18"/>
      <c r="D390" s="18"/>
      <c r="E390" s="81" t="s">
        <v>6</v>
      </c>
      <c r="F390" s="120">
        <v>4</v>
      </c>
      <c r="G390" s="18" t="s">
        <v>7</v>
      </c>
      <c r="H390" s="98"/>
      <c r="I390" s="18"/>
      <c r="J390" s="101"/>
      <c r="K390" s="18"/>
      <c r="L390" s="98"/>
      <c r="M390" s="101"/>
      <c r="N390" s="98"/>
      <c r="O390" s="98"/>
      <c r="P390" s="98"/>
      <c r="Q390" s="98"/>
      <c r="R390" s="127"/>
      <c r="S390" s="127"/>
      <c r="T390" s="98"/>
      <c r="U390" s="23"/>
    </row>
    <row r="391" spans="1:21" outlineLevel="1">
      <c r="A391" s="17"/>
      <c r="B391" s="81"/>
      <c r="C391" s="18"/>
      <c r="D391" s="18"/>
      <c r="E391" s="87" t="s">
        <v>363</v>
      </c>
      <c r="F391" s="121">
        <v>7</v>
      </c>
      <c r="G391" s="21"/>
      <c r="H391" s="98"/>
      <c r="I391" s="18"/>
      <c r="J391" s="101"/>
      <c r="K391" s="18"/>
      <c r="L391" s="98"/>
      <c r="M391" s="101"/>
      <c r="N391" s="98"/>
      <c r="O391" s="98"/>
      <c r="P391" s="98"/>
      <c r="Q391" s="98"/>
      <c r="R391" s="127"/>
      <c r="S391" s="127"/>
      <c r="T391" s="98"/>
      <c r="U391" s="23"/>
    </row>
    <row r="392" spans="1:21" ht="13.8" outlineLevel="1" thickBot="1">
      <c r="A392" s="19"/>
      <c r="B392" s="82"/>
      <c r="C392" s="20"/>
      <c r="D392" s="46" t="s">
        <v>144</v>
      </c>
      <c r="E392" s="88" t="s">
        <v>8</v>
      </c>
      <c r="F392" s="40">
        <f>F389*F390</f>
        <v>4</v>
      </c>
      <c r="G392" s="46" t="s">
        <v>219</v>
      </c>
      <c r="H392" s="40"/>
      <c r="I392" s="20"/>
      <c r="J392" s="102"/>
      <c r="K392" s="20"/>
      <c r="L392" s="40">
        <f>F392*'BDD FE'!$C$21/1000</f>
        <v>2.0960000000000002E-3</v>
      </c>
      <c r="M392" s="102"/>
      <c r="N392" s="40">
        <f t="shared" ref="N392" si="116">L392+M392</f>
        <v>2.0960000000000002E-3</v>
      </c>
      <c r="O392" s="40">
        <f>F392*'BDD FE'!$F$21/1000</f>
        <v>4.4000000000000002E-4</v>
      </c>
      <c r="P392" s="40"/>
      <c r="Q392" s="40">
        <f t="shared" ref="Q392" si="117">O392+P392</f>
        <v>4.4000000000000002E-4</v>
      </c>
      <c r="R392" s="131"/>
      <c r="S392" s="131"/>
      <c r="T392" s="40"/>
      <c r="U392" s="24"/>
    </row>
    <row r="393" spans="1:21" ht="13.8" outlineLevel="1" thickBot="1">
      <c r="A393" s="18"/>
      <c r="C393" s="27"/>
      <c r="D393" s="27"/>
      <c r="E393" s="81"/>
      <c r="F393" s="98"/>
      <c r="G393" s="18"/>
      <c r="H393" s="98"/>
      <c r="I393" s="18"/>
      <c r="J393" s="101"/>
      <c r="K393" s="18"/>
      <c r="L393" s="98"/>
      <c r="M393" s="101"/>
      <c r="N393" s="98"/>
      <c r="O393" s="98"/>
      <c r="P393" s="98"/>
      <c r="Q393" s="98"/>
      <c r="R393" s="98"/>
      <c r="S393" s="98"/>
      <c r="T393" s="98"/>
    </row>
    <row r="394" spans="1:21" ht="39.6" outlineLevel="1">
      <c r="A394" s="15"/>
      <c r="B394" s="80" t="s">
        <v>29</v>
      </c>
      <c r="C394" s="25" t="s">
        <v>17</v>
      </c>
      <c r="D394" s="25"/>
      <c r="E394" s="86"/>
      <c r="F394" s="109"/>
      <c r="G394" s="16"/>
      <c r="H394" s="109"/>
      <c r="I394" s="16"/>
      <c r="J394" s="100"/>
      <c r="K394" s="16"/>
      <c r="L394" s="109"/>
      <c r="M394" s="100"/>
      <c r="N394" s="109"/>
      <c r="O394" s="109"/>
      <c r="P394" s="109"/>
      <c r="Q394" s="109"/>
      <c r="R394" s="126"/>
      <c r="S394" s="126"/>
      <c r="T394" s="109"/>
      <c r="U394" s="22"/>
    </row>
    <row r="395" spans="1:21" outlineLevel="1">
      <c r="A395" s="17"/>
      <c r="B395" s="81"/>
      <c r="C395" s="18"/>
      <c r="D395" s="18"/>
      <c r="E395" s="87" t="s">
        <v>152</v>
      </c>
      <c r="F395" s="110">
        <v>1</v>
      </c>
      <c r="G395" s="18" t="s">
        <v>20</v>
      </c>
      <c r="H395" s="98"/>
      <c r="I395" s="18"/>
      <c r="J395" s="101"/>
      <c r="K395" s="18"/>
      <c r="L395" s="98"/>
      <c r="M395" s="101"/>
      <c r="N395" s="98"/>
      <c r="O395" s="98"/>
      <c r="P395" s="98"/>
      <c r="Q395" s="98"/>
      <c r="R395" s="127"/>
      <c r="S395" s="127"/>
      <c r="T395" s="98"/>
      <c r="U395" s="76">
        <v>8</v>
      </c>
    </row>
    <row r="396" spans="1:21" outlineLevel="1">
      <c r="A396" s="17"/>
      <c r="B396" s="81"/>
      <c r="C396" s="18"/>
      <c r="D396" s="18"/>
      <c r="E396" s="81" t="s">
        <v>6</v>
      </c>
      <c r="F396" s="120">
        <v>4</v>
      </c>
      <c r="G396" s="18" t="s">
        <v>7</v>
      </c>
      <c r="H396" s="98"/>
      <c r="I396" s="18"/>
      <c r="J396" s="101"/>
      <c r="K396" s="18"/>
      <c r="L396" s="98"/>
      <c r="M396" s="101"/>
      <c r="N396" s="98"/>
      <c r="O396" s="98"/>
      <c r="P396" s="98"/>
      <c r="Q396" s="98"/>
      <c r="R396" s="127"/>
      <c r="S396" s="127"/>
      <c r="T396" s="98"/>
      <c r="U396" s="23"/>
    </row>
    <row r="397" spans="1:21" outlineLevel="1">
      <c r="A397" s="17"/>
      <c r="B397" s="81"/>
      <c r="C397" s="18"/>
      <c r="D397" s="18"/>
      <c r="E397" s="87" t="s">
        <v>363</v>
      </c>
      <c r="F397" s="121">
        <v>7</v>
      </c>
      <c r="G397" s="21"/>
      <c r="H397" s="98"/>
      <c r="I397" s="18"/>
      <c r="J397" s="101"/>
      <c r="K397" s="18"/>
      <c r="L397" s="98"/>
      <c r="M397" s="101"/>
      <c r="N397" s="98"/>
      <c r="O397" s="98"/>
      <c r="P397" s="98"/>
      <c r="Q397" s="98"/>
      <c r="R397" s="127"/>
      <c r="S397" s="127"/>
      <c r="T397" s="98"/>
      <c r="U397" s="23"/>
    </row>
    <row r="398" spans="1:21" ht="13.8" outlineLevel="1" thickBot="1">
      <c r="A398" s="19"/>
      <c r="B398" s="82"/>
      <c r="C398" s="20"/>
      <c r="D398" s="46" t="s">
        <v>144</v>
      </c>
      <c r="E398" s="88" t="s">
        <v>8</v>
      </c>
      <c r="F398" s="40">
        <f>F395*F396</f>
        <v>4</v>
      </c>
      <c r="G398" s="46" t="s">
        <v>219</v>
      </c>
      <c r="H398" s="40"/>
      <c r="I398" s="20"/>
      <c r="J398" s="102"/>
      <c r="K398" s="20"/>
      <c r="L398" s="40">
        <f>F398*'BDD FE'!$C$21/1000</f>
        <v>2.0960000000000002E-3</v>
      </c>
      <c r="M398" s="102"/>
      <c r="N398" s="40">
        <f t="shared" ref="N398" si="118">L398+M398</f>
        <v>2.0960000000000002E-3</v>
      </c>
      <c r="O398" s="40">
        <f>F398*'BDD FE'!$F$21/1000</f>
        <v>4.4000000000000002E-4</v>
      </c>
      <c r="P398" s="40"/>
      <c r="Q398" s="40">
        <f t="shared" ref="Q398" si="119">O398+P398</f>
        <v>4.4000000000000002E-4</v>
      </c>
      <c r="R398" s="131"/>
      <c r="S398" s="131"/>
      <c r="T398" s="40"/>
      <c r="U398" s="24"/>
    </row>
    <row r="399" spans="1:21" ht="13.8" outlineLevel="1" thickBot="1">
      <c r="A399" s="18"/>
      <c r="C399" s="27"/>
      <c r="D399" s="27"/>
      <c r="E399" s="81"/>
      <c r="F399" s="98"/>
      <c r="G399" s="18"/>
      <c r="H399" s="98"/>
      <c r="I399" s="18"/>
      <c r="J399" s="101"/>
      <c r="K399" s="18"/>
      <c r="L399" s="98"/>
      <c r="M399" s="101"/>
      <c r="N399" s="98"/>
      <c r="O399" s="98"/>
      <c r="P399" s="98"/>
      <c r="Q399" s="98"/>
      <c r="R399" s="98"/>
      <c r="S399" s="98"/>
      <c r="T399" s="98"/>
    </row>
    <row r="400" spans="1:21" outlineLevel="1">
      <c r="A400" s="15"/>
      <c r="B400" s="80" t="s">
        <v>30</v>
      </c>
      <c r="C400" s="25" t="s">
        <v>17</v>
      </c>
      <c r="D400" s="25"/>
      <c r="E400" s="86"/>
      <c r="F400" s="109"/>
      <c r="G400" s="16"/>
      <c r="H400" s="109"/>
      <c r="I400" s="16"/>
      <c r="J400" s="100"/>
      <c r="K400" s="16"/>
      <c r="L400" s="109"/>
      <c r="M400" s="100"/>
      <c r="N400" s="109"/>
      <c r="O400" s="109"/>
      <c r="P400" s="109"/>
      <c r="Q400" s="109"/>
      <c r="R400" s="126"/>
      <c r="S400" s="126"/>
      <c r="T400" s="109"/>
      <c r="U400" s="22"/>
    </row>
    <row r="401" spans="1:21" outlineLevel="1">
      <c r="A401" s="17"/>
      <c r="B401" s="81"/>
      <c r="C401" s="18"/>
      <c r="D401" s="18"/>
      <c r="E401" s="87" t="s">
        <v>152</v>
      </c>
      <c r="F401" s="110">
        <v>1</v>
      </c>
      <c r="G401" s="18" t="s">
        <v>20</v>
      </c>
      <c r="H401" s="98"/>
      <c r="I401" s="18"/>
      <c r="J401" s="101"/>
      <c r="K401" s="18"/>
      <c r="L401" s="98"/>
      <c r="M401" s="101"/>
      <c r="N401" s="98"/>
      <c r="O401" s="98"/>
      <c r="P401" s="98"/>
      <c r="Q401" s="98"/>
      <c r="R401" s="127"/>
      <c r="S401" s="127"/>
      <c r="T401" s="98"/>
      <c r="U401" s="76">
        <v>8</v>
      </c>
    </row>
    <row r="402" spans="1:21" outlineLevel="1">
      <c r="A402" s="17"/>
      <c r="B402" s="81"/>
      <c r="C402" s="18"/>
      <c r="D402" s="18"/>
      <c r="E402" s="81" t="s">
        <v>6</v>
      </c>
      <c r="F402" s="120">
        <v>4</v>
      </c>
      <c r="G402" s="18" t="s">
        <v>7</v>
      </c>
      <c r="H402" s="98"/>
      <c r="I402" s="18"/>
      <c r="J402" s="101"/>
      <c r="K402" s="18"/>
      <c r="L402" s="98"/>
      <c r="M402" s="101"/>
      <c r="N402" s="98"/>
      <c r="O402" s="98"/>
      <c r="P402" s="98"/>
      <c r="Q402" s="98"/>
      <c r="R402" s="127"/>
      <c r="S402" s="127"/>
      <c r="T402" s="98"/>
      <c r="U402" s="23"/>
    </row>
    <row r="403" spans="1:21" outlineLevel="1">
      <c r="A403" s="17"/>
      <c r="B403" s="81"/>
      <c r="C403" s="18"/>
      <c r="D403" s="18"/>
      <c r="E403" s="87" t="s">
        <v>363</v>
      </c>
      <c r="F403" s="121">
        <v>7</v>
      </c>
      <c r="G403" s="21"/>
      <c r="H403" s="98"/>
      <c r="I403" s="18"/>
      <c r="J403" s="101"/>
      <c r="K403" s="18"/>
      <c r="L403" s="98"/>
      <c r="M403" s="101"/>
      <c r="N403" s="98"/>
      <c r="O403" s="98"/>
      <c r="P403" s="98"/>
      <c r="Q403" s="98"/>
      <c r="R403" s="127"/>
      <c r="S403" s="127"/>
      <c r="T403" s="98"/>
      <c r="U403" s="23"/>
    </row>
    <row r="404" spans="1:21" ht="13.8" outlineLevel="1" thickBot="1">
      <c r="A404" s="19"/>
      <c r="B404" s="82"/>
      <c r="C404" s="20"/>
      <c r="D404" s="46" t="s">
        <v>144</v>
      </c>
      <c r="E404" s="88" t="s">
        <v>8</v>
      </c>
      <c r="F404" s="40">
        <f>F401*F402</f>
        <v>4</v>
      </c>
      <c r="G404" s="46" t="s">
        <v>219</v>
      </c>
      <c r="H404" s="40"/>
      <c r="I404" s="20"/>
      <c r="J404" s="102"/>
      <c r="K404" s="20"/>
      <c r="L404" s="40">
        <f>F404*'BDD FE'!$C$21/1000</f>
        <v>2.0960000000000002E-3</v>
      </c>
      <c r="M404" s="102"/>
      <c r="N404" s="40">
        <f t="shared" ref="N404" si="120">L404+M404</f>
        <v>2.0960000000000002E-3</v>
      </c>
      <c r="O404" s="40">
        <f>F404*'BDD FE'!$F$21/1000</f>
        <v>4.4000000000000002E-4</v>
      </c>
      <c r="P404" s="40"/>
      <c r="Q404" s="40">
        <f t="shared" ref="Q404" si="121">O404+P404</f>
        <v>4.4000000000000002E-4</v>
      </c>
      <c r="R404" s="131"/>
      <c r="S404" s="131"/>
      <c r="T404" s="40"/>
      <c r="U404" s="24"/>
    </row>
    <row r="405" spans="1:21" ht="13.8" outlineLevel="1" thickBot="1">
      <c r="A405" s="18"/>
      <c r="C405" s="27"/>
      <c r="D405" s="27"/>
      <c r="E405" s="81"/>
      <c r="F405" s="98"/>
      <c r="G405" s="18"/>
      <c r="H405" s="98"/>
      <c r="I405" s="18"/>
      <c r="J405" s="101"/>
      <c r="K405" s="18"/>
      <c r="L405" s="98"/>
      <c r="M405" s="101"/>
      <c r="N405" s="98"/>
      <c r="O405" s="98"/>
      <c r="P405" s="98"/>
      <c r="Q405" s="98"/>
      <c r="R405" s="98"/>
      <c r="S405" s="98"/>
      <c r="T405" s="98"/>
    </row>
    <row r="406" spans="1:21" outlineLevel="1">
      <c r="A406" s="15"/>
      <c r="B406" s="80" t="s">
        <v>31</v>
      </c>
      <c r="C406" s="25" t="s">
        <v>17</v>
      </c>
      <c r="D406" s="25"/>
      <c r="E406" s="86"/>
      <c r="F406" s="109"/>
      <c r="G406" s="16"/>
      <c r="H406" s="109"/>
      <c r="I406" s="16"/>
      <c r="J406" s="100"/>
      <c r="K406" s="16"/>
      <c r="L406" s="109"/>
      <c r="M406" s="100"/>
      <c r="N406" s="109"/>
      <c r="O406" s="109"/>
      <c r="P406" s="109"/>
      <c r="Q406" s="109"/>
      <c r="R406" s="126"/>
      <c r="S406" s="126"/>
      <c r="T406" s="109"/>
      <c r="U406" s="22"/>
    </row>
    <row r="407" spans="1:21" outlineLevel="1">
      <c r="A407" s="17"/>
      <c r="B407" s="81"/>
      <c r="C407" s="18"/>
      <c r="D407" s="18"/>
      <c r="E407" s="87" t="s">
        <v>152</v>
      </c>
      <c r="F407" s="110">
        <v>1</v>
      </c>
      <c r="G407" s="18" t="s">
        <v>20</v>
      </c>
      <c r="H407" s="98"/>
      <c r="I407" s="18"/>
      <c r="J407" s="101"/>
      <c r="K407" s="18"/>
      <c r="L407" s="98"/>
      <c r="M407" s="101"/>
      <c r="N407" s="98"/>
      <c r="O407" s="98"/>
      <c r="P407" s="98"/>
      <c r="Q407" s="98"/>
      <c r="R407" s="127"/>
      <c r="S407" s="127"/>
      <c r="T407" s="98"/>
      <c r="U407" s="76">
        <v>8</v>
      </c>
    </row>
    <row r="408" spans="1:21" outlineLevel="1">
      <c r="A408" s="17"/>
      <c r="B408" s="81"/>
      <c r="C408" s="18"/>
      <c r="D408" s="18"/>
      <c r="E408" s="81" t="s">
        <v>6</v>
      </c>
      <c r="F408" s="120">
        <v>4</v>
      </c>
      <c r="G408" s="18" t="s">
        <v>7</v>
      </c>
      <c r="H408" s="98"/>
      <c r="I408" s="18"/>
      <c r="J408" s="101"/>
      <c r="K408" s="18"/>
      <c r="L408" s="98"/>
      <c r="M408" s="101"/>
      <c r="N408" s="98"/>
      <c r="O408" s="98"/>
      <c r="P408" s="98"/>
      <c r="Q408" s="98"/>
      <c r="R408" s="127"/>
      <c r="S408" s="127"/>
      <c r="T408" s="98"/>
      <c r="U408" s="23"/>
    </row>
    <row r="409" spans="1:21" outlineLevel="1">
      <c r="A409" s="17"/>
      <c r="B409" s="81"/>
      <c r="C409" s="18"/>
      <c r="D409" s="18"/>
      <c r="E409" s="87" t="s">
        <v>363</v>
      </c>
      <c r="F409" s="121">
        <v>7</v>
      </c>
      <c r="G409" s="21"/>
      <c r="H409" s="98"/>
      <c r="I409" s="18"/>
      <c r="J409" s="101"/>
      <c r="K409" s="18"/>
      <c r="L409" s="98"/>
      <c r="M409" s="101"/>
      <c r="N409" s="98"/>
      <c r="O409" s="98"/>
      <c r="P409" s="98"/>
      <c r="Q409" s="98"/>
      <c r="R409" s="127"/>
      <c r="S409" s="127"/>
      <c r="T409" s="98"/>
      <c r="U409" s="23"/>
    </row>
    <row r="410" spans="1:21" ht="13.8" outlineLevel="1" thickBot="1">
      <c r="A410" s="19"/>
      <c r="B410" s="82"/>
      <c r="C410" s="20"/>
      <c r="D410" s="46" t="s">
        <v>144</v>
      </c>
      <c r="E410" s="88" t="s">
        <v>8</v>
      </c>
      <c r="F410" s="40">
        <f>F407*F408</f>
        <v>4</v>
      </c>
      <c r="G410" s="46" t="s">
        <v>219</v>
      </c>
      <c r="H410" s="40"/>
      <c r="I410" s="20"/>
      <c r="J410" s="102"/>
      <c r="K410" s="20"/>
      <c r="L410" s="40">
        <f>F410*'BDD FE'!$C$21/1000</f>
        <v>2.0960000000000002E-3</v>
      </c>
      <c r="M410" s="102"/>
      <c r="N410" s="40">
        <f t="shared" ref="N410" si="122">L410+M410</f>
        <v>2.0960000000000002E-3</v>
      </c>
      <c r="O410" s="40">
        <f>F410*'BDD FE'!$F$21/1000</f>
        <v>4.4000000000000002E-4</v>
      </c>
      <c r="P410" s="40"/>
      <c r="Q410" s="40">
        <f t="shared" ref="Q410" si="123">O410+P410</f>
        <v>4.4000000000000002E-4</v>
      </c>
      <c r="R410" s="131"/>
      <c r="S410" s="131"/>
      <c r="T410" s="40"/>
      <c r="U410" s="24"/>
    </row>
    <row r="411" spans="1:21" ht="13.8" outlineLevel="1" thickBot="1">
      <c r="A411" s="18"/>
      <c r="C411" s="27"/>
      <c r="D411" s="27"/>
      <c r="E411" s="81"/>
      <c r="F411" s="98"/>
      <c r="G411" s="18"/>
      <c r="H411" s="98"/>
      <c r="I411" s="18"/>
      <c r="J411" s="101"/>
      <c r="K411" s="18"/>
      <c r="L411" s="98"/>
      <c r="M411" s="101"/>
      <c r="N411" s="98"/>
      <c r="O411" s="98"/>
      <c r="P411" s="98"/>
      <c r="Q411" s="98"/>
      <c r="R411" s="98"/>
      <c r="S411" s="98"/>
      <c r="T411" s="98"/>
    </row>
    <row r="412" spans="1:21" ht="52.8" outlineLevel="1">
      <c r="A412" s="15"/>
      <c r="B412" s="80" t="s">
        <v>32</v>
      </c>
      <c r="C412" s="25" t="s">
        <v>17</v>
      </c>
      <c r="D412" s="25"/>
      <c r="E412" s="86"/>
      <c r="F412" s="109"/>
      <c r="G412" s="16"/>
      <c r="H412" s="109"/>
      <c r="I412" s="16"/>
      <c r="J412" s="100"/>
      <c r="K412" s="16"/>
      <c r="L412" s="109"/>
      <c r="M412" s="100"/>
      <c r="N412" s="109"/>
      <c r="O412" s="109"/>
      <c r="P412" s="109"/>
      <c r="Q412" s="109"/>
      <c r="R412" s="126"/>
      <c r="S412" s="126"/>
      <c r="T412" s="109"/>
      <c r="U412" s="22"/>
    </row>
    <row r="413" spans="1:21" outlineLevel="1">
      <c r="A413" s="17"/>
      <c r="B413" s="81"/>
      <c r="C413" s="18"/>
      <c r="D413" s="18"/>
      <c r="E413" s="87" t="s">
        <v>152</v>
      </c>
      <c r="F413" s="110">
        <v>1</v>
      </c>
      <c r="G413" s="18" t="s">
        <v>20</v>
      </c>
      <c r="H413" s="98"/>
      <c r="I413" s="18"/>
      <c r="J413" s="101"/>
      <c r="K413" s="18"/>
      <c r="L413" s="98"/>
      <c r="M413" s="101"/>
      <c r="N413" s="98"/>
      <c r="O413" s="98"/>
      <c r="P413" s="98"/>
      <c r="Q413" s="98"/>
      <c r="R413" s="127"/>
      <c r="S413" s="127"/>
      <c r="T413" s="98"/>
      <c r="U413" s="76">
        <v>8</v>
      </c>
    </row>
    <row r="414" spans="1:21" outlineLevel="1">
      <c r="A414" s="17"/>
      <c r="B414" s="81"/>
      <c r="C414" s="18"/>
      <c r="D414" s="18"/>
      <c r="E414" s="81" t="s">
        <v>6</v>
      </c>
      <c r="F414" s="120">
        <v>4</v>
      </c>
      <c r="G414" s="18" t="s">
        <v>7</v>
      </c>
      <c r="H414" s="98"/>
      <c r="I414" s="18"/>
      <c r="J414" s="101"/>
      <c r="K414" s="18"/>
      <c r="L414" s="98"/>
      <c r="M414" s="101"/>
      <c r="N414" s="98"/>
      <c r="O414" s="98"/>
      <c r="P414" s="98"/>
      <c r="Q414" s="98"/>
      <c r="R414" s="127"/>
      <c r="S414" s="127"/>
      <c r="T414" s="98"/>
      <c r="U414" s="23"/>
    </row>
    <row r="415" spans="1:21" outlineLevel="1">
      <c r="A415" s="17"/>
      <c r="B415" s="81"/>
      <c r="C415" s="18"/>
      <c r="D415" s="18"/>
      <c r="E415" s="87" t="s">
        <v>363</v>
      </c>
      <c r="F415" s="121">
        <v>7</v>
      </c>
      <c r="G415" s="21"/>
      <c r="H415" s="98"/>
      <c r="I415" s="18"/>
      <c r="J415" s="101"/>
      <c r="K415" s="18"/>
      <c r="L415" s="98"/>
      <c r="M415" s="101"/>
      <c r="N415" s="98"/>
      <c r="O415" s="98"/>
      <c r="P415" s="98"/>
      <c r="Q415" s="98"/>
      <c r="R415" s="127"/>
      <c r="S415" s="127"/>
      <c r="T415" s="98"/>
      <c r="U415" s="23"/>
    </row>
    <row r="416" spans="1:21" ht="13.8" outlineLevel="1" thickBot="1">
      <c r="A416" s="19"/>
      <c r="B416" s="82"/>
      <c r="C416" s="20"/>
      <c r="D416" s="46" t="s">
        <v>144</v>
      </c>
      <c r="E416" s="88" t="s">
        <v>8</v>
      </c>
      <c r="F416" s="40">
        <f>F413*F414</f>
        <v>4</v>
      </c>
      <c r="G416" s="46" t="s">
        <v>219</v>
      </c>
      <c r="H416" s="40"/>
      <c r="I416" s="20"/>
      <c r="J416" s="102"/>
      <c r="K416" s="20"/>
      <c r="L416" s="40">
        <f>F416*'BDD FE'!$C$21/1000</f>
        <v>2.0960000000000002E-3</v>
      </c>
      <c r="M416" s="102"/>
      <c r="N416" s="40">
        <f t="shared" ref="N416" si="124">L416+M416</f>
        <v>2.0960000000000002E-3</v>
      </c>
      <c r="O416" s="40">
        <f>F416*'BDD FE'!$F$21/1000</f>
        <v>4.4000000000000002E-4</v>
      </c>
      <c r="P416" s="40"/>
      <c r="Q416" s="40">
        <f t="shared" ref="Q416" si="125">O416+P416</f>
        <v>4.4000000000000002E-4</v>
      </c>
      <c r="R416" s="131"/>
      <c r="S416" s="131"/>
      <c r="T416" s="40"/>
      <c r="U416" s="24"/>
    </row>
    <row r="417" spans="1:21" ht="13.8" outlineLevel="1" thickBot="1">
      <c r="A417" s="18"/>
      <c r="B417" s="81"/>
      <c r="C417" s="50"/>
      <c r="D417" s="27"/>
      <c r="E417" s="81"/>
      <c r="F417" s="98"/>
      <c r="G417" s="18"/>
      <c r="H417" s="98"/>
      <c r="I417" s="18"/>
      <c r="J417" s="101"/>
      <c r="K417" s="18"/>
      <c r="L417" s="98"/>
      <c r="M417" s="101"/>
      <c r="N417" s="98"/>
      <c r="O417" s="98"/>
      <c r="P417" s="98"/>
      <c r="Q417" s="98"/>
      <c r="R417" s="98"/>
      <c r="S417" s="98"/>
      <c r="T417" s="98"/>
    </row>
    <row r="418" spans="1:21" outlineLevel="1">
      <c r="A418" s="15"/>
      <c r="B418" s="80" t="s">
        <v>28</v>
      </c>
      <c r="C418" s="42" t="s">
        <v>341</v>
      </c>
      <c r="D418" s="25"/>
      <c r="E418" s="86"/>
      <c r="F418" s="109"/>
      <c r="G418" s="16"/>
      <c r="H418" s="109"/>
      <c r="I418" s="16"/>
      <c r="J418" s="100"/>
      <c r="K418" s="16"/>
      <c r="L418" s="109"/>
      <c r="M418" s="100"/>
      <c r="N418" s="109"/>
      <c r="O418" s="109"/>
      <c r="P418" s="109"/>
      <c r="Q418" s="109"/>
      <c r="R418" s="126"/>
      <c r="S418" s="126"/>
      <c r="T418" s="109"/>
      <c r="U418" s="22"/>
    </row>
    <row r="419" spans="1:21" outlineLevel="1">
      <c r="A419" s="17"/>
      <c r="B419" s="81"/>
      <c r="C419" s="21"/>
      <c r="D419" s="18"/>
      <c r="E419" s="87" t="s">
        <v>152</v>
      </c>
      <c r="F419" s="110">
        <v>1</v>
      </c>
      <c r="G419" s="18" t="s">
        <v>20</v>
      </c>
      <c r="H419" s="98"/>
      <c r="I419" s="18"/>
      <c r="J419" s="101"/>
      <c r="K419" s="18"/>
      <c r="L419" s="98"/>
      <c r="M419" s="101"/>
      <c r="N419" s="98"/>
      <c r="O419" s="98"/>
      <c r="P419" s="98"/>
      <c r="Q419" s="98"/>
      <c r="R419" s="127"/>
      <c r="S419" s="127"/>
      <c r="T419" s="98"/>
      <c r="U419" s="76">
        <v>8</v>
      </c>
    </row>
    <row r="420" spans="1:21" outlineLevel="1">
      <c r="A420" s="17"/>
      <c r="B420" s="81"/>
      <c r="C420" s="21"/>
      <c r="D420" s="18"/>
      <c r="E420" s="81" t="s">
        <v>6</v>
      </c>
      <c r="F420" s="120">
        <v>4</v>
      </c>
      <c r="G420" s="18" t="s">
        <v>7</v>
      </c>
      <c r="H420" s="98"/>
      <c r="I420" s="18"/>
      <c r="J420" s="101"/>
      <c r="K420" s="18"/>
      <c r="L420" s="98"/>
      <c r="M420" s="101"/>
      <c r="N420" s="98"/>
      <c r="O420" s="98"/>
      <c r="P420" s="98"/>
      <c r="Q420" s="98"/>
      <c r="R420" s="127"/>
      <c r="S420" s="127"/>
      <c r="T420" s="98"/>
      <c r="U420" s="23"/>
    </row>
    <row r="421" spans="1:21" outlineLevel="1">
      <c r="A421" s="17"/>
      <c r="B421" s="81"/>
      <c r="C421" s="18"/>
      <c r="D421" s="18"/>
      <c r="E421" s="87" t="s">
        <v>363</v>
      </c>
      <c r="F421" s="121">
        <v>7</v>
      </c>
      <c r="G421" s="21"/>
      <c r="H421" s="98"/>
      <c r="I421" s="18"/>
      <c r="J421" s="101"/>
      <c r="K421" s="18"/>
      <c r="L421" s="98"/>
      <c r="M421" s="101"/>
      <c r="N421" s="98"/>
      <c r="O421" s="98"/>
      <c r="P421" s="98"/>
      <c r="Q421" s="98"/>
      <c r="R421" s="127"/>
      <c r="S421" s="127"/>
      <c r="T421" s="98"/>
      <c r="U421" s="23"/>
    </row>
    <row r="422" spans="1:21" ht="27" outlineLevel="1" thickBot="1">
      <c r="A422" s="19"/>
      <c r="B422" s="82"/>
      <c r="C422" s="44"/>
      <c r="D422" s="46" t="s">
        <v>144</v>
      </c>
      <c r="E422" s="88" t="s">
        <v>334</v>
      </c>
      <c r="F422" s="40">
        <f>F419*F420</f>
        <v>4</v>
      </c>
      <c r="G422" s="46" t="s">
        <v>219</v>
      </c>
      <c r="H422" s="40"/>
      <c r="I422" s="20"/>
      <c r="J422" s="102"/>
      <c r="K422" s="20"/>
      <c r="L422" s="40">
        <f>F422*'BDD FE'!$C$22/1000</f>
        <v>5.2781090909090915E-3</v>
      </c>
      <c r="M422" s="102"/>
      <c r="N422" s="40">
        <f t="shared" ref="N422" si="126">L422+M422</f>
        <v>5.2781090909090915E-3</v>
      </c>
      <c r="O422" s="40">
        <f>F422*'BDD FE'!$F$22/1000</f>
        <v>1.108E-3</v>
      </c>
      <c r="P422" s="40"/>
      <c r="Q422" s="40">
        <f t="shared" ref="Q422" si="127">O422+P422</f>
        <v>1.108E-3</v>
      </c>
      <c r="R422" s="131"/>
      <c r="S422" s="131"/>
      <c r="T422" s="40"/>
      <c r="U422" s="24"/>
    </row>
    <row r="423" spans="1:21" ht="13.8" outlineLevel="1" thickBot="1">
      <c r="A423" s="18"/>
      <c r="C423" s="50"/>
      <c r="D423" s="27"/>
      <c r="E423" s="81"/>
      <c r="F423" s="98"/>
      <c r="G423" s="18"/>
      <c r="H423" s="98"/>
      <c r="I423" s="18"/>
      <c r="J423" s="101"/>
      <c r="K423" s="18"/>
      <c r="L423" s="98"/>
      <c r="M423" s="101"/>
      <c r="N423" s="98"/>
      <c r="O423" s="98"/>
      <c r="P423" s="98"/>
      <c r="Q423" s="98"/>
      <c r="R423" s="98"/>
      <c r="S423" s="98"/>
      <c r="T423" s="98"/>
    </row>
    <row r="424" spans="1:21" ht="39.6" outlineLevel="1">
      <c r="A424" s="15"/>
      <c r="B424" s="80" t="s">
        <v>29</v>
      </c>
      <c r="C424" s="42" t="s">
        <v>341</v>
      </c>
      <c r="D424" s="25"/>
      <c r="E424" s="86"/>
      <c r="F424" s="109"/>
      <c r="G424" s="16"/>
      <c r="H424" s="109"/>
      <c r="I424" s="16"/>
      <c r="J424" s="100"/>
      <c r="K424" s="16"/>
      <c r="L424" s="109"/>
      <c r="M424" s="100"/>
      <c r="N424" s="109"/>
      <c r="O424" s="109"/>
      <c r="P424" s="109"/>
      <c r="Q424" s="109"/>
      <c r="R424" s="126"/>
      <c r="S424" s="126"/>
      <c r="T424" s="109"/>
      <c r="U424" s="22"/>
    </row>
    <row r="425" spans="1:21" outlineLevel="1">
      <c r="A425" s="17"/>
      <c r="B425" s="81"/>
      <c r="C425" s="21"/>
      <c r="D425" s="18"/>
      <c r="E425" s="87" t="s">
        <v>152</v>
      </c>
      <c r="F425" s="110">
        <v>1</v>
      </c>
      <c r="G425" s="18" t="s">
        <v>20</v>
      </c>
      <c r="H425" s="98"/>
      <c r="I425" s="18"/>
      <c r="J425" s="101"/>
      <c r="K425" s="18"/>
      <c r="L425" s="98"/>
      <c r="M425" s="101"/>
      <c r="N425" s="98"/>
      <c r="O425" s="98"/>
      <c r="P425" s="98"/>
      <c r="Q425" s="98"/>
      <c r="R425" s="127"/>
      <c r="S425" s="127"/>
      <c r="T425" s="98"/>
      <c r="U425" s="76">
        <v>8</v>
      </c>
    </row>
    <row r="426" spans="1:21" outlineLevel="1">
      <c r="A426" s="17"/>
      <c r="B426" s="81"/>
      <c r="C426" s="21"/>
      <c r="D426" s="18"/>
      <c r="E426" s="81" t="s">
        <v>6</v>
      </c>
      <c r="F426" s="120">
        <v>4</v>
      </c>
      <c r="G426" s="18" t="s">
        <v>7</v>
      </c>
      <c r="H426" s="98"/>
      <c r="I426" s="18"/>
      <c r="J426" s="101"/>
      <c r="K426" s="18"/>
      <c r="L426" s="98"/>
      <c r="M426" s="101"/>
      <c r="N426" s="98"/>
      <c r="O426" s="98"/>
      <c r="P426" s="98"/>
      <c r="Q426" s="98"/>
      <c r="R426" s="127"/>
      <c r="S426" s="127"/>
      <c r="T426" s="98"/>
      <c r="U426" s="23"/>
    </row>
    <row r="427" spans="1:21" outlineLevel="1">
      <c r="A427" s="17"/>
      <c r="B427" s="81"/>
      <c r="C427" s="18"/>
      <c r="D427" s="18"/>
      <c r="E427" s="87" t="s">
        <v>363</v>
      </c>
      <c r="F427" s="121">
        <v>7</v>
      </c>
      <c r="G427" s="21"/>
      <c r="H427" s="98"/>
      <c r="I427" s="18"/>
      <c r="J427" s="101"/>
      <c r="K427" s="18"/>
      <c r="L427" s="98"/>
      <c r="M427" s="101"/>
      <c r="N427" s="98"/>
      <c r="O427" s="98"/>
      <c r="P427" s="98"/>
      <c r="Q427" s="98"/>
      <c r="R427" s="127"/>
      <c r="S427" s="127"/>
      <c r="T427" s="98"/>
      <c r="U427" s="23"/>
    </row>
    <row r="428" spans="1:21" ht="27" outlineLevel="1" thickBot="1">
      <c r="A428" s="19"/>
      <c r="B428" s="82"/>
      <c r="C428" s="44"/>
      <c r="D428" s="46" t="s">
        <v>144</v>
      </c>
      <c r="E428" s="88" t="s">
        <v>334</v>
      </c>
      <c r="F428" s="40">
        <f>F425*F426</f>
        <v>4</v>
      </c>
      <c r="G428" s="46" t="s">
        <v>219</v>
      </c>
      <c r="H428" s="40"/>
      <c r="I428" s="20"/>
      <c r="J428" s="102"/>
      <c r="K428" s="20"/>
      <c r="L428" s="40">
        <f>F428*'BDD FE'!$C$22/1000</f>
        <v>5.2781090909090915E-3</v>
      </c>
      <c r="M428" s="102"/>
      <c r="N428" s="40">
        <f t="shared" ref="N428" si="128">L428+M428</f>
        <v>5.2781090909090915E-3</v>
      </c>
      <c r="O428" s="40">
        <f>F428*'BDD FE'!$F$22/1000</f>
        <v>1.108E-3</v>
      </c>
      <c r="P428" s="40"/>
      <c r="Q428" s="40">
        <f t="shared" ref="Q428" si="129">O428+P428</f>
        <v>1.108E-3</v>
      </c>
      <c r="R428" s="131"/>
      <c r="S428" s="131"/>
      <c r="T428" s="40"/>
      <c r="U428" s="24"/>
    </row>
    <row r="429" spans="1:21" ht="13.8" outlineLevel="1" thickBot="1">
      <c r="A429" s="18"/>
      <c r="C429" s="50"/>
      <c r="D429" s="27"/>
      <c r="E429" s="81"/>
      <c r="F429" s="98"/>
      <c r="G429" s="18"/>
      <c r="H429" s="98"/>
      <c r="I429" s="18"/>
      <c r="J429" s="101"/>
      <c r="K429" s="18"/>
      <c r="L429" s="98"/>
      <c r="M429" s="101"/>
      <c r="N429" s="98"/>
      <c r="O429" s="98"/>
      <c r="P429" s="98"/>
      <c r="Q429" s="98"/>
      <c r="R429" s="98"/>
      <c r="S429" s="98"/>
      <c r="T429" s="98"/>
    </row>
    <row r="430" spans="1:21" outlineLevel="1">
      <c r="A430" s="15"/>
      <c r="B430" s="80" t="s">
        <v>30</v>
      </c>
      <c r="C430" s="42" t="s">
        <v>341</v>
      </c>
      <c r="D430" s="25"/>
      <c r="E430" s="86"/>
      <c r="F430" s="109"/>
      <c r="G430" s="16"/>
      <c r="H430" s="109"/>
      <c r="I430" s="16"/>
      <c r="J430" s="100"/>
      <c r="K430" s="16"/>
      <c r="L430" s="109"/>
      <c r="M430" s="100"/>
      <c r="N430" s="109"/>
      <c r="O430" s="109"/>
      <c r="P430" s="109"/>
      <c r="Q430" s="109"/>
      <c r="R430" s="126"/>
      <c r="S430" s="126"/>
      <c r="T430" s="109"/>
      <c r="U430" s="22"/>
    </row>
    <row r="431" spans="1:21" outlineLevel="1">
      <c r="A431" s="17"/>
      <c r="B431" s="81"/>
      <c r="C431" s="21"/>
      <c r="D431" s="18"/>
      <c r="E431" s="87" t="s">
        <v>152</v>
      </c>
      <c r="F431" s="110">
        <v>1</v>
      </c>
      <c r="G431" s="18" t="s">
        <v>20</v>
      </c>
      <c r="H431" s="98"/>
      <c r="I431" s="18"/>
      <c r="J431" s="101"/>
      <c r="K431" s="18"/>
      <c r="L431" s="98"/>
      <c r="M431" s="101"/>
      <c r="N431" s="98"/>
      <c r="O431" s="98"/>
      <c r="P431" s="98"/>
      <c r="Q431" s="98"/>
      <c r="R431" s="127"/>
      <c r="S431" s="127"/>
      <c r="T431" s="98"/>
      <c r="U431" s="76">
        <v>8</v>
      </c>
    </row>
    <row r="432" spans="1:21" outlineLevel="1">
      <c r="A432" s="17"/>
      <c r="B432" s="81"/>
      <c r="C432" s="21"/>
      <c r="D432" s="18"/>
      <c r="E432" s="81" t="s">
        <v>6</v>
      </c>
      <c r="F432" s="120">
        <v>4</v>
      </c>
      <c r="G432" s="18" t="s">
        <v>7</v>
      </c>
      <c r="H432" s="98"/>
      <c r="I432" s="18"/>
      <c r="J432" s="101"/>
      <c r="K432" s="18"/>
      <c r="L432" s="98"/>
      <c r="M432" s="101"/>
      <c r="N432" s="98"/>
      <c r="O432" s="98"/>
      <c r="P432" s="98"/>
      <c r="Q432" s="98"/>
      <c r="R432" s="127"/>
      <c r="S432" s="127"/>
      <c r="T432" s="98"/>
      <c r="U432" s="23"/>
    </row>
    <row r="433" spans="1:21" outlineLevel="1">
      <c r="A433" s="17"/>
      <c r="B433" s="81"/>
      <c r="C433" s="18"/>
      <c r="D433" s="18"/>
      <c r="E433" s="87" t="s">
        <v>363</v>
      </c>
      <c r="F433" s="121">
        <v>7</v>
      </c>
      <c r="G433" s="21"/>
      <c r="H433" s="98"/>
      <c r="I433" s="18"/>
      <c r="J433" s="101"/>
      <c r="K433" s="18"/>
      <c r="L433" s="98"/>
      <c r="M433" s="101"/>
      <c r="N433" s="98"/>
      <c r="O433" s="98"/>
      <c r="P433" s="98"/>
      <c r="Q433" s="98"/>
      <c r="R433" s="127"/>
      <c r="S433" s="127"/>
      <c r="T433" s="98"/>
      <c r="U433" s="23"/>
    </row>
    <row r="434" spans="1:21" ht="27" outlineLevel="1" thickBot="1">
      <c r="A434" s="19"/>
      <c r="B434" s="82"/>
      <c r="C434" s="44"/>
      <c r="D434" s="46" t="s">
        <v>144</v>
      </c>
      <c r="E434" s="88" t="s">
        <v>334</v>
      </c>
      <c r="F434" s="40">
        <f>F431*F432</f>
        <v>4</v>
      </c>
      <c r="G434" s="46" t="s">
        <v>219</v>
      </c>
      <c r="H434" s="40"/>
      <c r="I434" s="20"/>
      <c r="J434" s="102"/>
      <c r="K434" s="20"/>
      <c r="L434" s="40">
        <f>F434*'BDD FE'!$C$22/1000</f>
        <v>5.2781090909090915E-3</v>
      </c>
      <c r="M434" s="102"/>
      <c r="N434" s="40">
        <f t="shared" ref="N434" si="130">L434+M434</f>
        <v>5.2781090909090915E-3</v>
      </c>
      <c r="O434" s="40">
        <f>F434*'BDD FE'!$F$22/1000</f>
        <v>1.108E-3</v>
      </c>
      <c r="P434" s="40"/>
      <c r="Q434" s="40">
        <f t="shared" ref="Q434" si="131">O434+P434</f>
        <v>1.108E-3</v>
      </c>
      <c r="R434" s="131"/>
      <c r="S434" s="131"/>
      <c r="T434" s="40"/>
      <c r="U434" s="24"/>
    </row>
    <row r="435" spans="1:21" ht="13.8" outlineLevel="1" thickBot="1">
      <c r="A435" s="18"/>
      <c r="C435" s="50"/>
      <c r="D435" s="27"/>
      <c r="E435" s="81"/>
      <c r="F435" s="98"/>
      <c r="G435" s="18"/>
      <c r="H435" s="98"/>
      <c r="I435" s="18"/>
      <c r="J435" s="101"/>
      <c r="K435" s="18"/>
      <c r="L435" s="98"/>
      <c r="M435" s="101"/>
      <c r="N435" s="98"/>
      <c r="O435" s="98"/>
      <c r="P435" s="98"/>
      <c r="Q435" s="98"/>
      <c r="R435" s="98"/>
      <c r="S435" s="98"/>
      <c r="T435" s="98"/>
    </row>
    <row r="436" spans="1:21" outlineLevel="1">
      <c r="A436" s="15"/>
      <c r="B436" s="80" t="s">
        <v>31</v>
      </c>
      <c r="C436" s="42" t="s">
        <v>341</v>
      </c>
      <c r="D436" s="25"/>
      <c r="E436" s="86"/>
      <c r="F436" s="109"/>
      <c r="G436" s="16"/>
      <c r="H436" s="109"/>
      <c r="I436" s="16"/>
      <c r="J436" s="100"/>
      <c r="K436" s="16"/>
      <c r="L436" s="109"/>
      <c r="M436" s="100"/>
      <c r="N436" s="109"/>
      <c r="O436" s="109"/>
      <c r="P436" s="109"/>
      <c r="Q436" s="109"/>
      <c r="R436" s="126"/>
      <c r="S436" s="126"/>
      <c r="T436" s="109"/>
      <c r="U436" s="22"/>
    </row>
    <row r="437" spans="1:21" outlineLevel="1">
      <c r="A437" s="17"/>
      <c r="B437" s="81"/>
      <c r="C437" s="21"/>
      <c r="D437" s="18"/>
      <c r="E437" s="87" t="s">
        <v>152</v>
      </c>
      <c r="F437" s="110">
        <v>1</v>
      </c>
      <c r="G437" s="18" t="s">
        <v>20</v>
      </c>
      <c r="H437" s="98"/>
      <c r="I437" s="18"/>
      <c r="J437" s="101"/>
      <c r="K437" s="18"/>
      <c r="L437" s="98"/>
      <c r="M437" s="101"/>
      <c r="N437" s="98"/>
      <c r="O437" s="98"/>
      <c r="P437" s="98"/>
      <c r="Q437" s="98"/>
      <c r="R437" s="127"/>
      <c r="S437" s="127"/>
      <c r="T437" s="98"/>
      <c r="U437" s="76">
        <v>8</v>
      </c>
    </row>
    <row r="438" spans="1:21" outlineLevel="1">
      <c r="A438" s="17"/>
      <c r="B438" s="81"/>
      <c r="C438" s="21"/>
      <c r="D438" s="18"/>
      <c r="E438" s="81" t="s">
        <v>6</v>
      </c>
      <c r="F438" s="120">
        <v>4</v>
      </c>
      <c r="G438" s="18" t="s">
        <v>7</v>
      </c>
      <c r="H438" s="98"/>
      <c r="I438" s="18"/>
      <c r="J438" s="101"/>
      <c r="K438" s="18"/>
      <c r="L438" s="98"/>
      <c r="M438" s="101"/>
      <c r="N438" s="98"/>
      <c r="O438" s="98"/>
      <c r="P438" s="98"/>
      <c r="Q438" s="98"/>
      <c r="R438" s="127"/>
      <c r="S438" s="127"/>
      <c r="T438" s="98"/>
      <c r="U438" s="23"/>
    </row>
    <row r="439" spans="1:21" outlineLevel="1">
      <c r="A439" s="17"/>
      <c r="B439" s="81"/>
      <c r="C439" s="18"/>
      <c r="D439" s="18"/>
      <c r="E439" s="87" t="s">
        <v>363</v>
      </c>
      <c r="F439" s="121">
        <v>7</v>
      </c>
      <c r="G439" s="21"/>
      <c r="H439" s="98"/>
      <c r="I439" s="18"/>
      <c r="J439" s="101"/>
      <c r="K439" s="18"/>
      <c r="L439" s="98"/>
      <c r="M439" s="101"/>
      <c r="N439" s="98"/>
      <c r="O439" s="98"/>
      <c r="P439" s="98"/>
      <c r="Q439" s="98"/>
      <c r="R439" s="127"/>
      <c r="S439" s="127"/>
      <c r="T439" s="98"/>
      <c r="U439" s="23"/>
    </row>
    <row r="440" spans="1:21" ht="27" outlineLevel="1" thickBot="1">
      <c r="A440" s="19"/>
      <c r="B440" s="82"/>
      <c r="C440" s="44"/>
      <c r="D440" s="46" t="s">
        <v>144</v>
      </c>
      <c r="E440" s="88" t="s">
        <v>334</v>
      </c>
      <c r="F440" s="40">
        <f>F437*F438</f>
        <v>4</v>
      </c>
      <c r="G440" s="46" t="s">
        <v>219</v>
      </c>
      <c r="H440" s="40"/>
      <c r="I440" s="20"/>
      <c r="J440" s="102"/>
      <c r="K440" s="20"/>
      <c r="L440" s="40">
        <f>F440*'BDD FE'!$C$22/1000</f>
        <v>5.2781090909090915E-3</v>
      </c>
      <c r="M440" s="102"/>
      <c r="N440" s="40">
        <f t="shared" ref="N440" si="132">L440+M440</f>
        <v>5.2781090909090915E-3</v>
      </c>
      <c r="O440" s="40">
        <f>F440*'BDD FE'!$F$22/1000</f>
        <v>1.108E-3</v>
      </c>
      <c r="P440" s="40"/>
      <c r="Q440" s="40">
        <f t="shared" ref="Q440" si="133">O440+P440</f>
        <v>1.108E-3</v>
      </c>
      <c r="R440" s="131"/>
      <c r="S440" s="131"/>
      <c r="T440" s="40"/>
      <c r="U440" s="24"/>
    </row>
    <row r="441" spans="1:21" ht="13.8" outlineLevel="1" thickBot="1">
      <c r="A441" s="18"/>
      <c r="C441" s="50"/>
      <c r="D441" s="27"/>
      <c r="E441" s="81"/>
      <c r="F441" s="98"/>
      <c r="G441" s="18"/>
      <c r="H441" s="98"/>
      <c r="I441" s="18"/>
      <c r="J441" s="101"/>
      <c r="K441" s="18"/>
      <c r="L441" s="98"/>
      <c r="M441" s="101"/>
      <c r="N441" s="98"/>
      <c r="O441" s="98"/>
      <c r="P441" s="98"/>
      <c r="Q441" s="98"/>
      <c r="R441" s="98"/>
      <c r="S441" s="98"/>
      <c r="T441" s="98"/>
    </row>
    <row r="442" spans="1:21" ht="52.8" outlineLevel="1">
      <c r="A442" s="15"/>
      <c r="B442" s="80" t="s">
        <v>32</v>
      </c>
      <c r="C442" s="42" t="s">
        <v>341</v>
      </c>
      <c r="D442" s="25"/>
      <c r="E442" s="86"/>
      <c r="F442" s="109"/>
      <c r="G442" s="16"/>
      <c r="H442" s="109"/>
      <c r="I442" s="16"/>
      <c r="J442" s="100"/>
      <c r="K442" s="16"/>
      <c r="L442" s="109"/>
      <c r="M442" s="100"/>
      <c r="N442" s="109"/>
      <c r="O442" s="109"/>
      <c r="P442" s="109"/>
      <c r="Q442" s="109"/>
      <c r="R442" s="126"/>
      <c r="S442" s="126"/>
      <c r="T442" s="109"/>
      <c r="U442" s="22"/>
    </row>
    <row r="443" spans="1:21" outlineLevel="1">
      <c r="A443" s="17"/>
      <c r="B443" s="81"/>
      <c r="C443" s="21"/>
      <c r="D443" s="18"/>
      <c r="E443" s="87" t="s">
        <v>152</v>
      </c>
      <c r="F443" s="110">
        <v>1</v>
      </c>
      <c r="G443" s="18" t="s">
        <v>20</v>
      </c>
      <c r="H443" s="98"/>
      <c r="I443" s="18"/>
      <c r="J443" s="101"/>
      <c r="K443" s="18"/>
      <c r="L443" s="98"/>
      <c r="M443" s="101"/>
      <c r="N443" s="98"/>
      <c r="O443" s="98"/>
      <c r="P443" s="98"/>
      <c r="Q443" s="98"/>
      <c r="R443" s="127"/>
      <c r="S443" s="127"/>
      <c r="T443" s="98"/>
      <c r="U443" s="76">
        <v>8</v>
      </c>
    </row>
    <row r="444" spans="1:21" outlineLevel="1">
      <c r="A444" s="17"/>
      <c r="B444" s="81"/>
      <c r="C444" s="18"/>
      <c r="D444" s="18"/>
      <c r="E444" s="81" t="s">
        <v>6</v>
      </c>
      <c r="F444" s="120">
        <v>4</v>
      </c>
      <c r="G444" s="18" t="s">
        <v>7</v>
      </c>
      <c r="H444" s="98"/>
      <c r="I444" s="18"/>
      <c r="J444" s="101"/>
      <c r="K444" s="18"/>
      <c r="L444" s="98"/>
      <c r="M444" s="101"/>
      <c r="N444" s="98"/>
      <c r="O444" s="98"/>
      <c r="P444" s="98"/>
      <c r="Q444" s="98"/>
      <c r="R444" s="127"/>
      <c r="S444" s="127"/>
      <c r="T444" s="98"/>
      <c r="U444" s="23"/>
    </row>
    <row r="445" spans="1:21" outlineLevel="1">
      <c r="A445" s="17"/>
      <c r="B445" s="81"/>
      <c r="C445" s="18"/>
      <c r="D445" s="18"/>
      <c r="E445" s="87" t="s">
        <v>363</v>
      </c>
      <c r="F445" s="121">
        <v>7</v>
      </c>
      <c r="G445" s="21"/>
      <c r="H445" s="98"/>
      <c r="I445" s="18"/>
      <c r="J445" s="101"/>
      <c r="K445" s="18"/>
      <c r="L445" s="98"/>
      <c r="M445" s="101"/>
      <c r="N445" s="98"/>
      <c r="O445" s="98"/>
      <c r="P445" s="98"/>
      <c r="Q445" s="98"/>
      <c r="R445" s="127"/>
      <c r="S445" s="127"/>
      <c r="T445" s="98"/>
      <c r="U445" s="23"/>
    </row>
    <row r="446" spans="1:21" ht="27" outlineLevel="1" thickBot="1">
      <c r="A446" s="19"/>
      <c r="B446" s="82"/>
      <c r="C446" s="20"/>
      <c r="D446" s="46" t="s">
        <v>144</v>
      </c>
      <c r="E446" s="88" t="s">
        <v>334</v>
      </c>
      <c r="F446" s="40">
        <f>F443*F444</f>
        <v>4</v>
      </c>
      <c r="G446" s="46" t="s">
        <v>219</v>
      </c>
      <c r="H446" s="40"/>
      <c r="I446" s="20"/>
      <c r="J446" s="102"/>
      <c r="K446" s="20"/>
      <c r="L446" s="40">
        <f>F446*'BDD FE'!$C$22/1000</f>
        <v>5.2781090909090915E-3</v>
      </c>
      <c r="M446" s="102"/>
      <c r="N446" s="40">
        <f t="shared" ref="N446" si="134">L446+M446</f>
        <v>5.2781090909090915E-3</v>
      </c>
      <c r="O446" s="40">
        <f>F446*'BDD FE'!$F$22/1000</f>
        <v>1.108E-3</v>
      </c>
      <c r="P446" s="40"/>
      <c r="Q446" s="40">
        <f t="shared" ref="Q446" si="135">O446+P446</f>
        <v>1.108E-3</v>
      </c>
      <c r="R446" s="131"/>
      <c r="S446" s="131"/>
      <c r="T446" s="40"/>
      <c r="U446" s="24"/>
    </row>
    <row r="447" spans="1:21" ht="13.8" thickBot="1">
      <c r="F447" s="31"/>
      <c r="H447" s="31"/>
      <c r="J447" s="103"/>
      <c r="L447" s="31"/>
      <c r="M447" s="103"/>
      <c r="N447" s="31"/>
      <c r="O447" s="31"/>
      <c r="P447" s="31"/>
      <c r="Q447" s="31"/>
      <c r="R447" s="128"/>
      <c r="S447" s="128"/>
      <c r="T447" s="31"/>
    </row>
    <row r="448" spans="1:21">
      <c r="A448" s="15"/>
      <c r="B448" s="80" t="s">
        <v>28</v>
      </c>
      <c r="C448" s="16" t="s">
        <v>60</v>
      </c>
      <c r="D448" s="16"/>
      <c r="E448" s="86"/>
      <c r="F448" s="109"/>
      <c r="G448" s="16"/>
      <c r="H448" s="109"/>
      <c r="I448" s="16"/>
      <c r="J448" s="100"/>
      <c r="K448" s="16"/>
      <c r="L448" s="109"/>
      <c r="M448" s="100"/>
      <c r="N448" s="109"/>
      <c r="O448" s="109"/>
      <c r="P448" s="109"/>
      <c r="Q448" s="109"/>
      <c r="R448" s="126"/>
      <c r="S448" s="126"/>
      <c r="T448" s="109"/>
      <c r="U448" s="22"/>
    </row>
    <row r="449" spans="1:21">
      <c r="A449" s="17"/>
      <c r="B449" s="81"/>
      <c r="C449" s="18"/>
      <c r="D449" s="18"/>
      <c r="E449" s="87" t="s">
        <v>152</v>
      </c>
      <c r="F449" s="110">
        <v>1</v>
      </c>
      <c r="G449" s="18" t="s">
        <v>20</v>
      </c>
      <c r="H449" s="98"/>
      <c r="I449" s="18"/>
      <c r="J449" s="101"/>
      <c r="K449" s="18"/>
      <c r="L449" s="98"/>
      <c r="M449" s="101"/>
      <c r="N449" s="98"/>
      <c r="O449" s="98"/>
      <c r="P449" s="98"/>
      <c r="Q449" s="98"/>
      <c r="R449" s="127"/>
      <c r="S449" s="127"/>
      <c r="T449" s="98"/>
      <c r="U449" s="76">
        <v>8</v>
      </c>
    </row>
    <row r="450" spans="1:21">
      <c r="A450" s="17"/>
      <c r="B450" s="81"/>
      <c r="C450" s="18"/>
      <c r="D450" s="18"/>
      <c r="E450" s="81" t="s">
        <v>6</v>
      </c>
      <c r="F450" s="120">
        <v>4</v>
      </c>
      <c r="G450" s="18" t="s">
        <v>7</v>
      </c>
      <c r="H450" s="98"/>
      <c r="I450" s="18"/>
      <c r="J450" s="101"/>
      <c r="K450" s="18"/>
      <c r="L450" s="98"/>
      <c r="M450" s="101"/>
      <c r="N450" s="98"/>
      <c r="O450" s="98"/>
      <c r="P450" s="98"/>
      <c r="Q450" s="98"/>
      <c r="R450" s="127"/>
      <c r="S450" s="127"/>
      <c r="T450" s="98"/>
      <c r="U450" s="23"/>
    </row>
    <row r="451" spans="1:21" outlineLevel="1">
      <c r="A451" s="17"/>
      <c r="B451" s="81"/>
      <c r="C451" s="18"/>
      <c r="D451" s="18"/>
      <c r="E451" s="87" t="s">
        <v>363</v>
      </c>
      <c r="F451" s="121">
        <v>7</v>
      </c>
      <c r="G451" s="21"/>
      <c r="H451" s="98"/>
      <c r="I451" s="18"/>
      <c r="J451" s="101"/>
      <c r="K451" s="18"/>
      <c r="L451" s="98"/>
      <c r="M451" s="101"/>
      <c r="N451" s="98"/>
      <c r="O451" s="98"/>
      <c r="P451" s="98"/>
      <c r="Q451" s="98"/>
      <c r="R451" s="127"/>
      <c r="S451" s="127"/>
      <c r="T451" s="98"/>
      <c r="U451" s="23"/>
    </row>
    <row r="452" spans="1:21" ht="13.8" thickBot="1">
      <c r="A452" s="19"/>
      <c r="B452" s="82"/>
      <c r="C452" s="20"/>
      <c r="D452" s="46" t="s">
        <v>144</v>
      </c>
      <c r="E452" s="88" t="s">
        <v>60</v>
      </c>
      <c r="F452" s="40">
        <f>F449*F450</f>
        <v>4</v>
      </c>
      <c r="G452" s="46" t="s">
        <v>219</v>
      </c>
      <c r="H452" s="40"/>
      <c r="I452" s="20"/>
      <c r="J452" s="102"/>
      <c r="K452" s="20"/>
      <c r="L452" s="40">
        <f>F452*'BDD FE'!$C$24/1000</f>
        <v>6.0800000000000003E-4</v>
      </c>
      <c r="M452" s="102"/>
      <c r="N452" s="40">
        <f t="shared" ref="N452" si="136">L452+M452</f>
        <v>6.0800000000000003E-4</v>
      </c>
      <c r="O452" s="40">
        <f>F452*'BDD FE'!$F$24/1000</f>
        <v>5.5999999999999999E-5</v>
      </c>
      <c r="P452" s="40"/>
      <c r="Q452" s="40">
        <f t="shared" ref="Q452" si="137">O452+P452</f>
        <v>5.5999999999999999E-5</v>
      </c>
      <c r="R452" s="131"/>
      <c r="S452" s="131"/>
      <c r="T452" s="40"/>
      <c r="U452" s="24"/>
    </row>
    <row r="453" spans="1:21" ht="13.8" thickBot="1">
      <c r="F453" s="31"/>
      <c r="H453" s="31"/>
      <c r="J453" s="103"/>
      <c r="L453" s="31"/>
      <c r="M453" s="103"/>
      <c r="N453" s="31"/>
      <c r="O453" s="31"/>
      <c r="P453" s="31"/>
      <c r="Q453" s="31"/>
      <c r="R453" s="128"/>
      <c r="S453" s="128"/>
      <c r="T453" s="31"/>
    </row>
    <row r="454" spans="1:21" ht="39.6">
      <c r="A454" s="15"/>
      <c r="B454" s="80" t="s">
        <v>29</v>
      </c>
      <c r="C454" s="16" t="s">
        <v>60</v>
      </c>
      <c r="D454" s="16"/>
      <c r="E454" s="86"/>
      <c r="F454" s="109"/>
      <c r="G454" s="16"/>
      <c r="H454" s="109"/>
      <c r="I454" s="16"/>
      <c r="J454" s="100"/>
      <c r="K454" s="16"/>
      <c r="L454" s="109"/>
      <c r="M454" s="100"/>
      <c r="N454" s="109"/>
      <c r="O454" s="109"/>
      <c r="P454" s="109"/>
      <c r="Q454" s="109"/>
      <c r="R454" s="126"/>
      <c r="S454" s="126"/>
      <c r="T454" s="109"/>
      <c r="U454" s="22"/>
    </row>
    <row r="455" spans="1:21">
      <c r="A455" s="17"/>
      <c r="B455" s="81"/>
      <c r="C455" s="18"/>
      <c r="D455" s="18"/>
      <c r="E455" s="87" t="s">
        <v>152</v>
      </c>
      <c r="F455" s="110">
        <v>1</v>
      </c>
      <c r="G455" s="18" t="s">
        <v>20</v>
      </c>
      <c r="H455" s="98"/>
      <c r="I455" s="18"/>
      <c r="J455" s="101"/>
      <c r="K455" s="18"/>
      <c r="L455" s="98"/>
      <c r="M455" s="101"/>
      <c r="N455" s="98"/>
      <c r="O455" s="98"/>
      <c r="P455" s="98"/>
      <c r="Q455" s="98"/>
      <c r="R455" s="127"/>
      <c r="S455" s="127"/>
      <c r="T455" s="98"/>
      <c r="U455" s="76">
        <v>8</v>
      </c>
    </row>
    <row r="456" spans="1:21">
      <c r="A456" s="17"/>
      <c r="B456" s="81"/>
      <c r="C456" s="18"/>
      <c r="D456" s="18"/>
      <c r="E456" s="81" t="s">
        <v>6</v>
      </c>
      <c r="F456" s="120">
        <v>4</v>
      </c>
      <c r="G456" s="18" t="s">
        <v>7</v>
      </c>
      <c r="H456" s="98"/>
      <c r="I456" s="18"/>
      <c r="J456" s="101"/>
      <c r="K456" s="18"/>
      <c r="L456" s="98"/>
      <c r="M456" s="101"/>
      <c r="N456" s="98"/>
      <c r="O456" s="98"/>
      <c r="P456" s="98"/>
      <c r="Q456" s="98"/>
      <c r="R456" s="127"/>
      <c r="S456" s="127"/>
      <c r="T456" s="98"/>
      <c r="U456" s="23"/>
    </row>
    <row r="457" spans="1:21" outlineLevel="1">
      <c r="A457" s="17"/>
      <c r="B457" s="81"/>
      <c r="C457" s="18"/>
      <c r="D457" s="18"/>
      <c r="E457" s="87" t="s">
        <v>363</v>
      </c>
      <c r="F457" s="121">
        <v>7</v>
      </c>
      <c r="G457" s="21"/>
      <c r="H457" s="98"/>
      <c r="I457" s="18"/>
      <c r="J457" s="101"/>
      <c r="K457" s="18"/>
      <c r="L457" s="98"/>
      <c r="M457" s="101"/>
      <c r="N457" s="98"/>
      <c r="O457" s="98"/>
      <c r="P457" s="98"/>
      <c r="Q457" s="98"/>
      <c r="R457" s="127"/>
      <c r="S457" s="127"/>
      <c r="T457" s="98"/>
      <c r="U457" s="23"/>
    </row>
    <row r="458" spans="1:21" ht="13.8" thickBot="1">
      <c r="A458" s="19"/>
      <c r="B458" s="82"/>
      <c r="C458" s="20"/>
      <c r="D458" s="46" t="s">
        <v>144</v>
      </c>
      <c r="E458" s="88" t="s">
        <v>60</v>
      </c>
      <c r="F458" s="40">
        <f>F455*F456</f>
        <v>4</v>
      </c>
      <c r="G458" s="46" t="s">
        <v>219</v>
      </c>
      <c r="H458" s="40"/>
      <c r="I458" s="20"/>
      <c r="J458" s="102"/>
      <c r="K458" s="20"/>
      <c r="L458" s="40">
        <f>F458*'BDD FE'!$C$24/1000</f>
        <v>6.0800000000000003E-4</v>
      </c>
      <c r="M458" s="102"/>
      <c r="N458" s="40">
        <f t="shared" ref="N458" si="138">L458+M458</f>
        <v>6.0800000000000003E-4</v>
      </c>
      <c r="O458" s="40">
        <f>F458*'BDD FE'!$F$24/1000</f>
        <v>5.5999999999999999E-5</v>
      </c>
      <c r="P458" s="40"/>
      <c r="Q458" s="40">
        <f t="shared" ref="Q458" si="139">O458+P458</f>
        <v>5.5999999999999999E-5</v>
      </c>
      <c r="R458" s="131"/>
      <c r="S458" s="131"/>
      <c r="T458" s="40"/>
      <c r="U458" s="24"/>
    </row>
    <row r="459" spans="1:21" ht="13.8" thickBot="1">
      <c r="F459" s="31"/>
      <c r="H459" s="31"/>
      <c r="J459" s="103"/>
      <c r="L459" s="31"/>
      <c r="M459" s="103"/>
      <c r="N459" s="31"/>
      <c r="O459" s="31"/>
      <c r="P459" s="31"/>
      <c r="Q459" s="31"/>
      <c r="R459" s="128"/>
      <c r="S459" s="128"/>
      <c r="T459" s="31"/>
    </row>
    <row r="460" spans="1:21">
      <c r="A460" s="15"/>
      <c r="B460" s="80" t="s">
        <v>30</v>
      </c>
      <c r="C460" s="16" t="s">
        <v>60</v>
      </c>
      <c r="D460" s="16"/>
      <c r="E460" s="86"/>
      <c r="F460" s="109"/>
      <c r="G460" s="16"/>
      <c r="H460" s="109"/>
      <c r="I460" s="16"/>
      <c r="J460" s="100"/>
      <c r="K460" s="16"/>
      <c r="L460" s="109"/>
      <c r="M460" s="100"/>
      <c r="N460" s="109"/>
      <c r="O460" s="109"/>
      <c r="P460" s="109"/>
      <c r="Q460" s="109"/>
      <c r="R460" s="126"/>
      <c r="S460" s="126"/>
      <c r="T460" s="109"/>
      <c r="U460" s="22"/>
    </row>
    <row r="461" spans="1:21">
      <c r="A461" s="17"/>
      <c r="B461" s="81"/>
      <c r="C461" s="18"/>
      <c r="D461" s="18"/>
      <c r="E461" s="87" t="s">
        <v>152</v>
      </c>
      <c r="F461" s="110">
        <v>1</v>
      </c>
      <c r="G461" s="18" t="s">
        <v>20</v>
      </c>
      <c r="H461" s="98"/>
      <c r="I461" s="18"/>
      <c r="J461" s="101"/>
      <c r="K461" s="18"/>
      <c r="L461" s="98"/>
      <c r="M461" s="101"/>
      <c r="N461" s="98"/>
      <c r="O461" s="98"/>
      <c r="P461" s="98"/>
      <c r="Q461" s="98"/>
      <c r="R461" s="127"/>
      <c r="S461" s="127"/>
      <c r="T461" s="98"/>
      <c r="U461" s="76">
        <v>8</v>
      </c>
    </row>
    <row r="462" spans="1:21">
      <c r="A462" s="17"/>
      <c r="B462" s="81"/>
      <c r="C462" s="18"/>
      <c r="D462" s="18"/>
      <c r="E462" s="81" t="s">
        <v>6</v>
      </c>
      <c r="F462" s="120">
        <v>4</v>
      </c>
      <c r="G462" s="18" t="s">
        <v>7</v>
      </c>
      <c r="H462" s="98"/>
      <c r="I462" s="18"/>
      <c r="J462" s="101"/>
      <c r="K462" s="18"/>
      <c r="L462" s="98"/>
      <c r="M462" s="101"/>
      <c r="N462" s="98"/>
      <c r="O462" s="98"/>
      <c r="P462" s="98"/>
      <c r="Q462" s="98"/>
      <c r="R462" s="127"/>
      <c r="S462" s="127"/>
      <c r="T462" s="98"/>
      <c r="U462" s="23"/>
    </row>
    <row r="463" spans="1:21" outlineLevel="1">
      <c r="A463" s="17"/>
      <c r="B463" s="81"/>
      <c r="C463" s="18"/>
      <c r="D463" s="18"/>
      <c r="E463" s="87" t="s">
        <v>363</v>
      </c>
      <c r="F463" s="121">
        <v>7</v>
      </c>
      <c r="G463" s="21"/>
      <c r="H463" s="98"/>
      <c r="I463" s="18"/>
      <c r="J463" s="101"/>
      <c r="K463" s="18"/>
      <c r="L463" s="98"/>
      <c r="M463" s="101"/>
      <c r="N463" s="98"/>
      <c r="O463" s="98"/>
      <c r="P463" s="98"/>
      <c r="Q463" s="98"/>
      <c r="R463" s="127"/>
      <c r="S463" s="127"/>
      <c r="T463" s="98"/>
      <c r="U463" s="23"/>
    </row>
    <row r="464" spans="1:21" ht="13.8" thickBot="1">
      <c r="A464" s="19"/>
      <c r="B464" s="82"/>
      <c r="C464" s="20"/>
      <c r="D464" s="46" t="s">
        <v>144</v>
      </c>
      <c r="E464" s="88" t="s">
        <v>60</v>
      </c>
      <c r="F464" s="40">
        <f>F461*F462</f>
        <v>4</v>
      </c>
      <c r="G464" s="46" t="s">
        <v>219</v>
      </c>
      <c r="H464" s="40"/>
      <c r="I464" s="20"/>
      <c r="J464" s="102"/>
      <c r="K464" s="20"/>
      <c r="L464" s="40">
        <f>F464*'BDD FE'!$C$24/1000</f>
        <v>6.0800000000000003E-4</v>
      </c>
      <c r="M464" s="102"/>
      <c r="N464" s="40">
        <f t="shared" ref="N464" si="140">L464+M464</f>
        <v>6.0800000000000003E-4</v>
      </c>
      <c r="O464" s="40">
        <f>F464*'BDD FE'!$F$24/1000</f>
        <v>5.5999999999999999E-5</v>
      </c>
      <c r="P464" s="40"/>
      <c r="Q464" s="40">
        <f t="shared" ref="Q464" si="141">O464+P464</f>
        <v>5.5999999999999999E-5</v>
      </c>
      <c r="R464" s="131"/>
      <c r="S464" s="131"/>
      <c r="T464" s="40"/>
      <c r="U464" s="24"/>
    </row>
    <row r="465" spans="1:21" ht="13.8" thickBot="1">
      <c r="F465" s="31"/>
      <c r="H465" s="31"/>
      <c r="J465" s="103"/>
      <c r="L465" s="31"/>
      <c r="M465" s="103"/>
      <c r="N465" s="31"/>
      <c r="O465" s="31"/>
      <c r="P465" s="31"/>
      <c r="Q465" s="31"/>
      <c r="R465" s="128"/>
      <c r="S465" s="128"/>
      <c r="T465" s="31"/>
    </row>
    <row r="466" spans="1:21">
      <c r="A466" s="15"/>
      <c r="B466" s="80" t="s">
        <v>31</v>
      </c>
      <c r="C466" s="16" t="s">
        <v>60</v>
      </c>
      <c r="D466" s="16"/>
      <c r="E466" s="86"/>
      <c r="F466" s="109"/>
      <c r="G466" s="16"/>
      <c r="H466" s="109"/>
      <c r="I466" s="16"/>
      <c r="J466" s="100"/>
      <c r="K466" s="16"/>
      <c r="L466" s="109"/>
      <c r="M466" s="100"/>
      <c r="N466" s="109"/>
      <c r="O466" s="109"/>
      <c r="P466" s="109"/>
      <c r="Q466" s="109"/>
      <c r="R466" s="126"/>
      <c r="S466" s="126"/>
      <c r="T466" s="109"/>
      <c r="U466" s="22"/>
    </row>
    <row r="467" spans="1:21">
      <c r="A467" s="17"/>
      <c r="B467" s="81"/>
      <c r="C467" s="18"/>
      <c r="D467" s="18"/>
      <c r="E467" s="87" t="s">
        <v>152</v>
      </c>
      <c r="F467" s="110">
        <v>1</v>
      </c>
      <c r="G467" s="18" t="s">
        <v>20</v>
      </c>
      <c r="H467" s="98"/>
      <c r="I467" s="18"/>
      <c r="J467" s="101"/>
      <c r="K467" s="18"/>
      <c r="L467" s="98"/>
      <c r="M467" s="101"/>
      <c r="N467" s="98"/>
      <c r="O467" s="98"/>
      <c r="P467" s="98"/>
      <c r="Q467" s="98"/>
      <c r="R467" s="127"/>
      <c r="S467" s="127"/>
      <c r="T467" s="98"/>
      <c r="U467" s="76">
        <v>8</v>
      </c>
    </row>
    <row r="468" spans="1:21">
      <c r="A468" s="17"/>
      <c r="B468" s="81"/>
      <c r="C468" s="18"/>
      <c r="D468" s="18"/>
      <c r="E468" s="81" t="s">
        <v>6</v>
      </c>
      <c r="F468" s="120">
        <v>4</v>
      </c>
      <c r="G468" s="18" t="s">
        <v>7</v>
      </c>
      <c r="H468" s="98"/>
      <c r="I468" s="18"/>
      <c r="J468" s="101"/>
      <c r="K468" s="18"/>
      <c r="L468" s="98"/>
      <c r="M468" s="101"/>
      <c r="N468" s="98"/>
      <c r="O468" s="98"/>
      <c r="P468" s="98"/>
      <c r="Q468" s="98"/>
      <c r="R468" s="127"/>
      <c r="S468" s="127"/>
      <c r="T468" s="98"/>
      <c r="U468" s="23"/>
    </row>
    <row r="469" spans="1:21" outlineLevel="1">
      <c r="A469" s="17"/>
      <c r="B469" s="81"/>
      <c r="C469" s="18"/>
      <c r="D469" s="18"/>
      <c r="E469" s="87" t="s">
        <v>363</v>
      </c>
      <c r="F469" s="121">
        <v>7</v>
      </c>
      <c r="G469" s="21"/>
      <c r="H469" s="98"/>
      <c r="I469" s="18"/>
      <c r="J469" s="101"/>
      <c r="K469" s="18"/>
      <c r="L469" s="98"/>
      <c r="M469" s="101"/>
      <c r="N469" s="98"/>
      <c r="O469" s="98"/>
      <c r="P469" s="98"/>
      <c r="Q469" s="98"/>
      <c r="R469" s="127"/>
      <c r="S469" s="127"/>
      <c r="T469" s="98"/>
      <c r="U469" s="23"/>
    </row>
    <row r="470" spans="1:21" ht="13.8" thickBot="1">
      <c r="A470" s="19"/>
      <c r="B470" s="82"/>
      <c r="C470" s="20"/>
      <c r="D470" s="46" t="s">
        <v>144</v>
      </c>
      <c r="E470" s="88" t="s">
        <v>60</v>
      </c>
      <c r="F470" s="40">
        <f>F467*F468</f>
        <v>4</v>
      </c>
      <c r="G470" s="46" t="s">
        <v>219</v>
      </c>
      <c r="H470" s="40"/>
      <c r="I470" s="20"/>
      <c r="J470" s="102"/>
      <c r="K470" s="20"/>
      <c r="L470" s="40">
        <f>F470*'BDD FE'!$C$24/1000</f>
        <v>6.0800000000000003E-4</v>
      </c>
      <c r="M470" s="102"/>
      <c r="N470" s="40">
        <f t="shared" ref="N470" si="142">L470+M470</f>
        <v>6.0800000000000003E-4</v>
      </c>
      <c r="O470" s="40">
        <f>F470*'BDD FE'!$F$24/1000</f>
        <v>5.5999999999999999E-5</v>
      </c>
      <c r="P470" s="40"/>
      <c r="Q470" s="40">
        <f t="shared" ref="Q470" si="143">O470+P470</f>
        <v>5.5999999999999999E-5</v>
      </c>
      <c r="R470" s="131"/>
      <c r="S470" s="131"/>
      <c r="T470" s="40"/>
      <c r="U470" s="24"/>
    </row>
    <row r="471" spans="1:21" ht="13.8" thickBot="1">
      <c r="F471" s="31"/>
      <c r="H471" s="31"/>
      <c r="J471" s="103"/>
      <c r="L471" s="31"/>
      <c r="M471" s="103"/>
      <c r="N471" s="31"/>
      <c r="O471" s="31"/>
      <c r="P471" s="31"/>
      <c r="Q471" s="31"/>
      <c r="R471" s="128"/>
      <c r="S471" s="128"/>
      <c r="T471" s="31"/>
    </row>
    <row r="472" spans="1:21" ht="52.8">
      <c r="A472" s="15"/>
      <c r="B472" s="80" t="s">
        <v>32</v>
      </c>
      <c r="C472" s="16" t="s">
        <v>60</v>
      </c>
      <c r="D472" s="16"/>
      <c r="E472" s="86"/>
      <c r="F472" s="109"/>
      <c r="G472" s="16"/>
      <c r="H472" s="109"/>
      <c r="I472" s="16"/>
      <c r="J472" s="100"/>
      <c r="K472" s="16"/>
      <c r="L472" s="109"/>
      <c r="M472" s="100"/>
      <c r="N472" s="109"/>
      <c r="O472" s="109"/>
      <c r="P472" s="109"/>
      <c r="Q472" s="109"/>
      <c r="R472" s="126"/>
      <c r="S472" s="126"/>
      <c r="T472" s="109"/>
      <c r="U472" s="22"/>
    </row>
    <row r="473" spans="1:21">
      <c r="A473" s="17"/>
      <c r="B473" s="81"/>
      <c r="C473" s="18"/>
      <c r="D473" s="18"/>
      <c r="E473" s="87" t="s">
        <v>152</v>
      </c>
      <c r="F473" s="110">
        <v>1</v>
      </c>
      <c r="G473" s="18" t="s">
        <v>20</v>
      </c>
      <c r="H473" s="98"/>
      <c r="I473" s="18"/>
      <c r="J473" s="101"/>
      <c r="K473" s="18"/>
      <c r="L473" s="98"/>
      <c r="M473" s="101"/>
      <c r="N473" s="98"/>
      <c r="O473" s="98"/>
      <c r="P473" s="98"/>
      <c r="Q473" s="98"/>
      <c r="R473" s="127"/>
      <c r="S473" s="127"/>
      <c r="T473" s="98"/>
      <c r="U473" s="76">
        <v>8</v>
      </c>
    </row>
    <row r="474" spans="1:21">
      <c r="A474" s="17"/>
      <c r="B474" s="81"/>
      <c r="C474" s="18"/>
      <c r="D474" s="18"/>
      <c r="E474" s="81" t="s">
        <v>6</v>
      </c>
      <c r="F474" s="120">
        <v>4</v>
      </c>
      <c r="G474" s="18" t="s">
        <v>7</v>
      </c>
      <c r="H474" s="98"/>
      <c r="I474" s="18"/>
      <c r="J474" s="101"/>
      <c r="K474" s="18"/>
      <c r="L474" s="98"/>
      <c r="M474" s="101"/>
      <c r="N474" s="98"/>
      <c r="O474" s="98"/>
      <c r="P474" s="98"/>
      <c r="Q474" s="98"/>
      <c r="R474" s="127"/>
      <c r="S474" s="127"/>
      <c r="T474" s="98"/>
      <c r="U474" s="23"/>
    </row>
    <row r="475" spans="1:21" outlineLevel="1">
      <c r="A475" s="17"/>
      <c r="B475" s="81"/>
      <c r="C475" s="18"/>
      <c r="D475" s="18"/>
      <c r="E475" s="87" t="s">
        <v>363</v>
      </c>
      <c r="F475" s="121">
        <v>7</v>
      </c>
      <c r="G475" s="21"/>
      <c r="H475" s="98"/>
      <c r="I475" s="18"/>
      <c r="J475" s="101"/>
      <c r="K475" s="18"/>
      <c r="L475" s="98"/>
      <c r="M475" s="101"/>
      <c r="N475" s="98"/>
      <c r="O475" s="98"/>
      <c r="P475" s="98"/>
      <c r="Q475" s="98"/>
      <c r="R475" s="127"/>
      <c r="S475" s="127"/>
      <c r="T475" s="98"/>
      <c r="U475" s="23"/>
    </row>
    <row r="476" spans="1:21" ht="13.8" thickBot="1">
      <c r="A476" s="19"/>
      <c r="B476" s="82"/>
      <c r="C476" s="20"/>
      <c r="D476" s="46" t="s">
        <v>144</v>
      </c>
      <c r="E476" s="88" t="s">
        <v>60</v>
      </c>
      <c r="F476" s="40">
        <f>F473*F474</f>
        <v>4</v>
      </c>
      <c r="G476" s="46" t="s">
        <v>219</v>
      </c>
      <c r="H476" s="40"/>
      <c r="I476" s="20"/>
      <c r="J476" s="102"/>
      <c r="K476" s="20"/>
      <c r="L476" s="40">
        <f>F476*'BDD FE'!$C$24/1000</f>
        <v>6.0800000000000003E-4</v>
      </c>
      <c r="M476" s="102"/>
      <c r="N476" s="40">
        <f t="shared" ref="N476" si="144">L476+M476</f>
        <v>6.0800000000000003E-4</v>
      </c>
      <c r="O476" s="40">
        <f>F476*'BDD FE'!$F$24/1000</f>
        <v>5.5999999999999999E-5</v>
      </c>
      <c r="P476" s="40"/>
      <c r="Q476" s="40">
        <f t="shared" ref="Q476" si="145">O476+P476</f>
        <v>5.5999999999999999E-5</v>
      </c>
      <c r="R476" s="131"/>
      <c r="S476" s="131"/>
      <c r="T476" s="40"/>
      <c r="U476" s="24"/>
    </row>
    <row r="477" spans="1:21" ht="13.8" thickBot="1">
      <c r="F477" s="31"/>
      <c r="H477" s="31"/>
      <c r="J477" s="103"/>
      <c r="L477" s="31"/>
      <c r="M477" s="103"/>
      <c r="N477" s="31"/>
      <c r="O477" s="31"/>
      <c r="P477" s="31"/>
      <c r="Q477" s="31"/>
      <c r="R477" s="128"/>
      <c r="S477" s="128"/>
      <c r="T477" s="31"/>
    </row>
    <row r="478" spans="1:21">
      <c r="A478" s="15"/>
      <c r="B478" s="80" t="s">
        <v>28</v>
      </c>
      <c r="C478" s="16" t="s">
        <v>58</v>
      </c>
      <c r="D478" s="16"/>
      <c r="E478" s="86"/>
      <c r="F478" s="109"/>
      <c r="G478" s="16"/>
      <c r="H478" s="109"/>
      <c r="I478" s="16"/>
      <c r="J478" s="100"/>
      <c r="K478" s="16"/>
      <c r="L478" s="109"/>
      <c r="M478" s="100"/>
      <c r="N478" s="109"/>
      <c r="O478" s="109"/>
      <c r="P478" s="109"/>
      <c r="Q478" s="109"/>
      <c r="R478" s="126"/>
      <c r="S478" s="126"/>
      <c r="T478" s="109"/>
      <c r="U478" s="22"/>
    </row>
    <row r="479" spans="1:21">
      <c r="A479" s="17"/>
      <c r="B479" s="81"/>
      <c r="C479" s="18"/>
      <c r="D479" s="18"/>
      <c r="E479" s="87" t="s">
        <v>152</v>
      </c>
      <c r="F479" s="110">
        <v>1</v>
      </c>
      <c r="G479" s="18" t="s">
        <v>20</v>
      </c>
      <c r="H479" s="98"/>
      <c r="I479" s="18"/>
      <c r="J479" s="101"/>
      <c r="K479" s="18"/>
      <c r="L479" s="98"/>
      <c r="M479" s="101"/>
      <c r="N479" s="98"/>
      <c r="O479" s="98"/>
      <c r="P479" s="98"/>
      <c r="Q479" s="98"/>
      <c r="R479" s="127"/>
      <c r="S479" s="127"/>
      <c r="T479" s="98"/>
      <c r="U479" s="76">
        <v>8</v>
      </c>
    </row>
    <row r="480" spans="1:21">
      <c r="A480" s="17"/>
      <c r="B480" s="81"/>
      <c r="C480" s="18"/>
      <c r="D480" s="18"/>
      <c r="E480" s="81" t="s">
        <v>6</v>
      </c>
      <c r="F480" s="120">
        <v>4</v>
      </c>
      <c r="G480" s="18" t="s">
        <v>7</v>
      </c>
      <c r="H480" s="98"/>
      <c r="I480" s="18"/>
      <c r="J480" s="101"/>
      <c r="K480" s="18"/>
      <c r="L480" s="98"/>
      <c r="M480" s="101"/>
      <c r="N480" s="98"/>
      <c r="O480" s="98"/>
      <c r="P480" s="98"/>
      <c r="Q480" s="98"/>
      <c r="R480" s="127"/>
      <c r="S480" s="127"/>
      <c r="T480" s="98"/>
      <c r="U480" s="23"/>
    </row>
    <row r="481" spans="1:21" outlineLevel="1">
      <c r="A481" s="17"/>
      <c r="B481" s="81"/>
      <c r="C481" s="18"/>
      <c r="D481" s="18"/>
      <c r="E481" s="87" t="s">
        <v>363</v>
      </c>
      <c r="F481" s="121">
        <v>7</v>
      </c>
      <c r="G481" s="21"/>
      <c r="H481" s="98"/>
      <c r="I481" s="18"/>
      <c r="J481" s="101"/>
      <c r="K481" s="18"/>
      <c r="L481" s="98"/>
      <c r="M481" s="101"/>
      <c r="N481" s="98"/>
      <c r="O481" s="98"/>
      <c r="P481" s="98"/>
      <c r="Q481" s="98"/>
      <c r="R481" s="127"/>
      <c r="S481" s="127"/>
      <c r="T481" s="98"/>
      <c r="U481" s="23"/>
    </row>
    <row r="482" spans="1:21" ht="13.8" thickBot="1">
      <c r="A482" s="19"/>
      <c r="B482" s="82"/>
      <c r="C482" s="20"/>
      <c r="D482" s="46" t="s">
        <v>144</v>
      </c>
      <c r="E482" s="88" t="s">
        <v>58</v>
      </c>
      <c r="F482" s="40">
        <f>F479*F480</f>
        <v>4</v>
      </c>
      <c r="G482" s="46" t="s">
        <v>219</v>
      </c>
      <c r="H482" s="40"/>
      <c r="I482" s="20"/>
      <c r="J482" s="102"/>
      <c r="K482" s="20"/>
      <c r="L482" s="40">
        <f>F482*'BDD FE'!$C$21/1000</f>
        <v>2.0960000000000002E-3</v>
      </c>
      <c r="M482" s="102"/>
      <c r="N482" s="40">
        <f t="shared" ref="N482" si="146">L482+M482</f>
        <v>2.0960000000000002E-3</v>
      </c>
      <c r="O482" s="40">
        <f>F482*'BDD FE'!$F$21/1000</f>
        <v>4.4000000000000002E-4</v>
      </c>
      <c r="P482" s="40"/>
      <c r="Q482" s="40">
        <f t="shared" ref="Q482" si="147">O482+P482</f>
        <v>4.4000000000000002E-4</v>
      </c>
      <c r="R482" s="131"/>
      <c r="S482" s="131"/>
      <c r="T482" s="40"/>
      <c r="U482" s="24"/>
    </row>
    <row r="483" spans="1:21" ht="13.8" thickBot="1">
      <c r="F483" s="31"/>
      <c r="H483" s="31"/>
      <c r="J483" s="103"/>
      <c r="L483" s="31"/>
      <c r="M483" s="103"/>
      <c r="N483" s="31"/>
      <c r="O483" s="31"/>
      <c r="P483" s="31"/>
      <c r="Q483" s="31"/>
      <c r="R483" s="128"/>
      <c r="S483" s="128"/>
      <c r="T483" s="31"/>
    </row>
    <row r="484" spans="1:21" ht="39.6">
      <c r="A484" s="15"/>
      <c r="B484" s="80" t="s">
        <v>29</v>
      </c>
      <c r="C484" s="16" t="s">
        <v>58</v>
      </c>
      <c r="D484" s="16"/>
      <c r="E484" s="86"/>
      <c r="F484" s="109"/>
      <c r="G484" s="16"/>
      <c r="H484" s="109"/>
      <c r="I484" s="16"/>
      <c r="J484" s="100"/>
      <c r="K484" s="16"/>
      <c r="L484" s="109"/>
      <c r="M484" s="100"/>
      <c r="N484" s="109"/>
      <c r="O484" s="109"/>
      <c r="P484" s="109"/>
      <c r="Q484" s="109"/>
      <c r="R484" s="126"/>
      <c r="S484" s="126"/>
      <c r="T484" s="109"/>
      <c r="U484" s="22"/>
    </row>
    <row r="485" spans="1:21">
      <c r="A485" s="17"/>
      <c r="B485" s="81"/>
      <c r="C485" s="18"/>
      <c r="D485" s="18"/>
      <c r="E485" s="87" t="s">
        <v>152</v>
      </c>
      <c r="F485" s="110">
        <v>1</v>
      </c>
      <c r="G485" s="18" t="s">
        <v>20</v>
      </c>
      <c r="H485" s="98"/>
      <c r="I485" s="18"/>
      <c r="J485" s="101"/>
      <c r="K485" s="18"/>
      <c r="L485" s="98"/>
      <c r="M485" s="101"/>
      <c r="N485" s="98"/>
      <c r="O485" s="98"/>
      <c r="P485" s="98"/>
      <c r="Q485" s="98"/>
      <c r="R485" s="127"/>
      <c r="S485" s="127"/>
      <c r="T485" s="98"/>
      <c r="U485" s="76">
        <v>8</v>
      </c>
    </row>
    <row r="486" spans="1:21">
      <c r="A486" s="17"/>
      <c r="B486" s="81"/>
      <c r="C486" s="18"/>
      <c r="D486" s="18"/>
      <c r="E486" s="81" t="s">
        <v>6</v>
      </c>
      <c r="F486" s="120">
        <v>4</v>
      </c>
      <c r="G486" s="18" t="s">
        <v>7</v>
      </c>
      <c r="H486" s="98"/>
      <c r="I486" s="18"/>
      <c r="J486" s="101"/>
      <c r="K486" s="18"/>
      <c r="L486" s="98"/>
      <c r="M486" s="101"/>
      <c r="N486" s="98"/>
      <c r="O486" s="98"/>
      <c r="P486" s="98"/>
      <c r="Q486" s="98"/>
      <c r="R486" s="127"/>
      <c r="S486" s="127"/>
      <c r="T486" s="98"/>
      <c r="U486" s="23"/>
    </row>
    <row r="487" spans="1:21" outlineLevel="1">
      <c r="A487" s="17"/>
      <c r="B487" s="81"/>
      <c r="C487" s="18"/>
      <c r="D487" s="18"/>
      <c r="E487" s="87" t="s">
        <v>363</v>
      </c>
      <c r="F487" s="121">
        <v>7</v>
      </c>
      <c r="G487" s="21"/>
      <c r="H487" s="98"/>
      <c r="I487" s="18"/>
      <c r="J487" s="101"/>
      <c r="K487" s="18"/>
      <c r="L487" s="98"/>
      <c r="M487" s="101"/>
      <c r="N487" s="98"/>
      <c r="O487" s="98"/>
      <c r="P487" s="98"/>
      <c r="Q487" s="98"/>
      <c r="R487" s="127"/>
      <c r="S487" s="127"/>
      <c r="T487" s="98"/>
      <c r="U487" s="23"/>
    </row>
    <row r="488" spans="1:21" ht="13.8" thickBot="1">
      <c r="A488" s="19"/>
      <c r="B488" s="82"/>
      <c r="C488" s="20"/>
      <c r="D488" s="46" t="s">
        <v>144</v>
      </c>
      <c r="E488" s="88" t="s">
        <v>58</v>
      </c>
      <c r="F488" s="40">
        <f>F485*F486</f>
        <v>4</v>
      </c>
      <c r="G488" s="46" t="s">
        <v>219</v>
      </c>
      <c r="H488" s="40"/>
      <c r="I488" s="20"/>
      <c r="J488" s="102"/>
      <c r="K488" s="20"/>
      <c r="L488" s="40">
        <f>F488*'BDD FE'!$C$21/1000</f>
        <v>2.0960000000000002E-3</v>
      </c>
      <c r="M488" s="102"/>
      <c r="N488" s="40">
        <f t="shared" ref="N488" si="148">L488+M488</f>
        <v>2.0960000000000002E-3</v>
      </c>
      <c r="O488" s="40">
        <f>F488*'BDD FE'!$F$21/1000</f>
        <v>4.4000000000000002E-4</v>
      </c>
      <c r="P488" s="40"/>
      <c r="Q488" s="40">
        <f t="shared" ref="Q488" si="149">O488+P488</f>
        <v>4.4000000000000002E-4</v>
      </c>
      <c r="R488" s="131"/>
      <c r="S488" s="131"/>
      <c r="T488" s="40"/>
      <c r="U488" s="24"/>
    </row>
    <row r="489" spans="1:21" ht="13.8" thickBot="1">
      <c r="F489" s="31"/>
      <c r="H489" s="31"/>
      <c r="J489" s="103"/>
      <c r="L489" s="31"/>
      <c r="M489" s="103"/>
      <c r="N489" s="31"/>
      <c r="O489" s="31"/>
      <c r="P489" s="31"/>
      <c r="Q489" s="31"/>
      <c r="R489" s="128"/>
      <c r="S489" s="128"/>
      <c r="T489" s="31"/>
    </row>
    <row r="490" spans="1:21">
      <c r="A490" s="15"/>
      <c r="B490" s="80" t="s">
        <v>30</v>
      </c>
      <c r="C490" s="16" t="s">
        <v>58</v>
      </c>
      <c r="D490" s="16"/>
      <c r="E490" s="86"/>
      <c r="F490" s="109"/>
      <c r="G490" s="16"/>
      <c r="H490" s="109"/>
      <c r="I490" s="16"/>
      <c r="J490" s="100"/>
      <c r="K490" s="16"/>
      <c r="L490" s="109"/>
      <c r="M490" s="100"/>
      <c r="N490" s="109"/>
      <c r="O490" s="109"/>
      <c r="P490" s="109"/>
      <c r="Q490" s="109"/>
      <c r="R490" s="126"/>
      <c r="S490" s="126"/>
      <c r="T490" s="109"/>
      <c r="U490" s="22"/>
    </row>
    <row r="491" spans="1:21">
      <c r="A491" s="17"/>
      <c r="B491" s="81"/>
      <c r="C491" s="18"/>
      <c r="D491" s="18"/>
      <c r="E491" s="87" t="s">
        <v>152</v>
      </c>
      <c r="F491" s="110">
        <v>1</v>
      </c>
      <c r="G491" s="18" t="s">
        <v>20</v>
      </c>
      <c r="H491" s="98"/>
      <c r="I491" s="18"/>
      <c r="J491" s="101"/>
      <c r="K491" s="18"/>
      <c r="L491" s="98"/>
      <c r="M491" s="101"/>
      <c r="N491" s="98"/>
      <c r="O491" s="98"/>
      <c r="P491" s="98"/>
      <c r="Q491" s="98"/>
      <c r="R491" s="127"/>
      <c r="S491" s="127"/>
      <c r="T491" s="98"/>
      <c r="U491" s="76">
        <v>8</v>
      </c>
    </row>
    <row r="492" spans="1:21">
      <c r="A492" s="17"/>
      <c r="B492" s="81"/>
      <c r="C492" s="18"/>
      <c r="D492" s="18"/>
      <c r="E492" s="81" t="s">
        <v>6</v>
      </c>
      <c r="F492" s="120">
        <v>4</v>
      </c>
      <c r="G492" s="18" t="s">
        <v>7</v>
      </c>
      <c r="H492" s="98"/>
      <c r="I492" s="18"/>
      <c r="J492" s="101"/>
      <c r="K492" s="18"/>
      <c r="L492" s="98"/>
      <c r="M492" s="101"/>
      <c r="N492" s="98"/>
      <c r="O492" s="98"/>
      <c r="P492" s="98"/>
      <c r="Q492" s="98"/>
      <c r="R492" s="127"/>
      <c r="S492" s="127"/>
      <c r="T492" s="98"/>
      <c r="U492" s="23"/>
    </row>
    <row r="493" spans="1:21" outlineLevel="1">
      <c r="A493" s="17"/>
      <c r="B493" s="81"/>
      <c r="C493" s="18"/>
      <c r="D493" s="18"/>
      <c r="E493" s="87" t="s">
        <v>363</v>
      </c>
      <c r="F493" s="121">
        <v>7</v>
      </c>
      <c r="G493" s="21"/>
      <c r="H493" s="98"/>
      <c r="I493" s="18"/>
      <c r="J493" s="101"/>
      <c r="K493" s="18"/>
      <c r="L493" s="98"/>
      <c r="M493" s="101"/>
      <c r="N493" s="98"/>
      <c r="O493" s="98"/>
      <c r="P493" s="98"/>
      <c r="Q493" s="98"/>
      <c r="R493" s="127"/>
      <c r="S493" s="127"/>
      <c r="T493" s="98"/>
      <c r="U493" s="23"/>
    </row>
    <row r="494" spans="1:21" ht="13.8" thickBot="1">
      <c r="A494" s="19"/>
      <c r="B494" s="82"/>
      <c r="C494" s="20"/>
      <c r="D494" s="46" t="s">
        <v>144</v>
      </c>
      <c r="E494" s="88" t="s">
        <v>58</v>
      </c>
      <c r="F494" s="40">
        <f>F491*F492</f>
        <v>4</v>
      </c>
      <c r="G494" s="46" t="s">
        <v>219</v>
      </c>
      <c r="H494" s="40"/>
      <c r="I494" s="20"/>
      <c r="J494" s="102"/>
      <c r="K494" s="20"/>
      <c r="L494" s="40">
        <f>F494*'BDD FE'!$C$21/1000</f>
        <v>2.0960000000000002E-3</v>
      </c>
      <c r="M494" s="102"/>
      <c r="N494" s="40">
        <f t="shared" ref="N494" si="150">L494+M494</f>
        <v>2.0960000000000002E-3</v>
      </c>
      <c r="O494" s="40">
        <f>F494*'BDD FE'!$F$21/1000</f>
        <v>4.4000000000000002E-4</v>
      </c>
      <c r="P494" s="40"/>
      <c r="Q494" s="40">
        <f t="shared" ref="Q494" si="151">O494+P494</f>
        <v>4.4000000000000002E-4</v>
      </c>
      <c r="R494" s="131"/>
      <c r="S494" s="131"/>
      <c r="T494" s="40"/>
      <c r="U494" s="24"/>
    </row>
    <row r="495" spans="1:21" ht="13.8" thickBot="1">
      <c r="F495" s="31"/>
      <c r="H495" s="31"/>
      <c r="J495" s="103"/>
      <c r="L495" s="31"/>
      <c r="M495" s="103"/>
      <c r="N495" s="31"/>
      <c r="O495" s="31"/>
      <c r="P495" s="31"/>
      <c r="Q495" s="31"/>
      <c r="R495" s="128"/>
      <c r="S495" s="128"/>
      <c r="T495" s="31"/>
    </row>
    <row r="496" spans="1:21">
      <c r="A496" s="15"/>
      <c r="B496" s="80" t="s">
        <v>31</v>
      </c>
      <c r="C496" s="16" t="s">
        <v>58</v>
      </c>
      <c r="D496" s="16"/>
      <c r="E496" s="86"/>
      <c r="F496" s="109"/>
      <c r="G496" s="16"/>
      <c r="H496" s="109"/>
      <c r="I496" s="16"/>
      <c r="J496" s="100"/>
      <c r="K496" s="16"/>
      <c r="L496" s="109"/>
      <c r="M496" s="100"/>
      <c r="N496" s="109"/>
      <c r="O496" s="109"/>
      <c r="P496" s="109"/>
      <c r="Q496" s="109"/>
      <c r="R496" s="126"/>
      <c r="S496" s="126"/>
      <c r="T496" s="109"/>
      <c r="U496" s="22"/>
    </row>
    <row r="497" spans="1:21">
      <c r="A497" s="17"/>
      <c r="B497" s="81"/>
      <c r="C497" s="18"/>
      <c r="D497" s="18"/>
      <c r="E497" s="87" t="s">
        <v>152</v>
      </c>
      <c r="F497" s="110">
        <v>1</v>
      </c>
      <c r="G497" s="18" t="s">
        <v>20</v>
      </c>
      <c r="H497" s="98"/>
      <c r="I497" s="18"/>
      <c r="J497" s="101"/>
      <c r="K497" s="18"/>
      <c r="L497" s="98"/>
      <c r="M497" s="101"/>
      <c r="N497" s="98"/>
      <c r="O497" s="98"/>
      <c r="P497" s="98"/>
      <c r="Q497" s="98"/>
      <c r="R497" s="127"/>
      <c r="S497" s="127"/>
      <c r="T497" s="98"/>
      <c r="U497" s="76">
        <v>8</v>
      </c>
    </row>
    <row r="498" spans="1:21">
      <c r="A498" s="17"/>
      <c r="B498" s="81"/>
      <c r="C498" s="18"/>
      <c r="D498" s="18"/>
      <c r="E498" s="81" t="s">
        <v>6</v>
      </c>
      <c r="F498" s="120">
        <v>4</v>
      </c>
      <c r="G498" s="18" t="s">
        <v>7</v>
      </c>
      <c r="H498" s="98"/>
      <c r="I498" s="18"/>
      <c r="J498" s="101"/>
      <c r="K498" s="18"/>
      <c r="L498" s="98"/>
      <c r="M498" s="101"/>
      <c r="N498" s="98"/>
      <c r="O498" s="98"/>
      <c r="P498" s="98"/>
      <c r="Q498" s="98"/>
      <c r="R498" s="127"/>
      <c r="S498" s="127"/>
      <c r="T498" s="98"/>
      <c r="U498" s="23"/>
    </row>
    <row r="499" spans="1:21" outlineLevel="1">
      <c r="A499" s="17"/>
      <c r="B499" s="81"/>
      <c r="C499" s="18"/>
      <c r="D499" s="18"/>
      <c r="E499" s="87" t="s">
        <v>363</v>
      </c>
      <c r="F499" s="121">
        <v>7</v>
      </c>
      <c r="G499" s="21"/>
      <c r="H499" s="98"/>
      <c r="I499" s="18"/>
      <c r="J499" s="101"/>
      <c r="K499" s="18"/>
      <c r="L499" s="98"/>
      <c r="M499" s="101"/>
      <c r="N499" s="98"/>
      <c r="O499" s="98"/>
      <c r="P499" s="98"/>
      <c r="Q499" s="98"/>
      <c r="R499" s="127"/>
      <c r="S499" s="127"/>
      <c r="T499" s="98"/>
      <c r="U499" s="23"/>
    </row>
    <row r="500" spans="1:21" ht="13.8" thickBot="1">
      <c r="A500" s="19"/>
      <c r="B500" s="82"/>
      <c r="C500" s="20"/>
      <c r="D500" s="46" t="s">
        <v>144</v>
      </c>
      <c r="E500" s="88" t="s">
        <v>58</v>
      </c>
      <c r="F500" s="40">
        <f>F497*F498</f>
        <v>4</v>
      </c>
      <c r="G500" s="46" t="s">
        <v>219</v>
      </c>
      <c r="H500" s="40"/>
      <c r="I500" s="20"/>
      <c r="J500" s="102"/>
      <c r="K500" s="20"/>
      <c r="L500" s="40">
        <f>F500*'BDD FE'!$C$21/1000</f>
        <v>2.0960000000000002E-3</v>
      </c>
      <c r="M500" s="102"/>
      <c r="N500" s="40">
        <f t="shared" ref="N500" si="152">L500+M500</f>
        <v>2.0960000000000002E-3</v>
      </c>
      <c r="O500" s="40">
        <f>F500*'BDD FE'!$F$21/1000</f>
        <v>4.4000000000000002E-4</v>
      </c>
      <c r="P500" s="40"/>
      <c r="Q500" s="40">
        <f t="shared" ref="Q500" si="153">O500+P500</f>
        <v>4.4000000000000002E-4</v>
      </c>
      <c r="R500" s="131"/>
      <c r="S500" s="131"/>
      <c r="T500" s="40"/>
      <c r="U500" s="24"/>
    </row>
    <row r="501" spans="1:21" ht="13.8" thickBot="1">
      <c r="F501" s="31"/>
      <c r="H501" s="31"/>
      <c r="J501" s="103"/>
      <c r="L501" s="31"/>
      <c r="M501" s="103"/>
      <c r="N501" s="31"/>
      <c r="O501" s="31"/>
      <c r="P501" s="31"/>
      <c r="Q501" s="31"/>
      <c r="R501" s="128"/>
      <c r="S501" s="128"/>
      <c r="T501" s="31"/>
    </row>
    <row r="502" spans="1:21" ht="52.8">
      <c r="A502" s="15"/>
      <c r="B502" s="80" t="s">
        <v>32</v>
      </c>
      <c r="C502" s="16" t="s">
        <v>58</v>
      </c>
      <c r="D502" s="16"/>
      <c r="E502" s="86"/>
      <c r="F502" s="109"/>
      <c r="G502" s="16"/>
      <c r="H502" s="109"/>
      <c r="I502" s="16"/>
      <c r="J502" s="100"/>
      <c r="K502" s="16"/>
      <c r="L502" s="109"/>
      <c r="M502" s="100"/>
      <c r="N502" s="109"/>
      <c r="O502" s="109"/>
      <c r="P502" s="109"/>
      <c r="Q502" s="109"/>
      <c r="R502" s="126"/>
      <c r="S502" s="126"/>
      <c r="T502" s="109"/>
      <c r="U502" s="22"/>
    </row>
    <row r="503" spans="1:21">
      <c r="A503" s="17"/>
      <c r="B503" s="81"/>
      <c r="C503" s="18"/>
      <c r="D503" s="18"/>
      <c r="E503" s="87" t="s">
        <v>152</v>
      </c>
      <c r="F503" s="110">
        <v>1</v>
      </c>
      <c r="G503" s="18" t="s">
        <v>20</v>
      </c>
      <c r="H503" s="98"/>
      <c r="I503" s="18"/>
      <c r="J503" s="101"/>
      <c r="K503" s="18"/>
      <c r="L503" s="98"/>
      <c r="M503" s="101"/>
      <c r="N503" s="98"/>
      <c r="O503" s="98"/>
      <c r="P503" s="98"/>
      <c r="Q503" s="98"/>
      <c r="R503" s="127"/>
      <c r="S503" s="127"/>
      <c r="T503" s="98"/>
      <c r="U503" s="76">
        <v>8</v>
      </c>
    </row>
    <row r="504" spans="1:21">
      <c r="A504" s="17"/>
      <c r="B504" s="81"/>
      <c r="C504" s="18"/>
      <c r="D504" s="18"/>
      <c r="E504" s="81" t="s">
        <v>6</v>
      </c>
      <c r="F504" s="120">
        <v>4</v>
      </c>
      <c r="G504" s="18" t="s">
        <v>7</v>
      </c>
      <c r="H504" s="98"/>
      <c r="I504" s="18"/>
      <c r="J504" s="101"/>
      <c r="K504" s="18"/>
      <c r="L504" s="98"/>
      <c r="M504" s="101"/>
      <c r="N504" s="98"/>
      <c r="O504" s="98"/>
      <c r="P504" s="98"/>
      <c r="Q504" s="98"/>
      <c r="R504" s="127"/>
      <c r="S504" s="127"/>
      <c r="T504" s="98"/>
      <c r="U504" s="23"/>
    </row>
    <row r="505" spans="1:21" outlineLevel="1">
      <c r="A505" s="17"/>
      <c r="B505" s="81"/>
      <c r="C505" s="18"/>
      <c r="D505" s="18"/>
      <c r="E505" s="87" t="s">
        <v>363</v>
      </c>
      <c r="F505" s="121">
        <v>7</v>
      </c>
      <c r="G505" s="21"/>
      <c r="H505" s="98"/>
      <c r="I505" s="18"/>
      <c r="J505" s="101"/>
      <c r="K505" s="18"/>
      <c r="L505" s="98"/>
      <c r="M505" s="101"/>
      <c r="N505" s="98"/>
      <c r="O505" s="98"/>
      <c r="P505" s="98"/>
      <c r="Q505" s="98"/>
      <c r="R505" s="127"/>
      <c r="S505" s="127"/>
      <c r="T505" s="98"/>
      <c r="U505" s="23"/>
    </row>
    <row r="506" spans="1:21" ht="13.8" thickBot="1">
      <c r="A506" s="19"/>
      <c r="B506" s="82"/>
      <c r="C506" s="20"/>
      <c r="D506" s="46" t="s">
        <v>144</v>
      </c>
      <c r="E506" s="88" t="s">
        <v>58</v>
      </c>
      <c r="F506" s="40">
        <f>F503*F504</f>
        <v>4</v>
      </c>
      <c r="G506" s="46" t="s">
        <v>219</v>
      </c>
      <c r="H506" s="40"/>
      <c r="I506" s="20"/>
      <c r="J506" s="102"/>
      <c r="K506" s="20"/>
      <c r="L506" s="40">
        <f>F506*'BDD FE'!$C$21/1000</f>
        <v>2.0960000000000002E-3</v>
      </c>
      <c r="M506" s="102"/>
      <c r="N506" s="40">
        <f t="shared" ref="N506" si="154">L506+M506</f>
        <v>2.0960000000000002E-3</v>
      </c>
      <c r="O506" s="40">
        <f>F506*'BDD FE'!$F$21/1000</f>
        <v>4.4000000000000002E-4</v>
      </c>
      <c r="P506" s="40"/>
      <c r="Q506" s="40">
        <f t="shared" ref="Q506" si="155">O506+P506</f>
        <v>4.4000000000000002E-4</v>
      </c>
      <c r="R506" s="131"/>
      <c r="S506" s="131"/>
      <c r="T506" s="40"/>
      <c r="U506" s="24"/>
    </row>
  </sheetData>
  <sheetProtection algorithmName="SHA-512" hashValue="NknrziX7t+ZVtDG5hAlIf+WQhkEksydPiceTuvmnMYLGliiGZmyph2BsIbLtWy019zj8fBHtF5bmLmo5aOe9Yw==" saltValue="aJYXIHyiKdnuavBU2P+qYQ==" spinCount="100000" sheet="1" objects="1" scenarios="1"/>
  <dataConsolidate/>
  <printOptions horizontalCentered="1" verticalCentered="1" gridLines="1"/>
  <pageMargins left="0" right="0" top="0.98425196850393704" bottom="0.98425196850393704" header="0.51181102362204722" footer="0.51181102362204722"/>
  <pageSetup paperSize="9" scale="90" orientation="portrait" horizontalDpi="409" verticalDpi="200" r:id="rId1"/>
  <headerFooter alignWithMargins="0">
    <oddHeader>&amp;A</oddHeader>
    <oddFooter>&amp;LGrégory HOUILLON&amp;C&amp;F&amp;R&amp;D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21</vt:i4>
      </vt:variant>
      <vt:variant>
        <vt:lpstr>Plages nommées</vt:lpstr>
      </vt:variant>
      <vt:variant>
        <vt:i4>7</vt:i4>
      </vt:variant>
    </vt:vector>
  </HeadingPairs>
  <TitlesOfParts>
    <vt:vector size="28" baseType="lpstr">
      <vt:lpstr>Présentation outil</vt:lpstr>
      <vt:lpstr>Mode emploi</vt:lpstr>
      <vt:lpstr>Ressources</vt:lpstr>
      <vt:lpstr>Méthodes disponibles</vt:lpstr>
      <vt:lpstr>Données à renseigner</vt:lpstr>
      <vt:lpstr>Conversions</vt:lpstr>
      <vt:lpstr>BDD trait</vt:lpstr>
      <vt:lpstr>BDD FE</vt:lpstr>
      <vt:lpstr>Calculs</vt:lpstr>
      <vt:lpstr>Sources</vt:lpstr>
      <vt:lpstr>Lexique</vt:lpstr>
      <vt:lpstr>Sparging Venting</vt:lpstr>
      <vt:lpstr>Pomp ecrem</vt:lpstr>
      <vt:lpstr>Lavage eau et extract</vt:lpstr>
      <vt:lpstr>Stab physico chim</vt:lpstr>
      <vt:lpstr>Desorption therm</vt:lpstr>
      <vt:lpstr>Excavation</vt:lpstr>
      <vt:lpstr>Tri selon les fractions</vt:lpstr>
      <vt:lpstr>Lavage à l'eau</vt:lpstr>
      <vt:lpstr>Co Inci cimenterie</vt:lpstr>
      <vt:lpstr>Biotertre</vt:lpstr>
      <vt:lpstr>CalcsPollutantTypeTitleCell</vt:lpstr>
      <vt:lpstr>CalcsStart</vt:lpstr>
      <vt:lpstr>CalcsTypeTitleCell</vt:lpstr>
      <vt:lpstr>IntrantsColors</vt:lpstr>
      <vt:lpstr>TypePolluantsN</vt:lpstr>
      <vt:lpstr>TypeTraitementN</vt:lpstr>
      <vt:lpstr>'Présentation outil'!Zone_d_impression</vt:lpstr>
    </vt:vector>
  </TitlesOfParts>
  <Company>DD, GECOS, EPFL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Grégory HOUILLON</dc:creator>
  <cp:lastModifiedBy>HOUILLON Grégory</cp:lastModifiedBy>
  <cp:lastPrinted>2020-01-15T14:50:28Z</cp:lastPrinted>
  <dcterms:created xsi:type="dcterms:W3CDTF">2000-05-24T12:37:48Z</dcterms:created>
  <dcterms:modified xsi:type="dcterms:W3CDTF">2022-04-11T07:04:59Z</dcterms:modified>
</cp:coreProperties>
</file>