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xl/vbaProject.bin" ContentType="application/vnd.ms-office.vbaProject"/>
  <Override PartName="/xl/vbaProjectSignature.bin" ContentType="application/vnd.ms-office.vbaProjectSignature"/>
  <Override PartName="/xl/vbaProjectSignatureAgile.bin" ContentType="application/vnd.ms-office.vbaProjectSignatureAgile"/>
  <Override PartName="/xl/vbaProjectSignatureV3.bin" ContentType="application/vnd.ms-office.vbaProjectSignatureV3"/>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1f9da84d3d6544d7" Type="http://schemas.microsoft.com/office/2007/relationships/ui/extensibility" Target="customUI/customUI14.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codeName="{899C9086-67A9-5B14-2C2D-5A8001700F7D}"/>
  <workbookPr codeName="ThisWorkbook"/>
  <mc:AlternateContent xmlns:mc="http://schemas.openxmlformats.org/markup-compatibility/2006">
    <mc:Choice Requires="x15">
      <x15ac:absPath xmlns:x15ac="http://schemas.microsoft.com/office/spreadsheetml/2010/11/ac" url="S:\UO2785\14_Immobilier\LDTR\17_Doc_types_archives_pratiques_clef-SI\FORMULAIRES pour autorisation\_EN LIGNE ACTUELLEMENT\"/>
    </mc:Choice>
  </mc:AlternateContent>
  <xr:revisionPtr revIDLastSave="0" documentId="8_{141BA33D-AFA4-4693-A54E-60CE7FD720B6}" xr6:coauthVersionLast="47" xr6:coauthVersionMax="47" xr10:uidLastSave="{00000000-0000-0000-0000-000000000000}"/>
  <workbookProtection workbookAlgorithmName="SHA-512" workbookHashValue="l0NNAPuuuqs6XMs5xQL4yYGG+i1BftQOA5syWeq9oU/acIP4e2y2Qj5Thquqw29m84C/cCwCR/gtFCF1tygUAg==" workbookSaltValue="O926Sq+bWnCrBcOdOWvodg==" workbookSpinCount="100000" lockStructure="1"/>
  <bookViews>
    <workbookView xWindow="28680" yWindow="-120" windowWidth="25440" windowHeight="15270" tabRatio="762" xr2:uid="{00000000-000D-0000-FFFF-FFFF00000000}"/>
  </bookViews>
  <sheets>
    <sheet name="TABLEAU COUTS" sheetId="15" r:id="rId1"/>
    <sheet name="TABLEAU LOYERS" sheetId="16" r:id="rId2"/>
    <sheet name="AIDE" sheetId="6" r:id="rId3"/>
    <sheet name="STATISTIQUE LEN" sheetId="17" state="hidden" r:id="rId4"/>
    <sheet name="Listes" sheetId="7" state="hidden" r:id="rId5"/>
  </sheets>
  <externalReferences>
    <externalReference r:id="rId6"/>
  </externalReferences>
  <definedNames>
    <definedName name="Amort_E" localSheetId="3">[1]Listes!$C$2:$C$8</definedName>
    <definedName name="Amort_E">Listes!$C$2:$C$8</definedName>
    <definedName name="Amort_R" localSheetId="3">[1]Listes!$A$2:$A$3</definedName>
    <definedName name="Amort_R">Listes!$A$2:$A$3</definedName>
    <definedName name="FirstTime">'TABLEAU LOYERS'!$AE$2</definedName>
    <definedName name="NbrLogements">'TABLEAU LOYERS'!$AD$2</definedName>
    <definedName name="Part_Value" localSheetId="3">[1]Listes!$E$2:$E$4</definedName>
    <definedName name="Part_Value">Listes!$E$2:$E$4</definedName>
    <definedName name="Print_Area" localSheetId="2">AIDE!$A$1:$B$1</definedName>
    <definedName name="Print_Area" localSheetId="3">'STATISTIQUE LEN'!$A$2:$U$46</definedName>
    <definedName name="Print_Area" localSheetId="0">'TABLEAU COUTS'!$B$2:$S$55</definedName>
    <definedName name="Print_Area" localSheetId="1">'TABLEAU LOYERS'!$B$1:$R$36</definedName>
    <definedName name="_xlnm.Print_Area" localSheetId="2">AIDE!$A$1:$B$1</definedName>
    <definedName name="_xlnm.Print_Area" localSheetId="0">'TABLEAU COUTS'!$A$1:$S$55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2" i="16" l="1"/>
  <c r="I32" i="16"/>
  <c r="H32" i="16"/>
  <c r="F32" i="16"/>
  <c r="D32" i="16"/>
  <c r="AH31" i="16"/>
  <c r="AH30" i="16"/>
  <c r="AH29" i="16"/>
  <c r="AH28" i="16"/>
  <c r="AH27" i="16"/>
  <c r="AH26" i="16"/>
  <c r="AH25" i="16"/>
  <c r="AH24" i="16"/>
  <c r="AH23" i="16"/>
  <c r="AH22" i="16"/>
  <c r="AH21" i="16"/>
  <c r="AH20" i="16"/>
  <c r="AH19" i="16"/>
  <c r="AH18" i="16"/>
  <c r="AH17" i="16"/>
  <c r="AH16" i="16"/>
  <c r="AH15" i="16"/>
  <c r="AH14" i="16"/>
  <c r="AH13" i="16"/>
  <c r="AH12" i="16" l="1"/>
  <c r="AH32" i="16" s="1"/>
  <c r="P11" i="16" l="1"/>
  <c r="B8" i="16" l="1"/>
  <c r="X32" i="16"/>
  <c r="W32" i="16"/>
  <c r="U32" i="16"/>
  <c r="T32" i="16"/>
  <c r="S32" i="16"/>
  <c r="R7" i="15"/>
  <c r="Q49" i="15" l="1"/>
  <c r="R48" i="15"/>
  <c r="Q50" i="15"/>
  <c r="AD2" i="16"/>
  <c r="Q32" i="17" l="1"/>
  <c r="Q20" i="17"/>
  <c r="P32" i="17"/>
  <c r="O32" i="17"/>
  <c r="O20" i="17"/>
  <c r="P20" i="17"/>
  <c r="H20" i="17"/>
  <c r="G20" i="17"/>
  <c r="M20" i="17"/>
  <c r="L20" i="17"/>
  <c r="K20" i="17"/>
  <c r="I20" i="17"/>
  <c r="D59" i="17" l="1"/>
  <c r="K43" i="17" l="1"/>
  <c r="H43" i="17"/>
  <c r="Q10" i="17" l="1"/>
  <c r="O10" i="17"/>
  <c r="M10" i="17"/>
  <c r="I10" i="17"/>
  <c r="G10" i="17"/>
  <c r="H10" i="17"/>
  <c r="K10" i="17"/>
  <c r="L10" i="17"/>
  <c r="P10" i="17"/>
  <c r="H23" i="17"/>
  <c r="H13" i="17" l="1"/>
  <c r="G13" i="17"/>
  <c r="A3" i="17"/>
  <c r="W47" i="17"/>
  <c r="W50" i="17"/>
  <c r="G23" i="17" l="1"/>
  <c r="D12" i="17" l="1"/>
  <c r="C12" i="17"/>
  <c r="B12" i="17"/>
  <c r="A12" i="17"/>
  <c r="N20" i="17" l="1"/>
  <c r="R20" i="17"/>
  <c r="J20" i="17"/>
  <c r="R32" i="17"/>
  <c r="N10" i="17"/>
  <c r="R10" i="17"/>
  <c r="J10" i="17"/>
  <c r="I43" i="17"/>
  <c r="J43" i="17" s="1"/>
  <c r="AC8" i="16"/>
  <c r="D55" i="15"/>
  <c r="H44" i="15"/>
  <c r="B43" i="17" s="1"/>
  <c r="C44" i="15"/>
  <c r="N43" i="15"/>
  <c r="M43" i="15"/>
  <c r="F43" i="15"/>
  <c r="N42" i="15"/>
  <c r="M42" i="15"/>
  <c r="N41" i="15"/>
  <c r="M41" i="15"/>
  <c r="F41" i="15"/>
  <c r="N40" i="15"/>
  <c r="M40" i="15"/>
  <c r="N39" i="15"/>
  <c r="M39" i="15"/>
  <c r="F39" i="15"/>
  <c r="N38" i="15"/>
  <c r="M38" i="15"/>
  <c r="N37" i="15"/>
  <c r="M37" i="15"/>
  <c r="F37" i="15"/>
  <c r="N36" i="15"/>
  <c r="M36" i="15"/>
  <c r="N35" i="15"/>
  <c r="M35" i="15"/>
  <c r="F35" i="15"/>
  <c r="N34" i="15"/>
  <c r="M34" i="15"/>
  <c r="N33" i="15"/>
  <c r="M33" i="15"/>
  <c r="F33" i="15"/>
  <c r="N32" i="15"/>
  <c r="M32" i="15"/>
  <c r="N31" i="15"/>
  <c r="M31" i="15"/>
  <c r="F31" i="15"/>
  <c r="N30" i="15"/>
  <c r="M30" i="15"/>
  <c r="N29" i="15"/>
  <c r="M29" i="15"/>
  <c r="F29" i="15"/>
  <c r="N28" i="15"/>
  <c r="M28" i="15"/>
  <c r="N27" i="15"/>
  <c r="M27" i="15"/>
  <c r="F27" i="15"/>
  <c r="N26" i="15"/>
  <c r="M26" i="15"/>
  <c r="N25" i="15"/>
  <c r="M25" i="15"/>
  <c r="F25" i="15"/>
  <c r="N24" i="15"/>
  <c r="M24" i="15"/>
  <c r="N23" i="15"/>
  <c r="M23" i="15"/>
  <c r="F23" i="15"/>
  <c r="N22" i="15"/>
  <c r="M22" i="15"/>
  <c r="N21" i="15"/>
  <c r="M21" i="15"/>
  <c r="F21" i="15"/>
  <c r="N20" i="15"/>
  <c r="M20" i="15"/>
  <c r="N19" i="15"/>
  <c r="M19" i="15"/>
  <c r="F19" i="15"/>
  <c r="N18" i="15"/>
  <c r="M18" i="15"/>
  <c r="N17" i="15"/>
  <c r="M17" i="15"/>
  <c r="F17" i="15"/>
  <c r="N16" i="15"/>
  <c r="M16" i="15"/>
  <c r="N15" i="15"/>
  <c r="M15" i="15"/>
  <c r="F15" i="15"/>
  <c r="N14" i="15"/>
  <c r="M14" i="15"/>
  <c r="N13" i="15"/>
  <c r="M13" i="15"/>
  <c r="F13" i="15"/>
  <c r="N12" i="15"/>
  <c r="M12" i="15"/>
  <c r="N11" i="15"/>
  <c r="M11" i="15"/>
  <c r="F11" i="15"/>
  <c r="N10" i="15"/>
  <c r="M10" i="15"/>
  <c r="J30" i="16" l="1"/>
  <c r="L30" i="16" s="1"/>
  <c r="K30" i="16" s="1"/>
  <c r="J31" i="16"/>
  <c r="AF30" i="16"/>
  <c r="J28" i="16"/>
  <c r="L28" i="16" s="1"/>
  <c r="N28" i="16" s="1"/>
  <c r="J29" i="16"/>
  <c r="J26" i="16"/>
  <c r="AE26" i="16" s="1"/>
  <c r="J27" i="16"/>
  <c r="J24" i="16"/>
  <c r="L24" i="16" s="1"/>
  <c r="N24" i="16" s="1"/>
  <c r="M24" i="16" s="1"/>
  <c r="J25" i="16"/>
  <c r="AD24" i="16"/>
  <c r="J22" i="16"/>
  <c r="L22" i="16" s="1"/>
  <c r="N22" i="16" s="1"/>
  <c r="J23" i="16"/>
  <c r="J20" i="16"/>
  <c r="AF20" i="16" s="1"/>
  <c r="J21" i="16"/>
  <c r="J19" i="16"/>
  <c r="AE19" i="16" s="1"/>
  <c r="J18" i="16"/>
  <c r="J17" i="16"/>
  <c r="J16" i="16"/>
  <c r="AG16" i="16" s="1"/>
  <c r="J15" i="16"/>
  <c r="AG15" i="16" s="1"/>
  <c r="J14" i="16"/>
  <c r="J13" i="16"/>
  <c r="O13" i="15"/>
  <c r="P13" i="15" s="1"/>
  <c r="P26" i="15"/>
  <c r="P42" i="15"/>
  <c r="J12" i="16"/>
  <c r="P38" i="15"/>
  <c r="I13" i="17"/>
  <c r="I23" i="17"/>
  <c r="P12" i="15"/>
  <c r="O37" i="15"/>
  <c r="P37" i="15" s="1"/>
  <c r="P20" i="15"/>
  <c r="P34" i="15"/>
  <c r="P28" i="15"/>
  <c r="O25" i="15"/>
  <c r="P25" i="15" s="1"/>
  <c r="O17" i="15"/>
  <c r="P17" i="15" s="1"/>
  <c r="P30" i="15"/>
  <c r="O11" i="15"/>
  <c r="P11" i="15" s="1"/>
  <c r="O29" i="15"/>
  <c r="P29" i="15" s="1"/>
  <c r="P32" i="15"/>
  <c r="P36" i="15"/>
  <c r="P24" i="15"/>
  <c r="O21" i="15"/>
  <c r="P21" i="15" s="1"/>
  <c r="P40" i="15"/>
  <c r="P16" i="15"/>
  <c r="O19" i="15"/>
  <c r="P19" i="15" s="1"/>
  <c r="P22" i="15"/>
  <c r="D24" i="15"/>
  <c r="E24" i="15" s="1"/>
  <c r="D26" i="15"/>
  <c r="E26" i="15" s="1"/>
  <c r="D42" i="15"/>
  <c r="E42" i="15" s="1"/>
  <c r="D36" i="15"/>
  <c r="E36" i="15" s="1"/>
  <c r="D20" i="15"/>
  <c r="E20" i="15" s="1"/>
  <c r="D28" i="15"/>
  <c r="E28" i="15" s="1"/>
  <c r="D14" i="15"/>
  <c r="E14" i="15" s="1"/>
  <c r="D22" i="15"/>
  <c r="E22" i="15" s="1"/>
  <c r="D30" i="15"/>
  <c r="E30" i="15" s="1"/>
  <c r="D38" i="15"/>
  <c r="E38" i="15" s="1"/>
  <c r="D16" i="15"/>
  <c r="E16" i="15" s="1"/>
  <c r="D32" i="15"/>
  <c r="E32" i="15" s="1"/>
  <c r="D40" i="15"/>
  <c r="E40" i="15" s="1"/>
  <c r="D18" i="15"/>
  <c r="E18" i="15" s="1"/>
  <c r="D34" i="15"/>
  <c r="E34" i="15" s="1"/>
  <c r="D12" i="15"/>
  <c r="E12" i="15" s="1"/>
  <c r="D10" i="15"/>
  <c r="E10" i="15" s="1"/>
  <c r="O11" i="16"/>
  <c r="P14" i="15"/>
  <c r="O15" i="15"/>
  <c r="P15" i="15" s="1"/>
  <c r="P10" i="15"/>
  <c r="P18" i="15"/>
  <c r="O33" i="15"/>
  <c r="P33" i="15" s="1"/>
  <c r="O41" i="15"/>
  <c r="P41" i="15" s="1"/>
  <c r="O23" i="15"/>
  <c r="P23" i="15" s="1"/>
  <c r="O27" i="15"/>
  <c r="P27" i="15" s="1"/>
  <c r="O31" i="15"/>
  <c r="P31" i="15" s="1"/>
  <c r="O35" i="15"/>
  <c r="P35" i="15" s="1"/>
  <c r="O39" i="15"/>
  <c r="P39" i="15" s="1"/>
  <c r="O43" i="15"/>
  <c r="P43" i="15" s="1"/>
  <c r="AD30" i="16" l="1"/>
  <c r="AG30" i="16"/>
  <c r="AE30" i="16"/>
  <c r="AD28" i="16"/>
  <c r="AE28" i="16"/>
  <c r="L26" i="16"/>
  <c r="K26" i="16" s="1"/>
  <c r="N30" i="16"/>
  <c r="M30" i="16" s="1"/>
  <c r="L31" i="16"/>
  <c r="N31" i="16" s="1"/>
  <c r="AG31" i="16"/>
  <c r="AF31" i="16"/>
  <c r="AE31" i="16"/>
  <c r="AD31" i="16"/>
  <c r="AF28" i="16"/>
  <c r="AG28" i="16"/>
  <c r="AE24" i="16"/>
  <c r="AD15" i="16"/>
  <c r="AF26" i="16"/>
  <c r="AG26" i="16"/>
  <c r="AD26" i="16"/>
  <c r="AE29" i="16"/>
  <c r="L29" i="16"/>
  <c r="N29" i="16" s="1"/>
  <c r="AD29" i="16"/>
  <c r="AG29" i="16"/>
  <c r="AF29" i="16"/>
  <c r="M28" i="16"/>
  <c r="O28" i="16"/>
  <c r="K28" i="16"/>
  <c r="AF24" i="16"/>
  <c r="AE27" i="16"/>
  <c r="L27" i="16"/>
  <c r="N27" i="16" s="1"/>
  <c r="AD27" i="16"/>
  <c r="AG27" i="16"/>
  <c r="AF27" i="16"/>
  <c r="AG24" i="16"/>
  <c r="AG19" i="16"/>
  <c r="AD19" i="16"/>
  <c r="K24" i="16"/>
  <c r="AG20" i="16"/>
  <c r="L25" i="16"/>
  <c r="K25" i="16" s="1"/>
  <c r="AG25" i="16"/>
  <c r="AF25" i="16"/>
  <c r="AE25" i="16"/>
  <c r="AD25" i="16"/>
  <c r="AE22" i="16"/>
  <c r="AD22" i="16"/>
  <c r="AF22" i="16"/>
  <c r="O24" i="16"/>
  <c r="K22" i="16"/>
  <c r="AD20" i="16"/>
  <c r="AF19" i="16"/>
  <c r="AG22" i="16"/>
  <c r="L23" i="16"/>
  <c r="N23" i="16" s="1"/>
  <c r="AE23" i="16"/>
  <c r="AG23" i="16"/>
  <c r="AF23" i="16"/>
  <c r="AD23" i="16"/>
  <c r="M22" i="16"/>
  <c r="O22" i="16"/>
  <c r="AE20" i="16"/>
  <c r="AD16" i="16"/>
  <c r="L21" i="16"/>
  <c r="K21" i="16" s="1"/>
  <c r="AG21" i="16"/>
  <c r="AF21" i="16"/>
  <c r="AE21" i="16"/>
  <c r="AD21" i="16"/>
  <c r="AE18" i="16"/>
  <c r="AD18" i="16"/>
  <c r="AF18" i="16"/>
  <c r="AG18" i="16"/>
  <c r="AG17" i="16"/>
  <c r="AD17" i="16"/>
  <c r="AE17" i="16"/>
  <c r="AF17" i="16"/>
  <c r="AE16" i="16"/>
  <c r="AF16" i="16"/>
  <c r="AE15" i="16"/>
  <c r="AF15" i="16"/>
  <c r="AG14" i="16"/>
  <c r="AF14" i="16"/>
  <c r="AE14" i="16"/>
  <c r="AD14" i="16"/>
  <c r="AG13" i="16"/>
  <c r="AD13" i="16"/>
  <c r="AF13" i="16"/>
  <c r="AE13" i="16"/>
  <c r="AD12" i="16"/>
  <c r="AE12" i="16"/>
  <c r="AF12" i="16"/>
  <c r="AG12" i="16"/>
  <c r="G11" i="15"/>
  <c r="I11" i="15" s="1"/>
  <c r="G10" i="15"/>
  <c r="G31" i="15"/>
  <c r="I31" i="15" s="1"/>
  <c r="K31" i="15" s="1"/>
  <c r="Q31" i="15" s="1"/>
  <c r="R31" i="15" s="1"/>
  <c r="G30" i="15"/>
  <c r="I30" i="15" s="1"/>
  <c r="K30" i="15" s="1"/>
  <c r="Q30" i="15" s="1"/>
  <c r="R30" i="15" s="1"/>
  <c r="G13" i="15"/>
  <c r="I13" i="15" s="1"/>
  <c r="K13" i="15" s="1"/>
  <c r="Q13" i="15" s="1"/>
  <c r="R13" i="15" s="1"/>
  <c r="G12" i="15"/>
  <c r="I12" i="15" s="1"/>
  <c r="K12" i="15" s="1"/>
  <c r="Q12" i="15" s="1"/>
  <c r="R12" i="15" s="1"/>
  <c r="G23" i="15"/>
  <c r="I23" i="15" s="1"/>
  <c r="K23" i="15" s="1"/>
  <c r="Q23" i="15" s="1"/>
  <c r="R23" i="15" s="1"/>
  <c r="G22" i="15"/>
  <c r="I22" i="15" s="1"/>
  <c r="K22" i="15" s="1"/>
  <c r="Q22" i="15" s="1"/>
  <c r="R22" i="15" s="1"/>
  <c r="G35" i="15"/>
  <c r="I35" i="15" s="1"/>
  <c r="K35" i="15" s="1"/>
  <c r="Q35" i="15" s="1"/>
  <c r="R35" i="15" s="1"/>
  <c r="G34" i="15"/>
  <c r="I34" i="15" s="1"/>
  <c r="K34" i="15" s="1"/>
  <c r="Q34" i="15" s="1"/>
  <c r="R34" i="15" s="1"/>
  <c r="G16" i="15"/>
  <c r="I16" i="15" s="1"/>
  <c r="K16" i="15" s="1"/>
  <c r="Q16" i="15" s="1"/>
  <c r="R16" i="15" s="1"/>
  <c r="G17" i="15"/>
  <c r="I17" i="15" s="1"/>
  <c r="K17" i="15" s="1"/>
  <c r="Q17" i="15" s="1"/>
  <c r="R17" i="15" s="1"/>
  <c r="G14" i="15"/>
  <c r="I14" i="15" s="1"/>
  <c r="K14" i="15" s="1"/>
  <c r="Q14" i="15" s="1"/>
  <c r="R14" i="15" s="1"/>
  <c r="G15" i="15"/>
  <c r="I15" i="15" s="1"/>
  <c r="K15" i="15" s="1"/>
  <c r="Q15" i="15" s="1"/>
  <c r="R15" i="15" s="1"/>
  <c r="G43" i="15"/>
  <c r="I43" i="15" s="1"/>
  <c r="K43" i="15" s="1"/>
  <c r="Q43" i="15" s="1"/>
  <c r="R43" i="15" s="1"/>
  <c r="G42" i="15"/>
  <c r="I42" i="15" s="1"/>
  <c r="K42" i="15" s="1"/>
  <c r="Q42" i="15" s="1"/>
  <c r="R42" i="15" s="1"/>
  <c r="G40" i="15"/>
  <c r="I40" i="15" s="1"/>
  <c r="K40" i="15" s="1"/>
  <c r="Q40" i="15" s="1"/>
  <c r="R40" i="15" s="1"/>
  <c r="G41" i="15"/>
  <c r="I41" i="15" s="1"/>
  <c r="K41" i="15" s="1"/>
  <c r="Q41" i="15" s="1"/>
  <c r="R41" i="15" s="1"/>
  <c r="G21" i="15"/>
  <c r="I21" i="15" s="1"/>
  <c r="K21" i="15" s="1"/>
  <c r="Q21" i="15" s="1"/>
  <c r="R21" i="15" s="1"/>
  <c r="G20" i="15"/>
  <c r="I20" i="15" s="1"/>
  <c r="K20" i="15" s="1"/>
  <c r="Q20" i="15" s="1"/>
  <c r="R20" i="15" s="1"/>
  <c r="G33" i="15"/>
  <c r="I33" i="15" s="1"/>
  <c r="K33" i="15" s="1"/>
  <c r="Q33" i="15" s="1"/>
  <c r="R33" i="15" s="1"/>
  <c r="G32" i="15"/>
  <c r="I32" i="15" s="1"/>
  <c r="K32" i="15" s="1"/>
  <c r="Q32" i="15" s="1"/>
  <c r="R32" i="15" s="1"/>
  <c r="G36" i="15"/>
  <c r="I36" i="15" s="1"/>
  <c r="K36" i="15" s="1"/>
  <c r="Q36" i="15" s="1"/>
  <c r="R36" i="15" s="1"/>
  <c r="G37" i="15"/>
  <c r="I37" i="15" s="1"/>
  <c r="K37" i="15" s="1"/>
  <c r="Q37" i="15" s="1"/>
  <c r="R37" i="15" s="1"/>
  <c r="G19" i="15"/>
  <c r="I19" i="15" s="1"/>
  <c r="K19" i="15" s="1"/>
  <c r="Q19" i="15" s="1"/>
  <c r="R19" i="15" s="1"/>
  <c r="G18" i="15"/>
  <c r="I18" i="15" s="1"/>
  <c r="K18" i="15" s="1"/>
  <c r="Q18" i="15" s="1"/>
  <c r="R18" i="15" s="1"/>
  <c r="G39" i="15"/>
  <c r="I39" i="15" s="1"/>
  <c r="K39" i="15" s="1"/>
  <c r="Q39" i="15" s="1"/>
  <c r="R39" i="15" s="1"/>
  <c r="G38" i="15"/>
  <c r="I38" i="15" s="1"/>
  <c r="K38" i="15" s="1"/>
  <c r="Q38" i="15" s="1"/>
  <c r="R38" i="15" s="1"/>
  <c r="G29" i="15"/>
  <c r="I29" i="15" s="1"/>
  <c r="K29" i="15" s="1"/>
  <c r="Q29" i="15" s="1"/>
  <c r="R29" i="15" s="1"/>
  <c r="G28" i="15"/>
  <c r="I28" i="15" s="1"/>
  <c r="K28" i="15" s="1"/>
  <c r="Q28" i="15" s="1"/>
  <c r="R28" i="15" s="1"/>
  <c r="G27" i="15"/>
  <c r="I27" i="15" s="1"/>
  <c r="K27" i="15" s="1"/>
  <c r="Q27" i="15" s="1"/>
  <c r="R27" i="15" s="1"/>
  <c r="G26" i="15"/>
  <c r="I26" i="15" s="1"/>
  <c r="K26" i="15" s="1"/>
  <c r="Q26" i="15" s="1"/>
  <c r="R26" i="15" s="1"/>
  <c r="G24" i="15"/>
  <c r="I24" i="15" s="1"/>
  <c r="K24" i="15" s="1"/>
  <c r="Q24" i="15" s="1"/>
  <c r="R24" i="15" s="1"/>
  <c r="G25" i="15"/>
  <c r="I25" i="15" s="1"/>
  <c r="K25" i="15" s="1"/>
  <c r="Q25" i="15" s="1"/>
  <c r="R25" i="15" s="1"/>
  <c r="D44" i="15"/>
  <c r="O30" i="16" l="1"/>
  <c r="P30" i="16" s="1"/>
  <c r="Q30" i="16" s="1"/>
  <c r="R30" i="16" s="1"/>
  <c r="AJ30" i="16" s="1"/>
  <c r="AE32" i="16"/>
  <c r="F33" i="16" s="1"/>
  <c r="N26" i="16"/>
  <c r="M26" i="16" s="1"/>
  <c r="K31" i="16"/>
  <c r="AD32" i="16"/>
  <c r="D33" i="16" s="1"/>
  <c r="A10" i="17" s="1"/>
  <c r="AG32" i="16"/>
  <c r="M31" i="16"/>
  <c r="O31" i="16"/>
  <c r="O29" i="16"/>
  <c r="M29" i="16"/>
  <c r="K29" i="16"/>
  <c r="AI28" i="16"/>
  <c r="P28" i="16"/>
  <c r="Q28" i="16" s="1"/>
  <c r="R28" i="16" s="1"/>
  <c r="AJ28" i="16" s="1"/>
  <c r="K27" i="16"/>
  <c r="O27" i="16"/>
  <c r="M27" i="16"/>
  <c r="N25" i="16"/>
  <c r="M25" i="16" s="1"/>
  <c r="K23" i="16"/>
  <c r="AI24" i="16"/>
  <c r="P24" i="16"/>
  <c r="Q24" i="16" s="1"/>
  <c r="R24" i="16" s="1"/>
  <c r="AJ24" i="16" s="1"/>
  <c r="O23" i="16"/>
  <c r="M23" i="16"/>
  <c r="P22" i="16"/>
  <c r="Q22" i="16" s="1"/>
  <c r="R22" i="16" s="1"/>
  <c r="AJ22" i="16" s="1"/>
  <c r="AI22" i="16"/>
  <c r="N21" i="16"/>
  <c r="M21" i="16" s="1"/>
  <c r="D10" i="17"/>
  <c r="AF32" i="16"/>
  <c r="C10" i="17" s="1"/>
  <c r="K11" i="15"/>
  <c r="Q11" i="15" s="1"/>
  <c r="Q45" i="15" s="1"/>
  <c r="E43" i="17"/>
  <c r="I10" i="15"/>
  <c r="E44" i="15"/>
  <c r="A43" i="17" s="1"/>
  <c r="AI30" i="16" l="1"/>
  <c r="O26" i="16"/>
  <c r="P26" i="16" s="1"/>
  <c r="Q26" i="16" s="1"/>
  <c r="R26" i="16" s="1"/>
  <c r="AJ26" i="16" s="1"/>
  <c r="AI31" i="16"/>
  <c r="P31" i="16"/>
  <c r="Q31" i="16" s="1"/>
  <c r="R31" i="16" s="1"/>
  <c r="AJ31" i="16" s="1"/>
  <c r="P29" i="16"/>
  <c r="Q29" i="16" s="1"/>
  <c r="R29" i="16" s="1"/>
  <c r="AJ29" i="16" s="1"/>
  <c r="AI29" i="16"/>
  <c r="O25" i="16"/>
  <c r="AI25" i="16" s="1"/>
  <c r="P27" i="16"/>
  <c r="Q27" i="16" s="1"/>
  <c r="R27" i="16" s="1"/>
  <c r="AJ27" i="16" s="1"/>
  <c r="AI27" i="16"/>
  <c r="O21" i="16"/>
  <c r="AI21" i="16" s="1"/>
  <c r="P23" i="16"/>
  <c r="Q23" i="16" s="1"/>
  <c r="R23" i="16" s="1"/>
  <c r="AJ23" i="16" s="1"/>
  <c r="AI23" i="16"/>
  <c r="B10" i="17"/>
  <c r="U43" i="17" s="1"/>
  <c r="Q43" i="17"/>
  <c r="W54" i="17"/>
  <c r="E10" i="17"/>
  <c r="O43" i="17"/>
  <c r="N43" i="17"/>
  <c r="B44" i="17"/>
  <c r="K10" i="15"/>
  <c r="Q10" i="15" s="1"/>
  <c r="Q44" i="15" s="1"/>
  <c r="C43" i="17"/>
  <c r="G43" i="17" s="1"/>
  <c r="G44" i="17" s="1"/>
  <c r="F43" i="17"/>
  <c r="F45" i="17" s="1"/>
  <c r="E44" i="17"/>
  <c r="R11" i="15"/>
  <c r="I44" i="15"/>
  <c r="AI26" i="16" l="1"/>
  <c r="P25" i="16"/>
  <c r="Q25" i="16" s="1"/>
  <c r="R25" i="16" s="1"/>
  <c r="AJ25" i="16" s="1"/>
  <c r="P21" i="16"/>
  <c r="Q21" i="16" s="1"/>
  <c r="R21" i="16" s="1"/>
  <c r="AJ21" i="16" s="1"/>
  <c r="D43" i="17"/>
  <c r="D45" i="17" s="1"/>
  <c r="D46" i="17" s="1"/>
  <c r="C44" i="17"/>
  <c r="Z45" i="17"/>
  <c r="Z46" i="17" s="1"/>
  <c r="W45" i="17"/>
  <c r="R45" i="15"/>
  <c r="M11" i="16" s="1"/>
  <c r="Q46" i="15"/>
  <c r="D57" i="17" s="1"/>
  <c r="D60" i="17" s="1"/>
  <c r="D61" i="17" s="1"/>
  <c r="R10" i="15"/>
  <c r="W46" i="17" l="1"/>
  <c r="W48" i="17" s="1"/>
  <c r="W49" i="17"/>
  <c r="W51" i="17" s="1"/>
  <c r="X54" i="17"/>
  <c r="Z48" i="17"/>
  <c r="Z49" i="17"/>
  <c r="R44" i="15"/>
  <c r="R46" i="15" l="1"/>
  <c r="K11" i="16"/>
  <c r="L20" i="16" s="1"/>
  <c r="Z50" i="17"/>
  <c r="Z51" i="17" s="1"/>
  <c r="W52" i="17"/>
  <c r="K20" i="16" l="1"/>
  <c r="N20" i="16"/>
  <c r="L18" i="16"/>
  <c r="N18" i="16" s="1"/>
  <c r="L19" i="16"/>
  <c r="L16" i="16"/>
  <c r="N16" i="16" s="1"/>
  <c r="L17" i="16"/>
  <c r="L14" i="16"/>
  <c r="N14" i="16" s="1"/>
  <c r="L15" i="16"/>
  <c r="L12" i="16"/>
  <c r="N12" i="16" s="1"/>
  <c r="L13" i="16"/>
  <c r="P43" i="17"/>
  <c r="X52" i="17"/>
  <c r="T43" i="17"/>
  <c r="Z52" i="17"/>
  <c r="K18" i="16" l="1"/>
  <c r="M20" i="16"/>
  <c r="O20" i="16"/>
  <c r="K19" i="16"/>
  <c r="N19" i="16"/>
  <c r="M18" i="16"/>
  <c r="O18" i="16"/>
  <c r="K16" i="16"/>
  <c r="N17" i="16"/>
  <c r="K17" i="16"/>
  <c r="K12" i="16"/>
  <c r="O16" i="16"/>
  <c r="M16" i="16"/>
  <c r="K14" i="16"/>
  <c r="K15" i="16"/>
  <c r="N15" i="16"/>
  <c r="M14" i="16"/>
  <c r="O14" i="16"/>
  <c r="K13" i="16"/>
  <c r="N13" i="16"/>
  <c r="M12" i="16"/>
  <c r="O12" i="16"/>
  <c r="AI32" i="16"/>
  <c r="P20" i="16" l="1"/>
  <c r="Q20" i="16" s="1"/>
  <c r="R20" i="16" s="1"/>
  <c r="AJ20" i="16" s="1"/>
  <c r="AI20" i="16"/>
  <c r="M19" i="16"/>
  <c r="O19" i="16"/>
  <c r="AI18" i="16"/>
  <c r="P18" i="16"/>
  <c r="Q18" i="16" s="1"/>
  <c r="R18" i="16" s="1"/>
  <c r="AJ18" i="16" s="1"/>
  <c r="M17" i="16"/>
  <c r="O17" i="16"/>
  <c r="P16" i="16"/>
  <c r="Q16" i="16" s="1"/>
  <c r="R16" i="16" s="1"/>
  <c r="AJ16" i="16" s="1"/>
  <c r="AI16" i="16"/>
  <c r="M15" i="16"/>
  <c r="O15" i="16"/>
  <c r="AI14" i="16"/>
  <c r="P14" i="16"/>
  <c r="Q14" i="16" s="1"/>
  <c r="R14" i="16" s="1"/>
  <c r="AJ14" i="16" s="1"/>
  <c r="M13" i="16"/>
  <c r="O13" i="16"/>
  <c r="P12" i="16"/>
  <c r="Q12" i="16" s="1"/>
  <c r="R12" i="16" s="1"/>
  <c r="AI12" i="16"/>
  <c r="Q34" i="17"/>
  <c r="P34" i="17"/>
  <c r="H30" i="17"/>
  <c r="K30" i="17"/>
  <c r="N30" i="17" s="1"/>
  <c r="L30" i="17"/>
  <c r="AI19" i="16" l="1"/>
  <c r="P19" i="16"/>
  <c r="Q19" i="16" s="1"/>
  <c r="R19" i="16" s="1"/>
  <c r="AJ19" i="16" s="1"/>
  <c r="AI17" i="16"/>
  <c r="P17" i="16"/>
  <c r="Q17" i="16" s="1"/>
  <c r="R17" i="16" s="1"/>
  <c r="AJ17" i="16" s="1"/>
  <c r="AI15" i="16"/>
  <c r="P15" i="16"/>
  <c r="Q15" i="16" s="1"/>
  <c r="R15" i="16" s="1"/>
  <c r="AJ15" i="16" s="1"/>
  <c r="P13" i="16"/>
  <c r="Q13" i="16" s="1"/>
  <c r="R13" i="16" s="1"/>
  <c r="AJ13" i="16" s="1"/>
  <c r="AI13" i="16"/>
  <c r="AJ12" i="16"/>
  <c r="R34" i="17"/>
  <c r="O34" i="17"/>
  <c r="H36" i="17"/>
  <c r="G30" i="17"/>
  <c r="I30" i="17"/>
  <c r="AJ32" i="16"/>
  <c r="M30" i="17"/>
  <c r="R32" i="16" l="1"/>
  <c r="D30" i="17" s="1"/>
  <c r="W53" i="17" s="1"/>
  <c r="X53" i="17" s="1"/>
  <c r="G36" i="17"/>
  <c r="J30" i="17"/>
  <c r="I36" i="17" s="1"/>
  <c r="R43" i="17" l="1"/>
  <c r="S43" i="17" s="1"/>
  <c r="E30"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Christe Mercedes (DALE)</author>
    <author>Christe Mercedes (DT)</author>
  </authors>
  <commentList>
    <comment ref="M7" authorId="0" shapeId="0" xr:uid="{00000000-0006-0000-0000-000001000000}">
      <text>
        <r>
          <rPr>
            <b/>
            <sz val="9"/>
            <color indexed="81"/>
            <rFont val="Tahoma"/>
            <family val="2"/>
          </rPr>
          <t>Taux d'intérêt de référence selon l'Office fédéral du logement.</t>
        </r>
        <r>
          <rPr>
            <sz val="9"/>
            <color indexed="81"/>
            <rFont val="Tahoma"/>
            <family val="2"/>
          </rPr>
          <t xml:space="preserve">
</t>
        </r>
      </text>
    </comment>
    <comment ref="P7" authorId="0" shapeId="0" xr:uid="{00000000-0006-0000-0000-000002000000}">
      <text>
        <r>
          <rPr>
            <b/>
            <sz val="9"/>
            <color indexed="81"/>
            <rFont val="Tahoma"/>
            <family val="2"/>
          </rPr>
          <t>Veuillez mettre à jour ce montant au moment de la dépose du dossier de demande d'autorisation</t>
        </r>
      </text>
    </comment>
    <comment ref="Q7" authorId="0" shapeId="0" xr:uid="{00000000-0006-0000-0000-000003000000}">
      <text>
        <r>
          <rPr>
            <b/>
            <sz val="9"/>
            <color indexed="81"/>
            <rFont val="Tahoma"/>
            <family val="2"/>
          </rPr>
          <t>Pièces RGL:
Les hausses de loyer se calculent à la pièce. Veuillez vérifier que le nombre de pièces soit conforme au RGL</t>
        </r>
      </text>
    </comment>
    <comment ref="B8" authorId="0" shapeId="0" xr:uid="{00000000-0006-0000-0000-000004000000}">
      <text>
        <r>
          <rPr>
            <b/>
            <sz val="9"/>
            <color indexed="81"/>
            <rFont val="Tahoma"/>
            <family val="2"/>
          </rPr>
          <t>Article 9 alinéa 6 LDTR (liaison avec la Loi cantonale sur l'énergie LEn):
Les mesures suivantes peuvent également être répercutées sur les loyers:
- les mesures destinées à réduire les pertes énergétiques de l'enveloppe du bâtiment;
- les mesures visant à une utilisation rationnelle de l'énergie;
- les mesures destinées à réduire les émissions des installations techniques;
- les mesures visant à utiliser des énergies renouvelables;
- le remplacement d'appareils ménagers à forte consommation d'énergie par des appareils à faible consommation.
Voir également la Loi sur l'énergie.</t>
        </r>
      </text>
    </comment>
    <comment ref="H8" authorId="0" shapeId="0" xr:uid="{00000000-0006-0000-0000-000005000000}">
      <text>
        <r>
          <rPr>
            <b/>
            <sz val="9"/>
            <color indexed="81"/>
            <rFont val="Tahoma"/>
            <family val="2"/>
          </rPr>
          <t>Subventions:
L'article 11 alinéa 1 LDTR indique que le département fixe le montant des loyers sur la base de l'ensemble des travaux à effectuer, sous déduction des subventions éventuellement octroyées.</t>
        </r>
      </text>
    </comment>
    <comment ref="J8" authorId="0" shapeId="0" xr:uid="{00000000-0006-0000-0000-000006000000}">
      <text>
        <r>
          <rPr>
            <b/>
            <sz val="9"/>
            <color indexed="81"/>
            <rFont val="Tahoma"/>
            <family val="2"/>
          </rPr>
          <t>Part à plus-value: 
- pour les lignes blanches (rénovation - entretien): article 11  alinéa 1 lettre a LDTR: rendement équitable des capitaux investis pour les travaux, calculé en règle générale, sur 70% au maximum de leur coût…
- pour les lignes vertes (énergie - neuf) ce montant est admis à 100%.</t>
        </r>
        <r>
          <rPr>
            <sz val="9"/>
            <color indexed="81"/>
            <rFont val="Tahoma"/>
            <family val="2"/>
          </rPr>
          <t xml:space="preserve">
</t>
        </r>
      </text>
    </comment>
    <comment ref="L9" authorId="0" shapeId="0" xr:uid="{00000000-0006-0000-0000-000007000000}">
      <text>
        <r>
          <rPr>
            <b/>
            <sz val="9"/>
            <color indexed="81"/>
            <rFont val="Tahoma"/>
            <family val="2"/>
          </rPr>
          <t xml:space="preserve">Durée d'amortissement:
Il s'agit de la durée de vie des composants.
Les lignes blanches correspondants aux lignes "rénovation" soumises uniquement à la LDTR, ce chiffre se situe entre 18 et 20 ans selon l'article 11 LDTR.
Pour les lignes vertes "énergie" soumises à la LEn, ce montant correspond à la durée d'amortissement indiquée dans le tableau "tabelle d'amortissement commune aux associations de bailleurs et de locataires" disponible sur internet.
Clicker pour lien internet tabelle.
</t>
        </r>
      </text>
    </comment>
    <comment ref="M9" authorId="0" shapeId="0" xr:uid="{00000000-0006-0000-0000-000008000000}">
      <text>
        <r>
          <rPr>
            <b/>
            <sz val="9"/>
            <color indexed="81"/>
            <rFont val="Tahoma"/>
            <family val="2"/>
          </rPr>
          <t xml:space="preserve">Rendement admissible: 
Article 11  alinéa 1 lettre a LDTR: … renté à un taux de 0,5 point au-dessus de l'intérêt hypothécaire de référence OFL; le taux de rendement est fonction de l'incidence dégressive des amortisements. </t>
        </r>
      </text>
    </comment>
    <comment ref="N9" authorId="0" shapeId="0" xr:uid="{00000000-0006-0000-0000-000009000000}">
      <text>
        <r>
          <rPr>
            <b/>
            <sz val="9"/>
            <color indexed="81"/>
            <rFont val="Tahoma"/>
            <family val="2"/>
          </rPr>
          <t>Amortissement annuel:
Article 11 alinéa 1 lettre b LDTR: de l'amortissement calculé en fonction de la durée de vie des installations.</t>
        </r>
      </text>
    </comment>
    <comment ref="O9" authorId="0" shapeId="0" xr:uid="{00000000-0006-0000-0000-00000A000000}">
      <text>
        <r>
          <rPr>
            <b/>
            <sz val="9"/>
            <color indexed="81"/>
            <rFont val="Tahoma"/>
            <family val="2"/>
          </rPr>
          <t>Frais d'entretien:
- pour les lignes "rénovation": Article 11 alinéa 1 lettre c LDTR: des frais d'entretien rentés en règle générale à 1,5% des travaux pris en considération.
- pour les lignes "énergie" ce montant correspond au 10% du cumul du rendement et de l'amortissement.</t>
        </r>
      </text>
    </comment>
    <comment ref="Q48" authorId="1" shapeId="0" xr:uid="{00000000-0006-0000-0000-00000B000000}">
      <text>
        <r>
          <rPr>
            <b/>
            <sz val="9"/>
            <color indexed="81"/>
            <rFont val="Tahoma"/>
            <family val="2"/>
          </rPr>
          <t>Veuillez lire attentivement l'encadré gris ci-dessus.</t>
        </r>
      </text>
    </comment>
    <comment ref="R49" authorId="1" shapeId="0" xr:uid="{00000000-0006-0000-0000-00000C000000}">
      <text>
        <r>
          <rPr>
            <b/>
            <sz val="9"/>
            <color indexed="81"/>
            <rFont val="Tahoma"/>
            <family val="2"/>
          </rPr>
          <t>Veuillez lire attentivement l'encadré gris ci-dessus.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Christe Mercedes (DALE)</author>
  </authors>
  <commentList>
    <comment ref="L8" authorId="0" shapeId="0" xr:uid="{00000000-0006-0000-0200-000001000000}">
      <text>
        <r>
          <rPr>
            <b/>
            <sz val="9"/>
            <color indexed="81"/>
            <rFont val="Tahoma"/>
            <family val="2"/>
          </rPr>
          <t>Il s'agit du plafond de la fourchette des loyers correspondants aux besoins prépondérants de la population définit par un arrêté du Conseil d'Etat.</t>
        </r>
      </text>
    </comment>
    <comment ref="N8" authorId="0" shapeId="0" xr:uid="{00000000-0006-0000-0200-000002000000}">
      <text>
        <r>
          <rPr>
            <b/>
            <sz val="9"/>
            <color indexed="81"/>
            <rFont val="Tahoma"/>
            <family val="2"/>
          </rPr>
          <t>Veuillez mettre à jour cette information si actuellement différente.</t>
        </r>
      </text>
    </comment>
    <comment ref="F10" authorId="0" shapeId="0" xr:uid="{00000000-0006-0000-0200-000003000000}">
      <text>
        <r>
          <rPr>
            <b/>
            <sz val="9"/>
            <color indexed="81"/>
            <rFont val="Tahoma"/>
            <family val="2"/>
          </rPr>
          <t>Pièces RGL:
Les hausses de loyer se calculent à la pièce. Veuillez vérifier que le nombre de pièces de chaque appartement soit conforme au RGL en vigueur.</t>
        </r>
      </text>
    </comment>
    <comment ref="Q10" authorId="0" shapeId="0" xr:uid="{00000000-0006-0000-0200-000004000000}">
      <text>
        <r>
          <rPr>
            <b/>
            <sz val="9"/>
            <color indexed="81"/>
            <rFont val="Tahoma"/>
            <family val="2"/>
          </rPr>
          <t>Si le loyer net annuel actualisé + hausses R+E+bpc+contribution du locataire est inférieur au dernier loyer net appliqué, seul le dernier loyer net annuel sera pris en compte.</t>
        </r>
      </text>
    </comment>
    <comment ref="H11" authorId="0" shapeId="0" xr:uid="{00000000-0006-0000-0200-000005000000}">
      <text>
        <r>
          <rPr>
            <b/>
            <sz val="9"/>
            <color indexed="81"/>
            <rFont val="Tahoma"/>
            <family val="2"/>
          </rPr>
          <t>Correspond au dernier loyer annuel net appliqué au moment de la dépose du dossier d'autorisation, selon dernier avis de majoration, qui ne comprend pas le montant des charges de chauffage et d'eau chaude.
Cette tâche est la responsabilité de la régie en tant que gérante de l'immeuble et experte en immobilier et non de l'architecte.</t>
        </r>
      </text>
    </comment>
    <comment ref="I11" authorId="0" shapeId="0" xr:uid="{00000000-0006-0000-0200-000006000000}">
      <text>
        <r>
          <rPr>
            <b/>
            <sz val="9"/>
            <color indexed="81"/>
            <rFont val="Tahoma"/>
            <family val="2"/>
          </rPr>
          <t xml:space="preserve">Correspond au loyer de la case H9, auquel est ajoutée la moyenne des 3 dernières années de frais accessoires ou d'exploitation </t>
        </r>
        <r>
          <rPr>
            <b/>
            <u/>
            <sz val="9"/>
            <color indexed="81"/>
            <rFont val="Tahoma"/>
            <family val="2"/>
          </rPr>
          <t>s'ils sont clairement séparés du loyer net dans le contrat de bail</t>
        </r>
        <r>
          <rPr>
            <b/>
            <sz val="9"/>
            <color indexed="81"/>
            <rFont val="Tahoma"/>
            <family val="2"/>
          </rPr>
          <t>.
Cette tâche est la responsabilité de la régie en tant que gérante de l'immeuble et experte en immobilier et non de l'architecte.</t>
        </r>
      </text>
    </comment>
    <comment ref="K11" authorId="0" shapeId="0" xr:uid="{00000000-0006-0000-0200-000007000000}">
      <text>
        <r>
          <rPr>
            <b/>
            <sz val="9"/>
            <color indexed="81"/>
            <rFont val="Tahoma"/>
            <family val="2"/>
          </rPr>
          <t>Hausse pour travaux de rénovation non-énergétique R définie dans le tableau des coûts (onglet précédent)</t>
        </r>
      </text>
    </comment>
    <comment ref="M11" authorId="0" shapeId="0" xr:uid="{00000000-0006-0000-0200-000008000000}">
      <text>
        <r>
          <rPr>
            <b/>
            <sz val="9"/>
            <color indexed="81"/>
            <rFont val="Tahoma"/>
            <family val="2"/>
          </rPr>
          <t>Hausse pour travaux de rénovation énergétique E définie dans le tableau des coûts (onglet précédent)</t>
        </r>
      </text>
    </comment>
    <comment ref="O11" authorId="0" shapeId="0" xr:uid="{00000000-0006-0000-0200-000009000000}">
      <text>
        <r>
          <rPr>
            <b/>
            <sz val="9"/>
            <color indexed="81"/>
            <rFont val="Tahoma"/>
            <family val="2"/>
          </rPr>
          <t>Baisse prévisible des charges de chauffage et d'eau chaude due aux améliorations énergétiques de l'immeuble selon travaux prévus.
Article 9 alinéa 6 LDTR (liaison avec la LEn):
"...majoré :
a) d'un montant correspondant à la baisse prévisible des charges énergétiques du locataire..." définie dans le tableau des coûts (onglet précédent)</t>
        </r>
      </text>
    </comment>
    <comment ref="P11" authorId="0" shapeId="0" xr:uid="{00000000-0006-0000-0200-00000A000000}">
      <text>
        <r>
          <rPr>
            <b/>
            <sz val="9"/>
            <color indexed="81"/>
            <rFont val="Tahoma"/>
            <family val="2"/>
          </rPr>
          <t>Contribution énergétique du locataire:
Article 9 alinéa 6 LDTR (liaison avec la LEn):
... BPC "auquel peut être ajouté, si nécessaire :
b) le montant correspondant à la contribution énergétique du locataire, qui ne pourra pas dépasser 10 F par pièce, par mois."</t>
        </r>
      </text>
    </comment>
  </commentList>
</comments>
</file>

<file path=xl/sharedStrings.xml><?xml version="1.0" encoding="utf-8"?>
<sst xmlns="http://schemas.openxmlformats.org/spreadsheetml/2006/main" count="229" uniqueCount="189">
  <si>
    <t xml:space="preserve">                 REPUBLIQUE ET CANTON DE GENEVE
                 Département du territoire
                 Office cantonal du logement et de la planification foncière</t>
  </si>
  <si>
    <t>Taux de référence (OFL)</t>
  </si>
  <si>
    <t>Pièces RGL:</t>
  </si>
  <si>
    <t>Coût des travaux</t>
  </si>
  <si>
    <r>
      <t xml:space="preserve">Part des travaux rénovation et </t>
    </r>
    <r>
      <rPr>
        <b/>
        <sz val="11"/>
        <color rgb="FF339966"/>
        <rFont val="Arial"/>
        <family val="2"/>
        <charset val="1"/>
      </rPr>
      <t>amélioration énergétique</t>
    </r>
  </si>
  <si>
    <t xml:space="preserve">Subventions </t>
  </si>
  <si>
    <t>Total subventions ôtées</t>
  </si>
  <si>
    <t>Part à plus- value</t>
  </si>
  <si>
    <t>Coût des
plus-values</t>
  </si>
  <si>
    <t>Taux de rendements</t>
  </si>
  <si>
    <t>.</t>
  </si>
  <si>
    <t xml:space="preserve">CHF TTC
</t>
  </si>
  <si>
    <t>Part des coûts annexes</t>
  </si>
  <si>
    <t>Coûts
Totaux</t>
  </si>
  <si>
    <t>Durée amortissement</t>
  </si>
  <si>
    <t>Rend. Adm:Tx+0.5 /2</t>
  </si>
  <si>
    <t>Amort. /an</t>
  </si>
  <si>
    <t>Frais entre-
tien</t>
  </si>
  <si>
    <t>Total</t>
  </si>
  <si>
    <t>Annuel</t>
  </si>
  <si>
    <t>Par pièce</t>
  </si>
  <si>
    <t>1. Enveloppe opaque: toiture (hors ouvertures)</t>
  </si>
  <si>
    <t>2. Enveloppe opaque: façades (hors ouvertures)</t>
  </si>
  <si>
    <t xml:space="preserve">3. Isolation des caissons de stores </t>
  </si>
  <si>
    <t>4. Enveloppe opaque: dalle sur locaux non-chauffés</t>
  </si>
  <si>
    <t>8. Isolation des conduites sanitaires</t>
  </si>
  <si>
    <t>9. Vannes thermostatiques</t>
  </si>
  <si>
    <t>10. Panneaux solaires thermiques (ECS)</t>
  </si>
  <si>
    <t>11. Panneaux photovoltaïques</t>
  </si>
  <si>
    <t>12. Luminaire à basse consommation (communs de l'immeuble)</t>
  </si>
  <si>
    <t>13. Rénovation des communs</t>
  </si>
  <si>
    <t>14. Rénovation des logements</t>
  </si>
  <si>
    <t>Travaux pour répartition au prorata</t>
  </si>
  <si>
    <t>CHF TTC</t>
  </si>
  <si>
    <t>Plafond LDTR:</t>
  </si>
  <si>
    <t>=2.5xBPP</t>
  </si>
  <si>
    <t xml:space="preserve">Informations logements
</t>
  </si>
  <si>
    <t>Etage</t>
  </si>
  <si>
    <t>Pièces RGL</t>
  </si>
  <si>
    <t>Loyer annuel net
(hors charges chauffage/
eau chaude)</t>
  </si>
  <si>
    <t>Loyer annuel maximum admis</t>
  </si>
  <si>
    <t>vérification hausse C</t>
  </si>
  <si>
    <t>Nombre total de logements:</t>
  </si>
  <si>
    <t>Durée amort. R</t>
  </si>
  <si>
    <t>Durée amort. E</t>
  </si>
  <si>
    <t>18</t>
  </si>
  <si>
    <t>Part_Value</t>
  </si>
  <si>
    <t>Total hausses théoriques travaux</t>
  </si>
  <si>
    <t>R</t>
  </si>
  <si>
    <t>E</t>
  </si>
  <si>
    <t xml:space="preserve">Hausse théorique rénovation: </t>
  </si>
  <si>
    <t xml:space="preserve">Hausse théorique énergie: </t>
  </si>
  <si>
    <r>
      <t xml:space="preserve">Hausse renovation
</t>
    </r>
    <r>
      <rPr>
        <b/>
        <sz val="11"/>
        <rFont val="Arial"/>
        <family val="2"/>
      </rPr>
      <t xml:space="preserve">R
</t>
    </r>
    <r>
      <rPr>
        <sz val="10"/>
        <color theme="1"/>
        <rFont val="Arial"/>
        <family val="2"/>
      </rPr>
      <t>F/pce/an</t>
    </r>
  </si>
  <si>
    <r>
      <t xml:space="preserve">Hausse énergie
</t>
    </r>
    <r>
      <rPr>
        <b/>
        <sz val="11"/>
        <rFont val="Arial"/>
        <family val="2"/>
      </rPr>
      <t xml:space="preserve">E
</t>
    </r>
    <r>
      <rPr>
        <sz val="10"/>
        <color theme="1"/>
        <rFont val="Arial"/>
        <family val="2"/>
      </rPr>
      <t>F/pce/an</t>
    </r>
  </si>
  <si>
    <t>Loyer après hausse R</t>
  </si>
  <si>
    <t>Loyer après hausse E</t>
  </si>
  <si>
    <r>
      <t xml:space="preserve">Loyer annuel théorique après hausses réelles
</t>
    </r>
    <r>
      <rPr>
        <sz val="9"/>
        <rFont val="Arial"/>
        <family val="2"/>
      </rPr>
      <t>(des loyers contrôlés)</t>
    </r>
  </si>
  <si>
    <r>
      <rPr>
        <b/>
        <sz val="11"/>
        <rFont val="Arial"/>
        <family val="2"/>
      </rPr>
      <t xml:space="preserve">BPC
</t>
    </r>
    <r>
      <rPr>
        <sz val="10"/>
        <color theme="1"/>
        <rFont val="Arial"/>
        <family val="2"/>
      </rPr>
      <t xml:space="preserve">F/pce/an 
</t>
    </r>
  </si>
  <si>
    <t>total loyers après R+E+bpc pour contribution én. loca.</t>
  </si>
  <si>
    <t>total loyers finaux admis</t>
  </si>
  <si>
    <r>
      <rPr>
        <b/>
        <sz val="10"/>
        <rFont val="Arial"/>
        <family val="2"/>
      </rPr>
      <t>La contribution énergétique du locataire</t>
    </r>
    <r>
      <rPr>
        <sz val="10"/>
        <rFont val="Arial"/>
        <family val="2"/>
      </rPr>
      <t xml:space="preserve"> ne peut dépasser 120 F/p/an. Elle </t>
    </r>
    <r>
      <rPr>
        <b/>
        <sz val="10"/>
        <rFont val="Arial"/>
        <family val="2"/>
      </rPr>
      <t>sera donc de</t>
    </r>
    <r>
      <rPr>
        <sz val="10"/>
        <rFont val="Arial"/>
        <family val="2"/>
      </rPr>
      <t>:</t>
    </r>
  </si>
  <si>
    <t>Quel serait encore le montant (à la pièce) nécessaire à couvrir l'entier des travaux?</t>
  </si>
  <si>
    <t>Hausse réelle totale des loyers après actualisation et hausses R+E+BPC:</t>
  </si>
  <si>
    <t>Hausse théorique totale nécessaire à payer la totalité des travaux (voir tableau des coûts):</t>
  </si>
  <si>
    <t>Contribution énergétique du locataire</t>
  </si>
  <si>
    <t>différence EL av tx / LGL</t>
  </si>
  <si>
    <t>différence EL av/ap tx</t>
  </si>
  <si>
    <t>soit à la pièce</t>
  </si>
  <si>
    <t>soit total nécessaire</t>
  </si>
  <si>
    <t>Total incidence possible</t>
  </si>
  <si>
    <t>Entretien</t>
  </si>
  <si>
    <t>Taux OFL</t>
  </si>
  <si>
    <t>Amortissement</t>
  </si>
  <si>
    <t>60 % FE</t>
  </si>
  <si>
    <t>interet sur capital (OFL +.5%)</t>
  </si>
  <si>
    <t>durée de vie (ans)</t>
  </si>
  <si>
    <t>Taux OFL + 0.5%</t>
  </si>
  <si>
    <t>part à PV (considéré 70%)</t>
  </si>
  <si>
    <t>40% FP</t>
  </si>
  <si>
    <t>cout des travaux</t>
  </si>
  <si>
    <t>CO</t>
  </si>
  <si>
    <t>EL LGL - EL réel</t>
  </si>
  <si>
    <t>incidence possible selon CO</t>
  </si>
  <si>
    <t>Total ap. actu.</t>
  </si>
  <si>
    <t>augmentation LDTR</t>
  </si>
  <si>
    <t>EL réel - EL actu</t>
  </si>
  <si>
    <t>coût du capital annuel</t>
  </si>
  <si>
    <t>total</t>
  </si>
  <si>
    <t>coût total / m3 futur</t>
  </si>
  <si>
    <t>m3 futur</t>
  </si>
  <si>
    <t>m3 exist.</t>
  </si>
  <si>
    <t>soit par pièce/an</t>
  </si>
  <si>
    <t>Total C</t>
  </si>
  <si>
    <t>contrib loc.</t>
  </si>
  <si>
    <t xml:space="preserve">BCP </t>
  </si>
  <si>
    <t>Total à PV</t>
  </si>
  <si>
    <t>rentés à</t>
  </si>
  <si>
    <t>Rénov part à PV (B)</t>
  </si>
  <si>
    <t>Rénov part à PV (A)</t>
  </si>
  <si>
    <t>Subvention</t>
  </si>
  <si>
    <t>Total Travaux</t>
  </si>
  <si>
    <t>LGL</t>
  </si>
  <si>
    <t>capitaux investis</t>
  </si>
  <si>
    <t>m3</t>
  </si>
  <si>
    <t>méthode de calcul</t>
  </si>
  <si>
    <t>rendement des travaux</t>
  </si>
  <si>
    <t>Cout travaux</t>
  </si>
  <si>
    <t>log %</t>
  </si>
  <si>
    <t>Loyer moyen</t>
  </si>
  <si>
    <t>pièces</t>
  </si>
  <si>
    <t xml:space="preserve">log </t>
  </si>
  <si>
    <t>Loyer</t>
  </si>
  <si>
    <t>Log</t>
  </si>
  <si>
    <t xml:space="preserve">pièces </t>
  </si>
  <si>
    <t>Durée de fixation</t>
  </si>
  <si>
    <t>variation</t>
  </si>
  <si>
    <t>etat loc 2</t>
  </si>
  <si>
    <t>nb pièces créees</t>
  </si>
  <si>
    <t>nb logt crées</t>
  </si>
  <si>
    <t>&gt; 8513</t>
  </si>
  <si>
    <t>&gt;3405 ; ≤8512</t>
  </si>
  <si>
    <t>≤3405</t>
  </si>
  <si>
    <t>logements existants après travaux</t>
  </si>
  <si>
    <t>loyer moyen</t>
  </si>
  <si>
    <t>log</t>
  </si>
  <si>
    <t xml:space="preserve">log % </t>
  </si>
  <si>
    <t>&gt;8513</t>
  </si>
  <si>
    <t>&gt;3405, ≤8512</t>
  </si>
  <si>
    <t>ap. actualisation</t>
  </si>
  <si>
    <t>existant av. travaux</t>
  </si>
  <si>
    <t>-</t>
  </si>
  <si>
    <t>logt exist. Transformés</t>
  </si>
  <si>
    <t>Variation EL av. actu et ap. actu</t>
  </si>
  <si>
    <t>état loc actualisé</t>
  </si>
  <si>
    <t xml:space="preserve">etat loc </t>
  </si>
  <si>
    <t>nb pièces</t>
  </si>
  <si>
    <t>nb logs existants</t>
  </si>
  <si>
    <t>av. actualisation</t>
  </si>
  <si>
    <t>taux ofl</t>
  </si>
  <si>
    <t>valeur incendie</t>
  </si>
  <si>
    <t>date</t>
  </si>
  <si>
    <t>numéro</t>
  </si>
  <si>
    <t>APA/DD</t>
  </si>
  <si>
    <t>adresse</t>
  </si>
  <si>
    <t>Loyers non fixés avant travaux</t>
  </si>
  <si>
    <t>Soit total de loyers non fixés</t>
  </si>
  <si>
    <t>Contrôle des données</t>
  </si>
  <si>
    <t>Nombre de loyers fixés après travaux:</t>
  </si>
  <si>
    <t>Etat locatif annuel futur maximum admis pendant la période de fixation</t>
  </si>
  <si>
    <t>soit total yc hors BPP</t>
  </si>
  <si>
    <t>LDTR (EL total yc hors BPP)</t>
  </si>
  <si>
    <t>Contrib Energétique Locataire et BPC</t>
  </si>
  <si>
    <t>CO sans amortissement ni entretien</t>
  </si>
  <si>
    <t>logement créés après travaux</t>
  </si>
  <si>
    <t>moyenne de loyer</t>
  </si>
  <si>
    <t>durée de fixation</t>
  </si>
  <si>
    <t>Locataire (indiquer le nom inscrit sur le bail)</t>
  </si>
  <si>
    <r>
      <t>Contribution énergétique du locataire</t>
    </r>
    <r>
      <rPr>
        <sz val="10"/>
        <rFont val="Arial"/>
        <family val="2"/>
      </rPr>
      <t>, si nécessaire, max. 120 F/p/an:</t>
    </r>
  </si>
  <si>
    <r>
      <rPr>
        <b/>
        <sz val="11"/>
        <rFont val="Arial"/>
        <family val="2"/>
      </rPr>
      <t>Contribution</t>
    </r>
    <r>
      <rPr>
        <sz val="11"/>
        <rFont val="Arial"/>
        <family val="2"/>
      </rPr>
      <t xml:space="preserve"> </t>
    </r>
    <r>
      <rPr>
        <b/>
        <sz val="11"/>
        <rFont val="Arial"/>
        <family val="2"/>
      </rPr>
      <t>énergétique du locataire</t>
    </r>
    <r>
      <rPr>
        <sz val="11"/>
        <rFont val="Arial"/>
        <family val="2"/>
      </rPr>
      <t xml:space="preserve">
max. 120 F/pce/an </t>
    </r>
  </si>
  <si>
    <t>REPUBLIQUE ET CANTON DE GENEVE
Département du territoire
Office cantonal du logement et de la planification foncière</t>
  </si>
  <si>
    <t>N° allée</t>
  </si>
  <si>
    <r>
      <t xml:space="preserve">Description des travaux
(par type)
</t>
    </r>
    <r>
      <rPr>
        <sz val="11"/>
        <color theme="2" tint="-0.499984740745262"/>
        <rFont val="Arial"/>
        <family val="2"/>
      </rPr>
      <t>Les travaux prévus dans les arcades/bureaux/garages… ne peuvent être inscrits ici</t>
    </r>
  </si>
  <si>
    <t>honoraires arch-ing-spécialistes max 18%</t>
  </si>
  <si>
    <t>divers &amp; imprévus max 5%</t>
  </si>
  <si>
    <t>Adresse-s de-s immeuble-s</t>
  </si>
  <si>
    <t>(xx.xx.xxxx)</t>
  </si>
  <si>
    <r>
      <t xml:space="preserve">7. Production de chaleur </t>
    </r>
    <r>
      <rPr>
        <sz val="11"/>
        <color theme="2" tint="-0.499984740745262"/>
        <rFont val="Arial"/>
        <family val="2"/>
      </rPr>
      <t>(si pas renouvelable:100% Rénovation, 
     si renouvelable 50% Energie, si uniquement PAC: 100% énergie)</t>
    </r>
  </si>
  <si>
    <r>
      <t xml:space="preserve">6. Ventilation </t>
    </r>
    <r>
      <rPr>
        <sz val="11"/>
        <color theme="2" tint="-0.499984740745262"/>
        <rFont val="Arial"/>
        <family val="2"/>
      </rPr>
      <t>(avec installation d'une PAC : 50% Energie)</t>
    </r>
  </si>
  <si>
    <t>15. Autre</t>
  </si>
  <si>
    <t>16. Autre</t>
  </si>
  <si>
    <t>17. Autre</t>
  </si>
  <si>
    <t>Date du dernier avis de majoration du loyer</t>
  </si>
  <si>
    <r>
      <rPr>
        <b/>
        <sz val="11"/>
        <rFont val="Arial"/>
        <family val="2"/>
      </rPr>
      <t>Baisse Prévisible des Charges</t>
    </r>
    <r>
      <rPr>
        <sz val="11"/>
        <rFont val="Arial"/>
        <family val="2"/>
      </rPr>
      <t xml:space="preserve"> </t>
    </r>
    <r>
      <rPr>
        <sz val="10"/>
        <rFont val="Arial"/>
        <family val="2"/>
      </rPr>
      <t>(selon formulaire OCEN validé ou calcul CECB+):</t>
    </r>
  </si>
  <si>
    <t>non</t>
  </si>
  <si>
    <t>oui</t>
  </si>
  <si>
    <r>
      <t>AVERTISSEMENT :</t>
    </r>
    <r>
      <rPr>
        <sz val="11"/>
        <rFont val="Arial"/>
        <family val="2"/>
      </rPr>
      <t xml:space="preserve"> Selon l'art. 15C al. 8 LEN, l’octroi des subventions visées aux al. 6 et 7 de l'art. 15C LEN exclut le supplément de hausse de loyer justifié par la baisse prévisible des charges du locataire (BPC) et la contribution énergétique du locataire (CE) en cas de rénovation énergétique ou de démolition admis dans le cadre de la LDTR.
A compter du 1er juin 2024, si une subvention cantonale au sens de l'art. 15C al. 6 et 7 LEN est sollicitée, les valeurs à saisir dans les cases Q48 (BPC) et R49 (CE) seront impérativement de "0".
En cas de demande d'une subvention cantonale au sens de l'art. 15C al. 6 et 7 LEN à l'appui d'une demande d'autorisation de construire complémentaire, le requérant devra produire, en plus du présent tableau dûment complété, sa renonciation écrite et définitive d'appliquer les loyers fixés dans le cadre de l'autorisation de construire initiale et tenant compte de la BPC et la CE.</t>
    </r>
  </si>
  <si>
    <t>Demande de subvention cantonale au sens de l'art. 15C al. 6 et 7 LEN sollicitée ?</t>
  </si>
  <si>
    <r>
      <t>AVERTISSEMENT :</t>
    </r>
    <r>
      <rPr>
        <sz val="11"/>
        <rFont val="Arial"/>
        <family val="2"/>
      </rPr>
      <t xml:space="preserve"> Selon l'art. 15C al. 8 LEN, l’octroi des subventions visées aux al. 6 et 7 de l'art. 15C LEN exclut le supplément de hausse de loyer justifié par la baisse prévisible des charges du locataire (BPC) et la contribution énergétique du locataire (CE) en cas de rénovation énergétique ou de démolition admis dans le cadre de la LDTR.
A compter du 1er juin 2024, si une subvention cantonale au sens de l'art. 15C al. 6 et 7 LEN est sollicitée, les valeurs des cases O9 (BPC) et P9 (CE) seront impérativement de "0".
En cas de demande d'une subvention cantonale au sens de l'art. 15C al. 6 et 7 LEN à l'appui d'une demande d'autorisation de construire complémentaire, le requérant devra produire, en plus du présent tableau dûment complété, sa renonciation écrite et définitive d'appliquer les loyers fixés dans le cadre de l'autorisation de construire initiale et tenant compte de la BPC et la CE.</t>
    </r>
  </si>
  <si>
    <t>OK</t>
  </si>
  <si>
    <t>Loyer annuel netà la pièce</t>
  </si>
  <si>
    <t>en cours
H9 + FA</t>
  </si>
  <si>
    <t>en cours
selon dernière notification officielle</t>
  </si>
  <si>
    <r>
      <rPr>
        <b/>
        <u/>
        <sz val="20"/>
        <rFont val="Arial"/>
        <family val="2"/>
      </rPr>
      <t>TABLEAU LDTR - LES COUTS</t>
    </r>
    <r>
      <rPr>
        <b/>
        <sz val="11"/>
        <rFont val="Arial"/>
        <family val="2"/>
      </rPr>
      <t xml:space="preserve">
</t>
    </r>
    <r>
      <rPr>
        <b/>
        <sz val="13"/>
        <rFont val="Arial"/>
        <family val="2"/>
      </rPr>
      <t>COUT DES TRAVAUX, et CALCUL DES HAUSSES THEORIQUES
pour projets de travaux de rénovation énergétique globale</t>
    </r>
  </si>
  <si>
    <r>
      <rPr>
        <b/>
        <u/>
        <sz val="20"/>
        <rFont val="Arial"/>
        <family val="2"/>
      </rPr>
      <t>TABLEAU LDTR - LES LOYERS</t>
    </r>
    <r>
      <rPr>
        <b/>
        <sz val="11"/>
        <rFont val="Arial"/>
        <family val="2"/>
      </rPr>
      <t xml:space="preserve">
</t>
    </r>
    <r>
      <rPr>
        <b/>
        <sz val="13"/>
        <rFont val="Arial"/>
        <family val="2"/>
      </rPr>
      <t>ETAT LOCATIF AVANT / APRES TRAVAUX
selon articles 9, 10 et 11 LDTR</t>
    </r>
  </si>
  <si>
    <r>
      <rPr>
        <b/>
        <sz val="16"/>
        <rFont val="Arial"/>
        <family val="2"/>
      </rPr>
      <t>D13</t>
    </r>
    <r>
      <rPr>
        <sz val="10"/>
        <color theme="1"/>
        <rFont val="Arial"/>
        <family val="2"/>
      </rPr>
      <t xml:space="preserve">
</t>
    </r>
    <r>
      <rPr>
        <sz val="9"/>
        <rFont val="Arial"/>
        <family val="2"/>
      </rPr>
      <t>version
sept. 2025</t>
    </r>
  </si>
  <si>
    <t>Voir bouton "aide" dans la barre d'outils LDTR ci-dessus.
Puis ouvrir document "D13 - aide et mode d'emploi"</t>
  </si>
  <si>
    <r>
      <rPr>
        <b/>
        <sz val="20"/>
        <rFont val="Arial"/>
        <family val="2"/>
      </rPr>
      <t>D13</t>
    </r>
    <r>
      <rPr>
        <sz val="10"/>
        <rFont val="Arial"/>
        <family val="2"/>
      </rPr>
      <t xml:space="preserve">
</t>
    </r>
    <r>
      <rPr>
        <sz val="9"/>
        <rFont val="Arial"/>
        <family val="2"/>
      </rPr>
      <t xml:space="preserve">version
</t>
    </r>
    <r>
      <rPr>
        <sz val="9"/>
        <color rgb="FFFF0000"/>
        <rFont val="Arial"/>
        <family val="2"/>
      </rPr>
      <t>31.10.2025</t>
    </r>
  </si>
  <si>
    <t>5. Remplacement des fenêtres et portes extérieures</t>
  </si>
  <si>
    <r>
      <rPr>
        <b/>
        <sz val="20"/>
        <rFont val="Arial"/>
        <family val="2"/>
      </rPr>
      <t>D13</t>
    </r>
    <r>
      <rPr>
        <sz val="10"/>
        <rFont val="Arial"/>
        <family val="2"/>
      </rPr>
      <t xml:space="preserve">
</t>
    </r>
    <r>
      <rPr>
        <sz val="9"/>
        <rFont val="Arial"/>
        <family val="2"/>
      </rPr>
      <t xml:space="preserve">version
</t>
    </r>
    <r>
      <rPr>
        <sz val="9"/>
        <color rgb="FFFF0000"/>
        <rFont val="Arial"/>
        <family val="2"/>
      </rPr>
      <t>16.01.2026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</si>
</sst>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 #,##0.00_ ;_ * \-#,##0.00_ ;_ * &quot;-&quot;??_ ;_ @_ "/>
    <numFmt numFmtId="164" formatCode="#,##0.0"/>
    <numFmt numFmtId="165" formatCode="_ * #,##0_ ;_ * \-#,##0_ ;_ * \-??_ ;_ @_ "/>
    <numFmt numFmtId="166" formatCode="_ * #,##0_ ;_ * \-#,##0_ ;_ * &quot;-&quot;??_ ;_ @_ "/>
    <numFmt numFmtId="167" formatCode="_ * #,##0.00_ ;_ * \-#,##0.00_ ;_ * \-??_ ;_ @_ "/>
    <numFmt numFmtId="168" formatCode="#,##0_ ;\-#,##0\ "/>
    <numFmt numFmtId="169" formatCode="#,##0.0_ ;\-#,##0.0\ "/>
    <numFmt numFmtId="170" formatCode="0;\-\=;;@"/>
  </numFmts>
  <fonts count="32" x14ac:knownFonts="1">
    <font>
      <sz val="10"/>
      <color theme="1"/>
      <name val="Arial"/>
      <family val="2"/>
    </font>
    <font>
      <sz val="11"/>
      <name val="Arial"/>
      <family val="2"/>
    </font>
    <font>
      <b/>
      <sz val="11"/>
      <name val="Arial"/>
      <family val="2"/>
    </font>
    <font>
      <b/>
      <sz val="20"/>
      <name val="Arial"/>
      <family val="2"/>
    </font>
    <font>
      <sz val="9"/>
      <name val="Arial"/>
      <family val="2"/>
    </font>
    <font>
      <sz val="11"/>
      <color theme="0" tint="-0.499984740745262"/>
      <name val="Arial"/>
      <family val="2"/>
    </font>
    <font>
      <b/>
      <sz val="11"/>
      <color rgb="FFFF0000"/>
      <name val="Arial"/>
      <family val="2"/>
    </font>
    <font>
      <u/>
      <sz val="11"/>
      <color theme="10"/>
      <name val="Arial"/>
      <family val="2"/>
    </font>
    <font>
      <u/>
      <sz val="11"/>
      <name val="Arial"/>
      <family val="2"/>
    </font>
    <font>
      <sz val="11"/>
      <color rgb="FFFF0000"/>
      <name val="Arial"/>
      <family val="2"/>
      <charset val="1"/>
    </font>
    <font>
      <b/>
      <sz val="11"/>
      <color rgb="FF339966"/>
      <name val="Arial"/>
      <family val="2"/>
      <charset val="1"/>
    </font>
    <font>
      <b/>
      <sz val="11"/>
      <name val="Arial"/>
      <family val="2"/>
      <charset val="1"/>
    </font>
    <font>
      <b/>
      <sz val="11"/>
      <color rgb="FF00B050"/>
      <name val="Arial"/>
      <family val="2"/>
    </font>
    <font>
      <b/>
      <sz val="9"/>
      <color indexed="81"/>
      <name val="Tahoma"/>
      <family val="2"/>
    </font>
    <font>
      <sz val="9"/>
      <color indexed="81"/>
      <name val="Tahoma"/>
      <family val="2"/>
    </font>
    <font>
      <sz val="14"/>
      <name val="Arial"/>
      <family val="2"/>
      <charset val="1"/>
    </font>
    <font>
      <sz val="14"/>
      <name val="Arial"/>
      <family val="2"/>
    </font>
    <font>
      <sz val="11"/>
      <color theme="1"/>
      <name val="Arial"/>
      <family val="2"/>
    </font>
    <font>
      <sz val="11"/>
      <color rgb="FFFF0000"/>
      <name val="Arial"/>
      <family val="2"/>
    </font>
    <font>
      <b/>
      <u/>
      <sz val="11"/>
      <name val="Arial"/>
      <family val="2"/>
    </font>
    <font>
      <sz val="10"/>
      <name val="Arial"/>
      <family val="2"/>
    </font>
    <font>
      <b/>
      <sz val="10"/>
      <name val="Arial"/>
      <family val="2"/>
    </font>
    <font>
      <b/>
      <sz val="16"/>
      <name val="Arial"/>
      <family val="2"/>
    </font>
    <font>
      <sz val="10"/>
      <color theme="1"/>
      <name val="Arial"/>
      <family val="2"/>
    </font>
    <font>
      <b/>
      <sz val="12"/>
      <name val="Arial"/>
      <family val="2"/>
    </font>
    <font>
      <b/>
      <sz val="10"/>
      <color theme="1"/>
      <name val="Arial"/>
      <family val="2"/>
    </font>
    <font>
      <b/>
      <u/>
      <sz val="20"/>
      <name val="Arial"/>
      <family val="2"/>
    </font>
    <font>
      <b/>
      <sz val="13"/>
      <name val="Arial"/>
      <family val="2"/>
    </font>
    <font>
      <sz val="11"/>
      <color theme="2" tint="-0.499984740745262"/>
      <name val="Arial"/>
      <family val="2"/>
    </font>
    <font>
      <sz val="9"/>
      <color rgb="FFFF0000"/>
      <name val="Arial"/>
      <family val="2"/>
    </font>
    <font>
      <sz val="10"/>
      <color rgb="FF000000"/>
      <name val="Arial"/>
      <family val="2"/>
    </font>
    <font>
      <b/>
      <u/>
      <sz val="9"/>
      <color indexed="81"/>
      <name val="Tahoma"/>
      <family val="2"/>
    </font>
  </fonts>
  <fills count="22">
    <fill>
      <patternFill patternType="none"/>
    </fill>
    <fill>
      <patternFill patternType="gray125"/>
    </fill>
    <fill>
      <patternFill patternType="solid">
        <fgColor theme="9" tint="0.79998168889431442"/>
        <bgColor indexed="64"/>
      </patternFill>
    </fill>
    <fill>
      <patternFill patternType="solid">
        <fgColor rgb="FFFDEADA"/>
        <bgColor rgb="FFFFFFCC"/>
      </patternFill>
    </fill>
    <fill>
      <patternFill patternType="solid">
        <fgColor rgb="FFCCFF99"/>
        <bgColor rgb="FFFFFF99"/>
      </patternFill>
    </fill>
    <fill>
      <patternFill patternType="solid">
        <fgColor rgb="FFCCFF99"/>
        <bgColor indexed="64"/>
      </patternFill>
    </fill>
    <fill>
      <patternFill patternType="solid">
        <fgColor rgb="FFFFFFCC"/>
        <bgColor indexed="64"/>
      </patternFill>
    </fill>
    <fill>
      <patternFill patternType="gray125">
        <bgColor rgb="FFFFFFCC"/>
      </patternFill>
    </fill>
    <fill>
      <patternFill patternType="solid">
        <fgColor theme="5" tint="0.79998168889431442"/>
        <bgColor indexed="64"/>
      </patternFill>
    </fill>
    <fill>
      <patternFill patternType="solid">
        <fgColor theme="5" tint="0.79998168889431442"/>
        <bgColor rgb="FFFFFFCC"/>
      </patternFill>
    </fill>
    <fill>
      <patternFill patternType="solid">
        <fgColor theme="5" tint="0.79998168889431442"/>
        <bgColor rgb="FFFFFF99"/>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theme="0" tint="-0.34998626667073579"/>
        <bgColor indexed="64"/>
      </patternFill>
    </fill>
    <fill>
      <patternFill patternType="solid">
        <fgColor theme="0" tint="-0.14996795556505021"/>
        <bgColor indexed="64"/>
      </patternFill>
    </fill>
  </fills>
  <borders count="9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auto="1"/>
      </left>
      <right style="medium">
        <color auto="1"/>
      </right>
      <top style="medium">
        <color auto="1"/>
      </top>
      <bottom style="thin">
        <color auto="1"/>
      </bottom>
      <diagonal/>
    </border>
    <border>
      <left style="medium">
        <color indexed="64"/>
      </left>
      <right style="medium">
        <color indexed="64"/>
      </right>
      <top/>
      <bottom style="medium">
        <color indexed="64"/>
      </bottom>
      <diagonal/>
    </border>
    <border>
      <left/>
      <right style="thin">
        <color auto="1"/>
      </right>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medium">
        <color auto="1"/>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style="thin">
        <color auto="1"/>
      </top>
      <bottom style="medium">
        <color auto="1"/>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thin">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thin">
        <color indexed="64"/>
      </right>
      <top style="thin">
        <color indexed="64"/>
      </top>
      <bottom style="medium">
        <color indexed="64"/>
      </bottom>
      <diagonal/>
    </border>
    <border>
      <left style="thin">
        <color auto="1"/>
      </left>
      <right style="medium">
        <color auto="1"/>
      </right>
      <top style="medium">
        <color auto="1"/>
      </top>
      <bottom style="medium">
        <color auto="1"/>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top style="hair">
        <color indexed="64"/>
      </top>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ck">
        <color indexed="64"/>
      </right>
      <top/>
      <bottom style="medium">
        <color indexed="64"/>
      </bottom>
      <diagonal/>
    </border>
    <border>
      <left style="thin">
        <color auto="1"/>
      </left>
      <right style="thick">
        <color indexed="64"/>
      </right>
      <top style="medium">
        <color auto="1"/>
      </top>
      <bottom style="medium">
        <color auto="1"/>
      </bottom>
      <diagonal/>
    </border>
    <border>
      <left/>
      <right style="thick">
        <color indexed="64"/>
      </right>
      <top style="medium">
        <color indexed="64"/>
      </top>
      <bottom style="medium">
        <color indexed="64"/>
      </bottom>
      <diagonal/>
    </border>
    <border>
      <left/>
      <right style="thick">
        <color indexed="64"/>
      </right>
      <top style="medium">
        <color indexed="64"/>
      </top>
      <bottom/>
      <diagonal/>
    </border>
    <border>
      <left style="thin">
        <color indexed="64"/>
      </left>
      <right style="thick">
        <color indexed="64"/>
      </right>
      <top style="hair">
        <color indexed="64"/>
      </top>
      <bottom/>
      <diagonal/>
    </border>
    <border>
      <left style="thick">
        <color indexed="64"/>
      </left>
      <right style="thick">
        <color indexed="64"/>
      </right>
      <top style="hair">
        <color indexed="64"/>
      </top>
      <bottom/>
      <diagonal/>
    </border>
    <border>
      <left/>
      <right style="thick">
        <color indexed="64"/>
      </right>
      <top style="thin">
        <color auto="1"/>
      </top>
      <bottom style="medium">
        <color auto="1"/>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ck">
        <color indexed="64"/>
      </left>
      <right/>
      <top/>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s>
  <cellStyleXfs count="8">
    <xf numFmtId="0" fontId="0" fillId="0" borderId="0"/>
    <xf numFmtId="0" fontId="1" fillId="0" borderId="0"/>
    <xf numFmtId="0" fontId="7" fillId="0" borderId="0" applyNumberForma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0" fontId="23" fillId="0" borderId="0"/>
    <xf numFmtId="9" fontId="23" fillId="0" borderId="0" applyFont="0" applyFill="0" applyBorder="0" applyAlignment="0" applyProtection="0"/>
    <xf numFmtId="9" fontId="1" fillId="0" borderId="0" applyFont="0" applyFill="0" applyBorder="0" applyAlignment="0" applyProtection="0"/>
  </cellStyleXfs>
  <cellXfs count="602">
    <xf numFmtId="0" fontId="0" fillId="0" borderId="0" xfId="0"/>
    <xf numFmtId="0" fontId="1" fillId="0" borderId="0" xfId="1" applyProtection="1"/>
    <xf numFmtId="4" fontId="6" fillId="0" borderId="0" xfId="1" applyNumberFormat="1" applyFont="1" applyFill="1" applyBorder="1" applyAlignment="1" applyProtection="1">
      <alignment vertical="center"/>
    </xf>
    <xf numFmtId="0" fontId="1" fillId="0" borderId="0" xfId="1" applyAlignment="1" applyProtection="1">
      <alignment vertical="top"/>
    </xf>
    <xf numFmtId="4" fontId="1" fillId="0" borderId="0" xfId="1" applyNumberFormat="1" applyAlignment="1" applyProtection="1">
      <alignment vertical="center"/>
    </xf>
    <xf numFmtId="0" fontId="1" fillId="0" borderId="0" xfId="1" applyAlignment="1" applyProtection="1">
      <alignment vertical="center"/>
    </xf>
    <xf numFmtId="166" fontId="1" fillId="0" borderId="0" xfId="1" applyNumberFormat="1" applyProtection="1"/>
    <xf numFmtId="0" fontId="15" fillId="0" borderId="0" xfId="1" applyFont="1" applyAlignment="1" applyProtection="1">
      <alignment vertical="top"/>
    </xf>
    <xf numFmtId="0" fontId="16" fillId="0" borderId="0" xfId="1" applyFont="1" applyAlignment="1" applyProtection="1">
      <alignment vertical="top"/>
    </xf>
    <xf numFmtId="0" fontId="1" fillId="0" borderId="0" xfId="1" quotePrefix="1" applyProtection="1">
      <protection hidden="1"/>
    </xf>
    <xf numFmtId="3" fontId="2" fillId="5" borderId="18" xfId="1" applyNumberFormat="1" applyFont="1" applyFill="1" applyBorder="1" applyAlignment="1" applyProtection="1">
      <alignment horizontal="center" vertical="center"/>
    </xf>
    <xf numFmtId="3" fontId="4" fillId="0" borderId="1" xfId="1" applyNumberFormat="1" applyFont="1" applyBorder="1" applyAlignment="1" applyProtection="1">
      <alignment horizontal="center" vertical="top" wrapText="1"/>
    </xf>
    <xf numFmtId="0" fontId="2" fillId="0" borderId="58" xfId="1" applyFont="1" applyFill="1" applyBorder="1" applyAlignment="1" applyProtection="1">
      <alignment horizontal="center" vertical="center" wrapText="1"/>
      <protection hidden="1"/>
    </xf>
    <xf numFmtId="166" fontId="1" fillId="2" borderId="58" xfId="1" applyNumberFormat="1" applyFill="1" applyBorder="1" applyAlignment="1" applyProtection="1">
      <alignment wrapText="1"/>
      <protection hidden="1"/>
    </xf>
    <xf numFmtId="166" fontId="1" fillId="0" borderId="69" xfId="3" applyNumberFormat="1" applyFont="1" applyFill="1" applyBorder="1" applyAlignment="1" applyProtection="1">
      <alignment vertical="center"/>
    </xf>
    <xf numFmtId="166" fontId="1" fillId="0" borderId="70" xfId="3" applyNumberFormat="1" applyFont="1" applyBorder="1" applyAlignment="1" applyProtection="1">
      <alignment horizontal="center" vertical="center"/>
    </xf>
    <xf numFmtId="166" fontId="1" fillId="0" borderId="69" xfId="3" applyNumberFormat="1" applyFont="1" applyBorder="1" applyAlignment="1" applyProtection="1">
      <alignment vertical="center"/>
    </xf>
    <xf numFmtId="166" fontId="1" fillId="0" borderId="71" xfId="3" applyNumberFormat="1" applyFont="1" applyFill="1" applyBorder="1" applyAlignment="1" applyProtection="1">
      <alignment horizontal="center" vertical="center"/>
    </xf>
    <xf numFmtId="166" fontId="2" fillId="6" borderId="72" xfId="3" applyNumberFormat="1" applyFont="1" applyFill="1" applyBorder="1" applyAlignment="1" applyProtection="1">
      <alignment vertical="center"/>
    </xf>
    <xf numFmtId="0" fontId="1" fillId="0" borderId="51" xfId="1" applyFont="1" applyBorder="1" applyAlignment="1" applyProtection="1">
      <alignment horizontal="center" vertical="center"/>
    </xf>
    <xf numFmtId="43" fontId="1" fillId="0" borderId="63" xfId="3" applyFont="1" applyBorder="1" applyAlignment="1" applyProtection="1">
      <alignment vertical="center"/>
    </xf>
    <xf numFmtId="166" fontId="1" fillId="0" borderId="14" xfId="3" applyNumberFormat="1" applyFont="1" applyFill="1" applyBorder="1" applyAlignment="1" applyProtection="1">
      <alignment horizontal="center" vertical="center"/>
    </xf>
    <xf numFmtId="3" fontId="2" fillId="7" borderId="1" xfId="1" applyNumberFormat="1" applyFont="1" applyFill="1" applyBorder="1" applyAlignment="1" applyProtection="1"/>
    <xf numFmtId="3" fontId="1" fillId="0" borderId="0" xfId="1" applyNumberFormat="1" applyFont="1" applyBorder="1" applyAlignment="1" applyProtection="1">
      <alignment vertical="center"/>
    </xf>
    <xf numFmtId="3" fontId="2" fillId="0" borderId="0" xfId="1" applyNumberFormat="1" applyFont="1" applyBorder="1" applyAlignment="1" applyProtection="1">
      <alignment vertical="center"/>
    </xf>
    <xf numFmtId="0" fontId="1" fillId="0" borderId="0" xfId="1" applyFill="1" applyProtection="1"/>
    <xf numFmtId="0" fontId="1" fillId="0" borderId="0" xfId="1"/>
    <xf numFmtId="4" fontId="1" fillId="0" borderId="58" xfId="1" applyNumberFormat="1" applyFont="1" applyBorder="1" applyAlignment="1" applyProtection="1">
      <alignment horizontal="center" vertical="top" wrapText="1"/>
    </xf>
    <xf numFmtId="4" fontId="1" fillId="0" borderId="0" xfId="1" applyNumberFormat="1" applyFont="1" applyBorder="1" applyAlignment="1" applyProtection="1">
      <alignment horizontal="center" vertical="top" wrapText="1"/>
    </xf>
    <xf numFmtId="0" fontId="1" fillId="0" borderId="0" xfId="1" applyNumberFormat="1" applyFont="1" applyBorder="1" applyAlignment="1" applyProtection="1">
      <alignment horizontal="center" vertical="top" wrapText="1"/>
    </xf>
    <xf numFmtId="0" fontId="1" fillId="0" borderId="0" xfId="1" applyAlignment="1">
      <alignment horizontal="right"/>
    </xf>
    <xf numFmtId="0" fontId="1" fillId="0" borderId="0" xfId="1" applyBorder="1" applyAlignment="1">
      <alignment horizontal="right"/>
    </xf>
    <xf numFmtId="0" fontId="1" fillId="0" borderId="0" xfId="1" applyNumberFormat="1" applyFont="1" applyBorder="1" applyAlignment="1" applyProtection="1">
      <alignment horizontal="right"/>
    </xf>
    <xf numFmtId="0" fontId="1" fillId="0" borderId="0" xfId="1" applyNumberFormat="1" applyAlignment="1">
      <alignment horizontal="right"/>
    </xf>
    <xf numFmtId="0" fontId="1" fillId="0" borderId="0" xfId="1" applyBorder="1"/>
    <xf numFmtId="0" fontId="1" fillId="0" borderId="0" xfId="1" applyNumberFormat="1"/>
    <xf numFmtId="9" fontId="1" fillId="3" borderId="24" xfId="1" applyNumberFormat="1" applyFont="1" applyFill="1" applyBorder="1" applyAlignment="1" applyProtection="1">
      <alignment horizontal="center" vertical="center"/>
      <protection locked="0"/>
    </xf>
    <xf numFmtId="9" fontId="1" fillId="3" borderId="33" xfId="1" applyNumberFormat="1" applyFont="1" applyFill="1" applyBorder="1" applyAlignment="1" applyProtection="1">
      <alignment horizontal="center" vertical="center"/>
      <protection locked="0"/>
    </xf>
    <xf numFmtId="0" fontId="1" fillId="0" borderId="0" xfId="1" applyFont="1" applyAlignment="1" applyProtection="1">
      <alignment vertical="center"/>
    </xf>
    <xf numFmtId="0" fontId="1" fillId="0" borderId="0" xfId="1" applyFont="1" applyProtection="1"/>
    <xf numFmtId="0" fontId="1" fillId="0" borderId="0" xfId="1" applyFont="1" applyBorder="1" applyProtection="1"/>
    <xf numFmtId="165" fontId="17" fillId="3" borderId="60" xfId="3" applyNumberFormat="1" applyFont="1" applyFill="1" applyBorder="1" applyAlignment="1" applyProtection="1">
      <alignment horizontal="left" vertical="center"/>
      <protection locked="0"/>
    </xf>
    <xf numFmtId="165" fontId="17" fillId="3" borderId="35" xfId="3" applyNumberFormat="1" applyFont="1" applyFill="1" applyBorder="1" applyAlignment="1" applyProtection="1">
      <alignment horizontal="left" vertical="center"/>
      <protection locked="0"/>
    </xf>
    <xf numFmtId="165" fontId="17" fillId="3" borderId="49" xfId="3" applyNumberFormat="1" applyFont="1" applyFill="1" applyBorder="1" applyAlignment="1" applyProtection="1">
      <alignment horizontal="left" vertical="center"/>
      <protection locked="0"/>
    </xf>
    <xf numFmtId="165" fontId="17" fillId="10" borderId="33" xfId="3" applyNumberFormat="1" applyFont="1" applyFill="1" applyBorder="1" applyAlignment="1" applyProtection="1">
      <alignment horizontal="left" vertical="center"/>
      <protection locked="0"/>
    </xf>
    <xf numFmtId="165" fontId="17" fillId="10" borderId="47" xfId="3" applyNumberFormat="1" applyFont="1" applyFill="1" applyBorder="1" applyAlignment="1" applyProtection="1">
      <alignment horizontal="left" vertical="center"/>
      <protection locked="0"/>
    </xf>
    <xf numFmtId="1" fontId="1" fillId="9" borderId="24" xfId="2" applyNumberFormat="1" applyFont="1" applyFill="1" applyBorder="1" applyAlignment="1" applyProtection="1">
      <alignment horizontal="center" vertical="center"/>
      <protection locked="0"/>
    </xf>
    <xf numFmtId="1" fontId="1" fillId="9" borderId="33" xfId="2" applyNumberFormat="1" applyFont="1" applyFill="1" applyBorder="1" applyAlignment="1" applyProtection="1">
      <alignment horizontal="center" vertical="center"/>
      <protection locked="0"/>
    </xf>
    <xf numFmtId="1" fontId="1" fillId="9" borderId="33" xfId="1" applyNumberFormat="1" applyFont="1" applyFill="1" applyBorder="1" applyAlignment="1" applyProtection="1">
      <alignment horizontal="center" vertical="center"/>
      <protection locked="0"/>
    </xf>
    <xf numFmtId="1" fontId="1" fillId="9" borderId="47" xfId="1" applyNumberFormat="1" applyFont="1" applyFill="1" applyBorder="1" applyAlignment="1" applyProtection="1">
      <alignment horizontal="center" vertical="center"/>
      <protection locked="0"/>
    </xf>
    <xf numFmtId="0" fontId="1" fillId="1" borderId="57" xfId="1" applyFont="1" applyFill="1" applyBorder="1" applyProtection="1"/>
    <xf numFmtId="43" fontId="1" fillId="0" borderId="52" xfId="3" applyFont="1" applyBorder="1" applyAlignment="1" applyProtection="1"/>
    <xf numFmtId="9" fontId="1" fillId="8" borderId="33" xfId="1" applyNumberFormat="1" applyFont="1" applyFill="1" applyBorder="1" applyAlignment="1" applyProtection="1">
      <alignment horizontal="center" vertical="center"/>
      <protection locked="0"/>
    </xf>
    <xf numFmtId="0" fontId="1" fillId="0" borderId="0" xfId="1" applyProtection="1">
      <protection hidden="1"/>
    </xf>
    <xf numFmtId="164" fontId="1" fillId="0" borderId="0" xfId="1" applyNumberFormat="1" applyProtection="1">
      <protection hidden="1"/>
    </xf>
    <xf numFmtId="165" fontId="1" fillId="0" borderId="0" xfId="1" applyNumberFormat="1" applyProtection="1">
      <protection hidden="1"/>
    </xf>
    <xf numFmtId="166" fontId="1" fillId="0" borderId="0" xfId="1" applyNumberFormat="1" applyProtection="1">
      <protection hidden="1"/>
    </xf>
    <xf numFmtId="2" fontId="1" fillId="0" borderId="0" xfId="1" applyNumberFormat="1" applyProtection="1"/>
    <xf numFmtId="3" fontId="1" fillId="0" borderId="2" xfId="1" applyNumberFormat="1" applyFont="1" applyBorder="1" applyAlignment="1" applyProtection="1">
      <alignment horizontal="center" vertical="top" wrapText="1"/>
    </xf>
    <xf numFmtId="0" fontId="1" fillId="0" borderId="0" xfId="1" applyNumberFormat="1" applyProtection="1"/>
    <xf numFmtId="0" fontId="1" fillId="0" borderId="0" xfId="1" quotePrefix="1" applyAlignment="1" applyProtection="1">
      <alignment vertical="center"/>
    </xf>
    <xf numFmtId="9" fontId="1" fillId="0" borderId="0" xfId="1" applyNumberFormat="1"/>
    <xf numFmtId="9" fontId="1" fillId="8" borderId="24" xfId="1" applyNumberFormat="1" applyFont="1" applyFill="1" applyBorder="1" applyAlignment="1" applyProtection="1">
      <alignment horizontal="center" vertical="center"/>
      <protection locked="0"/>
    </xf>
    <xf numFmtId="169" fontId="1" fillId="0" borderId="55" xfId="1" applyNumberFormat="1" applyFont="1" applyBorder="1" applyAlignment="1" applyProtection="1">
      <alignment horizontal="center" vertical="center"/>
    </xf>
    <xf numFmtId="166" fontId="1" fillId="0" borderId="71" xfId="3" applyNumberFormat="1" applyFont="1" applyBorder="1" applyAlignment="1" applyProtection="1">
      <alignment vertical="center"/>
    </xf>
    <xf numFmtId="3" fontId="2" fillId="11" borderId="18" xfId="1" applyNumberFormat="1" applyFont="1" applyFill="1" applyBorder="1" applyAlignment="1" applyProtection="1">
      <alignment horizontal="center" vertical="center"/>
    </xf>
    <xf numFmtId="166" fontId="18" fillId="0" borderId="0" xfId="1" applyNumberFormat="1" applyFont="1" applyProtection="1"/>
    <xf numFmtId="166" fontId="18" fillId="0" borderId="0" xfId="4" applyNumberFormat="1" applyFont="1" applyProtection="1"/>
    <xf numFmtId="0" fontId="1" fillId="0" borderId="0" xfId="1" applyBorder="1" applyProtection="1"/>
    <xf numFmtId="0" fontId="1" fillId="0" borderId="0" xfId="1" applyBorder="1" applyAlignment="1" applyProtection="1">
      <alignment vertical="top"/>
    </xf>
    <xf numFmtId="3" fontId="4" fillId="0" borderId="75" xfId="1" applyNumberFormat="1" applyFont="1" applyBorder="1" applyAlignment="1" applyProtection="1">
      <alignment horizontal="center" vertical="top" wrapText="1"/>
    </xf>
    <xf numFmtId="166" fontId="1" fillId="0" borderId="79" xfId="3" applyNumberFormat="1" applyFont="1" applyBorder="1" applyAlignment="1" applyProtection="1">
      <alignment vertical="center"/>
    </xf>
    <xf numFmtId="3" fontId="2" fillId="12" borderId="75" xfId="1" applyNumberFormat="1" applyFont="1" applyFill="1" applyBorder="1" applyAlignment="1" applyProtection="1">
      <alignment horizontal="center" vertical="center"/>
    </xf>
    <xf numFmtId="3" fontId="1" fillId="0" borderId="0" xfId="1" applyNumberFormat="1" applyBorder="1" applyAlignment="1" applyProtection="1">
      <alignment vertical="center"/>
    </xf>
    <xf numFmtId="3" fontId="2" fillId="13" borderId="2" xfId="1" applyNumberFormat="1" applyFont="1" applyFill="1" applyBorder="1" applyAlignment="1" applyProtection="1">
      <alignment horizontal="center" vertical="center" wrapText="1"/>
    </xf>
    <xf numFmtId="166" fontId="1" fillId="0" borderId="80" xfId="4" applyNumberFormat="1" applyFont="1" applyFill="1" applyBorder="1" applyAlignment="1" applyProtection="1">
      <alignment wrapText="1"/>
    </xf>
    <xf numFmtId="0" fontId="1" fillId="3" borderId="67" xfId="1" applyFont="1" applyFill="1" applyBorder="1" applyAlignment="1" applyProtection="1">
      <alignment horizontal="center" vertical="center"/>
      <protection locked="0"/>
    </xf>
    <xf numFmtId="164" fontId="1" fillId="3" borderId="67" xfId="1" applyNumberFormat="1" applyFont="1" applyFill="1" applyBorder="1" applyAlignment="1" applyProtection="1">
      <alignment horizontal="center" vertical="center"/>
      <protection locked="0"/>
    </xf>
    <xf numFmtId="165" fontId="1" fillId="3" borderId="67" xfId="3" applyNumberFormat="1" applyFont="1" applyFill="1" applyBorder="1" applyAlignment="1" applyProtection="1">
      <alignment vertical="center"/>
      <protection locked="0"/>
    </xf>
    <xf numFmtId="165" fontId="1" fillId="3" borderId="68" xfId="3" applyNumberFormat="1" applyFont="1" applyFill="1" applyBorder="1" applyAlignment="1" applyProtection="1">
      <alignment vertical="center"/>
      <protection locked="0"/>
    </xf>
    <xf numFmtId="166" fontId="1" fillId="0" borderId="52" xfId="3" applyNumberFormat="1" applyFont="1" applyBorder="1" applyAlignment="1" applyProtection="1"/>
    <xf numFmtId="3" fontId="21" fillId="0" borderId="0" xfId="1" applyNumberFormat="1" applyFont="1" applyFill="1" applyBorder="1" applyAlignment="1" applyProtection="1">
      <alignment horizontal="right" vertical="center" wrapText="1"/>
    </xf>
    <xf numFmtId="0" fontId="23" fillId="0" borderId="0" xfId="5"/>
    <xf numFmtId="3" fontId="23" fillId="0" borderId="0" xfId="5" applyNumberFormat="1" applyBorder="1"/>
    <xf numFmtId="0" fontId="23" fillId="0" borderId="0" xfId="5" applyBorder="1"/>
    <xf numFmtId="10" fontId="23" fillId="0" borderId="0" xfId="5" applyNumberFormat="1" applyBorder="1"/>
    <xf numFmtId="0" fontId="23" fillId="0" borderId="0" xfId="5" applyFill="1" applyBorder="1"/>
    <xf numFmtId="3" fontId="21" fillId="13" borderId="75" xfId="1" applyNumberFormat="1" applyFont="1" applyFill="1" applyBorder="1" applyAlignment="1" applyProtection="1">
      <alignment horizontal="right" vertical="center" wrapText="1"/>
    </xf>
    <xf numFmtId="9" fontId="23" fillId="0" borderId="0" xfId="5" applyNumberFormat="1" applyBorder="1"/>
    <xf numFmtId="3" fontId="21" fillId="0" borderId="81" xfId="1" applyNumberFormat="1" applyFont="1" applyFill="1" applyBorder="1" applyAlignment="1" applyProtection="1">
      <alignment horizontal="right" vertical="center" wrapText="1"/>
    </xf>
    <xf numFmtId="3" fontId="21" fillId="0" borderId="82" xfId="1" applyNumberFormat="1" applyFont="1" applyFill="1" applyBorder="1" applyAlignment="1" applyProtection="1">
      <alignment horizontal="right" vertical="center" wrapText="1"/>
    </xf>
    <xf numFmtId="3" fontId="23" fillId="0" borderId="0" xfId="5" applyNumberFormat="1"/>
    <xf numFmtId="3" fontId="23" fillId="0" borderId="59" xfId="5" applyNumberFormat="1" applyBorder="1"/>
    <xf numFmtId="0" fontId="25" fillId="0" borderId="0" xfId="5" applyFont="1" applyBorder="1" applyAlignment="1">
      <alignment horizontal="center"/>
    </xf>
    <xf numFmtId="10" fontId="25" fillId="0" borderId="0" xfId="5" applyNumberFormat="1" applyFont="1" applyBorder="1" applyAlignment="1">
      <alignment horizontal="center"/>
    </xf>
    <xf numFmtId="10" fontId="23" fillId="0" borderId="0" xfId="5" applyNumberFormat="1" applyBorder="1" applyAlignment="1">
      <alignment horizontal="center"/>
    </xf>
    <xf numFmtId="10" fontId="0" fillId="0" borderId="0" xfId="6" applyNumberFormat="1" applyFont="1" applyBorder="1"/>
    <xf numFmtId="10" fontId="0" fillId="0" borderId="30" xfId="6" applyNumberFormat="1" applyFont="1" applyBorder="1"/>
    <xf numFmtId="10" fontId="0" fillId="0" borderId="31" xfId="6" applyNumberFormat="1" applyFont="1" applyBorder="1"/>
    <xf numFmtId="3" fontId="23" fillId="14" borderId="36" xfId="5" applyNumberFormat="1" applyFont="1" applyFill="1" applyBorder="1"/>
    <xf numFmtId="3" fontId="23" fillId="14" borderId="34" xfId="5" applyNumberFormat="1" applyFont="1" applyFill="1" applyBorder="1"/>
    <xf numFmtId="3" fontId="23" fillId="0" borderId="31" xfId="5" applyNumberFormat="1" applyFont="1" applyBorder="1"/>
    <xf numFmtId="3" fontId="23" fillId="0" borderId="34" xfId="5" applyNumberFormat="1" applyFont="1" applyBorder="1"/>
    <xf numFmtId="3" fontId="23" fillId="0" borderId="36" xfId="5" applyNumberFormat="1" applyFont="1" applyBorder="1"/>
    <xf numFmtId="3" fontId="23" fillId="0" borderId="30" xfId="5" applyNumberFormat="1" applyFont="1" applyBorder="1"/>
    <xf numFmtId="0" fontId="23" fillId="0" borderId="31" xfId="5" applyFill="1" applyBorder="1" applyAlignment="1">
      <alignment wrapText="1"/>
    </xf>
    <xf numFmtId="0" fontId="23" fillId="0" borderId="44" xfId="5" applyFill="1" applyBorder="1" applyAlignment="1">
      <alignment horizontal="center" wrapText="1"/>
    </xf>
    <xf numFmtId="0" fontId="25" fillId="0" borderId="40" xfId="5" applyFont="1" applyFill="1" applyBorder="1" applyAlignment="1">
      <alignment wrapText="1"/>
    </xf>
    <xf numFmtId="0" fontId="23" fillId="0" borderId="0" xfId="5" applyFill="1" applyBorder="1" applyAlignment="1">
      <alignment horizontal="center" wrapText="1"/>
    </xf>
    <xf numFmtId="0" fontId="23" fillId="0" borderId="85" xfId="5" applyFill="1" applyBorder="1" applyAlignment="1">
      <alignment horizontal="center" wrapText="1"/>
    </xf>
    <xf numFmtId="0" fontId="23" fillId="0" borderId="88" xfId="5" applyFill="1" applyBorder="1" applyAlignment="1">
      <alignment horizontal="center" wrapText="1"/>
    </xf>
    <xf numFmtId="0" fontId="23" fillId="0" borderId="87" xfId="5" applyFill="1" applyBorder="1" applyAlignment="1">
      <alignment horizontal="center" wrapText="1"/>
    </xf>
    <xf numFmtId="0" fontId="0" fillId="0" borderId="86" xfId="5" applyFont="1" applyFill="1" applyBorder="1" applyAlignment="1">
      <alignment horizontal="center" wrapText="1"/>
    </xf>
    <xf numFmtId="0" fontId="23" fillId="0" borderId="40" xfId="5" applyFill="1" applyBorder="1" applyAlignment="1">
      <alignment horizontal="center" wrapText="1"/>
    </xf>
    <xf numFmtId="0" fontId="23" fillId="0" borderId="86" xfId="5" applyFill="1" applyBorder="1" applyAlignment="1">
      <alignment horizontal="center" wrapText="1"/>
    </xf>
    <xf numFmtId="0" fontId="25" fillId="0" borderId="30" xfId="5" applyFont="1" applyFill="1" applyBorder="1" applyAlignment="1">
      <alignment horizontal="center"/>
    </xf>
    <xf numFmtId="0" fontId="25" fillId="0" borderId="31" xfId="5" applyFont="1" applyFill="1" applyBorder="1" applyAlignment="1">
      <alignment horizontal="center"/>
    </xf>
    <xf numFmtId="0" fontId="25" fillId="0" borderId="34" xfId="5" applyFont="1" applyFill="1" applyBorder="1" applyAlignment="1">
      <alignment horizontal="center"/>
    </xf>
    <xf numFmtId="0" fontId="23" fillId="0" borderId="30" xfId="5" applyFont="1" applyBorder="1"/>
    <xf numFmtId="0" fontId="23" fillId="0" borderId="34" xfId="5" applyFont="1" applyBorder="1"/>
    <xf numFmtId="10" fontId="23" fillId="0" borderId="30" xfId="5" applyNumberFormat="1" applyFont="1" applyBorder="1"/>
    <xf numFmtId="0" fontId="23" fillId="0" borderId="36" xfId="5" applyFont="1" applyBorder="1"/>
    <xf numFmtId="0" fontId="23" fillId="14" borderId="31" xfId="5" applyFont="1" applyFill="1" applyBorder="1"/>
    <xf numFmtId="10" fontId="23" fillId="0" borderId="34" xfId="5" applyNumberFormat="1" applyFont="1" applyBorder="1"/>
    <xf numFmtId="49" fontId="0" fillId="8" borderId="44" xfId="5" applyNumberFormat="1" applyFont="1" applyFill="1" applyBorder="1" applyAlignment="1">
      <alignment horizontal="center" wrapText="1"/>
    </xf>
    <xf numFmtId="49" fontId="23" fillId="8" borderId="44" xfId="5" applyNumberFormat="1" applyFill="1" applyBorder="1" applyAlignment="1">
      <alignment horizontal="center" wrapText="1"/>
    </xf>
    <xf numFmtId="49" fontId="23" fillId="8" borderId="59" xfId="5" applyNumberFormat="1" applyFill="1" applyBorder="1" applyAlignment="1">
      <alignment horizontal="center" wrapText="1"/>
    </xf>
    <xf numFmtId="49" fontId="0" fillId="2" borderId="40" xfId="5" applyNumberFormat="1" applyFont="1" applyFill="1" applyBorder="1" applyAlignment="1">
      <alignment horizontal="center" wrapText="1"/>
    </xf>
    <xf numFmtId="49" fontId="23" fillId="2" borderId="87" xfId="5" applyNumberFormat="1" applyFill="1" applyBorder="1" applyAlignment="1">
      <alignment horizontal="center" wrapText="1"/>
    </xf>
    <xf numFmtId="49" fontId="23" fillId="2" borderId="40" xfId="5" applyNumberFormat="1" applyFill="1" applyBorder="1" applyAlignment="1">
      <alignment horizontal="center" wrapText="1"/>
    </xf>
    <xf numFmtId="49" fontId="0" fillId="15" borderId="40" xfId="5" applyNumberFormat="1" applyFont="1" applyFill="1" applyBorder="1" applyAlignment="1">
      <alignment horizontal="center" wrapText="1"/>
    </xf>
    <xf numFmtId="49" fontId="23" fillId="15" borderId="87" xfId="5" applyNumberFormat="1" applyFill="1" applyBorder="1" applyAlignment="1">
      <alignment horizontal="center" wrapText="1"/>
    </xf>
    <xf numFmtId="49" fontId="23" fillId="15" borderId="40" xfId="5" applyNumberFormat="1" applyFill="1" applyBorder="1" applyAlignment="1">
      <alignment horizontal="center" wrapText="1"/>
    </xf>
    <xf numFmtId="49" fontId="23" fillId="16" borderId="85" xfId="5" applyNumberFormat="1" applyFill="1" applyBorder="1" applyAlignment="1">
      <alignment horizontal="center" wrapText="1"/>
    </xf>
    <xf numFmtId="49" fontId="23" fillId="16" borderId="44" xfId="5" applyNumberFormat="1" applyFill="1" applyBorder="1" applyAlignment="1">
      <alignment horizontal="center" wrapText="1"/>
    </xf>
    <xf numFmtId="0" fontId="25" fillId="16" borderId="0" xfId="5" applyFont="1" applyFill="1" applyBorder="1" applyAlignment="1">
      <alignment horizontal="center"/>
    </xf>
    <xf numFmtId="0" fontId="25" fillId="16" borderId="85" xfId="5" applyFont="1" applyFill="1" applyBorder="1" applyAlignment="1">
      <alignment horizontal="center"/>
    </xf>
    <xf numFmtId="0" fontId="25" fillId="16" borderId="59" xfId="5" applyFont="1" applyFill="1" applyBorder="1" applyAlignment="1">
      <alignment horizontal="center"/>
    </xf>
    <xf numFmtId="0" fontId="1" fillId="0" borderId="0" xfId="1" applyBorder="1" applyAlignment="1">
      <alignment vertical="center"/>
    </xf>
    <xf numFmtId="49" fontId="0" fillId="8" borderId="40" xfId="5" applyNumberFormat="1" applyFont="1" applyFill="1" applyBorder="1" applyAlignment="1">
      <alignment horizontal="center" wrapText="1"/>
    </xf>
    <xf numFmtId="49" fontId="23" fillId="8" borderId="87" xfId="5" applyNumberFormat="1" applyFill="1" applyBorder="1" applyAlignment="1">
      <alignment horizontal="center" wrapText="1"/>
    </xf>
    <xf numFmtId="49" fontId="23" fillId="8" borderId="40" xfId="5" applyNumberFormat="1" applyFill="1" applyBorder="1" applyAlignment="1">
      <alignment horizontal="center" wrapText="1"/>
    </xf>
    <xf numFmtId="49" fontId="23" fillId="2" borderId="86" xfId="5" applyNumberFormat="1" applyFill="1" applyBorder="1" applyAlignment="1">
      <alignment horizontal="center" wrapText="1"/>
    </xf>
    <xf numFmtId="0" fontId="1" fillId="0" borderId="0" xfId="1" applyBorder="1" applyAlignment="1">
      <alignment horizontal="center"/>
    </xf>
    <xf numFmtId="10" fontId="0" fillId="0" borderId="0" xfId="6" applyNumberFormat="1" applyFont="1"/>
    <xf numFmtId="3" fontId="1" fillId="0" borderId="0" xfId="1" applyNumberFormat="1" applyBorder="1"/>
    <xf numFmtId="0" fontId="23" fillId="0" borderId="0" xfId="5" applyFill="1" applyBorder="1" applyAlignment="1">
      <alignment horizontal="center"/>
    </xf>
    <xf numFmtId="0" fontId="23" fillId="0" borderId="0" xfId="5" applyAlignment="1"/>
    <xf numFmtId="49" fontId="0" fillId="2" borderId="87" xfId="5" applyNumberFormat="1" applyFont="1" applyFill="1" applyBorder="1" applyAlignment="1">
      <alignment horizontal="center" wrapText="1"/>
    </xf>
    <xf numFmtId="49" fontId="23" fillId="16" borderId="40" xfId="5" applyNumberFormat="1" applyFill="1" applyBorder="1" applyAlignment="1">
      <alignment wrapText="1"/>
    </xf>
    <xf numFmtId="49" fontId="0" fillId="16" borderId="40" xfId="5" applyNumberFormat="1" applyFont="1" applyFill="1" applyBorder="1" applyAlignment="1">
      <alignment wrapText="1"/>
    </xf>
    <xf numFmtId="166" fontId="1" fillId="0" borderId="0" xfId="1" applyNumberFormat="1" applyBorder="1"/>
    <xf numFmtId="165" fontId="23" fillId="0" borderId="0" xfId="5" applyNumberFormat="1" applyBorder="1"/>
    <xf numFmtId="0" fontId="25" fillId="16" borderId="34" xfId="5" applyFont="1" applyFill="1" applyBorder="1" applyAlignment="1">
      <alignment horizontal="center"/>
    </xf>
    <xf numFmtId="0" fontId="25" fillId="16" borderId="36" xfId="5" applyFont="1" applyFill="1" applyBorder="1" applyAlignment="1">
      <alignment horizontal="center"/>
    </xf>
    <xf numFmtId="3" fontId="1" fillId="0" borderId="0" xfId="1" applyNumberFormat="1" applyFont="1" applyBorder="1" applyAlignment="1">
      <alignment vertical="center"/>
    </xf>
    <xf numFmtId="0" fontId="25" fillId="0" borderId="0" xfId="5" applyFont="1" applyFill="1" applyBorder="1" applyAlignment="1"/>
    <xf numFmtId="3" fontId="25" fillId="0" borderId="0" xfId="5" applyNumberFormat="1" applyFont="1" applyFill="1" applyBorder="1" applyAlignment="1"/>
    <xf numFmtId="14" fontId="23" fillId="14" borderId="31" xfId="5" applyNumberFormat="1" applyFont="1" applyFill="1" applyBorder="1"/>
    <xf numFmtId="14" fontId="23" fillId="0" borderId="0" xfId="5" applyNumberFormat="1" applyFont="1" applyBorder="1"/>
    <xf numFmtId="3" fontId="23" fillId="0" borderId="0" xfId="5" applyNumberFormat="1" applyFont="1" applyBorder="1"/>
    <xf numFmtId="0" fontId="23" fillId="0" borderId="0" xfId="5" applyFont="1" applyBorder="1"/>
    <xf numFmtId="10" fontId="23" fillId="14" borderId="22" xfId="5" applyNumberFormat="1" applyFill="1" applyBorder="1"/>
    <xf numFmtId="3" fontId="23" fillId="14" borderId="22" xfId="5" applyNumberFormat="1" applyFill="1" applyBorder="1"/>
    <xf numFmtId="0" fontId="23" fillId="14" borderId="34" xfId="5" applyFont="1" applyFill="1" applyBorder="1"/>
    <xf numFmtId="0" fontId="23" fillId="14" borderId="31" xfId="5" applyFill="1" applyBorder="1"/>
    <xf numFmtId="0" fontId="23" fillId="0" borderId="36" xfId="5" applyBorder="1"/>
    <xf numFmtId="0" fontId="1" fillId="0" borderId="0" xfId="1" applyAlignment="1" applyProtection="1">
      <alignment horizontal="center" wrapText="1"/>
    </xf>
    <xf numFmtId="3" fontId="23" fillId="0" borderId="0" xfId="5" applyNumberFormat="1" applyFont="1" applyFill="1" applyBorder="1"/>
    <xf numFmtId="0" fontId="0" fillId="0" borderId="85" xfId="5" applyFont="1" applyBorder="1" applyAlignment="1">
      <alignment vertical="center"/>
    </xf>
    <xf numFmtId="0" fontId="23" fillId="0" borderId="31" xfId="5" applyBorder="1"/>
    <xf numFmtId="10" fontId="23" fillId="0" borderId="31" xfId="5" applyNumberFormat="1" applyBorder="1"/>
    <xf numFmtId="0" fontId="0" fillId="0" borderId="0" xfId="5" applyFont="1"/>
    <xf numFmtId="0" fontId="23" fillId="0" borderId="31" xfId="5" applyFont="1" applyFill="1" applyBorder="1"/>
    <xf numFmtId="0" fontId="23" fillId="0" borderId="36" xfId="5" applyFont="1" applyFill="1" applyBorder="1"/>
    <xf numFmtId="0" fontId="25" fillId="13" borderId="36" xfId="5" applyFont="1" applyFill="1" applyBorder="1"/>
    <xf numFmtId="0" fontId="25" fillId="5" borderId="31" xfId="5" applyFont="1" applyFill="1" applyBorder="1"/>
    <xf numFmtId="0" fontId="25" fillId="13" borderId="27" xfId="5" applyFont="1" applyFill="1" applyBorder="1"/>
    <xf numFmtId="0" fontId="25" fillId="5" borderId="25" xfId="5" applyFont="1" applyFill="1" applyBorder="1"/>
    <xf numFmtId="10" fontId="25" fillId="0" borderId="25" xfId="5" applyNumberFormat="1" applyFont="1" applyBorder="1"/>
    <xf numFmtId="0" fontId="25" fillId="0" borderId="21" xfId="5" applyFont="1" applyBorder="1"/>
    <xf numFmtId="0" fontId="25" fillId="5" borderId="34" xfId="5" applyFont="1" applyFill="1" applyBorder="1"/>
    <xf numFmtId="10" fontId="25" fillId="0" borderId="34" xfId="5" applyNumberFormat="1" applyFont="1" applyBorder="1"/>
    <xf numFmtId="0" fontId="25" fillId="0" borderId="30" xfId="5" applyFont="1" applyBorder="1"/>
    <xf numFmtId="49" fontId="23" fillId="16" borderId="87" xfId="5" applyNumberFormat="1" applyFont="1" applyFill="1" applyBorder="1" applyAlignment="1">
      <alignment wrapText="1"/>
    </xf>
    <xf numFmtId="49" fontId="23" fillId="16" borderId="40" xfId="5" applyNumberFormat="1" applyFont="1" applyFill="1" applyBorder="1" applyAlignment="1">
      <alignment wrapText="1"/>
    </xf>
    <xf numFmtId="10" fontId="0" fillId="0" borderId="0" xfId="6" applyNumberFormat="1" applyFont="1" applyFill="1" applyBorder="1"/>
    <xf numFmtId="9" fontId="23" fillId="0" borderId="0" xfId="5" applyNumberFormat="1" applyFill="1" applyBorder="1"/>
    <xf numFmtId="0" fontId="23" fillId="0" borderId="34" xfId="5" applyFill="1" applyBorder="1"/>
    <xf numFmtId="0" fontId="23" fillId="14" borderId="36" xfId="5" applyFont="1" applyFill="1" applyBorder="1"/>
    <xf numFmtId="0" fontId="20" fillId="14" borderId="36" xfId="5" applyFont="1" applyFill="1" applyBorder="1"/>
    <xf numFmtId="10" fontId="23" fillId="0" borderId="36" xfId="5" applyNumberFormat="1" applyFont="1" applyFill="1" applyBorder="1"/>
    <xf numFmtId="0" fontId="0" fillId="16" borderId="31" xfId="5" applyFont="1" applyFill="1" applyBorder="1"/>
    <xf numFmtId="0" fontId="23" fillId="0" borderId="31" xfId="5" applyFill="1" applyBorder="1"/>
    <xf numFmtId="10" fontId="0" fillId="0" borderId="31" xfId="6" applyNumberFormat="1" applyFont="1" applyFill="1" applyBorder="1"/>
    <xf numFmtId="3" fontId="23" fillId="0" borderId="34" xfId="5" applyNumberFormat="1" applyFont="1" applyFill="1" applyBorder="1"/>
    <xf numFmtId="10" fontId="0" fillId="0" borderId="31" xfId="7" applyNumberFormat="1" applyFont="1" applyFill="1" applyBorder="1"/>
    <xf numFmtId="0" fontId="23" fillId="0" borderId="85" xfId="5" applyFill="1" applyBorder="1"/>
    <xf numFmtId="0" fontId="23" fillId="0" borderId="59" xfId="5" applyFill="1" applyBorder="1"/>
    <xf numFmtId="3" fontId="23" fillId="0" borderId="40" xfId="5" applyNumberFormat="1" applyFill="1" applyBorder="1"/>
    <xf numFmtId="3" fontId="23" fillId="0" borderId="36" xfId="5" applyNumberFormat="1" applyFont="1" applyFill="1" applyBorder="1"/>
    <xf numFmtId="3" fontId="25" fillId="0" borderId="34" xfId="5" applyNumberFormat="1" applyFont="1" applyFill="1" applyBorder="1"/>
    <xf numFmtId="3" fontId="23" fillId="0" borderId="31" xfId="5" applyNumberFormat="1" applyFont="1" applyFill="1" applyBorder="1"/>
    <xf numFmtId="3" fontId="25" fillId="0" borderId="31" xfId="5" applyNumberFormat="1" applyFont="1" applyFill="1" applyBorder="1"/>
    <xf numFmtId="3" fontId="23" fillId="0" borderId="31" xfId="5" applyNumberFormat="1" applyFill="1" applyBorder="1"/>
    <xf numFmtId="3" fontId="23" fillId="0" borderId="21" xfId="5" applyNumberFormat="1" applyFill="1" applyBorder="1"/>
    <xf numFmtId="1" fontId="23" fillId="0" borderId="34" xfId="5" applyNumberFormat="1" applyFont="1" applyFill="1" applyBorder="1"/>
    <xf numFmtId="0" fontId="23" fillId="18" borderId="36" xfId="5" applyFill="1" applyBorder="1"/>
    <xf numFmtId="3" fontId="23" fillId="18" borderId="30" xfId="5" applyNumberFormat="1" applyFill="1" applyBorder="1"/>
    <xf numFmtId="0" fontId="0" fillId="18" borderId="85" xfId="5" applyFont="1" applyFill="1" applyBorder="1"/>
    <xf numFmtId="3" fontId="23" fillId="18" borderId="59" xfId="5" applyNumberFormat="1" applyFill="1" applyBorder="1"/>
    <xf numFmtId="0" fontId="23" fillId="18" borderId="85" xfId="5" applyFill="1" applyBorder="1"/>
    <xf numFmtId="0" fontId="23" fillId="18" borderId="59" xfId="5" applyFill="1" applyBorder="1"/>
    <xf numFmtId="0" fontId="25" fillId="18" borderId="36" xfId="5" applyFont="1" applyFill="1" applyBorder="1"/>
    <xf numFmtId="3" fontId="25" fillId="18" borderId="30" xfId="5" applyNumberFormat="1" applyFont="1" applyFill="1" applyBorder="1"/>
    <xf numFmtId="0" fontId="25" fillId="18" borderId="27" xfId="5" applyFont="1" applyFill="1" applyBorder="1"/>
    <xf numFmtId="3" fontId="25" fillId="18" borderId="21" xfId="5" applyNumberFormat="1" applyFont="1" applyFill="1" applyBorder="1"/>
    <xf numFmtId="0" fontId="23" fillId="18" borderId="87" xfId="5" applyFill="1" applyBorder="1"/>
    <xf numFmtId="3" fontId="23" fillId="18" borderId="86" xfId="5" applyNumberFormat="1" applyFill="1" applyBorder="1"/>
    <xf numFmtId="10" fontId="23" fillId="18" borderId="85" xfId="5" applyNumberFormat="1" applyFill="1" applyBorder="1"/>
    <xf numFmtId="9" fontId="23" fillId="18" borderId="59" xfId="5" applyNumberFormat="1" applyFill="1" applyBorder="1"/>
    <xf numFmtId="0" fontId="23" fillId="18" borderId="27" xfId="5" applyFill="1" applyBorder="1"/>
    <xf numFmtId="3" fontId="23" fillId="18" borderId="21" xfId="5" applyNumberFormat="1" applyFill="1" applyBorder="1"/>
    <xf numFmtId="10" fontId="23" fillId="18" borderId="59" xfId="5" applyNumberFormat="1" applyFill="1" applyBorder="1"/>
    <xf numFmtId="10" fontId="0" fillId="18" borderId="0" xfId="6" applyNumberFormat="1" applyFont="1" applyFill="1"/>
    <xf numFmtId="0" fontId="25" fillId="19" borderId="85" xfId="5" applyFont="1" applyFill="1" applyBorder="1" applyAlignment="1">
      <alignment horizontal="center"/>
    </xf>
    <xf numFmtId="0" fontId="23" fillId="19" borderId="0" xfId="5" applyFill="1"/>
    <xf numFmtId="0" fontId="25" fillId="19" borderId="0" xfId="5" applyFont="1" applyFill="1" applyBorder="1" applyAlignment="1">
      <alignment horizontal="center"/>
    </xf>
    <xf numFmtId="0" fontId="25" fillId="20" borderId="36" xfId="5" applyFont="1" applyFill="1" applyBorder="1" applyAlignment="1"/>
    <xf numFmtId="0" fontId="25" fillId="20" borderId="34" xfId="5" applyFont="1" applyFill="1" applyBorder="1" applyAlignment="1"/>
    <xf numFmtId="0" fontId="1" fillId="0" borderId="0" xfId="1" applyFont="1" applyAlignment="1" applyProtection="1">
      <alignment horizontal="right" vertical="top" wrapText="1"/>
    </xf>
    <xf numFmtId="0" fontId="2" fillId="0" borderId="58" xfId="1" applyFont="1" applyFill="1" applyBorder="1" applyAlignment="1" applyProtection="1">
      <alignment horizontal="center" vertical="center" wrapText="1"/>
    </xf>
    <xf numFmtId="4" fontId="1" fillId="0" borderId="52" xfId="2" applyNumberFormat="1" applyFont="1" applyBorder="1" applyAlignment="1" applyProtection="1">
      <alignment horizontal="center" vertical="top" wrapText="1"/>
    </xf>
    <xf numFmtId="14" fontId="1" fillId="3" borderId="67" xfId="1" applyNumberFormat="1" applyFont="1" applyFill="1" applyBorder="1" applyAlignment="1" applyProtection="1">
      <alignment horizontal="center" vertical="center"/>
      <protection locked="0"/>
    </xf>
    <xf numFmtId="3" fontId="1" fillId="0" borderId="66" xfId="1" applyNumberFormat="1" applyFont="1" applyBorder="1" applyAlignment="1" applyProtection="1">
      <alignment horizontal="center" vertical="top" wrapText="1"/>
    </xf>
    <xf numFmtId="3" fontId="1" fillId="0" borderId="78" xfId="1" applyNumberFormat="1" applyFont="1" applyBorder="1" applyAlignment="1" applyProtection="1">
      <alignment horizontal="center" vertical="top" wrapText="1"/>
    </xf>
    <xf numFmtId="0" fontId="2" fillId="0" borderId="0" xfId="1" applyFont="1" applyFill="1" applyBorder="1" applyAlignment="1" applyProtection="1">
      <alignment horizontal="center" vertical="center" wrapText="1"/>
    </xf>
    <xf numFmtId="166" fontId="2" fillId="0" borderId="58" xfId="3" applyNumberFormat="1" applyFont="1" applyFill="1" applyBorder="1" applyAlignment="1" applyProtection="1">
      <alignment vertical="center"/>
    </xf>
    <xf numFmtId="166" fontId="24" fillId="0" borderId="0" xfId="3" applyNumberFormat="1" applyFont="1" applyFill="1" applyBorder="1" applyAlignment="1" applyProtection="1">
      <alignment vertical="center"/>
    </xf>
    <xf numFmtId="3" fontId="2" fillId="0" borderId="0" xfId="1" applyNumberFormat="1" applyFont="1" applyFill="1" applyBorder="1" applyAlignment="1" applyProtection="1">
      <alignment horizontal="center" vertical="center" wrapText="1"/>
    </xf>
    <xf numFmtId="0" fontId="1" fillId="0" borderId="58" xfId="1" applyBorder="1" applyProtection="1"/>
    <xf numFmtId="2" fontId="1" fillId="0" borderId="58" xfId="1" applyNumberFormat="1" applyBorder="1" applyProtection="1"/>
    <xf numFmtId="0" fontId="1" fillId="0" borderId="58" xfId="1" applyNumberFormat="1" applyBorder="1" applyProtection="1"/>
    <xf numFmtId="166" fontId="1" fillId="0" borderId="58" xfId="1" applyNumberFormat="1" applyBorder="1" applyProtection="1"/>
    <xf numFmtId="166" fontId="1" fillId="0" borderId="0" xfId="1" applyNumberFormat="1" applyFill="1" applyProtection="1">
      <protection hidden="1"/>
    </xf>
    <xf numFmtId="0" fontId="1" fillId="0" borderId="0" xfId="1" applyFont="1" applyFill="1" applyAlignment="1" applyProtection="1">
      <alignment horizontal="right" vertical="top" wrapText="1"/>
    </xf>
    <xf numFmtId="0" fontId="1" fillId="0" borderId="0" xfId="1" applyFill="1" applyAlignment="1" applyProtection="1">
      <alignment vertical="top"/>
    </xf>
    <xf numFmtId="0" fontId="2" fillId="0" borderId="60" xfId="1" applyFont="1" applyFill="1" applyBorder="1" applyAlignment="1" applyProtection="1">
      <alignment horizontal="center" vertical="center" wrapText="1"/>
    </xf>
    <xf numFmtId="166" fontId="2" fillId="0" borderId="60" xfId="3" applyNumberFormat="1" applyFont="1" applyFill="1" applyBorder="1" applyAlignment="1" applyProtection="1">
      <alignment vertical="center"/>
    </xf>
    <xf numFmtId="166" fontId="2" fillId="0" borderId="0" xfId="3" applyNumberFormat="1" applyFont="1" applyFill="1" applyBorder="1" applyAlignment="1" applyProtection="1">
      <alignment vertical="center"/>
    </xf>
    <xf numFmtId="0" fontId="1" fillId="0" borderId="0" xfId="1" applyFont="1" applyBorder="1" applyAlignment="1" applyProtection="1">
      <alignment vertical="top"/>
    </xf>
    <xf numFmtId="0" fontId="1" fillId="0" borderId="78" xfId="1" applyBorder="1" applyAlignment="1" applyProtection="1">
      <alignment vertical="top"/>
    </xf>
    <xf numFmtId="0" fontId="1" fillId="0" borderId="18" xfId="1" applyBorder="1" applyProtection="1"/>
    <xf numFmtId="168" fontId="2" fillId="6" borderId="10" xfId="1" applyNumberFormat="1" applyFont="1" applyFill="1" applyBorder="1" applyAlignment="1" applyProtection="1">
      <alignment horizontal="center" vertical="center"/>
    </xf>
    <xf numFmtId="0" fontId="1" fillId="3" borderId="70" xfId="1" applyFont="1" applyFill="1" applyBorder="1" applyAlignment="1" applyProtection="1">
      <alignment horizontal="left" vertical="center"/>
      <protection locked="0"/>
    </xf>
    <xf numFmtId="14" fontId="2" fillId="0" borderId="85" xfId="1" applyNumberFormat="1" applyFont="1" applyFill="1" applyBorder="1" applyAlignment="1" applyProtection="1">
      <alignment horizontal="center"/>
    </xf>
    <xf numFmtId="3" fontId="2" fillId="0" borderId="52" xfId="1" applyNumberFormat="1" applyFont="1" applyFill="1" applyBorder="1" applyAlignment="1" applyProtection="1"/>
    <xf numFmtId="3" fontId="2" fillId="0" borderId="52" xfId="1" applyNumberFormat="1" applyFont="1" applyFill="1" applyBorder="1" applyAlignment="1" applyProtection="1">
      <alignment vertical="center"/>
    </xf>
    <xf numFmtId="166" fontId="24" fillId="6" borderId="3" xfId="3" applyNumberFormat="1" applyFont="1" applyFill="1" applyBorder="1" applyAlignment="1" applyProtection="1">
      <alignment vertical="center"/>
    </xf>
    <xf numFmtId="14" fontId="1" fillId="0" borderId="52" xfId="1" applyNumberFormat="1" applyFont="1" applyBorder="1" applyAlignment="1" applyProtection="1">
      <alignment horizontal="center" vertical="center"/>
    </xf>
    <xf numFmtId="166" fontId="1" fillId="0" borderId="17" xfId="3" applyNumberFormat="1" applyFont="1" applyBorder="1" applyAlignment="1" applyProtection="1">
      <alignment vertical="center"/>
    </xf>
    <xf numFmtId="166" fontId="1" fillId="0" borderId="62" xfId="3" applyNumberFormat="1" applyFont="1" applyBorder="1" applyAlignment="1" applyProtection="1">
      <alignment vertical="center"/>
    </xf>
    <xf numFmtId="4" fontId="1" fillId="0" borderId="10" xfId="2" applyNumberFormat="1" applyFont="1" applyBorder="1" applyAlignment="1" applyProtection="1">
      <alignment horizontal="center" vertical="center" wrapText="1"/>
    </xf>
    <xf numFmtId="164" fontId="2" fillId="6" borderId="11" xfId="1" applyNumberFormat="1" applyFont="1" applyFill="1" applyBorder="1" applyAlignment="1" applyProtection="1">
      <alignment horizontal="center"/>
    </xf>
    <xf numFmtId="0" fontId="1" fillId="0" borderId="0" xfId="1" applyFont="1" applyAlignment="1" applyProtection="1">
      <alignment horizontal="left" vertical="center" wrapText="1"/>
    </xf>
    <xf numFmtId="0" fontId="2" fillId="0" borderId="0" xfId="1" applyFont="1" applyBorder="1" applyAlignment="1" applyProtection="1">
      <alignment horizontal="center" vertical="center" wrapText="1"/>
    </xf>
    <xf numFmtId="49" fontId="1" fillId="8" borderId="3" xfId="1" applyNumberFormat="1" applyFont="1" applyFill="1" applyBorder="1" applyAlignment="1" applyProtection="1">
      <alignment horizontal="center" vertical="center"/>
      <protection locked="0"/>
    </xf>
    <xf numFmtId="49" fontId="2" fillId="0" borderId="0" xfId="1" applyNumberFormat="1" applyFont="1" applyFill="1" applyBorder="1" applyAlignment="1" applyProtection="1">
      <alignment vertical="center" wrapText="1"/>
    </xf>
    <xf numFmtId="49" fontId="1" fillId="0" borderId="0" xfId="1" applyNumberFormat="1" applyFont="1" applyFill="1" applyBorder="1" applyAlignment="1" applyProtection="1">
      <alignment vertical="center" wrapText="1"/>
    </xf>
    <xf numFmtId="0" fontId="1" fillId="3" borderId="90" xfId="1" applyFont="1" applyFill="1" applyBorder="1" applyAlignment="1" applyProtection="1">
      <alignment horizontal="left" vertical="center"/>
      <protection locked="0"/>
    </xf>
    <xf numFmtId="3" fontId="1" fillId="0" borderId="11" xfId="1" applyNumberFormat="1" applyFont="1" applyBorder="1" applyAlignment="1" applyProtection="1">
      <alignment horizontal="center" vertical="top" wrapText="1"/>
    </xf>
    <xf numFmtId="0" fontId="1" fillId="0" borderId="0" xfId="1" applyProtection="1">
      <protection locked="0"/>
    </xf>
    <xf numFmtId="0" fontId="1" fillId="0" borderId="0" xfId="1" applyAlignment="1" applyProtection="1">
      <alignment horizontal="center"/>
      <protection locked="0"/>
    </xf>
    <xf numFmtId="0" fontId="1" fillId="0" borderId="0" xfId="1" applyFont="1" applyAlignment="1" applyProtection="1">
      <alignment horizontal="right" vertical="top" wrapText="1"/>
      <protection locked="0"/>
    </xf>
    <xf numFmtId="0" fontId="1" fillId="0" borderId="0" xfId="1" applyFont="1" applyFill="1" applyBorder="1" applyAlignment="1" applyProtection="1">
      <alignment vertical="center" wrapText="1"/>
      <protection locked="0"/>
    </xf>
    <xf numFmtId="0" fontId="1" fillId="0" borderId="0" xfId="1" applyFont="1" applyAlignment="1" applyProtection="1">
      <alignment horizontal="left" vertical="center" wrapText="1"/>
      <protection locked="0"/>
    </xf>
    <xf numFmtId="0" fontId="2" fillId="0" borderId="0" xfId="1" applyFont="1" applyBorder="1" applyAlignment="1" applyProtection="1">
      <alignment horizontal="center" vertical="center" wrapText="1"/>
      <protection locked="0"/>
    </xf>
    <xf numFmtId="4" fontId="1" fillId="0" borderId="0" xfId="1" applyNumberFormat="1" applyAlignment="1" applyProtection="1">
      <alignment vertical="top"/>
      <protection locked="0"/>
    </xf>
    <xf numFmtId="4" fontId="6" fillId="0" borderId="0" xfId="1" applyNumberFormat="1" applyFont="1" applyFill="1" applyBorder="1" applyAlignment="1" applyProtection="1">
      <alignment vertical="center"/>
      <protection locked="0"/>
    </xf>
    <xf numFmtId="0" fontId="1" fillId="0" borderId="0" xfId="1" applyAlignment="1" applyProtection="1">
      <alignment vertical="top"/>
      <protection locked="0"/>
    </xf>
    <xf numFmtId="1" fontId="1" fillId="0" borderId="0" xfId="1" applyNumberFormat="1" applyAlignment="1" applyProtection="1">
      <alignment horizontal="center" vertical="top"/>
      <protection locked="0"/>
    </xf>
    <xf numFmtId="0" fontId="1" fillId="0" borderId="0" xfId="1" applyAlignment="1" applyProtection="1">
      <alignment horizontal="center" vertical="top"/>
      <protection locked="0"/>
    </xf>
    <xf numFmtId="3" fontId="1" fillId="0" borderId="0" xfId="1" applyNumberFormat="1" applyAlignment="1" applyProtection="1">
      <alignment vertical="top"/>
      <protection locked="0"/>
    </xf>
    <xf numFmtId="4" fontId="1" fillId="0" borderId="0" xfId="1" applyNumberFormat="1" applyAlignment="1" applyProtection="1">
      <alignment vertical="center"/>
      <protection locked="0"/>
    </xf>
    <xf numFmtId="0" fontId="8" fillId="0" borderId="0" xfId="2" applyFont="1" applyProtection="1">
      <protection locked="0"/>
    </xf>
    <xf numFmtId="164" fontId="1" fillId="0" borderId="3" xfId="1" applyNumberFormat="1" applyFont="1" applyFill="1" applyBorder="1" applyAlignment="1" applyProtection="1">
      <alignment vertical="top"/>
      <protection locked="0"/>
    </xf>
    <xf numFmtId="0" fontId="9" fillId="0" borderId="0" xfId="1" applyFont="1" applyAlignment="1" applyProtection="1">
      <alignment vertical="top"/>
      <protection locked="0"/>
    </xf>
    <xf numFmtId="0" fontId="1" fillId="0" borderId="0" xfId="1" applyAlignment="1" applyProtection="1">
      <alignment horizontal="center"/>
      <protection locked="0" hidden="1"/>
    </xf>
    <xf numFmtId="4" fontId="1" fillId="0" borderId="10" xfId="1" applyNumberFormat="1" applyFont="1" applyBorder="1" applyAlignment="1" applyProtection="1">
      <alignment horizontal="center" vertical="top" wrapText="1"/>
      <protection locked="0"/>
    </xf>
    <xf numFmtId="4" fontId="1" fillId="0" borderId="11" xfId="1" applyNumberFormat="1" applyFont="1" applyBorder="1" applyAlignment="1" applyProtection="1">
      <alignment horizontal="center" vertical="top" wrapText="1"/>
      <protection locked="0"/>
    </xf>
    <xf numFmtId="4" fontId="1" fillId="0" borderId="12" xfId="1" applyNumberFormat="1" applyFont="1" applyBorder="1" applyAlignment="1" applyProtection="1">
      <alignment horizontal="center" vertical="top" wrapText="1"/>
      <protection locked="0"/>
    </xf>
    <xf numFmtId="4" fontId="8" fillId="0" borderId="15" xfId="2" applyNumberFormat="1" applyFont="1" applyBorder="1" applyAlignment="1" applyProtection="1">
      <alignment horizontal="center" vertical="top" wrapText="1"/>
      <protection locked="0"/>
    </xf>
    <xf numFmtId="1" fontId="1" fillId="0" borderId="11" xfId="1" applyNumberFormat="1" applyFont="1" applyBorder="1" applyAlignment="1" applyProtection="1">
      <alignment horizontal="center" vertical="top" wrapText="1"/>
      <protection locked="0"/>
    </xf>
    <xf numFmtId="1" fontId="1" fillId="0" borderId="16" xfId="1" applyNumberFormat="1" applyFont="1" applyFill="1" applyBorder="1" applyAlignment="1" applyProtection="1">
      <alignment horizontal="center" vertical="top" wrapText="1"/>
      <protection locked="0"/>
    </xf>
    <xf numFmtId="1" fontId="1" fillId="0" borderId="17" xfId="1" applyNumberFormat="1" applyFont="1" applyBorder="1" applyAlignment="1" applyProtection="1">
      <alignment horizontal="center" vertical="top" wrapText="1"/>
      <protection locked="0"/>
    </xf>
    <xf numFmtId="3" fontId="1" fillId="0" borderId="18" xfId="1" applyNumberFormat="1" applyFont="1" applyBorder="1" applyAlignment="1" applyProtection="1">
      <alignment horizontal="center" vertical="top" wrapText="1"/>
      <protection locked="0"/>
    </xf>
    <xf numFmtId="3" fontId="1" fillId="0" borderId="19" xfId="1" applyNumberFormat="1" applyFont="1" applyBorder="1" applyAlignment="1" applyProtection="1">
      <alignment horizontal="center" vertical="top" wrapText="1"/>
      <protection locked="0"/>
    </xf>
    <xf numFmtId="166" fontId="17" fillId="0" borderId="23" xfId="3" applyNumberFormat="1" applyFont="1" applyBorder="1" applyAlignment="1" applyProtection="1">
      <alignment horizontal="left" vertical="center"/>
      <protection locked="0"/>
    </xf>
    <xf numFmtId="165" fontId="17" fillId="0" borderId="24" xfId="3" applyNumberFormat="1" applyFont="1" applyFill="1" applyBorder="1" applyAlignment="1" applyProtection="1">
      <alignment horizontal="left" vertical="center"/>
      <protection locked="0"/>
    </xf>
    <xf numFmtId="165" fontId="17" fillId="0" borderId="25" xfId="3" applyNumberFormat="1" applyFont="1" applyBorder="1" applyAlignment="1" applyProtection="1">
      <alignment horizontal="left" vertical="center"/>
      <protection locked="0"/>
    </xf>
    <xf numFmtId="165" fontId="17" fillId="0" borderId="26" xfId="3" applyNumberFormat="1" applyFont="1" applyBorder="1" applyAlignment="1" applyProtection="1">
      <alignment horizontal="left" vertical="center"/>
      <protection locked="0"/>
    </xf>
    <xf numFmtId="10" fontId="1" fillId="0" borderId="22" xfId="1" applyNumberFormat="1" applyFont="1" applyBorder="1" applyAlignment="1" applyProtection="1">
      <alignment horizontal="center" vertical="center"/>
      <protection locked="0"/>
    </xf>
    <xf numFmtId="10" fontId="1" fillId="0" borderId="27" xfId="1" applyNumberFormat="1" applyFont="1" applyBorder="1" applyAlignment="1" applyProtection="1">
      <alignment horizontal="center" vertical="center"/>
      <protection locked="0"/>
    </xf>
    <xf numFmtId="10" fontId="1" fillId="0" borderId="28" xfId="1" applyNumberFormat="1" applyFont="1" applyBorder="1" applyAlignment="1" applyProtection="1">
      <alignment horizontal="center" vertical="center"/>
      <protection locked="0"/>
    </xf>
    <xf numFmtId="165" fontId="17" fillId="0" borderId="24" xfId="3" applyNumberFormat="1" applyFont="1" applyBorder="1" applyAlignment="1" applyProtection="1">
      <alignment horizontal="left" vertical="center"/>
      <protection locked="0"/>
    </xf>
    <xf numFmtId="165" fontId="17" fillId="0" borderId="23" xfId="3" applyNumberFormat="1" applyFont="1" applyBorder="1" applyAlignment="1" applyProtection="1">
      <alignment horizontal="left" vertical="center"/>
      <protection locked="0"/>
    </xf>
    <xf numFmtId="0" fontId="1" fillId="0" borderId="0" xfId="1" applyAlignment="1" applyProtection="1">
      <alignment vertical="center"/>
      <protection locked="0"/>
    </xf>
    <xf numFmtId="9" fontId="1" fillId="5" borderId="33" xfId="1" applyNumberFormat="1" applyFont="1" applyFill="1" applyBorder="1" applyAlignment="1" applyProtection="1">
      <alignment horizontal="center" vertical="center"/>
      <protection locked="0"/>
    </xf>
    <xf numFmtId="166" fontId="17" fillId="4" borderId="32" xfId="3" applyNumberFormat="1" applyFont="1" applyFill="1" applyBorder="1" applyAlignment="1" applyProtection="1">
      <alignment horizontal="left" vertical="center"/>
      <protection locked="0"/>
    </xf>
    <xf numFmtId="165" fontId="17" fillId="4" borderId="34" xfId="3" applyNumberFormat="1" applyFont="1" applyFill="1" applyBorder="1" applyAlignment="1" applyProtection="1">
      <alignment horizontal="left" vertical="center"/>
      <protection locked="0"/>
    </xf>
    <xf numFmtId="9" fontId="1" fillId="4" borderId="33" xfId="1" applyNumberFormat="1" applyFont="1" applyFill="1" applyBorder="1" applyAlignment="1" applyProtection="1">
      <alignment horizontal="center" vertical="center"/>
      <protection locked="0"/>
    </xf>
    <xf numFmtId="165" fontId="17" fillId="4" borderId="35" xfId="3" applyNumberFormat="1" applyFont="1" applyFill="1" applyBorder="1" applyAlignment="1" applyProtection="1">
      <alignment horizontal="left" vertical="center"/>
      <protection locked="0"/>
    </xf>
    <xf numFmtId="10" fontId="17" fillId="4" borderId="31" xfId="3" applyNumberFormat="1" applyFont="1" applyFill="1" applyBorder="1" applyAlignment="1" applyProtection="1">
      <alignment horizontal="center" vertical="center"/>
      <protection locked="0"/>
    </xf>
    <xf numFmtId="10" fontId="1" fillId="4" borderId="31" xfId="1" applyNumberFormat="1" applyFont="1" applyFill="1" applyBorder="1" applyAlignment="1" applyProtection="1">
      <alignment horizontal="center" vertical="center"/>
      <protection locked="0"/>
    </xf>
    <xf numFmtId="10" fontId="1" fillId="4" borderId="36" xfId="1" applyNumberFormat="1" applyFont="1" applyFill="1" applyBorder="1" applyAlignment="1" applyProtection="1">
      <alignment horizontal="center" vertical="center"/>
      <protection locked="0"/>
    </xf>
    <xf numFmtId="10" fontId="1" fillId="4" borderId="37" xfId="1" applyNumberFormat="1" applyFont="1" applyFill="1" applyBorder="1" applyAlignment="1" applyProtection="1">
      <alignment horizontal="center" vertical="center"/>
      <protection locked="0"/>
    </xf>
    <xf numFmtId="165" fontId="17" fillId="4" borderId="33" xfId="3" applyNumberFormat="1" applyFont="1" applyFill="1" applyBorder="1" applyAlignment="1" applyProtection="1">
      <alignment horizontal="left" vertical="center"/>
      <protection locked="0"/>
    </xf>
    <xf numFmtId="165" fontId="17" fillId="4" borderId="32" xfId="3" applyNumberFormat="1" applyFont="1" applyFill="1" applyBorder="1" applyAlignment="1" applyProtection="1">
      <alignment horizontal="left" vertical="center"/>
      <protection locked="0"/>
    </xf>
    <xf numFmtId="166" fontId="17" fillId="0" borderId="32" xfId="3" applyNumberFormat="1" applyFont="1" applyBorder="1" applyAlignment="1" applyProtection="1">
      <alignment horizontal="left" vertical="center"/>
      <protection locked="0"/>
    </xf>
    <xf numFmtId="165" fontId="17" fillId="0" borderId="33" xfId="3" applyNumberFormat="1" applyFont="1" applyFill="1" applyBorder="1" applyAlignment="1" applyProtection="1">
      <alignment horizontal="left" vertical="center"/>
      <protection locked="0"/>
    </xf>
    <xf numFmtId="165" fontId="17" fillId="0" borderId="34" xfId="3" applyNumberFormat="1" applyFont="1" applyBorder="1" applyAlignment="1" applyProtection="1">
      <alignment horizontal="left" vertical="center"/>
      <protection locked="0"/>
    </xf>
    <xf numFmtId="10" fontId="1" fillId="0" borderId="31" xfId="1" applyNumberFormat="1" applyFont="1" applyBorder="1" applyAlignment="1" applyProtection="1">
      <alignment horizontal="center" vertical="center"/>
      <protection locked="0"/>
    </xf>
    <xf numFmtId="10" fontId="1" fillId="0" borderId="36" xfId="1" applyNumberFormat="1" applyFont="1" applyBorder="1" applyAlignment="1" applyProtection="1">
      <alignment horizontal="center" vertical="center"/>
      <protection locked="0"/>
    </xf>
    <xf numFmtId="10" fontId="1" fillId="0" borderId="37" xfId="1" applyNumberFormat="1" applyFont="1" applyBorder="1" applyAlignment="1" applyProtection="1">
      <alignment horizontal="center" vertical="center"/>
      <protection locked="0"/>
    </xf>
    <xf numFmtId="165" fontId="17" fillId="0" borderId="33" xfId="3" applyNumberFormat="1" applyFont="1" applyBorder="1" applyAlignment="1" applyProtection="1">
      <alignment horizontal="left" vertical="center"/>
      <protection locked="0"/>
    </xf>
    <xf numFmtId="165" fontId="17" fillId="0" borderId="32" xfId="3" applyNumberFormat="1" applyFont="1" applyBorder="1" applyAlignment="1" applyProtection="1">
      <alignment horizontal="left" vertical="center"/>
      <protection locked="0"/>
    </xf>
    <xf numFmtId="165" fontId="17" fillId="5" borderId="34" xfId="3" applyNumberFormat="1" applyFont="1" applyFill="1" applyBorder="1" applyAlignment="1" applyProtection="1">
      <alignment horizontal="left" vertical="center"/>
      <protection locked="0"/>
    </xf>
    <xf numFmtId="165" fontId="17" fillId="5" borderId="26" xfId="3" applyNumberFormat="1" applyFont="1" applyFill="1" applyBorder="1" applyAlignment="1" applyProtection="1">
      <alignment horizontal="left" vertical="center"/>
      <protection locked="0"/>
    </xf>
    <xf numFmtId="10" fontId="1" fillId="5" borderId="31" xfId="1" applyNumberFormat="1" applyFont="1" applyFill="1" applyBorder="1" applyAlignment="1" applyProtection="1">
      <alignment horizontal="center" vertical="center"/>
      <protection locked="0"/>
    </xf>
    <xf numFmtId="10" fontId="1" fillId="5" borderId="37" xfId="1" applyNumberFormat="1" applyFont="1" applyFill="1" applyBorder="1" applyAlignment="1" applyProtection="1">
      <alignment horizontal="center" vertical="center"/>
      <protection locked="0"/>
    </xf>
    <xf numFmtId="165" fontId="17" fillId="5" borderId="33" xfId="3" applyNumberFormat="1" applyFont="1" applyFill="1" applyBorder="1" applyAlignment="1" applyProtection="1">
      <alignment horizontal="left" vertical="center"/>
      <protection locked="0"/>
    </xf>
    <xf numFmtId="165" fontId="17" fillId="5" borderId="32" xfId="3" applyNumberFormat="1" applyFont="1" applyFill="1" applyBorder="1" applyAlignment="1" applyProtection="1">
      <alignment horizontal="left" vertical="center"/>
      <protection locked="0"/>
    </xf>
    <xf numFmtId="165" fontId="17" fillId="0" borderId="34" xfId="3" applyNumberFormat="1" applyFont="1" applyFill="1" applyBorder="1" applyAlignment="1" applyProtection="1">
      <alignment horizontal="left" vertical="center"/>
      <protection locked="0"/>
    </xf>
    <xf numFmtId="165" fontId="17" fillId="0" borderId="26" xfId="3" applyNumberFormat="1" applyFont="1" applyFill="1" applyBorder="1" applyAlignment="1" applyProtection="1">
      <alignment horizontal="left" vertical="center"/>
      <protection locked="0"/>
    </xf>
    <xf numFmtId="165" fontId="17" fillId="0" borderId="32" xfId="3" applyNumberFormat="1" applyFont="1" applyFill="1" applyBorder="1" applyAlignment="1" applyProtection="1">
      <alignment horizontal="left" vertical="center"/>
      <protection locked="0"/>
    </xf>
    <xf numFmtId="0" fontId="1" fillId="0" borderId="0" xfId="1" applyFont="1" applyAlignment="1" applyProtection="1">
      <alignment vertical="center"/>
      <protection locked="0"/>
    </xf>
    <xf numFmtId="0" fontId="1" fillId="0" borderId="0" xfId="1" applyFont="1" applyProtection="1">
      <protection locked="0"/>
    </xf>
    <xf numFmtId="166" fontId="1" fillId="0" borderId="0" xfId="1" applyNumberFormat="1" applyFont="1" applyProtection="1">
      <protection locked="0"/>
    </xf>
    <xf numFmtId="9" fontId="1" fillId="5" borderId="47" xfId="1" applyNumberFormat="1" applyFont="1" applyFill="1" applyBorder="1" applyAlignment="1" applyProtection="1">
      <alignment horizontal="center" vertical="center"/>
      <protection locked="0"/>
    </xf>
    <xf numFmtId="166" fontId="17" fillId="4" borderId="19" xfId="3" applyNumberFormat="1" applyFont="1" applyFill="1" applyBorder="1" applyAlignment="1" applyProtection="1">
      <alignment horizontal="left" vertical="center"/>
      <protection locked="0"/>
    </xf>
    <xf numFmtId="165" fontId="17" fillId="4" borderId="48" xfId="3" applyNumberFormat="1" applyFont="1" applyFill="1" applyBorder="1" applyAlignment="1" applyProtection="1">
      <alignment horizontal="left" vertical="center"/>
      <protection locked="0"/>
    </xf>
    <xf numFmtId="9" fontId="1" fillId="4" borderId="47" xfId="1" applyNumberFormat="1" applyFont="1" applyFill="1" applyBorder="1" applyAlignment="1" applyProtection="1">
      <alignment horizontal="center" vertical="center"/>
      <protection locked="0"/>
    </xf>
    <xf numFmtId="165" fontId="17" fillId="4" borderId="49" xfId="3" applyNumberFormat="1" applyFont="1" applyFill="1" applyBorder="1" applyAlignment="1" applyProtection="1">
      <alignment horizontal="left" vertical="center"/>
      <protection locked="0"/>
    </xf>
    <xf numFmtId="10" fontId="17" fillId="4" borderId="46" xfId="3" applyNumberFormat="1" applyFont="1" applyFill="1" applyBorder="1" applyAlignment="1" applyProtection="1">
      <alignment horizontal="center" vertical="center"/>
      <protection locked="0"/>
    </xf>
    <xf numFmtId="10" fontId="1" fillId="4" borderId="46" xfId="1" applyNumberFormat="1" applyFont="1" applyFill="1" applyBorder="1" applyAlignment="1" applyProtection="1">
      <alignment horizontal="center" vertical="center"/>
      <protection locked="0"/>
    </xf>
    <xf numFmtId="10" fontId="1" fillId="4" borderId="16" xfId="1" applyNumberFormat="1" applyFont="1" applyFill="1" applyBorder="1" applyAlignment="1" applyProtection="1">
      <alignment horizontal="center" vertical="center"/>
      <protection locked="0"/>
    </xf>
    <xf numFmtId="10" fontId="1" fillId="4" borderId="50" xfId="1" applyNumberFormat="1" applyFont="1" applyFill="1" applyBorder="1" applyAlignment="1" applyProtection="1">
      <alignment horizontal="center" vertical="center"/>
      <protection locked="0"/>
    </xf>
    <xf numFmtId="165" fontId="17" fillId="4" borderId="47" xfId="3" applyNumberFormat="1" applyFont="1" applyFill="1" applyBorder="1" applyAlignment="1" applyProtection="1">
      <alignment horizontal="left" vertical="center"/>
      <protection locked="0"/>
    </xf>
    <xf numFmtId="165" fontId="17" fillId="4" borderId="19" xfId="3" applyNumberFormat="1" applyFont="1" applyFill="1" applyBorder="1" applyAlignment="1" applyProtection="1">
      <alignment horizontal="left" vertical="center"/>
      <protection locked="0"/>
    </xf>
    <xf numFmtId="0" fontId="1" fillId="0" borderId="0" xfId="1" applyFont="1" applyBorder="1" applyAlignment="1" applyProtection="1">
      <alignment horizontal="left" vertical="center"/>
      <protection locked="0"/>
    </xf>
    <xf numFmtId="165" fontId="2" fillId="0" borderId="13" xfId="3" applyNumberFormat="1" applyFont="1" applyBorder="1" applyAlignment="1" applyProtection="1">
      <alignment horizontal="left" vertical="center"/>
      <protection locked="0"/>
    </xf>
    <xf numFmtId="165" fontId="17" fillId="0" borderId="51" xfId="3" applyNumberFormat="1" applyFont="1" applyBorder="1" applyAlignment="1" applyProtection="1">
      <alignment horizontal="left" vertical="center"/>
      <protection locked="0"/>
    </xf>
    <xf numFmtId="165" fontId="2" fillId="0" borderId="2" xfId="3" applyNumberFormat="1" applyFont="1" applyBorder="1" applyAlignment="1" applyProtection="1">
      <alignment horizontal="left" vertical="center"/>
      <protection locked="0"/>
    </xf>
    <xf numFmtId="0" fontId="1" fillId="0" borderId="0" xfId="1" applyFont="1" applyAlignment="1" applyProtection="1">
      <alignment horizontal="center" vertical="center"/>
      <protection locked="0"/>
    </xf>
    <xf numFmtId="4" fontId="1" fillId="0" borderId="0" xfId="1" applyNumberFormat="1" applyFont="1" applyAlignment="1" applyProtection="1">
      <alignment horizontal="left" vertical="center"/>
      <protection locked="0"/>
    </xf>
    <xf numFmtId="165" fontId="17" fillId="0" borderId="13" xfId="3" applyNumberFormat="1" applyFont="1" applyBorder="1" applyAlignment="1" applyProtection="1">
      <alignment horizontal="left" vertical="center"/>
      <protection locked="0"/>
    </xf>
    <xf numFmtId="165" fontId="17" fillId="0" borderId="2" xfId="3" applyNumberFormat="1" applyFont="1" applyBorder="1" applyAlignment="1" applyProtection="1">
      <alignment horizontal="left" vertical="center"/>
      <protection locked="0"/>
    </xf>
    <xf numFmtId="3" fontId="2" fillId="0" borderId="52" xfId="1" applyNumberFormat="1" applyFont="1" applyBorder="1" applyAlignment="1" applyProtection="1">
      <alignment horizontal="right" vertical="center"/>
      <protection locked="0"/>
    </xf>
    <xf numFmtId="1" fontId="1" fillId="0" borderId="0" xfId="1" applyNumberFormat="1" applyFont="1" applyAlignment="1" applyProtection="1">
      <alignment horizontal="center" vertical="center"/>
      <protection locked="0"/>
    </xf>
    <xf numFmtId="3" fontId="1" fillId="0" borderId="54" xfId="1" applyNumberFormat="1" applyFont="1" applyBorder="1" applyAlignment="1" applyProtection="1">
      <alignment horizontal="right" vertical="center"/>
      <protection locked="0"/>
    </xf>
    <xf numFmtId="1" fontId="2" fillId="0" borderId="0" xfId="1" applyNumberFormat="1" applyFont="1" applyAlignment="1" applyProtection="1">
      <alignment horizontal="left" vertical="center"/>
      <protection locked="0"/>
    </xf>
    <xf numFmtId="0" fontId="1" fillId="0" borderId="0" xfId="1" applyFont="1" applyAlignment="1" applyProtection="1">
      <alignment horizontal="left" vertical="center"/>
      <protection locked="0"/>
    </xf>
    <xf numFmtId="165" fontId="17" fillId="0" borderId="52" xfId="3" applyNumberFormat="1" applyFont="1" applyBorder="1" applyAlignment="1" applyProtection="1">
      <alignment horizontal="left" vertical="center"/>
      <protection locked="0"/>
    </xf>
    <xf numFmtId="165" fontId="17" fillId="0" borderId="0" xfId="3" applyNumberFormat="1" applyFont="1" applyBorder="1" applyAlignment="1" applyProtection="1">
      <alignment horizontal="left" vertical="center"/>
      <protection locked="0"/>
    </xf>
    <xf numFmtId="3" fontId="2" fillId="0" borderId="0" xfId="1" applyNumberFormat="1" applyFont="1" applyFill="1" applyBorder="1" applyAlignment="1" applyProtection="1">
      <alignment horizontal="right" vertical="center"/>
      <protection locked="0"/>
    </xf>
    <xf numFmtId="3" fontId="1" fillId="4" borderId="61" xfId="1" applyNumberFormat="1" applyFont="1" applyFill="1" applyBorder="1" applyAlignment="1" applyProtection="1">
      <alignment horizontal="right" vertical="center"/>
      <protection locked="0"/>
    </xf>
    <xf numFmtId="3" fontId="1" fillId="0" borderId="0" xfId="1" applyNumberFormat="1" applyProtection="1">
      <protection locked="0"/>
    </xf>
    <xf numFmtId="3" fontId="2" fillId="0" borderId="51" xfId="1" applyNumberFormat="1" applyFont="1" applyFill="1" applyBorder="1" applyAlignment="1" applyProtection="1">
      <alignment horizontal="right" vertical="center"/>
      <protection locked="0"/>
    </xf>
    <xf numFmtId="3" fontId="2" fillId="0" borderId="14" xfId="1" applyNumberFormat="1" applyFont="1" applyFill="1" applyBorder="1" applyAlignment="1" applyProtection="1">
      <alignment horizontal="right" vertical="center"/>
      <protection locked="0"/>
    </xf>
    <xf numFmtId="0" fontId="2" fillId="0" borderId="0" xfId="1" applyFont="1" applyBorder="1" applyAlignment="1" applyProtection="1">
      <alignment horizontal="center" vertical="center"/>
      <protection locked="0"/>
    </xf>
    <xf numFmtId="3" fontId="2" fillId="0" borderId="52" xfId="1" applyNumberFormat="1" applyFont="1" applyFill="1" applyBorder="1" applyAlignment="1" applyProtection="1">
      <alignment horizontal="right" vertical="center"/>
      <protection locked="0"/>
    </xf>
    <xf numFmtId="0" fontId="1" fillId="0" borderId="14" xfId="1" applyFont="1" applyBorder="1" applyAlignment="1" applyProtection="1">
      <alignment horizontal="center" vertical="center"/>
      <protection locked="0"/>
    </xf>
    <xf numFmtId="0" fontId="1" fillId="0" borderId="0" xfId="1" quotePrefix="1" applyFont="1" applyBorder="1" applyAlignment="1" applyProtection="1">
      <alignment horizontal="center"/>
      <protection locked="0"/>
    </xf>
    <xf numFmtId="3" fontId="1" fillId="0" borderId="0" xfId="1" applyNumberFormat="1" applyFont="1" applyBorder="1" applyAlignment="1" applyProtection="1">
      <alignment vertical="center"/>
      <protection locked="0"/>
    </xf>
    <xf numFmtId="0" fontId="2" fillId="0" borderId="0" xfId="1" applyFont="1" applyAlignment="1" applyProtection="1">
      <alignment vertical="center"/>
      <protection locked="0"/>
    </xf>
    <xf numFmtId="0" fontId="18" fillId="0" borderId="0" xfId="1" applyFont="1" applyAlignment="1" applyProtection="1">
      <alignment horizontal="left" vertical="center"/>
      <protection locked="0"/>
    </xf>
    <xf numFmtId="0" fontId="18" fillId="0" borderId="0" xfId="1" applyFont="1" applyAlignment="1" applyProtection="1">
      <alignment horizontal="center" vertical="center"/>
      <protection locked="0"/>
    </xf>
    <xf numFmtId="167" fontId="18" fillId="0" borderId="0" xfId="1" applyNumberFormat="1" applyFont="1" applyAlignment="1" applyProtection="1">
      <alignment horizontal="left" vertical="center"/>
      <protection locked="0"/>
    </xf>
    <xf numFmtId="3" fontId="19" fillId="0" borderId="0" xfId="2" applyNumberFormat="1" applyFont="1" applyBorder="1" applyAlignment="1" applyProtection="1">
      <alignment vertical="center"/>
      <protection locked="0"/>
    </xf>
    <xf numFmtId="0" fontId="1" fillId="0" borderId="0" xfId="1" applyFont="1" applyBorder="1" applyAlignment="1" applyProtection="1">
      <alignment vertical="center"/>
      <protection locked="0"/>
    </xf>
    <xf numFmtId="0" fontId="1" fillId="0" borderId="0" xfId="1" applyFont="1" applyBorder="1" applyProtection="1">
      <protection locked="0"/>
    </xf>
    <xf numFmtId="0" fontId="1" fillId="0" borderId="0" xfId="1" applyFont="1" applyBorder="1" applyAlignment="1" applyProtection="1">
      <alignment horizontal="center" vertical="center"/>
      <protection locked="0"/>
    </xf>
    <xf numFmtId="165" fontId="1" fillId="0" borderId="0" xfId="3" applyNumberFormat="1" applyFont="1" applyFill="1" applyBorder="1" applyAlignment="1" applyProtection="1">
      <alignment horizontal="center" vertical="center"/>
      <protection locked="0"/>
    </xf>
    <xf numFmtId="0" fontId="1" fillId="0" borderId="0" xfId="1" applyFont="1" applyBorder="1" applyAlignment="1" applyProtection="1">
      <alignment horizontal="left" vertical="center" wrapText="1"/>
      <protection locked="0"/>
    </xf>
    <xf numFmtId="0" fontId="1" fillId="0" borderId="0" xfId="1" applyFont="1" applyFill="1" applyBorder="1" applyAlignment="1" applyProtection="1">
      <alignment horizontal="left" vertical="center"/>
      <protection locked="0"/>
    </xf>
    <xf numFmtId="0" fontId="1" fillId="0" borderId="0" xfId="1" applyFont="1" applyFill="1" applyBorder="1" applyAlignment="1" applyProtection="1">
      <alignment horizontal="center" vertical="center"/>
      <protection locked="0"/>
    </xf>
    <xf numFmtId="0" fontId="1" fillId="0" borderId="0" xfId="1" applyFont="1" applyAlignment="1" applyProtection="1">
      <alignment horizontal="right" wrapText="1"/>
      <protection locked="0"/>
    </xf>
    <xf numFmtId="0" fontId="1" fillId="0" borderId="0" xfId="1" applyFont="1" applyAlignment="1" applyProtection="1">
      <alignment horizontal="center" vertical="center" wrapText="1"/>
      <protection locked="0"/>
    </xf>
    <xf numFmtId="4" fontId="1" fillId="0" borderId="0" xfId="1" applyNumberFormat="1" applyFont="1" applyFill="1" applyBorder="1" applyAlignment="1" applyProtection="1">
      <alignment vertical="center"/>
      <protection locked="0"/>
    </xf>
    <xf numFmtId="4" fontId="17" fillId="0" borderId="0" xfId="1" applyNumberFormat="1" applyFont="1" applyFill="1" applyBorder="1" applyAlignment="1" applyProtection="1">
      <alignment horizontal="center" vertical="center"/>
      <protection locked="0"/>
    </xf>
    <xf numFmtId="4" fontId="17" fillId="0" borderId="0" xfId="1" applyNumberFormat="1" applyFont="1" applyFill="1" applyBorder="1" applyAlignment="1" applyProtection="1">
      <alignment horizontal="left" vertical="center"/>
      <protection locked="0"/>
    </xf>
    <xf numFmtId="4" fontId="1" fillId="0" borderId="0" xfId="1" applyNumberFormat="1" applyFont="1" applyFill="1" applyBorder="1" applyAlignment="1" applyProtection="1">
      <alignment horizontal="left" vertical="center"/>
      <protection locked="0"/>
    </xf>
    <xf numFmtId="0" fontId="18" fillId="0" borderId="0" xfId="1" applyFont="1" applyBorder="1" applyAlignment="1" applyProtection="1">
      <alignment horizontal="left" vertical="center" wrapText="1"/>
      <protection locked="0"/>
    </xf>
    <xf numFmtId="0" fontId="18" fillId="0" borderId="0" xfId="1" applyFont="1" applyBorder="1" applyAlignment="1" applyProtection="1">
      <alignment horizontal="center" vertical="center" wrapText="1"/>
      <protection locked="0"/>
    </xf>
    <xf numFmtId="167" fontId="1" fillId="0" borderId="0" xfId="1" applyNumberFormat="1" applyFont="1" applyFill="1" applyAlignment="1" applyProtection="1">
      <alignment horizontal="left" vertical="center"/>
      <protection locked="0"/>
    </xf>
    <xf numFmtId="167" fontId="1" fillId="0" borderId="0" xfId="1" applyNumberFormat="1" applyFont="1" applyFill="1" applyAlignment="1" applyProtection="1">
      <alignment horizontal="center" vertical="center"/>
      <protection locked="0"/>
    </xf>
    <xf numFmtId="165" fontId="1" fillId="0" borderId="0" xfId="1" applyNumberFormat="1" applyFont="1" applyAlignment="1" applyProtection="1">
      <alignment vertical="top" wrapText="1"/>
      <protection locked="0"/>
    </xf>
    <xf numFmtId="0" fontId="1" fillId="0" borderId="0" xfId="1" applyFont="1" applyAlignment="1" applyProtection="1">
      <alignment horizontal="center" vertical="top" wrapText="1"/>
      <protection locked="0"/>
    </xf>
    <xf numFmtId="0" fontId="1" fillId="0" borderId="0" xfId="1" applyFont="1" applyAlignment="1" applyProtection="1">
      <alignment vertical="top" wrapText="1"/>
      <protection locked="0"/>
    </xf>
    <xf numFmtId="0" fontId="1" fillId="0" borderId="0" xfId="1" applyFont="1" applyAlignment="1" applyProtection="1">
      <alignment horizontal="center"/>
      <protection locked="0"/>
    </xf>
    <xf numFmtId="0" fontId="1" fillId="0" borderId="0" xfId="1" applyFont="1" applyAlignment="1" applyProtection="1">
      <alignment vertical="center" wrapText="1"/>
      <protection locked="0"/>
    </xf>
    <xf numFmtId="167" fontId="1" fillId="0" borderId="0" xfId="1" applyNumberFormat="1" applyFont="1" applyAlignment="1" applyProtection="1">
      <alignment vertical="center"/>
      <protection locked="0"/>
    </xf>
    <xf numFmtId="0" fontId="1" fillId="0" borderId="0" xfId="1" applyFont="1" applyAlignment="1" applyProtection="1">
      <alignment wrapText="1"/>
      <protection locked="0"/>
    </xf>
    <xf numFmtId="0" fontId="11" fillId="0" borderId="0" xfId="1" applyFont="1" applyProtection="1">
      <protection locked="0"/>
    </xf>
    <xf numFmtId="14" fontId="1" fillId="3" borderId="92" xfId="1" applyNumberFormat="1" applyFont="1" applyFill="1" applyBorder="1" applyAlignment="1" applyProtection="1">
      <alignment horizontal="center" vertical="center"/>
      <protection locked="0"/>
    </xf>
    <xf numFmtId="0" fontId="1" fillId="0" borderId="93" xfId="1" applyFont="1" applyBorder="1" applyAlignment="1" applyProtection="1">
      <alignment vertical="top" wrapText="1"/>
    </xf>
    <xf numFmtId="4" fontId="1" fillId="0" borderId="11" xfId="2" applyNumberFormat="1" applyFont="1" applyBorder="1" applyAlignment="1" applyProtection="1">
      <alignment horizontal="center" vertical="center" wrapText="1"/>
    </xf>
    <xf numFmtId="4" fontId="1" fillId="0" borderId="93" xfId="2" applyNumberFormat="1" applyFont="1" applyBorder="1" applyAlignment="1" applyProtection="1">
      <alignment horizontal="center" vertical="top" wrapText="1"/>
    </xf>
    <xf numFmtId="4" fontId="1" fillId="0" borderId="11" xfId="2" applyNumberFormat="1" applyFont="1" applyBorder="1" applyAlignment="1" applyProtection="1">
      <alignment vertical="top" wrapText="1"/>
    </xf>
    <xf numFmtId="0" fontId="4" fillId="0" borderId="0" xfId="1" applyFont="1" applyBorder="1" applyAlignment="1">
      <alignment horizontal="center" vertical="center" wrapText="1"/>
    </xf>
    <xf numFmtId="0" fontId="1" fillId="0" borderId="0" xfId="1" applyBorder="1" applyAlignment="1">
      <alignment horizontal="right" vertical="center" wrapText="1"/>
    </xf>
    <xf numFmtId="10" fontId="1" fillId="3" borderId="3" xfId="1" applyNumberFormat="1" applyFont="1" applyFill="1" applyBorder="1" applyAlignment="1" applyProtection="1">
      <alignment horizontal="center" vertical="top"/>
      <protection locked="0"/>
    </xf>
    <xf numFmtId="3" fontId="2" fillId="8" borderId="51" xfId="1" applyNumberFormat="1" applyFont="1" applyFill="1" applyBorder="1" applyAlignment="1" applyProtection="1">
      <alignment horizontal="right" vertical="center"/>
      <protection locked="0"/>
    </xf>
    <xf numFmtId="3" fontId="2" fillId="12" borderId="62" xfId="1" applyNumberFormat="1" applyFont="1" applyFill="1" applyBorder="1" applyAlignment="1" applyProtection="1">
      <alignment horizontal="right" vertical="center"/>
      <protection locked="0"/>
    </xf>
    <xf numFmtId="3" fontId="2" fillId="13" borderId="51" xfId="1" applyNumberFormat="1" applyFont="1" applyFill="1" applyBorder="1" applyAlignment="1" applyProtection="1">
      <alignment horizontal="right" vertical="center"/>
      <protection locked="0"/>
    </xf>
    <xf numFmtId="3" fontId="2" fillId="8" borderId="14" xfId="1" applyNumberFormat="1" applyFont="1" applyFill="1" applyBorder="1" applyAlignment="1" applyProtection="1">
      <alignment horizontal="right" vertical="center"/>
      <protection locked="0"/>
    </xf>
    <xf numFmtId="166" fontId="18" fillId="8" borderId="76" xfId="3" applyNumberFormat="1" applyFont="1" applyFill="1" applyBorder="1" applyAlignment="1" applyProtection="1">
      <alignment vertical="center"/>
      <protection locked="0"/>
    </xf>
    <xf numFmtId="14" fontId="1" fillId="3" borderId="94" xfId="1" applyNumberFormat="1" applyFont="1" applyFill="1" applyBorder="1" applyAlignment="1" applyProtection="1">
      <alignment horizontal="center" vertical="center"/>
      <protection locked="0"/>
    </xf>
    <xf numFmtId="49" fontId="28" fillId="3" borderId="50" xfId="1" applyNumberFormat="1" applyFont="1" applyFill="1" applyBorder="1" applyAlignment="1" applyProtection="1">
      <alignment horizontal="left" vertical="center"/>
      <protection locked="0"/>
    </xf>
    <xf numFmtId="49" fontId="28" fillId="3" borderId="61" xfId="1" applyNumberFormat="1" applyFont="1" applyFill="1" applyBorder="1" applyAlignment="1" applyProtection="1">
      <alignment horizontal="left" vertical="center"/>
      <protection locked="0"/>
    </xf>
    <xf numFmtId="49" fontId="1" fillId="0" borderId="15" xfId="1" applyNumberFormat="1" applyFont="1" applyBorder="1" applyAlignment="1" applyProtection="1">
      <alignment horizontal="left" vertical="center"/>
      <protection locked="0"/>
    </xf>
    <xf numFmtId="49" fontId="1" fillId="0" borderId="10" xfId="1" applyNumberFormat="1" applyFont="1" applyBorder="1" applyAlignment="1" applyProtection="1">
      <alignment horizontal="left" vertical="center"/>
      <protection locked="0"/>
    </xf>
    <xf numFmtId="0" fontId="2" fillId="0" borderId="74" xfId="1" applyFont="1" applyBorder="1" applyAlignment="1" applyProtection="1">
      <alignment horizontal="left" vertical="center"/>
      <protection locked="0"/>
    </xf>
    <xf numFmtId="0" fontId="2" fillId="0" borderId="53" xfId="1" applyFont="1" applyBorder="1" applyAlignment="1" applyProtection="1">
      <alignment horizontal="left" vertical="center"/>
      <protection locked="0"/>
    </xf>
    <xf numFmtId="0" fontId="2" fillId="0" borderId="54" xfId="1" applyFont="1" applyBorder="1" applyAlignment="1" applyProtection="1">
      <alignment horizontal="left" vertical="center"/>
      <protection locked="0"/>
    </xf>
    <xf numFmtId="0" fontId="12" fillId="0" borderId="16" xfId="1" applyFont="1" applyBorder="1" applyAlignment="1" applyProtection="1">
      <alignment horizontal="left" vertical="center"/>
      <protection locked="0"/>
    </xf>
    <xf numFmtId="0" fontId="12" fillId="0" borderId="48" xfId="1" applyFont="1" applyBorder="1" applyAlignment="1" applyProtection="1">
      <alignment horizontal="left" vertical="center"/>
      <protection locked="0"/>
    </xf>
    <xf numFmtId="0" fontId="12" fillId="0" borderId="61" xfId="1" applyFont="1" applyBorder="1" applyAlignment="1" applyProtection="1">
      <alignment horizontal="left" vertical="center"/>
      <protection locked="0"/>
    </xf>
    <xf numFmtId="0" fontId="2" fillId="0" borderId="17" xfId="1" applyFont="1" applyBorder="1" applyAlignment="1" applyProtection="1">
      <alignment horizontal="left" vertical="center"/>
      <protection locked="0"/>
    </xf>
    <xf numFmtId="0" fontId="2" fillId="0" borderId="56" xfId="1" applyFont="1" applyBorder="1" applyAlignment="1" applyProtection="1">
      <alignment horizontal="left" vertical="center"/>
      <protection locked="0"/>
    </xf>
    <xf numFmtId="0" fontId="2" fillId="0" borderId="51" xfId="1" applyFont="1" applyBorder="1" applyAlignment="1" applyProtection="1">
      <alignment horizontal="left" vertical="center"/>
      <protection locked="0"/>
    </xf>
    <xf numFmtId="0" fontId="1" fillId="12" borderId="17" xfId="2" applyFont="1" applyFill="1" applyBorder="1" applyAlignment="1" applyProtection="1">
      <alignment horizontal="left" vertical="center"/>
      <protection locked="0"/>
    </xf>
    <xf numFmtId="0" fontId="2" fillId="12" borderId="56" xfId="2" applyFont="1" applyFill="1" applyBorder="1" applyAlignment="1" applyProtection="1">
      <alignment horizontal="left" vertical="center"/>
      <protection locked="0"/>
    </xf>
    <xf numFmtId="0" fontId="2" fillId="12" borderId="14" xfId="2" applyFont="1" applyFill="1" applyBorder="1" applyAlignment="1" applyProtection="1">
      <alignment horizontal="left" vertical="center"/>
      <protection locked="0"/>
    </xf>
    <xf numFmtId="0" fontId="2" fillId="13" borderId="17" xfId="1" applyFont="1" applyFill="1" applyBorder="1" applyAlignment="1" applyProtection="1">
      <alignment horizontal="left" vertical="center"/>
      <protection locked="0"/>
    </xf>
    <xf numFmtId="0" fontId="2" fillId="13" borderId="56" xfId="1" applyFont="1" applyFill="1" applyBorder="1" applyAlignment="1" applyProtection="1">
      <alignment horizontal="left" vertical="center"/>
      <protection locked="0"/>
    </xf>
    <xf numFmtId="0" fontId="2" fillId="13" borderId="14" xfId="1" applyFont="1" applyFill="1" applyBorder="1" applyAlignment="1" applyProtection="1">
      <alignment horizontal="left" vertical="center"/>
      <protection locked="0"/>
    </xf>
    <xf numFmtId="49" fontId="1" fillId="3" borderId="7" xfId="1" applyNumberFormat="1" applyFont="1" applyFill="1" applyBorder="1" applyAlignment="1" applyProtection="1">
      <alignment horizontal="left" vertical="center"/>
      <protection locked="0"/>
    </xf>
    <xf numFmtId="49" fontId="1" fillId="3" borderId="54" xfId="1" applyNumberFormat="1" applyFont="1" applyFill="1" applyBorder="1" applyAlignment="1" applyProtection="1">
      <alignment horizontal="left" vertical="center"/>
      <protection locked="0"/>
    </xf>
    <xf numFmtId="49" fontId="1" fillId="0" borderId="17" xfId="1" applyNumberFormat="1" applyFont="1" applyBorder="1" applyAlignment="1" applyProtection="1">
      <alignment horizontal="left" vertical="center"/>
      <protection locked="0"/>
    </xf>
    <xf numFmtId="49" fontId="1" fillId="0" borderId="51" xfId="1" applyNumberFormat="1" applyFont="1" applyBorder="1" applyAlignment="1" applyProtection="1">
      <alignment horizontal="left" vertical="center"/>
      <protection locked="0"/>
    </xf>
    <xf numFmtId="49" fontId="1" fillId="3" borderId="37" xfId="1" applyNumberFormat="1" applyFont="1" applyFill="1" applyBorder="1" applyAlignment="1" applyProtection="1">
      <alignment horizontal="left" vertical="center"/>
      <protection locked="0"/>
    </xf>
    <xf numFmtId="49" fontId="1" fillId="3" borderId="30" xfId="1" applyNumberFormat="1" applyFont="1" applyFill="1" applyBorder="1" applyAlignment="1" applyProtection="1">
      <alignment horizontal="left" vertical="center"/>
      <protection locked="0"/>
    </xf>
    <xf numFmtId="49" fontId="28" fillId="3" borderId="37" xfId="1" applyNumberFormat="1" applyFont="1" applyFill="1" applyBorder="1" applyAlignment="1" applyProtection="1">
      <alignment horizontal="left" vertical="center"/>
      <protection locked="0"/>
    </xf>
    <xf numFmtId="49" fontId="28" fillId="3" borderId="30" xfId="1" applyNumberFormat="1" applyFont="1" applyFill="1" applyBorder="1" applyAlignment="1" applyProtection="1">
      <alignment horizontal="left" vertical="center"/>
      <protection locked="0"/>
    </xf>
    <xf numFmtId="49" fontId="1" fillId="3" borderId="29" xfId="1" applyNumberFormat="1" applyFont="1" applyFill="1" applyBorder="1" applyAlignment="1" applyProtection="1">
      <alignment horizontal="left" vertical="center" wrapText="1"/>
      <protection locked="0"/>
    </xf>
    <xf numFmtId="165" fontId="17" fillId="3" borderId="30" xfId="3" applyNumberFormat="1" applyFont="1" applyFill="1" applyBorder="1" applyAlignment="1" applyProtection="1">
      <alignment horizontal="left" vertical="center"/>
      <protection locked="0"/>
    </xf>
    <xf numFmtId="165" fontId="17" fillId="0" borderId="31" xfId="3" applyNumberFormat="1" applyFont="1" applyBorder="1" applyAlignment="1" applyProtection="1">
      <alignment horizontal="left" vertical="center"/>
      <protection locked="0"/>
    </xf>
    <xf numFmtId="165" fontId="17" fillId="0" borderId="32" xfId="3" applyNumberFormat="1" applyFont="1" applyBorder="1" applyAlignment="1" applyProtection="1">
      <alignment horizontal="left" vertical="center"/>
      <protection locked="0"/>
    </xf>
    <xf numFmtId="49" fontId="1" fillId="3" borderId="38" xfId="1" applyNumberFormat="1" applyFont="1" applyFill="1" applyBorder="1" applyAlignment="1" applyProtection="1">
      <alignment horizontal="left" vertical="center" wrapText="1"/>
      <protection locked="0"/>
    </xf>
    <xf numFmtId="49" fontId="1" fillId="3" borderId="9" xfId="1" applyNumberFormat="1" applyFont="1" applyFill="1" applyBorder="1" applyAlignment="1" applyProtection="1">
      <alignment horizontal="left" vertical="center" wrapText="1"/>
      <protection locked="0"/>
    </xf>
    <xf numFmtId="165" fontId="17" fillId="3" borderId="46" xfId="3" applyNumberFormat="1" applyFont="1" applyFill="1" applyBorder="1" applyAlignment="1" applyProtection="1">
      <alignment horizontal="left" vertical="center"/>
      <protection locked="0"/>
    </xf>
    <xf numFmtId="165" fontId="17" fillId="0" borderId="46" xfId="3" applyNumberFormat="1" applyFont="1" applyBorder="1" applyAlignment="1" applyProtection="1">
      <alignment horizontal="left" vertical="center"/>
      <protection locked="0"/>
    </xf>
    <xf numFmtId="165" fontId="17" fillId="0" borderId="19" xfId="3" applyNumberFormat="1" applyFont="1" applyBorder="1" applyAlignment="1" applyProtection="1">
      <alignment horizontal="left" vertical="center"/>
      <protection locked="0"/>
    </xf>
    <xf numFmtId="49" fontId="1" fillId="8" borderId="38" xfId="1" applyNumberFormat="1" applyFont="1" applyFill="1" applyBorder="1" applyAlignment="1" applyProtection="1">
      <alignment horizontal="left" vertical="center" wrapText="1"/>
      <protection locked="0"/>
    </xf>
    <xf numFmtId="49" fontId="1" fillId="8" borderId="20" xfId="1" applyNumberFormat="1" applyFont="1" applyFill="1" applyBorder="1" applyAlignment="1" applyProtection="1">
      <alignment horizontal="left" vertical="center" wrapText="1"/>
      <protection locked="0"/>
    </xf>
    <xf numFmtId="165" fontId="17" fillId="3" borderId="39" xfId="3" applyNumberFormat="1" applyFont="1" applyFill="1" applyBorder="1" applyAlignment="1" applyProtection="1">
      <alignment horizontal="left" vertical="center"/>
      <protection locked="0"/>
    </xf>
    <xf numFmtId="165" fontId="17" fillId="3" borderId="24" xfId="3" applyNumberFormat="1" applyFont="1" applyFill="1" applyBorder="1" applyAlignment="1" applyProtection="1">
      <alignment horizontal="left" vertical="center"/>
      <protection locked="0"/>
    </xf>
    <xf numFmtId="165" fontId="17" fillId="0" borderId="40" xfId="3" applyNumberFormat="1" applyFont="1" applyBorder="1" applyAlignment="1" applyProtection="1">
      <alignment horizontal="left" vertical="center"/>
      <protection locked="0"/>
    </xf>
    <xf numFmtId="165" fontId="17" fillId="0" borderId="22" xfId="3" applyNumberFormat="1" applyFont="1" applyBorder="1" applyAlignment="1" applyProtection="1">
      <alignment horizontal="left" vertical="center"/>
      <protection locked="0"/>
    </xf>
    <xf numFmtId="165" fontId="17" fillId="0" borderId="41" xfId="3" applyNumberFormat="1" applyFont="1" applyBorder="1" applyAlignment="1" applyProtection="1">
      <alignment horizontal="left" vertical="center"/>
      <protection locked="0"/>
    </xf>
    <xf numFmtId="165" fontId="17" fillId="0" borderId="23" xfId="3" applyNumberFormat="1" applyFont="1" applyBorder="1" applyAlignment="1" applyProtection="1">
      <alignment horizontal="left" vertical="center"/>
      <protection locked="0"/>
    </xf>
    <xf numFmtId="49" fontId="1" fillId="3" borderId="42" xfId="1" applyNumberFormat="1" applyFont="1" applyFill="1" applyBorder="1" applyAlignment="1" applyProtection="1">
      <alignment horizontal="left" vertical="center" wrapText="1"/>
      <protection locked="0"/>
    </xf>
    <xf numFmtId="49" fontId="1" fillId="3" borderId="20" xfId="1" applyNumberFormat="1" applyFont="1" applyFill="1" applyBorder="1" applyAlignment="1" applyProtection="1">
      <alignment horizontal="left" vertical="center" wrapText="1"/>
      <protection locked="0"/>
    </xf>
    <xf numFmtId="165" fontId="17" fillId="3" borderId="43" xfId="3" applyNumberFormat="1" applyFont="1" applyFill="1" applyBorder="1" applyAlignment="1" applyProtection="1">
      <alignment horizontal="left" vertical="center"/>
      <protection locked="0"/>
    </xf>
    <xf numFmtId="165" fontId="17" fillId="0" borderId="44" xfId="3" applyNumberFormat="1" applyFont="1" applyBorder="1" applyAlignment="1" applyProtection="1">
      <alignment horizontal="left" vertical="center"/>
      <protection locked="0"/>
    </xf>
    <xf numFmtId="165" fontId="17" fillId="0" borderId="45" xfId="3" applyNumberFormat="1" applyFont="1" applyBorder="1" applyAlignment="1" applyProtection="1">
      <alignment horizontal="left" vertical="center"/>
      <protection locked="0"/>
    </xf>
    <xf numFmtId="49" fontId="1" fillId="8" borderId="29" xfId="1" applyNumberFormat="1" applyFont="1" applyFill="1" applyBorder="1" applyAlignment="1" applyProtection="1">
      <alignment horizontal="left" vertical="center" wrapText="1"/>
      <protection locked="0"/>
    </xf>
    <xf numFmtId="4" fontId="1" fillId="0" borderId="6" xfId="1" applyNumberFormat="1" applyFont="1" applyBorder="1" applyAlignment="1" applyProtection="1">
      <alignment horizontal="center" vertical="top" wrapText="1"/>
      <protection locked="0"/>
    </xf>
    <xf numFmtId="4" fontId="1" fillId="0" borderId="13" xfId="1" applyNumberFormat="1" applyFont="1" applyBorder="1" applyAlignment="1" applyProtection="1">
      <alignment horizontal="center" vertical="top" wrapText="1"/>
      <protection locked="0"/>
    </xf>
    <xf numFmtId="4" fontId="1" fillId="0" borderId="5" xfId="1" applyNumberFormat="1" applyFont="1" applyBorder="1" applyAlignment="1" applyProtection="1">
      <alignment horizontal="center" vertical="top" wrapText="1"/>
      <protection locked="0"/>
    </xf>
    <xf numFmtId="4" fontId="1" fillId="0" borderId="14" xfId="1" applyNumberFormat="1" applyFont="1" applyBorder="1" applyAlignment="1" applyProtection="1">
      <alignment horizontal="center" vertical="top" wrapText="1"/>
      <protection locked="0"/>
    </xf>
    <xf numFmtId="1" fontId="1" fillId="0" borderId="7" xfId="1" applyNumberFormat="1" applyFont="1" applyBorder="1" applyAlignment="1" applyProtection="1">
      <alignment horizontal="center" vertical="top" wrapText="1"/>
      <protection locked="0"/>
    </xf>
    <xf numFmtId="3" fontId="1" fillId="0" borderId="8" xfId="1" applyNumberFormat="1" applyFont="1" applyBorder="1" applyAlignment="1" applyProtection="1">
      <alignment horizontal="center" vertical="top" wrapText="1"/>
      <protection locked="0"/>
    </xf>
    <xf numFmtId="49" fontId="1" fillId="8" borderId="4" xfId="1" applyNumberFormat="1" applyFont="1" applyFill="1" applyBorder="1" applyAlignment="1" applyProtection="1">
      <alignment horizontal="left" vertical="center" wrapText="1"/>
      <protection locked="0"/>
    </xf>
    <xf numFmtId="165" fontId="17" fillId="3" borderId="21" xfId="3" applyNumberFormat="1" applyFont="1" applyFill="1" applyBorder="1" applyAlignment="1" applyProtection="1">
      <alignment horizontal="left" vertical="center"/>
      <protection locked="0"/>
    </xf>
    <xf numFmtId="0" fontId="1" fillId="0" borderId="4" xfId="1" applyFont="1" applyBorder="1" applyAlignment="1" applyProtection="1">
      <alignment horizontal="left" vertical="top" wrapText="1"/>
      <protection locked="0"/>
    </xf>
    <xf numFmtId="0" fontId="1" fillId="0" borderId="9" xfId="1" applyFont="1" applyBorder="1" applyAlignment="1" applyProtection="1">
      <alignment horizontal="left" vertical="top"/>
      <protection locked="0"/>
    </xf>
    <xf numFmtId="0" fontId="1" fillId="0" borderId="5" xfId="1" applyFont="1" applyBorder="1" applyAlignment="1" applyProtection="1">
      <alignment horizontal="center" vertical="top"/>
      <protection locked="0"/>
    </xf>
    <xf numFmtId="4" fontId="1" fillId="0" borderId="4" xfId="1" applyNumberFormat="1" applyFont="1" applyBorder="1" applyAlignment="1" applyProtection="1">
      <alignment horizontal="center" vertical="top" wrapText="1"/>
      <protection locked="0"/>
    </xf>
    <xf numFmtId="4" fontId="1" fillId="0" borderId="3" xfId="1" applyNumberFormat="1" applyFont="1" applyBorder="1" applyAlignment="1" applyProtection="1">
      <alignment horizontal="center" vertical="top" wrapText="1"/>
      <protection locked="0"/>
    </xf>
    <xf numFmtId="0" fontId="1" fillId="0" borderId="0" xfId="1" applyFont="1" applyAlignment="1" applyProtection="1">
      <alignment horizontal="left" vertical="center" wrapText="1"/>
      <protection locked="0"/>
    </xf>
    <xf numFmtId="49" fontId="5" fillId="8" borderId="4" xfId="1" applyNumberFormat="1" applyFont="1" applyFill="1" applyBorder="1" applyAlignment="1" applyProtection="1">
      <alignment horizontal="left" vertical="center"/>
      <protection locked="0"/>
    </xf>
    <xf numFmtId="49" fontId="5" fillId="8" borderId="9" xfId="1" applyNumberFormat="1" applyFont="1" applyFill="1" applyBorder="1" applyAlignment="1" applyProtection="1">
      <alignment horizontal="left" vertical="center"/>
      <protection locked="0"/>
    </xf>
    <xf numFmtId="4" fontId="1" fillId="0" borderId="0" xfId="1" applyNumberFormat="1" applyFill="1" applyBorder="1" applyAlignment="1" applyProtection="1">
      <alignment horizontal="center" vertical="top" wrapText="1"/>
      <protection locked="0"/>
    </xf>
    <xf numFmtId="4" fontId="1" fillId="0" borderId="1" xfId="1" applyNumberFormat="1" applyFill="1" applyBorder="1" applyAlignment="1" applyProtection="1">
      <alignment horizontal="center" vertical="top" wrapText="1"/>
      <protection locked="0"/>
    </xf>
    <xf numFmtId="0" fontId="8" fillId="0" borderId="1" xfId="2" applyFont="1" applyBorder="1" applyAlignment="1" applyProtection="1">
      <alignment horizontal="right" vertical="top"/>
      <protection locked="0"/>
    </xf>
    <xf numFmtId="0" fontId="8" fillId="0" borderId="2" xfId="2" applyFont="1" applyBorder="1" applyAlignment="1" applyProtection="1">
      <alignment horizontal="right" vertical="top"/>
      <protection locked="0"/>
    </xf>
    <xf numFmtId="0" fontId="2" fillId="0" borderId="0" xfId="1" applyFont="1" applyBorder="1" applyAlignment="1" applyProtection="1">
      <alignment horizontal="center" vertical="center" wrapText="1"/>
      <protection locked="0"/>
    </xf>
    <xf numFmtId="49" fontId="2" fillId="21" borderId="17" xfId="1" applyNumberFormat="1" applyFont="1" applyFill="1" applyBorder="1" applyAlignment="1" applyProtection="1">
      <alignment vertical="center" wrapText="1"/>
      <protection locked="0"/>
    </xf>
    <xf numFmtId="49" fontId="1" fillId="21" borderId="56" xfId="1" applyNumberFormat="1" applyFont="1" applyFill="1" applyBorder="1" applyAlignment="1" applyProtection="1">
      <alignment vertical="center" wrapText="1"/>
      <protection locked="0"/>
    </xf>
    <xf numFmtId="49" fontId="1" fillId="21" borderId="14" xfId="1" applyNumberFormat="1" applyFont="1" applyFill="1" applyBorder="1" applyAlignment="1" applyProtection="1">
      <alignment vertical="center" wrapText="1"/>
      <protection locked="0"/>
    </xf>
    <xf numFmtId="0" fontId="6" fillId="18" borderId="17" xfId="1" applyFont="1" applyFill="1" applyBorder="1" applyAlignment="1" applyProtection="1">
      <alignment horizontal="left" vertical="center" wrapText="1"/>
      <protection locked="0"/>
    </xf>
    <xf numFmtId="0" fontId="6" fillId="18" borderId="56" xfId="1" applyFont="1" applyFill="1" applyBorder="1" applyAlignment="1" applyProtection="1">
      <alignment horizontal="left" vertical="center" wrapText="1"/>
      <protection locked="0"/>
    </xf>
    <xf numFmtId="0" fontId="1" fillId="0" borderId="17" xfId="1" applyFont="1" applyBorder="1" applyAlignment="1" applyProtection="1">
      <alignment horizontal="left" vertical="center"/>
    </xf>
    <xf numFmtId="0" fontId="1" fillId="0" borderId="56" xfId="1" applyFont="1" applyBorder="1" applyAlignment="1" applyProtection="1">
      <alignment horizontal="left" vertical="center"/>
    </xf>
    <xf numFmtId="0" fontId="1" fillId="6" borderId="15" xfId="2" applyFont="1" applyFill="1" applyBorder="1" applyAlignment="1" applyProtection="1">
      <alignment horizontal="left" vertical="center"/>
    </xf>
    <xf numFmtId="0" fontId="1" fillId="6" borderId="1" xfId="2" applyFont="1" applyFill="1" applyBorder="1" applyAlignment="1" applyProtection="1">
      <alignment horizontal="left" vertical="center"/>
    </xf>
    <xf numFmtId="0" fontId="1" fillId="3" borderId="91" xfId="1" applyFont="1" applyFill="1" applyBorder="1" applyAlignment="1" applyProtection="1">
      <alignment vertical="center"/>
      <protection locked="0"/>
    </xf>
    <xf numFmtId="0" fontId="1" fillId="3" borderId="73" xfId="1" applyFont="1" applyFill="1" applyBorder="1" applyAlignment="1" applyProtection="1">
      <alignment vertical="center"/>
      <protection locked="0"/>
    </xf>
    <xf numFmtId="0" fontId="1" fillId="3" borderId="69" xfId="1" applyFont="1" applyFill="1" applyBorder="1" applyAlignment="1" applyProtection="1">
      <alignment vertical="center"/>
      <protection locked="0"/>
    </xf>
    <xf numFmtId="3" fontId="2" fillId="0" borderId="0" xfId="1" applyNumberFormat="1" applyFont="1" applyFill="1" applyBorder="1" applyAlignment="1" applyProtection="1">
      <alignment horizontal="left" vertical="center"/>
    </xf>
    <xf numFmtId="3" fontId="24" fillId="6" borderId="58" xfId="1" applyNumberFormat="1" applyFont="1" applyFill="1" applyBorder="1" applyAlignment="1" applyProtection="1">
      <alignment horizontal="center" vertical="center" wrapText="1"/>
    </xf>
    <xf numFmtId="3" fontId="2" fillId="6" borderId="60" xfId="1" applyNumberFormat="1" applyFont="1" applyFill="1" applyBorder="1" applyAlignment="1" applyProtection="1">
      <alignment horizontal="center" vertical="center" wrapText="1"/>
    </xf>
    <xf numFmtId="3" fontId="2" fillId="6" borderId="58" xfId="1" applyNumberFormat="1" applyFont="1" applyFill="1" applyBorder="1" applyAlignment="1" applyProtection="1">
      <alignment horizontal="center" vertical="center" wrapText="1"/>
    </xf>
    <xf numFmtId="3" fontId="2" fillId="6" borderId="15" xfId="1" applyNumberFormat="1" applyFont="1" applyFill="1" applyBorder="1" applyAlignment="1" applyProtection="1">
      <alignment horizontal="center" vertical="center" wrapText="1"/>
    </xf>
    <xf numFmtId="3" fontId="2" fillId="6" borderId="2" xfId="1" applyNumberFormat="1" applyFont="1" applyFill="1" applyBorder="1" applyAlignment="1" applyProtection="1">
      <alignment horizontal="center" vertical="center" wrapText="1"/>
    </xf>
    <xf numFmtId="0" fontId="20" fillId="0" borderId="0" xfId="1" applyFont="1" applyFill="1" applyBorder="1" applyAlignment="1" applyProtection="1">
      <alignment horizontal="left" vertical="center" wrapText="1"/>
    </xf>
    <xf numFmtId="3" fontId="21" fillId="0" borderId="0" xfId="1" applyNumberFormat="1" applyFont="1" applyFill="1" applyBorder="1" applyAlignment="1" applyProtection="1">
      <alignment horizontal="right" vertical="center" wrapText="1"/>
    </xf>
    <xf numFmtId="0" fontId="1" fillId="0" borderId="0" xfId="1" applyFont="1" applyAlignment="1" applyProtection="1">
      <alignment horizontal="left" vertical="center" wrapText="1"/>
    </xf>
    <xf numFmtId="0" fontId="2" fillId="0" borderId="17" xfId="2" applyFont="1" applyBorder="1" applyAlignment="1" applyProtection="1">
      <alignment horizontal="left" vertical="center"/>
    </xf>
    <xf numFmtId="0" fontId="2" fillId="0" borderId="51" xfId="2" applyFont="1" applyBorder="1" applyAlignment="1" applyProtection="1">
      <alignment horizontal="left" vertical="center"/>
    </xf>
    <xf numFmtId="0" fontId="1" fillId="0" borderId="89" xfId="1" applyBorder="1" applyAlignment="1" applyProtection="1">
      <alignment horizontal="center" vertical="top"/>
    </xf>
    <xf numFmtId="0" fontId="1" fillId="0" borderId="0" xfId="1" applyBorder="1" applyAlignment="1" applyProtection="1">
      <alignment horizontal="center" vertical="top"/>
    </xf>
    <xf numFmtId="3" fontId="1" fillId="0" borderId="65" xfId="1" applyNumberFormat="1" applyFont="1" applyBorder="1" applyAlignment="1" applyProtection="1">
      <alignment horizontal="center" vertical="top" wrapText="1"/>
    </xf>
    <xf numFmtId="3" fontId="1" fillId="0" borderId="66" xfId="1" applyNumberFormat="1" applyFont="1" applyBorder="1" applyAlignment="1" applyProtection="1">
      <alignment horizontal="center" vertical="top" wrapText="1"/>
    </xf>
    <xf numFmtId="3" fontId="1" fillId="0" borderId="4" xfId="1" applyNumberFormat="1" applyFont="1" applyBorder="1" applyAlignment="1" applyProtection="1">
      <alignment horizontal="center" vertical="top" wrapText="1"/>
    </xf>
    <xf numFmtId="3" fontId="1" fillId="0" borderId="9" xfId="1" applyNumberFormat="1" applyFont="1" applyBorder="1" applyAlignment="1" applyProtection="1">
      <alignment horizontal="center" vertical="top" wrapText="1"/>
    </xf>
    <xf numFmtId="3" fontId="1" fillId="0" borderId="63" xfId="1" applyNumberFormat="1" applyFont="1" applyBorder="1" applyAlignment="1" applyProtection="1">
      <alignment horizontal="center" vertical="top" wrapText="1"/>
    </xf>
    <xf numFmtId="3" fontId="1" fillId="0" borderId="52" xfId="1" applyNumberFormat="1" applyFont="1" applyBorder="1" applyAlignment="1" applyProtection="1">
      <alignment horizontal="center" vertical="top" wrapText="1"/>
    </xf>
    <xf numFmtId="3" fontId="1" fillId="0" borderId="78" xfId="1" applyNumberFormat="1" applyFont="1" applyBorder="1" applyAlignment="1" applyProtection="1">
      <alignment horizontal="center" vertical="top" wrapText="1"/>
    </xf>
    <xf numFmtId="0" fontId="2" fillId="0" borderId="0" xfId="1" applyFont="1" applyBorder="1" applyAlignment="1" applyProtection="1">
      <alignment horizontal="center" vertical="center" wrapText="1"/>
    </xf>
    <xf numFmtId="0" fontId="1" fillId="0" borderId="1" xfId="1" applyFont="1" applyBorder="1" applyAlignment="1" applyProtection="1">
      <alignment horizontal="left"/>
    </xf>
    <xf numFmtId="0" fontId="1" fillId="0" borderId="10" xfId="1" applyFont="1" applyBorder="1" applyAlignment="1" applyProtection="1">
      <alignment horizontal="left"/>
    </xf>
    <xf numFmtId="170" fontId="5" fillId="0" borderId="63" xfId="1" applyNumberFormat="1" applyFont="1" applyFill="1" applyBorder="1" applyAlignment="1" applyProtection="1">
      <alignment horizontal="left" vertical="center"/>
    </xf>
    <xf numFmtId="170" fontId="5" fillId="0" borderId="52" xfId="1" applyNumberFormat="1" applyFont="1" applyFill="1" applyBorder="1" applyAlignment="1" applyProtection="1">
      <alignment horizontal="left" vertical="center"/>
    </xf>
    <xf numFmtId="170" fontId="5" fillId="0" borderId="66" xfId="1" applyNumberFormat="1" applyFont="1" applyFill="1" applyBorder="1" applyAlignment="1" applyProtection="1">
      <alignment horizontal="left" vertical="center"/>
    </xf>
    <xf numFmtId="170" fontId="5" fillId="0" borderId="15" xfId="1" applyNumberFormat="1" applyFont="1" applyFill="1" applyBorder="1" applyAlignment="1" applyProtection="1">
      <alignment horizontal="left" vertical="center"/>
    </xf>
    <xf numFmtId="170" fontId="5" fillId="0" borderId="1" xfId="1" applyNumberFormat="1" applyFont="1" applyFill="1" applyBorder="1" applyAlignment="1" applyProtection="1">
      <alignment horizontal="left" vertical="center"/>
    </xf>
    <xf numFmtId="170" fontId="5" fillId="0" borderId="2" xfId="1" applyNumberFormat="1" applyFont="1" applyFill="1" applyBorder="1" applyAlignment="1" applyProtection="1">
      <alignment horizontal="left" vertical="center"/>
    </xf>
    <xf numFmtId="0" fontId="1" fillId="0" borderId="63" xfId="1" applyFont="1" applyBorder="1" applyAlignment="1" applyProtection="1">
      <alignment horizontal="center" vertical="top" wrapText="1"/>
    </xf>
    <xf numFmtId="0" fontId="1" fillId="0" borderId="52" xfId="1" applyFont="1" applyBorder="1" applyAlignment="1" applyProtection="1">
      <alignment horizontal="center" vertical="top" wrapText="1"/>
    </xf>
    <xf numFmtId="0" fontId="1" fillId="0" borderId="64" xfId="1" applyFont="1" applyBorder="1" applyAlignment="1" applyProtection="1">
      <alignment horizontal="center" vertical="top" wrapText="1"/>
    </xf>
    <xf numFmtId="49" fontId="2" fillId="21" borderId="17" xfId="1" applyNumberFormat="1" applyFont="1" applyFill="1" applyBorder="1" applyAlignment="1" applyProtection="1">
      <alignment vertical="center" wrapText="1"/>
    </xf>
    <xf numFmtId="49" fontId="1" fillId="21" borderId="56" xfId="1" applyNumberFormat="1" applyFont="1" applyFill="1" applyBorder="1" applyAlignment="1" applyProtection="1">
      <alignment vertical="center" wrapText="1"/>
    </xf>
    <xf numFmtId="49" fontId="1" fillId="21" borderId="14" xfId="1" applyNumberFormat="1" applyFont="1" applyFill="1" applyBorder="1" applyAlignment="1" applyProtection="1">
      <alignment vertical="center" wrapText="1"/>
    </xf>
    <xf numFmtId="0" fontId="1" fillId="0" borderId="0" xfId="1" applyAlignment="1" applyProtection="1">
      <alignment horizontal="center" wrapText="1"/>
    </xf>
    <xf numFmtId="3" fontId="1" fillId="0" borderId="4" xfId="1" applyNumberFormat="1" applyFont="1" applyBorder="1" applyAlignment="1" applyProtection="1">
      <alignment horizontal="center" vertical="center" wrapText="1"/>
    </xf>
    <xf numFmtId="3" fontId="1" fillId="0" borderId="9" xfId="1" applyNumberFormat="1" applyFont="1" applyBorder="1" applyAlignment="1" applyProtection="1">
      <alignment horizontal="center" vertical="center" wrapText="1"/>
    </xf>
    <xf numFmtId="0" fontId="2" fillId="6" borderId="4" xfId="1" applyFont="1" applyFill="1" applyBorder="1" applyAlignment="1" applyProtection="1">
      <alignment horizontal="center" vertical="center" wrapText="1"/>
    </xf>
    <xf numFmtId="0" fontId="2" fillId="6" borderId="9" xfId="1" applyFont="1" applyFill="1" applyBorder="1" applyAlignment="1" applyProtection="1">
      <alignment horizontal="center" vertical="center" wrapText="1"/>
    </xf>
    <xf numFmtId="0" fontId="20" fillId="13" borderId="15" xfId="1" applyFont="1" applyFill="1" applyBorder="1" applyAlignment="1" applyProtection="1">
      <alignment horizontal="left" vertical="center" wrapText="1"/>
    </xf>
    <xf numFmtId="0" fontId="20" fillId="13" borderId="1" xfId="1" applyFont="1" applyFill="1" applyBorder="1" applyAlignment="1" applyProtection="1">
      <alignment horizontal="left" vertical="center" wrapText="1"/>
    </xf>
    <xf numFmtId="0" fontId="20" fillId="13" borderId="10" xfId="1" applyFont="1" applyFill="1" applyBorder="1" applyAlignment="1" applyProtection="1">
      <alignment horizontal="left" vertical="center" wrapText="1"/>
    </xf>
    <xf numFmtId="3" fontId="2" fillId="13" borderId="17" xfId="1" applyNumberFormat="1" applyFont="1" applyFill="1" applyBorder="1" applyAlignment="1" applyProtection="1">
      <alignment horizontal="left" vertical="center"/>
    </xf>
    <xf numFmtId="3" fontId="2" fillId="13" borderId="56" xfId="1" applyNumberFormat="1" applyFont="1" applyFill="1" applyBorder="1" applyAlignment="1" applyProtection="1">
      <alignment horizontal="left" vertical="center"/>
    </xf>
    <xf numFmtId="3" fontId="2" fillId="13" borderId="77" xfId="1" applyNumberFormat="1" applyFont="1" applyFill="1" applyBorder="1" applyAlignment="1" applyProtection="1">
      <alignment horizontal="left" vertical="center"/>
    </xf>
    <xf numFmtId="0" fontId="20" fillId="0" borderId="63" xfId="1" applyFont="1" applyBorder="1" applyAlignment="1" applyProtection="1">
      <alignment horizontal="left" vertical="center" wrapText="1"/>
    </xf>
    <xf numFmtId="0" fontId="20" fillId="0" borderId="52" xfId="1" applyFont="1" applyBorder="1" applyAlignment="1" applyProtection="1">
      <alignment horizontal="left" vertical="center" wrapText="1"/>
    </xf>
    <xf numFmtId="0" fontId="20" fillId="0" borderId="64" xfId="1" applyFont="1" applyBorder="1" applyAlignment="1" applyProtection="1">
      <alignment horizontal="left" vertical="center" wrapText="1"/>
    </xf>
    <xf numFmtId="0" fontId="20" fillId="0" borderId="28" xfId="1" applyFont="1" applyBorder="1" applyAlignment="1" applyProtection="1">
      <alignment horizontal="left" vertical="center" wrapText="1"/>
    </xf>
    <xf numFmtId="0" fontId="20" fillId="0" borderId="25" xfId="1" applyFont="1" applyBorder="1" applyAlignment="1" applyProtection="1">
      <alignment horizontal="left" vertical="center" wrapText="1"/>
    </xf>
    <xf numFmtId="0" fontId="20" fillId="0" borderId="21" xfId="1" applyFont="1" applyBorder="1" applyAlignment="1" applyProtection="1">
      <alignment horizontal="left" vertical="center" wrapText="1"/>
    </xf>
    <xf numFmtId="3" fontId="21" fillId="0" borderId="84" xfId="1" applyNumberFormat="1" applyFont="1" applyFill="1" applyBorder="1" applyAlignment="1" applyProtection="1">
      <alignment horizontal="right" vertical="center" wrapText="1"/>
    </xf>
    <xf numFmtId="3" fontId="21" fillId="0" borderId="83" xfId="1" applyNumberFormat="1" applyFont="1" applyFill="1" applyBorder="1" applyAlignment="1" applyProtection="1">
      <alignment horizontal="right" vertical="center" wrapText="1"/>
    </xf>
    <xf numFmtId="0" fontId="20" fillId="0" borderId="37" xfId="1" applyFont="1" applyBorder="1" applyAlignment="1" applyProtection="1">
      <alignment horizontal="left" vertical="center" wrapText="1"/>
    </xf>
    <xf numFmtId="0" fontId="20" fillId="0" borderId="34" xfId="1" applyFont="1" applyBorder="1" applyAlignment="1" applyProtection="1">
      <alignment horizontal="left" vertical="center" wrapText="1"/>
    </xf>
    <xf numFmtId="0" fontId="20" fillId="0" borderId="30" xfId="1" applyFont="1" applyBorder="1" applyAlignment="1" applyProtection="1">
      <alignment horizontal="left" vertical="center" wrapText="1"/>
    </xf>
    <xf numFmtId="0" fontId="20" fillId="0" borderId="50" xfId="1" applyFont="1" applyBorder="1" applyAlignment="1" applyProtection="1">
      <alignment horizontal="left" vertical="center" wrapText="1"/>
    </xf>
    <xf numFmtId="0" fontId="20" fillId="0" borderId="48" xfId="1" applyFont="1" applyBorder="1" applyAlignment="1" applyProtection="1">
      <alignment horizontal="left" vertical="center" wrapText="1"/>
    </xf>
    <xf numFmtId="0" fontId="20" fillId="0" borderId="61" xfId="1" applyFont="1" applyBorder="1" applyAlignment="1" applyProtection="1">
      <alignment horizontal="left" vertical="center" wrapText="1"/>
    </xf>
    <xf numFmtId="0" fontId="23" fillId="0" borderId="0" xfId="5" applyBorder="1" applyAlignment="1">
      <alignment horizontal="center"/>
    </xf>
    <xf numFmtId="0" fontId="25" fillId="0" borderId="36" xfId="5" applyFont="1" applyFill="1" applyBorder="1" applyAlignment="1">
      <alignment horizontal="center"/>
    </xf>
    <xf numFmtId="0" fontId="25" fillId="0" borderId="34" xfId="5" applyFont="1" applyFill="1" applyBorder="1" applyAlignment="1">
      <alignment horizontal="center"/>
    </xf>
    <xf numFmtId="0" fontId="25" fillId="0" borderId="30" xfId="5" applyFont="1" applyFill="1" applyBorder="1" applyAlignment="1">
      <alignment horizontal="center"/>
    </xf>
    <xf numFmtId="0" fontId="25" fillId="0" borderId="36" xfId="5" applyFont="1" applyBorder="1" applyAlignment="1">
      <alignment horizontal="center"/>
    </xf>
    <xf numFmtId="0" fontId="25" fillId="0" borderId="34" xfId="5" applyFont="1" applyBorder="1" applyAlignment="1">
      <alignment horizontal="center"/>
    </xf>
    <xf numFmtId="0" fontId="25" fillId="0" borderId="30" xfId="5" applyFont="1" applyBorder="1" applyAlignment="1">
      <alignment horizontal="center"/>
    </xf>
    <xf numFmtId="0" fontId="25" fillId="20" borderId="36" xfId="5" applyFont="1" applyFill="1" applyBorder="1" applyAlignment="1">
      <alignment horizontal="center"/>
    </xf>
    <xf numFmtId="0" fontId="25" fillId="20" borderId="34" xfId="5" applyFont="1" applyFill="1" applyBorder="1" applyAlignment="1">
      <alignment horizontal="center"/>
    </xf>
    <xf numFmtId="0" fontId="25" fillId="20" borderId="30" xfId="5" applyFont="1" applyFill="1" applyBorder="1" applyAlignment="1">
      <alignment horizontal="center"/>
    </xf>
    <xf numFmtId="0" fontId="25" fillId="15" borderId="36" xfId="5" applyFont="1" applyFill="1" applyBorder="1" applyAlignment="1">
      <alignment horizontal="center"/>
    </xf>
    <xf numFmtId="0" fontId="25" fillId="15" borderId="34" xfId="5" applyFont="1" applyFill="1" applyBorder="1" applyAlignment="1">
      <alignment horizontal="center"/>
    </xf>
    <xf numFmtId="0" fontId="25" fillId="15" borderId="30" xfId="5" applyFont="1" applyFill="1" applyBorder="1" applyAlignment="1">
      <alignment horizontal="center"/>
    </xf>
    <xf numFmtId="0" fontId="25" fillId="2" borderId="36" xfId="5" applyFont="1" applyFill="1" applyBorder="1" applyAlignment="1">
      <alignment horizontal="center"/>
    </xf>
    <xf numFmtId="0" fontId="25" fillId="2" borderId="34" xfId="5" applyFont="1" applyFill="1" applyBorder="1" applyAlignment="1">
      <alignment horizontal="center"/>
    </xf>
    <xf numFmtId="0" fontId="25" fillId="2" borderId="30" xfId="5" applyFont="1" applyFill="1" applyBorder="1" applyAlignment="1">
      <alignment horizontal="center"/>
    </xf>
    <xf numFmtId="0" fontId="25" fillId="8" borderId="36" xfId="5" applyFont="1" applyFill="1" applyBorder="1" applyAlignment="1">
      <alignment horizontal="center"/>
    </xf>
    <xf numFmtId="0" fontId="25" fillId="8" borderId="34" xfId="5" applyFont="1" applyFill="1" applyBorder="1" applyAlignment="1">
      <alignment horizontal="center"/>
    </xf>
    <xf numFmtId="0" fontId="25" fillId="8" borderId="30" xfId="5" applyFont="1" applyFill="1" applyBorder="1" applyAlignment="1">
      <alignment horizontal="center"/>
    </xf>
    <xf numFmtId="0" fontId="0" fillId="18" borderId="36" xfId="5" applyFont="1" applyFill="1" applyBorder="1" applyAlignment="1">
      <alignment horizontal="center"/>
    </xf>
    <xf numFmtId="0" fontId="23" fillId="18" borderId="30" xfId="5" applyFill="1" applyBorder="1" applyAlignment="1">
      <alignment horizontal="center"/>
    </xf>
    <xf numFmtId="3" fontId="23" fillId="0" borderId="36" xfId="5" applyNumberFormat="1" applyFill="1" applyBorder="1" applyAlignment="1">
      <alignment horizontal="center"/>
    </xf>
    <xf numFmtId="3" fontId="23" fillId="0" borderId="34" xfId="5" applyNumberFormat="1" applyFill="1" applyBorder="1" applyAlignment="1">
      <alignment horizontal="center"/>
    </xf>
    <xf numFmtId="3" fontId="23" fillId="0" borderId="30" xfId="5" applyNumberFormat="1" applyFill="1" applyBorder="1" applyAlignment="1">
      <alignment horizontal="center"/>
    </xf>
    <xf numFmtId="0" fontId="25" fillId="19" borderId="36" xfId="5" applyFont="1" applyFill="1" applyBorder="1" applyAlignment="1">
      <alignment horizontal="center"/>
    </xf>
    <xf numFmtId="0" fontId="25" fillId="19" borderId="34" xfId="5" applyFont="1" applyFill="1" applyBorder="1" applyAlignment="1">
      <alignment horizontal="center"/>
    </xf>
    <xf numFmtId="3" fontId="2" fillId="0" borderId="0" xfId="1" applyNumberFormat="1" applyFont="1" applyBorder="1" applyAlignment="1">
      <alignment horizontal="center" vertical="center"/>
    </xf>
    <xf numFmtId="0" fontId="25" fillId="17" borderId="36" xfId="5" applyFont="1" applyFill="1" applyBorder="1" applyAlignment="1">
      <alignment horizontal="center"/>
    </xf>
    <xf numFmtId="0" fontId="25" fillId="17" borderId="34" xfId="5" applyFont="1" applyFill="1" applyBorder="1" applyAlignment="1">
      <alignment horizontal="center"/>
    </xf>
    <xf numFmtId="0" fontId="25" fillId="17" borderId="30" xfId="5" applyFont="1" applyFill="1" applyBorder="1" applyAlignment="1">
      <alignment horizontal="center"/>
    </xf>
    <xf numFmtId="0" fontId="23" fillId="18" borderId="36" xfId="5" applyFill="1" applyBorder="1" applyAlignment="1">
      <alignment horizontal="center"/>
    </xf>
    <xf numFmtId="0" fontId="25" fillId="16" borderId="36" xfId="5" applyFont="1" applyFill="1" applyBorder="1" applyAlignment="1">
      <alignment horizontal="center"/>
    </xf>
    <xf numFmtId="0" fontId="25" fillId="16" borderId="34" xfId="5" applyFont="1" applyFill="1" applyBorder="1" applyAlignment="1">
      <alignment horizontal="center"/>
    </xf>
    <xf numFmtId="0" fontId="25" fillId="16" borderId="30" xfId="5" applyFont="1" applyFill="1" applyBorder="1" applyAlignment="1">
      <alignment horizontal="center"/>
    </xf>
    <xf numFmtId="3" fontId="25" fillId="0" borderId="0" xfId="5" applyNumberFormat="1" applyFont="1" applyFill="1" applyBorder="1" applyAlignment="1">
      <alignment horizontal="center"/>
    </xf>
    <xf numFmtId="0" fontId="25" fillId="0" borderId="27" xfId="5" applyFont="1" applyFill="1" applyBorder="1" applyAlignment="1">
      <alignment horizontal="center"/>
    </xf>
    <xf numFmtId="0" fontId="25" fillId="0" borderId="21" xfId="5" applyFont="1" applyFill="1" applyBorder="1" applyAlignment="1">
      <alignment horizontal="center"/>
    </xf>
    <xf numFmtId="0" fontId="25" fillId="0" borderId="36" xfId="5" applyFont="1" applyFill="1" applyBorder="1" applyAlignment="1">
      <alignment horizontal="center" wrapText="1"/>
    </xf>
    <xf numFmtId="0" fontId="25" fillId="0" borderId="34" xfId="5" applyFont="1" applyFill="1" applyBorder="1" applyAlignment="1">
      <alignment horizontal="center" wrapText="1"/>
    </xf>
    <xf numFmtId="0" fontId="25" fillId="0" borderId="30" xfId="5" applyFont="1" applyFill="1" applyBorder="1" applyAlignment="1">
      <alignment horizontal="center" wrapText="1"/>
    </xf>
    <xf numFmtId="0" fontId="23" fillId="0" borderId="0" xfId="5" applyFill="1" applyBorder="1" applyAlignment="1">
      <alignment horizontal="center"/>
    </xf>
  </cellXfs>
  <cellStyles count="8">
    <cellStyle name="Lien hypertexte" xfId="2" builtinId="8"/>
    <cellStyle name="Milliers" xfId="4" builtinId="3"/>
    <cellStyle name="Milliers 2" xfId="3" xr:uid="{00000000-0005-0000-0000-000002000000}"/>
    <cellStyle name="Normal" xfId="0" builtinId="0"/>
    <cellStyle name="Normal 2" xfId="1" xr:uid="{00000000-0005-0000-0000-000004000000}"/>
    <cellStyle name="Normal 3" xfId="5" xr:uid="{00000000-0005-0000-0000-000005000000}"/>
    <cellStyle name="Pourcentage 2" xfId="6" xr:uid="{00000000-0005-0000-0000-000006000000}"/>
    <cellStyle name="Pourcentage 3" xfId="7" xr:uid="{00000000-0005-0000-0000-000007000000}"/>
  </cellStyles>
  <dxfs count="10">
    <dxf>
      <alignment horizontal="right"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4" formatCode="#,##0.00"/>
      <alignment horizontal="center" vertical="top" textRotation="0" wrapText="1" indent="0" justifyLastLine="0" shrinkToFit="0" readingOrder="0"/>
      <protection locked="1" hidden="0"/>
    </dxf>
    <dxf>
      <numFmt numFmtId="0" formatCode="General"/>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0" formatCode="General"/>
      <alignment horizontal="center" vertical="top" textRotation="0" wrapText="1" indent="0" justifyLastLine="0" shrinkToFit="0" readingOrder="0"/>
      <protection locked="1" hidden="0"/>
    </dxf>
    <dxf>
      <fill>
        <patternFill>
          <bgColor theme="6"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s>
  <tableStyles count="1" defaultTableStyle="TableStyleMedium2" defaultPivotStyle="PivotStyleLight16">
    <tableStyle name="Invisible" pivot="0" table="0" count="0" xr9:uid="{21DB5B11-8523-459C-AFD8-BC54BD2FE15A}"/>
  </tableStyles>
  <colors>
    <mruColors>
      <color rgb="FFFFCCFF"/>
      <color rgb="FFECA6D8"/>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vbaProject.bin.rels><?xml version="1.0" encoding="UTF-8" standalone="yes"?>
<Relationships xmlns="http://schemas.openxmlformats.org/package/2006/relationships"><Relationship Id="rId3" Type="http://schemas.microsoft.com/office/2020/07/relationships/vbaProjectSignatureV3" Target="vbaProjectSignatureV3.bin"/><Relationship Id="rId2" Type="http://schemas.microsoft.com/office/2014/relationships/vbaProjectSignatureAgile" Target="vbaProjectSignatureAgile.bin"/><Relationship Id="rId1" Type="http://schemas.microsoft.com/office/2006/relationships/vbaProjectSignature" Target="vbaProjectSignature.bin"/></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www.ge.ch/legislation/rsg/f/rsg_l5_20.html" TargetMode="External"/><Relationship Id="rId2" Type="http://schemas.openxmlformats.org/officeDocument/2006/relationships/hyperlink" Target="https://www.ge.ch/legislation/rsg/f/s/rsg_l2_30.html"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hyperlink" Target="https://www.ge.ch/legislation/rsg/f/rsg_i4_05p01.html" TargetMode="External"/></Relationships>
</file>

<file path=xl/drawings/drawing1.xml><?xml version="1.0" encoding="utf-8"?>
<xdr:wsDr xmlns:xdr="http://schemas.openxmlformats.org/drawingml/2006/spreadsheetDrawing" xmlns:a="http://schemas.openxmlformats.org/drawingml/2006/main">
  <xdr:oneCellAnchor>
    <xdr:from>
      <xdr:col>1</xdr:col>
      <xdr:colOff>11911</xdr:colOff>
      <xdr:row>0</xdr:row>
      <xdr:rowOff>95250</xdr:rowOff>
    </xdr:from>
    <xdr:ext cx="526754" cy="785814"/>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49517" b="-415"/>
        <a:stretch/>
      </xdr:blipFill>
      <xdr:spPr>
        <a:xfrm>
          <a:off x="183361" y="95250"/>
          <a:ext cx="526754" cy="785814"/>
        </a:xfrm>
        <a:prstGeom prst="rect">
          <a:avLst/>
        </a:prstGeom>
      </xdr:spPr>
    </xdr:pic>
    <xdr:clientData/>
  </xdr:oneCellAnchor>
  <xdr:twoCellAnchor>
    <xdr:from>
      <xdr:col>3</xdr:col>
      <xdr:colOff>535781</xdr:colOff>
      <xdr:row>44</xdr:row>
      <xdr:rowOff>71439</xdr:rowOff>
    </xdr:from>
    <xdr:to>
      <xdr:col>3</xdr:col>
      <xdr:colOff>535782</xdr:colOff>
      <xdr:row>47</xdr:row>
      <xdr:rowOff>0</xdr:rowOff>
    </xdr:to>
    <xdr:cxnSp macro="">
      <xdr:nvCxnSpPr>
        <xdr:cNvPr id="3" name="Connecteur droit avec flèche 2">
          <a:extLst>
            <a:ext uri="{FF2B5EF4-FFF2-40B4-BE49-F238E27FC236}">
              <a16:creationId xmlns:a16="http://schemas.microsoft.com/office/drawing/2014/main" id="{00000000-0008-0000-0000-000003000000}"/>
            </a:ext>
          </a:extLst>
        </xdr:cNvPr>
        <xdr:cNvCxnSpPr/>
      </xdr:nvCxnSpPr>
      <xdr:spPr>
        <a:xfrm flipV="1">
          <a:off x="5926931" y="8491539"/>
          <a:ext cx="1" cy="423861"/>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95302</xdr:colOff>
      <xdr:row>1</xdr:row>
      <xdr:rowOff>2</xdr:rowOff>
    </xdr:from>
    <xdr:to>
      <xdr:col>2</xdr:col>
      <xdr:colOff>26743</xdr:colOff>
      <xdr:row>2</xdr:row>
      <xdr:rowOff>23816</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49517" b="-415"/>
        <a:stretch/>
      </xdr:blipFill>
      <xdr:spPr>
        <a:xfrm>
          <a:off x="250083" y="238127"/>
          <a:ext cx="526754" cy="785814"/>
        </a:xfrm>
        <a:prstGeom prst="rect">
          <a:avLst/>
        </a:prstGeom>
      </xdr:spPr>
    </xdr:pic>
    <xdr:clientData/>
  </xdr:twoCellAnchor>
  <xdr:twoCellAnchor>
    <xdr:from>
      <xdr:col>11</xdr:col>
      <xdr:colOff>404813</xdr:colOff>
      <xdr:row>1</xdr:row>
      <xdr:rowOff>47625</xdr:rowOff>
    </xdr:from>
    <xdr:to>
      <xdr:col>11</xdr:col>
      <xdr:colOff>738188</xdr:colOff>
      <xdr:row>1</xdr:row>
      <xdr:rowOff>428624</xdr:rowOff>
    </xdr:to>
    <xdr:sp macro="" textlink="">
      <xdr:nvSpPr>
        <xdr:cNvPr id="3" name="ZoneTexte 2">
          <a:hlinkClick xmlns:r="http://schemas.openxmlformats.org/officeDocument/2006/relationships" r:id="rId2"/>
          <a:extLst>
            <a:ext uri="{FF2B5EF4-FFF2-40B4-BE49-F238E27FC236}">
              <a16:creationId xmlns:a16="http://schemas.microsoft.com/office/drawing/2014/main" id="{00000000-0008-0000-0200-000003000000}"/>
            </a:ext>
          </a:extLst>
        </xdr:cNvPr>
        <xdr:cNvSpPr txBox="1"/>
      </xdr:nvSpPr>
      <xdr:spPr>
        <a:xfrm>
          <a:off x="9710738" y="209550"/>
          <a:ext cx="333375" cy="38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H" sz="1100"/>
        </a:p>
      </xdr:txBody>
    </xdr:sp>
    <xdr:clientData/>
  </xdr:twoCellAnchor>
  <xdr:twoCellAnchor>
    <xdr:from>
      <xdr:col>10</xdr:col>
      <xdr:colOff>523875</xdr:colOff>
      <xdr:row>1</xdr:row>
      <xdr:rowOff>59531</xdr:rowOff>
    </xdr:from>
    <xdr:to>
      <xdr:col>10</xdr:col>
      <xdr:colOff>964406</xdr:colOff>
      <xdr:row>1</xdr:row>
      <xdr:rowOff>345281</xdr:rowOff>
    </xdr:to>
    <xdr:sp macro="" textlink="">
      <xdr:nvSpPr>
        <xdr:cNvPr id="4" name="ZoneTexte 3">
          <a:hlinkClick xmlns:r="http://schemas.openxmlformats.org/officeDocument/2006/relationships" r:id="rId3"/>
          <a:extLst>
            <a:ext uri="{FF2B5EF4-FFF2-40B4-BE49-F238E27FC236}">
              <a16:creationId xmlns:a16="http://schemas.microsoft.com/office/drawing/2014/main" id="{00000000-0008-0000-0200-000004000000}"/>
            </a:ext>
          </a:extLst>
        </xdr:cNvPr>
        <xdr:cNvSpPr txBox="1"/>
      </xdr:nvSpPr>
      <xdr:spPr>
        <a:xfrm>
          <a:off x="8858250" y="221456"/>
          <a:ext cx="440531" cy="2857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mc:AlternateContent xmlns:mc="http://schemas.openxmlformats.org/markup-compatibility/2006">
    <mc:Choice xmlns:a14="http://schemas.microsoft.com/office/drawing/2010/main" Requires="a14">
      <xdr:twoCellAnchor>
        <xdr:from>
          <xdr:col>1</xdr:col>
          <xdr:colOff>276225</xdr:colOff>
          <xdr:row>4</xdr:row>
          <xdr:rowOff>161925</xdr:rowOff>
        </xdr:from>
        <xdr:to>
          <xdr:col>2</xdr:col>
          <xdr:colOff>1733550</xdr:colOff>
          <xdr:row>6</xdr:row>
          <xdr:rowOff>38100</xdr:rowOff>
        </xdr:to>
        <xdr:sp macro="" textlink="">
          <xdr:nvSpPr>
            <xdr:cNvPr id="28686" name="Button 14" hidden="1">
              <a:extLst>
                <a:ext uri="{63B3BB69-23CF-44E3-9099-C40C66FF867C}">
                  <a14:compatExt spid="_x0000_s28686"/>
                </a:ext>
                <a:ext uri="{FF2B5EF4-FFF2-40B4-BE49-F238E27FC236}">
                  <a16:creationId xmlns:a16="http://schemas.microsoft.com/office/drawing/2014/main" id="{00000000-0008-0000-0100-00000E7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000" b="0" i="0" u="none" strike="noStrike" baseline="0">
                  <a:solidFill>
                    <a:srgbClr val="000000"/>
                  </a:solidFill>
                  <a:latin typeface="Arial"/>
                  <a:cs typeface="Arial"/>
                </a:rPr>
                <a:t>Ajouter des lignes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2209800</xdr:colOff>
          <xdr:row>4</xdr:row>
          <xdr:rowOff>152400</xdr:rowOff>
        </xdr:from>
        <xdr:to>
          <xdr:col>4</xdr:col>
          <xdr:colOff>9525</xdr:colOff>
          <xdr:row>6</xdr:row>
          <xdr:rowOff>28575</xdr:rowOff>
        </xdr:to>
        <xdr:sp macro="" textlink="">
          <xdr:nvSpPr>
            <xdr:cNvPr id="28687" name="Button 15" hidden="1">
              <a:extLst>
                <a:ext uri="{63B3BB69-23CF-44E3-9099-C40C66FF867C}">
                  <a14:compatExt spid="_x0000_s28687"/>
                </a:ext>
                <a:ext uri="{FF2B5EF4-FFF2-40B4-BE49-F238E27FC236}">
                  <a16:creationId xmlns:a16="http://schemas.microsoft.com/office/drawing/2014/main" id="{00000000-0008-0000-0100-00000F7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000" b="0" i="0" u="none" strike="noStrike" baseline="0">
                  <a:solidFill>
                    <a:srgbClr val="000000"/>
                  </a:solidFill>
                  <a:latin typeface="Arial"/>
                  <a:cs typeface="Arial"/>
                </a:rPr>
                <a:t>Supprimer une ligne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36372</xdr:colOff>
      <xdr:row>1</xdr:row>
      <xdr:rowOff>0</xdr:rowOff>
    </xdr:from>
    <xdr:to>
      <xdr:col>0</xdr:col>
      <xdr:colOff>2625440</xdr:colOff>
      <xdr:row>1</xdr:row>
      <xdr:rowOff>0</xdr:rowOff>
    </xdr:to>
    <xdr:sp macro="" textlink="">
      <xdr:nvSpPr>
        <xdr:cNvPr id="9" name="ZoneTexte 8">
          <a:hlinkClick xmlns:r="http://schemas.openxmlformats.org/officeDocument/2006/relationships" r:id="rId1"/>
          <a:extLst>
            <a:ext uri="{FF2B5EF4-FFF2-40B4-BE49-F238E27FC236}">
              <a16:creationId xmlns:a16="http://schemas.microsoft.com/office/drawing/2014/main" id="{00000000-0008-0000-0300-000009000000}"/>
            </a:ext>
          </a:extLst>
        </xdr:cNvPr>
        <xdr:cNvSpPr txBox="1"/>
      </xdr:nvSpPr>
      <xdr:spPr>
        <a:xfrm>
          <a:off x="36372" y="21217368"/>
          <a:ext cx="2589068" cy="60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H"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adm01.ge-admin.ad.etat-ge.ch\uo$\Users\CASASNOVASV\AppData\Local\Microsoft\Windows\Temporary%20Internet%20Files\Content.Outlook\O6T8WQ3S\Copie%20de%20D13%20-%20Tableaux%20LDTR-LEn%20-%2001.2020_Sta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COUTS"/>
      <sheetName val="EXEMPLE TABLEAU COUTS"/>
      <sheetName val="TABLEAU LOYERS"/>
      <sheetName val="EXEMPLE TABLEAU LOYERS"/>
      <sheetName val="AIDE"/>
      <sheetName val="Listes"/>
    </sheetNames>
    <sheetDataSet>
      <sheetData sheetId="0"/>
      <sheetData sheetId="1" refreshError="1"/>
      <sheetData sheetId="2"/>
      <sheetData sheetId="3" refreshError="1"/>
      <sheetData sheetId="4" refreshError="1"/>
      <sheetData sheetId="5">
        <row r="2">
          <cell r="A2" t="str">
            <v>18</v>
          </cell>
          <cell r="C2">
            <v>10</v>
          </cell>
          <cell r="E2">
            <v>0.5</v>
          </cell>
        </row>
        <row r="3">
          <cell r="A3">
            <v>20</v>
          </cell>
          <cell r="C3">
            <v>15</v>
          </cell>
          <cell r="E3">
            <v>0.6</v>
          </cell>
        </row>
        <row r="4">
          <cell r="C4">
            <v>20</v>
          </cell>
          <cell r="E4">
            <v>0.7</v>
          </cell>
        </row>
        <row r="5">
          <cell r="C5">
            <v>25</v>
          </cell>
        </row>
        <row r="6">
          <cell r="C6">
            <v>30</v>
          </cell>
        </row>
        <row r="7">
          <cell r="C7">
            <v>35</v>
          </cell>
        </row>
        <row r="8">
          <cell r="C8">
            <v>40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4" displayName="Tableau4" ref="C1:C8" totalsRowShown="0" headerRowDxfId="5" dataDxfId="4">
  <tableColumns count="1">
    <tableColumn id="1" xr3:uid="{00000000-0010-0000-0000-000001000000}" name="Durée amort. E" dataDxfId="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5" displayName="Tableau5" ref="A1:A3" totalsRowShown="0" headerRowDxfId="2" dataDxfId="1">
  <tableColumns count="1">
    <tableColumn id="1" xr3:uid="{00000000-0010-0000-0100-000001000000}" name="Durée amort. R" dataDxfId="0"/>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asloca-romande.ch/wp-content/uploads/2016/01/Tabelle_avertissement.pdf" TargetMode="External"/><Relationship Id="rId7" Type="http://schemas.openxmlformats.org/officeDocument/2006/relationships/vmlDrawing" Target="../drawings/vmlDrawing1.vml"/><Relationship Id="rId2" Type="http://schemas.openxmlformats.org/officeDocument/2006/relationships/hyperlink" Target="https://www.bwo.admin.ch/bwo/fr/home/mietrecht/referenzzinssatz.html" TargetMode="External"/><Relationship Id="rId1" Type="http://schemas.openxmlformats.org/officeDocument/2006/relationships/hyperlink" Target="https://www.ge.ch/legislation/rsg/f/rsg_i4_05p01.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ge.ch/document/d09-fichier-bpc-baisse-previsible-charges"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ge.ch/legislation/rsg/f/rsg_l5_20.html" TargetMode="External"/><Relationship Id="rId7" Type="http://schemas.openxmlformats.org/officeDocument/2006/relationships/ctrlProp" Target="../ctrlProps/ctrlProp1.xml"/><Relationship Id="rId2" Type="http://schemas.openxmlformats.org/officeDocument/2006/relationships/hyperlink" Target="https://www.ge.ch/legislation/rsg/f/rsg_i4_05p01.html" TargetMode="External"/><Relationship Id="rId1" Type="http://schemas.openxmlformats.org/officeDocument/2006/relationships/hyperlink" Target="http://www.lexfind.ch/dtah/100078/3/rsg_L5_20p05.html.1.html"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9">
    <pageSetUpPr fitToPage="1"/>
  </sheetPr>
  <dimension ref="B1:U66"/>
  <sheetViews>
    <sheetView showGridLines="0" tabSelected="1" zoomScale="70" zoomScaleNormal="70" workbookViewId="0">
      <selection activeCell="T3" sqref="T3"/>
    </sheetView>
  </sheetViews>
  <sheetFormatPr baseColWidth="10" defaultColWidth="11.42578125" defaultRowHeight="14.25" x14ac:dyDescent="0.2"/>
  <cols>
    <col min="1" max="1" width="2.5703125" style="271" customWidth="1"/>
    <col min="2" max="2" width="65" style="271" customWidth="1"/>
    <col min="3" max="5" width="16.7109375" style="271" customWidth="1"/>
    <col min="6" max="6" width="8.7109375" style="272" customWidth="1"/>
    <col min="7" max="9" width="16.7109375" style="271" customWidth="1"/>
    <col min="10" max="10" width="8.7109375" style="272" customWidth="1"/>
    <col min="11" max="11" width="16.7109375" style="271" customWidth="1"/>
    <col min="12" max="15" width="8.7109375" style="272" customWidth="1"/>
    <col min="16" max="16" width="8.85546875" style="272" customWidth="1"/>
    <col min="17" max="18" width="14.140625" style="271" customWidth="1"/>
    <col min="19" max="19" width="3" style="271" customWidth="1"/>
    <col min="20" max="16384" width="11.42578125" style="271"/>
  </cols>
  <sheetData>
    <row r="1" spans="2:21" ht="10.5" customHeight="1" x14ac:dyDescent="0.2"/>
    <row r="2" spans="2:21" ht="80.25" customHeight="1" thickBot="1" x14ac:dyDescent="0.25">
      <c r="B2" s="481" t="s">
        <v>0</v>
      </c>
      <c r="C2" s="481"/>
      <c r="D2" s="488" t="s">
        <v>182</v>
      </c>
      <c r="E2" s="488"/>
      <c r="F2" s="488"/>
      <c r="G2" s="488"/>
      <c r="H2" s="488"/>
      <c r="I2" s="488"/>
      <c r="J2" s="488"/>
      <c r="K2" s="488"/>
      <c r="R2" s="273" t="s">
        <v>188</v>
      </c>
    </row>
    <row r="3" spans="2:21" ht="85.5" customHeight="1" thickBot="1" x14ac:dyDescent="0.25">
      <c r="B3" s="489" t="s">
        <v>175</v>
      </c>
      <c r="C3" s="490"/>
      <c r="D3" s="490"/>
      <c r="E3" s="490"/>
      <c r="F3" s="490"/>
      <c r="G3" s="490"/>
      <c r="H3" s="490"/>
      <c r="I3" s="490"/>
      <c r="J3" s="490"/>
      <c r="K3" s="490"/>
      <c r="L3" s="490"/>
      <c r="M3" s="490"/>
      <c r="N3" s="490"/>
      <c r="O3" s="490"/>
      <c r="P3" s="490"/>
      <c r="Q3" s="490"/>
      <c r="R3" s="491"/>
    </row>
    <row r="4" spans="2:21" ht="21" customHeight="1" thickBot="1" x14ac:dyDescent="0.25">
      <c r="B4" s="492" t="s">
        <v>176</v>
      </c>
      <c r="C4" s="493"/>
      <c r="D4" s="266" t="s">
        <v>173</v>
      </c>
      <c r="E4" s="274"/>
      <c r="F4" s="274"/>
      <c r="G4" s="274"/>
      <c r="H4" s="274"/>
      <c r="I4" s="274"/>
      <c r="J4" s="274"/>
      <c r="K4" s="274"/>
      <c r="L4" s="274"/>
      <c r="M4" s="274"/>
      <c r="N4" s="274"/>
      <c r="O4" s="274"/>
      <c r="P4" s="274"/>
      <c r="Q4" s="274"/>
      <c r="R4" s="274"/>
    </row>
    <row r="5" spans="2:21" ht="21.75" customHeight="1" thickBot="1" x14ac:dyDescent="0.25">
      <c r="B5" s="275"/>
      <c r="C5" s="276"/>
      <c r="D5" s="276"/>
      <c r="E5" s="276"/>
      <c r="F5" s="276"/>
      <c r="G5" s="276"/>
      <c r="H5" s="276"/>
      <c r="I5" s="276"/>
      <c r="J5" s="276"/>
      <c r="R5" s="273"/>
    </row>
    <row r="6" spans="2:21" ht="15.75" thickBot="1" x14ac:dyDescent="0.25">
      <c r="B6" s="482" t="s">
        <v>164</v>
      </c>
      <c r="C6" s="277"/>
      <c r="D6" s="277"/>
      <c r="E6" s="278"/>
      <c r="F6" s="278"/>
      <c r="G6" s="278"/>
      <c r="H6" s="484"/>
      <c r="I6" s="484"/>
      <c r="J6" s="278"/>
      <c r="K6" s="279"/>
      <c r="L6" s="280"/>
      <c r="M6" s="281"/>
      <c r="N6" s="281"/>
      <c r="O6" s="281"/>
      <c r="P6" s="281"/>
      <c r="Q6" s="282"/>
      <c r="R6" s="282"/>
      <c r="S6" s="279"/>
    </row>
    <row r="7" spans="2:21" ht="15.75" customHeight="1" thickBot="1" x14ac:dyDescent="0.25">
      <c r="B7" s="483"/>
      <c r="C7" s="283"/>
      <c r="D7" s="277"/>
      <c r="E7" s="277"/>
      <c r="F7" s="281"/>
      <c r="G7" s="277"/>
      <c r="H7" s="485"/>
      <c r="I7" s="485"/>
      <c r="J7" s="281"/>
      <c r="K7" s="279"/>
      <c r="L7" s="280"/>
      <c r="M7" s="486" t="s">
        <v>1</v>
      </c>
      <c r="N7" s="486"/>
      <c r="O7" s="487"/>
      <c r="P7" s="411">
        <v>1.2500000000000001E-2</v>
      </c>
      <c r="Q7" s="284" t="s">
        <v>2</v>
      </c>
      <c r="R7" s="285">
        <f>'TABLEAU LOYERS'!F32</f>
        <v>0</v>
      </c>
      <c r="S7" s="286"/>
      <c r="U7" s="287" t="s">
        <v>174</v>
      </c>
    </row>
    <row r="8" spans="2:21" ht="15" customHeight="1" thickBot="1" x14ac:dyDescent="0.25">
      <c r="B8" s="476" t="s">
        <v>161</v>
      </c>
      <c r="C8" s="478" t="s">
        <v>3</v>
      </c>
      <c r="D8" s="478"/>
      <c r="E8" s="478"/>
      <c r="F8" s="479" t="s">
        <v>4</v>
      </c>
      <c r="G8" s="479"/>
      <c r="H8" s="468" t="s">
        <v>5</v>
      </c>
      <c r="I8" s="470" t="s">
        <v>6</v>
      </c>
      <c r="J8" s="468" t="s">
        <v>7</v>
      </c>
      <c r="K8" s="470" t="s">
        <v>8</v>
      </c>
      <c r="L8" s="472" t="s">
        <v>9</v>
      </c>
      <c r="M8" s="472"/>
      <c r="N8" s="472"/>
      <c r="O8" s="472"/>
      <c r="P8" s="472"/>
      <c r="Q8" s="473" t="s">
        <v>10</v>
      </c>
      <c r="R8" s="473"/>
      <c r="S8" s="279"/>
      <c r="U8" s="287" t="s">
        <v>173</v>
      </c>
    </row>
    <row r="9" spans="2:21" ht="44.25" customHeight="1" thickBot="1" x14ac:dyDescent="0.25">
      <c r="B9" s="477"/>
      <c r="C9" s="288" t="s">
        <v>11</v>
      </c>
      <c r="D9" s="289" t="s">
        <v>12</v>
      </c>
      <c r="E9" s="290" t="s">
        <v>13</v>
      </c>
      <c r="F9" s="480"/>
      <c r="G9" s="480"/>
      <c r="H9" s="469"/>
      <c r="I9" s="471"/>
      <c r="J9" s="469"/>
      <c r="K9" s="471"/>
      <c r="L9" s="291" t="s">
        <v>14</v>
      </c>
      <c r="M9" s="292" t="s">
        <v>15</v>
      </c>
      <c r="N9" s="292" t="s">
        <v>16</v>
      </c>
      <c r="O9" s="293" t="s">
        <v>17</v>
      </c>
      <c r="P9" s="294" t="s">
        <v>18</v>
      </c>
      <c r="Q9" s="295" t="s">
        <v>19</v>
      </c>
      <c r="R9" s="296" t="s">
        <v>20</v>
      </c>
      <c r="S9" s="279"/>
    </row>
    <row r="10" spans="2:21" ht="14.25" customHeight="1" x14ac:dyDescent="0.2">
      <c r="B10" s="474" t="s">
        <v>21</v>
      </c>
      <c r="C10" s="475"/>
      <c r="D10" s="459" t="str">
        <f>IFERROR(C10/$C$44*$D$55,"")</f>
        <v/>
      </c>
      <c r="E10" s="461" t="str">
        <f>IFERROR(C10+D10,"")</f>
        <v/>
      </c>
      <c r="F10" s="36">
        <v>0.5</v>
      </c>
      <c r="G10" s="297" t="str">
        <f>IFERROR(E10*F10,"")</f>
        <v/>
      </c>
      <c r="H10" s="298"/>
      <c r="I10" s="299" t="str">
        <f>IFERROR(G10-H10,"")</f>
        <v/>
      </c>
      <c r="J10" s="62">
        <v>0.7</v>
      </c>
      <c r="K10" s="300" t="str">
        <f>IFERROR(I10*J10,"")</f>
        <v/>
      </c>
      <c r="L10" s="46">
        <v>20</v>
      </c>
      <c r="M10" s="301">
        <f t="shared" ref="M10:M43" si="0">($P$7+0.5%)/2</f>
        <v>8.7500000000000008E-3</v>
      </c>
      <c r="N10" s="301">
        <f t="shared" ref="N10:N43" si="1">1/L10</f>
        <v>0.05</v>
      </c>
      <c r="O10" s="302">
        <v>1.4999999999999999E-2</v>
      </c>
      <c r="P10" s="303">
        <f t="shared" ref="P10:P43" si="2">SUM(M10:O10)</f>
        <v>7.375000000000001E-2</v>
      </c>
      <c r="Q10" s="304" t="str">
        <f>IFERROR(K10*P10,"")</f>
        <v/>
      </c>
      <c r="R10" s="305" t="str">
        <f>IFERROR(Q10/$R$7,"")</f>
        <v/>
      </c>
      <c r="S10" s="306"/>
    </row>
    <row r="11" spans="2:21" x14ac:dyDescent="0.2">
      <c r="B11" s="455"/>
      <c r="C11" s="446"/>
      <c r="D11" s="447"/>
      <c r="E11" s="448"/>
      <c r="F11" s="307">
        <f>1-F10</f>
        <v>0.5</v>
      </c>
      <c r="G11" s="308" t="str">
        <f>IFERROR(E10*F11,"")</f>
        <v/>
      </c>
      <c r="H11" s="44"/>
      <c r="I11" s="309" t="str">
        <f t="shared" ref="I11:I43" si="3">IFERROR(G11-H11,"")</f>
        <v/>
      </c>
      <c r="J11" s="310">
        <v>1</v>
      </c>
      <c r="K11" s="311" t="str">
        <f t="shared" ref="K11:K43" si="4">IFERROR(I11*J11,"")</f>
        <v/>
      </c>
      <c r="L11" s="47">
        <v>20</v>
      </c>
      <c r="M11" s="312">
        <f t="shared" si="0"/>
        <v>8.7500000000000008E-3</v>
      </c>
      <c r="N11" s="313">
        <f t="shared" si="1"/>
        <v>0.05</v>
      </c>
      <c r="O11" s="314">
        <f>(M11+N11)*0.1</f>
        <v>5.8750000000000009E-3</v>
      </c>
      <c r="P11" s="315">
        <f t="shared" si="2"/>
        <v>6.4625000000000002E-2</v>
      </c>
      <c r="Q11" s="316" t="str">
        <f t="shared" ref="Q11:Q43" si="5">IFERROR(K11*P11,"")</f>
        <v/>
      </c>
      <c r="R11" s="317" t="str">
        <f t="shared" ref="R11:R43" si="6">IFERROR(Q11/$R$7,"")</f>
        <v/>
      </c>
      <c r="S11" s="306"/>
    </row>
    <row r="12" spans="2:21" x14ac:dyDescent="0.2">
      <c r="B12" s="467" t="s">
        <v>22</v>
      </c>
      <c r="C12" s="446"/>
      <c r="D12" s="447" t="str">
        <f t="shared" ref="D12" si="7">IFERROR(C12/$C$44*$D$55,"")</f>
        <v/>
      </c>
      <c r="E12" s="448" t="str">
        <f t="shared" ref="E12" si="8">IFERROR(C12+D12,"")</f>
        <v/>
      </c>
      <c r="F12" s="37">
        <v>0.5</v>
      </c>
      <c r="G12" s="318" t="str">
        <f t="shared" ref="G12:G42" si="9">IFERROR(E12*F12,"")</f>
        <v/>
      </c>
      <c r="H12" s="319"/>
      <c r="I12" s="320" t="str">
        <f t="shared" si="3"/>
        <v/>
      </c>
      <c r="J12" s="52">
        <v>0.7</v>
      </c>
      <c r="K12" s="300" t="str">
        <f t="shared" si="4"/>
        <v/>
      </c>
      <c r="L12" s="48">
        <v>20</v>
      </c>
      <c r="M12" s="321">
        <f t="shared" si="0"/>
        <v>8.7500000000000008E-3</v>
      </c>
      <c r="N12" s="321">
        <f t="shared" si="1"/>
        <v>0.05</v>
      </c>
      <c r="O12" s="322">
        <v>1.4999999999999999E-2</v>
      </c>
      <c r="P12" s="323">
        <f t="shared" si="2"/>
        <v>7.375000000000001E-2</v>
      </c>
      <c r="Q12" s="324" t="str">
        <f t="shared" si="5"/>
        <v/>
      </c>
      <c r="R12" s="325" t="str">
        <f t="shared" si="6"/>
        <v/>
      </c>
      <c r="S12" s="306"/>
    </row>
    <row r="13" spans="2:21" x14ac:dyDescent="0.2">
      <c r="B13" s="467"/>
      <c r="C13" s="446"/>
      <c r="D13" s="447"/>
      <c r="E13" s="448"/>
      <c r="F13" s="307">
        <f>1-F12</f>
        <v>0.5</v>
      </c>
      <c r="G13" s="308" t="str">
        <f>IFERROR(E12*F13,"")</f>
        <v/>
      </c>
      <c r="H13" s="44"/>
      <c r="I13" s="309" t="str">
        <f t="shared" si="3"/>
        <v/>
      </c>
      <c r="J13" s="310">
        <v>1</v>
      </c>
      <c r="K13" s="311" t="str">
        <f t="shared" si="4"/>
        <v/>
      </c>
      <c r="L13" s="48">
        <v>30</v>
      </c>
      <c r="M13" s="312">
        <f t="shared" si="0"/>
        <v>8.7500000000000008E-3</v>
      </c>
      <c r="N13" s="313">
        <f t="shared" si="1"/>
        <v>3.3333333333333333E-2</v>
      </c>
      <c r="O13" s="314">
        <f>(M13+N13)*0.1</f>
        <v>4.2083333333333339E-3</v>
      </c>
      <c r="P13" s="315">
        <f t="shared" si="2"/>
        <v>4.6291666666666668E-2</v>
      </c>
      <c r="Q13" s="316" t="str">
        <f t="shared" si="5"/>
        <v/>
      </c>
      <c r="R13" s="317" t="str">
        <f t="shared" si="6"/>
        <v/>
      </c>
      <c r="S13" s="306"/>
    </row>
    <row r="14" spans="2:21" x14ac:dyDescent="0.2">
      <c r="B14" s="467" t="s">
        <v>23</v>
      </c>
      <c r="C14" s="446"/>
      <c r="D14" s="447" t="str">
        <f t="shared" ref="D14" si="10">IFERROR(C14/$C$44*$D$55,"")</f>
        <v/>
      </c>
      <c r="E14" s="448" t="str">
        <f t="shared" ref="E14" si="11">IFERROR(C14+D14,"")</f>
        <v/>
      </c>
      <c r="F14" s="37">
        <v>0.5</v>
      </c>
      <c r="G14" s="318" t="str">
        <f t="shared" si="9"/>
        <v/>
      </c>
      <c r="H14" s="319"/>
      <c r="I14" s="320" t="str">
        <f t="shared" si="3"/>
        <v/>
      </c>
      <c r="J14" s="52">
        <v>0.7</v>
      </c>
      <c r="K14" s="300" t="str">
        <f t="shared" si="4"/>
        <v/>
      </c>
      <c r="L14" s="48">
        <v>20</v>
      </c>
      <c r="M14" s="321">
        <f t="shared" si="0"/>
        <v>8.7500000000000008E-3</v>
      </c>
      <c r="N14" s="321">
        <f t="shared" si="1"/>
        <v>0.05</v>
      </c>
      <c r="O14" s="322">
        <v>1.4999999999999999E-2</v>
      </c>
      <c r="P14" s="323">
        <f t="shared" si="2"/>
        <v>7.375000000000001E-2</v>
      </c>
      <c r="Q14" s="324" t="str">
        <f t="shared" si="5"/>
        <v/>
      </c>
      <c r="R14" s="325" t="str">
        <f t="shared" si="6"/>
        <v/>
      </c>
      <c r="S14" s="306"/>
    </row>
    <row r="15" spans="2:21" x14ac:dyDescent="0.2">
      <c r="B15" s="467"/>
      <c r="C15" s="446"/>
      <c r="D15" s="447"/>
      <c r="E15" s="448"/>
      <c r="F15" s="307">
        <f>1-F14</f>
        <v>0.5</v>
      </c>
      <c r="G15" s="308" t="str">
        <f>IFERROR(E14*F15,"")</f>
        <v/>
      </c>
      <c r="H15" s="44"/>
      <c r="I15" s="309" t="str">
        <f t="shared" si="3"/>
        <v/>
      </c>
      <c r="J15" s="310">
        <v>1</v>
      </c>
      <c r="K15" s="311" t="str">
        <f t="shared" si="4"/>
        <v/>
      </c>
      <c r="L15" s="48">
        <v>30</v>
      </c>
      <c r="M15" s="312">
        <f t="shared" si="0"/>
        <v>8.7500000000000008E-3</v>
      </c>
      <c r="N15" s="313">
        <f t="shared" si="1"/>
        <v>3.3333333333333333E-2</v>
      </c>
      <c r="O15" s="314">
        <f>(M15+N15)*0.1</f>
        <v>4.2083333333333339E-3</v>
      </c>
      <c r="P15" s="315">
        <f t="shared" si="2"/>
        <v>4.6291666666666668E-2</v>
      </c>
      <c r="Q15" s="316" t="str">
        <f t="shared" si="5"/>
        <v/>
      </c>
      <c r="R15" s="317" t="str">
        <f t="shared" si="6"/>
        <v/>
      </c>
      <c r="S15" s="306"/>
    </row>
    <row r="16" spans="2:21" x14ac:dyDescent="0.2">
      <c r="B16" s="467" t="s">
        <v>24</v>
      </c>
      <c r="C16" s="446"/>
      <c r="D16" s="447" t="str">
        <f t="shared" ref="D16" si="12">IFERROR(C16/$C$44*$D$55,"")</f>
        <v/>
      </c>
      <c r="E16" s="448" t="str">
        <f t="shared" ref="E16" si="13">IFERROR(C16+D16,"")</f>
        <v/>
      </c>
      <c r="F16" s="37">
        <v>0.5</v>
      </c>
      <c r="G16" s="318" t="str">
        <f t="shared" si="9"/>
        <v/>
      </c>
      <c r="H16" s="319"/>
      <c r="I16" s="320" t="str">
        <f t="shared" si="3"/>
        <v/>
      </c>
      <c r="J16" s="52">
        <v>0.7</v>
      </c>
      <c r="K16" s="300" t="str">
        <f t="shared" si="4"/>
        <v/>
      </c>
      <c r="L16" s="48">
        <v>20</v>
      </c>
      <c r="M16" s="321">
        <f t="shared" si="0"/>
        <v>8.7500000000000008E-3</v>
      </c>
      <c r="N16" s="321">
        <f t="shared" si="1"/>
        <v>0.05</v>
      </c>
      <c r="O16" s="322">
        <v>1.4999999999999999E-2</v>
      </c>
      <c r="P16" s="323">
        <f t="shared" si="2"/>
        <v>7.375000000000001E-2</v>
      </c>
      <c r="Q16" s="324" t="str">
        <f t="shared" si="5"/>
        <v/>
      </c>
      <c r="R16" s="325" t="str">
        <f t="shared" si="6"/>
        <v/>
      </c>
      <c r="S16" s="306"/>
    </row>
    <row r="17" spans="2:19" x14ac:dyDescent="0.2">
      <c r="B17" s="467"/>
      <c r="C17" s="446"/>
      <c r="D17" s="447"/>
      <c r="E17" s="448"/>
      <c r="F17" s="307">
        <f>1-F16</f>
        <v>0.5</v>
      </c>
      <c r="G17" s="308" t="str">
        <f>IFERROR(E16*F17,"")</f>
        <v/>
      </c>
      <c r="H17" s="44"/>
      <c r="I17" s="309" t="str">
        <f t="shared" si="3"/>
        <v/>
      </c>
      <c r="J17" s="310">
        <v>1</v>
      </c>
      <c r="K17" s="311" t="str">
        <f t="shared" si="4"/>
        <v/>
      </c>
      <c r="L17" s="48">
        <v>30</v>
      </c>
      <c r="M17" s="312">
        <f t="shared" si="0"/>
        <v>8.7500000000000008E-3</v>
      </c>
      <c r="N17" s="313">
        <f t="shared" si="1"/>
        <v>3.3333333333333333E-2</v>
      </c>
      <c r="O17" s="314">
        <f>(M17+N17)*0.1</f>
        <v>4.2083333333333339E-3</v>
      </c>
      <c r="P17" s="315">
        <f t="shared" si="2"/>
        <v>4.6291666666666668E-2</v>
      </c>
      <c r="Q17" s="316" t="str">
        <f t="shared" si="5"/>
        <v/>
      </c>
      <c r="R17" s="317" t="str">
        <f t="shared" si="6"/>
        <v/>
      </c>
      <c r="S17" s="306"/>
    </row>
    <row r="18" spans="2:19" x14ac:dyDescent="0.2">
      <c r="B18" s="467" t="s">
        <v>187</v>
      </c>
      <c r="C18" s="446"/>
      <c r="D18" s="447" t="str">
        <f t="shared" ref="D18" si="14">IFERROR(C18/$C$44*$D$55,"")</f>
        <v/>
      </c>
      <c r="E18" s="448" t="str">
        <f t="shared" ref="E18" si="15">IFERROR(C18+D18,"")</f>
        <v/>
      </c>
      <c r="F18" s="37">
        <v>0.5</v>
      </c>
      <c r="G18" s="318" t="str">
        <f t="shared" si="9"/>
        <v/>
      </c>
      <c r="H18" s="319"/>
      <c r="I18" s="320" t="str">
        <f t="shared" si="3"/>
        <v/>
      </c>
      <c r="J18" s="52">
        <v>0.7</v>
      </c>
      <c r="K18" s="300" t="str">
        <f t="shared" si="4"/>
        <v/>
      </c>
      <c r="L18" s="48">
        <v>20</v>
      </c>
      <c r="M18" s="321">
        <f t="shared" si="0"/>
        <v>8.7500000000000008E-3</v>
      </c>
      <c r="N18" s="321">
        <f t="shared" si="1"/>
        <v>0.05</v>
      </c>
      <c r="O18" s="322">
        <v>1.4999999999999999E-2</v>
      </c>
      <c r="P18" s="323">
        <f t="shared" si="2"/>
        <v>7.375000000000001E-2</v>
      </c>
      <c r="Q18" s="324" t="str">
        <f t="shared" si="5"/>
        <v/>
      </c>
      <c r="R18" s="325" t="str">
        <f t="shared" si="6"/>
        <v/>
      </c>
      <c r="S18" s="306"/>
    </row>
    <row r="19" spans="2:19" ht="14.25" customHeight="1" x14ac:dyDescent="0.2">
      <c r="B19" s="467"/>
      <c r="C19" s="446"/>
      <c r="D19" s="447"/>
      <c r="E19" s="448"/>
      <c r="F19" s="307">
        <f>1-F18</f>
        <v>0.5</v>
      </c>
      <c r="G19" s="308" t="str">
        <f>IFERROR(E18*F19,"")</f>
        <v/>
      </c>
      <c r="H19" s="44"/>
      <c r="I19" s="309" t="str">
        <f t="shared" si="3"/>
        <v/>
      </c>
      <c r="J19" s="310">
        <v>1</v>
      </c>
      <c r="K19" s="311" t="str">
        <f t="shared" si="4"/>
        <v/>
      </c>
      <c r="L19" s="48">
        <v>25</v>
      </c>
      <c r="M19" s="312">
        <f t="shared" si="0"/>
        <v>8.7500000000000008E-3</v>
      </c>
      <c r="N19" s="313">
        <f t="shared" si="1"/>
        <v>0.04</v>
      </c>
      <c r="O19" s="314">
        <f>(M19+N19)*0.1</f>
        <v>4.8750000000000009E-3</v>
      </c>
      <c r="P19" s="315">
        <f t="shared" si="2"/>
        <v>5.3625000000000006E-2</v>
      </c>
      <c r="Q19" s="316" t="str">
        <f t="shared" si="5"/>
        <v/>
      </c>
      <c r="R19" s="317" t="str">
        <f t="shared" si="6"/>
        <v/>
      </c>
      <c r="S19" s="306"/>
    </row>
    <row r="20" spans="2:19" ht="14.25" customHeight="1" x14ac:dyDescent="0.2">
      <c r="B20" s="467" t="s">
        <v>167</v>
      </c>
      <c r="C20" s="446"/>
      <c r="D20" s="447" t="str">
        <f t="shared" ref="D20" si="16">IFERROR(C20/$C$44*$D$55,"")</f>
        <v/>
      </c>
      <c r="E20" s="448" t="str">
        <f t="shared" ref="E20" si="17">IFERROR(C20+D20,"")</f>
        <v/>
      </c>
      <c r="F20" s="37">
        <v>1</v>
      </c>
      <c r="G20" s="318" t="str">
        <f t="shared" si="9"/>
        <v/>
      </c>
      <c r="H20" s="319"/>
      <c r="I20" s="320" t="str">
        <f t="shared" si="3"/>
        <v/>
      </c>
      <c r="J20" s="52">
        <v>0.7</v>
      </c>
      <c r="K20" s="300" t="str">
        <f t="shared" si="4"/>
        <v/>
      </c>
      <c r="L20" s="48">
        <v>20</v>
      </c>
      <c r="M20" s="321">
        <f t="shared" si="0"/>
        <v>8.7500000000000008E-3</v>
      </c>
      <c r="N20" s="321">
        <f t="shared" si="1"/>
        <v>0.05</v>
      </c>
      <c r="O20" s="322">
        <v>1.4999999999999999E-2</v>
      </c>
      <c r="P20" s="323">
        <f t="shared" si="2"/>
        <v>7.375000000000001E-2</v>
      </c>
      <c r="Q20" s="324" t="str">
        <f t="shared" si="5"/>
        <v/>
      </c>
      <c r="R20" s="325" t="str">
        <f t="shared" si="6"/>
        <v/>
      </c>
      <c r="S20" s="306"/>
    </row>
    <row r="21" spans="2:19" x14ac:dyDescent="0.2">
      <c r="B21" s="467"/>
      <c r="C21" s="446"/>
      <c r="D21" s="447"/>
      <c r="E21" s="448"/>
      <c r="F21" s="307">
        <f>1-F20</f>
        <v>0</v>
      </c>
      <c r="G21" s="308" t="str">
        <f>IFERROR(E20*F21,"")</f>
        <v/>
      </c>
      <c r="H21" s="44"/>
      <c r="I21" s="309" t="str">
        <f t="shared" si="3"/>
        <v/>
      </c>
      <c r="J21" s="310">
        <v>1</v>
      </c>
      <c r="K21" s="311" t="str">
        <f t="shared" si="4"/>
        <v/>
      </c>
      <c r="L21" s="48">
        <v>20</v>
      </c>
      <c r="M21" s="312">
        <f t="shared" si="0"/>
        <v>8.7500000000000008E-3</v>
      </c>
      <c r="N21" s="313">
        <f t="shared" si="1"/>
        <v>0.05</v>
      </c>
      <c r="O21" s="314">
        <f>(M21+N21)*0.1</f>
        <v>5.8750000000000009E-3</v>
      </c>
      <c r="P21" s="315">
        <f t="shared" si="2"/>
        <v>6.4625000000000002E-2</v>
      </c>
      <c r="Q21" s="316" t="str">
        <f t="shared" si="5"/>
        <v/>
      </c>
      <c r="R21" s="317" t="str">
        <f t="shared" si="6"/>
        <v/>
      </c>
      <c r="S21" s="306"/>
    </row>
    <row r="22" spans="2:19" x14ac:dyDescent="0.2">
      <c r="B22" s="467" t="s">
        <v>166</v>
      </c>
      <c r="C22" s="446"/>
      <c r="D22" s="447" t="str">
        <f t="shared" ref="D22" si="18">IFERROR(C22/$C$44*$D$55,"")</f>
        <v/>
      </c>
      <c r="E22" s="448" t="str">
        <f t="shared" ref="E22" si="19">IFERROR(C22+D22,"")</f>
        <v/>
      </c>
      <c r="F22" s="37">
        <v>0.5</v>
      </c>
      <c r="G22" s="318" t="str">
        <f t="shared" si="9"/>
        <v/>
      </c>
      <c r="H22" s="319"/>
      <c r="I22" s="320" t="str">
        <f t="shared" si="3"/>
        <v/>
      </c>
      <c r="J22" s="52">
        <v>0.7</v>
      </c>
      <c r="K22" s="300" t="str">
        <f t="shared" si="4"/>
        <v/>
      </c>
      <c r="L22" s="48">
        <v>20</v>
      </c>
      <c r="M22" s="321">
        <f t="shared" si="0"/>
        <v>8.7500000000000008E-3</v>
      </c>
      <c r="N22" s="321">
        <f t="shared" si="1"/>
        <v>0.05</v>
      </c>
      <c r="O22" s="322">
        <v>1.4999999999999999E-2</v>
      </c>
      <c r="P22" s="323">
        <f t="shared" si="2"/>
        <v>7.375000000000001E-2</v>
      </c>
      <c r="Q22" s="324" t="str">
        <f t="shared" si="5"/>
        <v/>
      </c>
      <c r="R22" s="325" t="str">
        <f t="shared" si="6"/>
        <v/>
      </c>
      <c r="S22" s="306"/>
    </row>
    <row r="23" spans="2:19" x14ac:dyDescent="0.2">
      <c r="B23" s="467"/>
      <c r="C23" s="446"/>
      <c r="D23" s="447"/>
      <c r="E23" s="448"/>
      <c r="F23" s="307">
        <f>1-F22</f>
        <v>0.5</v>
      </c>
      <c r="G23" s="308" t="str">
        <f>IFERROR(E22*F23,"")</f>
        <v/>
      </c>
      <c r="H23" s="44"/>
      <c r="I23" s="309" t="str">
        <f t="shared" si="3"/>
        <v/>
      </c>
      <c r="J23" s="310">
        <v>1</v>
      </c>
      <c r="K23" s="311" t="str">
        <f t="shared" si="4"/>
        <v/>
      </c>
      <c r="L23" s="48">
        <v>20</v>
      </c>
      <c r="M23" s="312">
        <f t="shared" si="0"/>
        <v>8.7500000000000008E-3</v>
      </c>
      <c r="N23" s="313">
        <f t="shared" si="1"/>
        <v>0.05</v>
      </c>
      <c r="O23" s="314">
        <f>(M23+N23)*0.1</f>
        <v>5.8750000000000009E-3</v>
      </c>
      <c r="P23" s="315">
        <f t="shared" si="2"/>
        <v>6.4625000000000002E-2</v>
      </c>
      <c r="Q23" s="316" t="str">
        <f t="shared" si="5"/>
        <v/>
      </c>
      <c r="R23" s="317" t="str">
        <f t="shared" si="6"/>
        <v/>
      </c>
      <c r="S23" s="306"/>
    </row>
    <row r="24" spans="2:19" x14ac:dyDescent="0.2">
      <c r="B24" s="467" t="s">
        <v>25</v>
      </c>
      <c r="C24" s="446"/>
      <c r="D24" s="447" t="str">
        <f t="shared" ref="D24" si="20">IFERROR(C24/$C$44*$D$55,"")</f>
        <v/>
      </c>
      <c r="E24" s="448" t="str">
        <f t="shared" ref="E24" si="21">IFERROR(C24+D24,"")</f>
        <v/>
      </c>
      <c r="F24" s="37">
        <v>0.5</v>
      </c>
      <c r="G24" s="318" t="str">
        <f t="shared" si="9"/>
        <v/>
      </c>
      <c r="H24" s="319"/>
      <c r="I24" s="320" t="str">
        <f t="shared" si="3"/>
        <v/>
      </c>
      <c r="J24" s="52">
        <v>0.7</v>
      </c>
      <c r="K24" s="300" t="str">
        <f t="shared" si="4"/>
        <v/>
      </c>
      <c r="L24" s="48">
        <v>20</v>
      </c>
      <c r="M24" s="321">
        <f t="shared" si="0"/>
        <v>8.7500000000000008E-3</v>
      </c>
      <c r="N24" s="321">
        <f t="shared" si="1"/>
        <v>0.05</v>
      </c>
      <c r="O24" s="322">
        <v>1.4999999999999999E-2</v>
      </c>
      <c r="P24" s="323">
        <f t="shared" si="2"/>
        <v>7.375000000000001E-2</v>
      </c>
      <c r="Q24" s="324" t="str">
        <f t="shared" si="5"/>
        <v/>
      </c>
      <c r="R24" s="325" t="str">
        <f t="shared" si="6"/>
        <v/>
      </c>
      <c r="S24" s="306"/>
    </row>
    <row r="25" spans="2:19" x14ac:dyDescent="0.2">
      <c r="B25" s="467"/>
      <c r="C25" s="446"/>
      <c r="D25" s="447"/>
      <c r="E25" s="448"/>
      <c r="F25" s="307">
        <f>1-F24</f>
        <v>0.5</v>
      </c>
      <c r="G25" s="308" t="str">
        <f>IFERROR(E24*F25,"")</f>
        <v/>
      </c>
      <c r="H25" s="44"/>
      <c r="I25" s="309" t="str">
        <f t="shared" si="3"/>
        <v/>
      </c>
      <c r="J25" s="310">
        <v>1</v>
      </c>
      <c r="K25" s="311" t="str">
        <f t="shared" si="4"/>
        <v/>
      </c>
      <c r="L25" s="48">
        <v>25</v>
      </c>
      <c r="M25" s="312">
        <f t="shared" si="0"/>
        <v>8.7500000000000008E-3</v>
      </c>
      <c r="N25" s="313">
        <f t="shared" si="1"/>
        <v>0.04</v>
      </c>
      <c r="O25" s="314">
        <f>(M25+N25)*0.1</f>
        <v>4.8750000000000009E-3</v>
      </c>
      <c r="P25" s="315">
        <f t="shared" si="2"/>
        <v>5.3625000000000006E-2</v>
      </c>
      <c r="Q25" s="316" t="str">
        <f t="shared" si="5"/>
        <v/>
      </c>
      <c r="R25" s="317" t="str">
        <f t="shared" si="6"/>
        <v/>
      </c>
      <c r="S25" s="306"/>
    </row>
    <row r="26" spans="2:19" ht="14.25" customHeight="1" x14ac:dyDescent="0.2">
      <c r="B26" s="454" t="s">
        <v>26</v>
      </c>
      <c r="C26" s="456"/>
      <c r="D26" s="458" t="str">
        <f t="shared" ref="D26" si="22">IFERROR(C26/$C$44*$D$55,"")</f>
        <v/>
      </c>
      <c r="E26" s="460" t="str">
        <f t="shared" ref="E26" si="23">IFERROR(C26+D26,"")</f>
        <v/>
      </c>
      <c r="F26" s="37">
        <v>0.5</v>
      </c>
      <c r="G26" s="318" t="str">
        <f t="shared" si="9"/>
        <v/>
      </c>
      <c r="H26" s="319"/>
      <c r="I26" s="320" t="str">
        <f t="shared" si="3"/>
        <v/>
      </c>
      <c r="J26" s="52">
        <v>0.7</v>
      </c>
      <c r="K26" s="300" t="str">
        <f t="shared" si="4"/>
        <v/>
      </c>
      <c r="L26" s="48">
        <v>20</v>
      </c>
      <c r="M26" s="321">
        <f t="shared" si="0"/>
        <v>8.7500000000000008E-3</v>
      </c>
      <c r="N26" s="321">
        <f t="shared" si="1"/>
        <v>0.05</v>
      </c>
      <c r="O26" s="322">
        <v>1.4999999999999999E-2</v>
      </c>
      <c r="P26" s="323">
        <f t="shared" si="2"/>
        <v>7.375000000000001E-2</v>
      </c>
      <c r="Q26" s="324" t="str">
        <f t="shared" si="5"/>
        <v/>
      </c>
      <c r="R26" s="325" t="str">
        <f t="shared" si="6"/>
        <v/>
      </c>
      <c r="S26" s="306"/>
    </row>
    <row r="27" spans="2:19" x14ac:dyDescent="0.2">
      <c r="B27" s="455"/>
      <c r="C27" s="457"/>
      <c r="D27" s="459"/>
      <c r="E27" s="461"/>
      <c r="F27" s="307">
        <f>1-F26</f>
        <v>0.5</v>
      </c>
      <c r="G27" s="308" t="str">
        <f>IFERROR(E26*F27,"")</f>
        <v/>
      </c>
      <c r="H27" s="44"/>
      <c r="I27" s="326" t="str">
        <f t="shared" si="3"/>
        <v/>
      </c>
      <c r="J27" s="310">
        <v>1</v>
      </c>
      <c r="K27" s="327" t="str">
        <f t="shared" si="4"/>
        <v/>
      </c>
      <c r="L27" s="48">
        <v>20</v>
      </c>
      <c r="M27" s="328">
        <f t="shared" si="0"/>
        <v>8.7500000000000008E-3</v>
      </c>
      <c r="N27" s="328">
        <f t="shared" si="1"/>
        <v>0.05</v>
      </c>
      <c r="O27" s="314">
        <f>(M27+N27)*0.1</f>
        <v>5.8750000000000009E-3</v>
      </c>
      <c r="P27" s="329">
        <f t="shared" si="2"/>
        <v>6.4625000000000002E-2</v>
      </c>
      <c r="Q27" s="330" t="str">
        <f t="shared" si="5"/>
        <v/>
      </c>
      <c r="R27" s="331" t="str">
        <f t="shared" si="6"/>
        <v/>
      </c>
      <c r="S27" s="306"/>
    </row>
    <row r="28" spans="2:19" x14ac:dyDescent="0.2">
      <c r="B28" s="454" t="s">
        <v>27</v>
      </c>
      <c r="C28" s="456"/>
      <c r="D28" s="458" t="str">
        <f t="shared" ref="D28" si="24">IFERROR(C28/$C$44*$D$55,"")</f>
        <v/>
      </c>
      <c r="E28" s="460" t="str">
        <f t="shared" ref="E28" si="25">IFERROR(C28+D28,"")</f>
        <v/>
      </c>
      <c r="F28" s="37">
        <v>0</v>
      </c>
      <c r="G28" s="318" t="str">
        <f t="shared" si="9"/>
        <v/>
      </c>
      <c r="H28" s="319"/>
      <c r="I28" s="320" t="str">
        <f t="shared" si="3"/>
        <v/>
      </c>
      <c r="J28" s="52">
        <v>0.7</v>
      </c>
      <c r="K28" s="300" t="str">
        <f t="shared" si="4"/>
        <v/>
      </c>
      <c r="L28" s="48">
        <v>20</v>
      </c>
      <c r="M28" s="321">
        <f t="shared" si="0"/>
        <v>8.7500000000000008E-3</v>
      </c>
      <c r="N28" s="321">
        <f t="shared" si="1"/>
        <v>0.05</v>
      </c>
      <c r="O28" s="322">
        <v>1.4999999999999999E-2</v>
      </c>
      <c r="P28" s="323">
        <f t="shared" si="2"/>
        <v>7.375000000000001E-2</v>
      </c>
      <c r="Q28" s="324" t="str">
        <f t="shared" si="5"/>
        <v/>
      </c>
      <c r="R28" s="325" t="str">
        <f t="shared" si="6"/>
        <v/>
      </c>
      <c r="S28" s="306"/>
    </row>
    <row r="29" spans="2:19" x14ac:dyDescent="0.2">
      <c r="B29" s="455"/>
      <c r="C29" s="457"/>
      <c r="D29" s="459"/>
      <c r="E29" s="461"/>
      <c r="F29" s="307">
        <f>1-F28</f>
        <v>1</v>
      </c>
      <c r="G29" s="308" t="str">
        <f>IFERROR(E28*F29,"")</f>
        <v/>
      </c>
      <c r="H29" s="44"/>
      <c r="I29" s="326" t="str">
        <f t="shared" si="3"/>
        <v/>
      </c>
      <c r="J29" s="310">
        <v>1</v>
      </c>
      <c r="K29" s="327" t="str">
        <f t="shared" si="4"/>
        <v/>
      </c>
      <c r="L29" s="48">
        <v>20</v>
      </c>
      <c r="M29" s="328">
        <f t="shared" si="0"/>
        <v>8.7500000000000008E-3</v>
      </c>
      <c r="N29" s="328">
        <f t="shared" si="1"/>
        <v>0.05</v>
      </c>
      <c r="O29" s="314">
        <f>(M29+N29)*0.1</f>
        <v>5.8750000000000009E-3</v>
      </c>
      <c r="P29" s="329">
        <f t="shared" si="2"/>
        <v>6.4625000000000002E-2</v>
      </c>
      <c r="Q29" s="330" t="str">
        <f t="shared" si="5"/>
        <v/>
      </c>
      <c r="R29" s="331" t="str">
        <f t="shared" si="6"/>
        <v/>
      </c>
      <c r="S29" s="306"/>
    </row>
    <row r="30" spans="2:19" x14ac:dyDescent="0.2">
      <c r="B30" s="454" t="s">
        <v>28</v>
      </c>
      <c r="C30" s="456"/>
      <c r="D30" s="458" t="str">
        <f t="shared" ref="D30" si="26">IFERROR(C30/$C$44*$D$55,"")</f>
        <v/>
      </c>
      <c r="E30" s="460" t="str">
        <f t="shared" ref="E30" si="27">IFERROR(C30+D30,"")</f>
        <v/>
      </c>
      <c r="F30" s="37">
        <v>0</v>
      </c>
      <c r="G30" s="318" t="str">
        <f t="shared" si="9"/>
        <v/>
      </c>
      <c r="H30" s="319"/>
      <c r="I30" s="320" t="str">
        <f t="shared" si="3"/>
        <v/>
      </c>
      <c r="J30" s="52">
        <v>0.7</v>
      </c>
      <c r="K30" s="300" t="str">
        <f t="shared" si="4"/>
        <v/>
      </c>
      <c r="L30" s="48">
        <v>20</v>
      </c>
      <c r="M30" s="321">
        <f t="shared" si="0"/>
        <v>8.7500000000000008E-3</v>
      </c>
      <c r="N30" s="321">
        <f t="shared" si="1"/>
        <v>0.05</v>
      </c>
      <c r="O30" s="322">
        <v>1.4999999999999999E-2</v>
      </c>
      <c r="P30" s="323">
        <f t="shared" si="2"/>
        <v>7.375000000000001E-2</v>
      </c>
      <c r="Q30" s="324" t="str">
        <f t="shared" si="5"/>
        <v/>
      </c>
      <c r="R30" s="325" t="str">
        <f t="shared" si="6"/>
        <v/>
      </c>
      <c r="S30" s="306"/>
    </row>
    <row r="31" spans="2:19" x14ac:dyDescent="0.2">
      <c r="B31" s="455"/>
      <c r="C31" s="457"/>
      <c r="D31" s="459"/>
      <c r="E31" s="461"/>
      <c r="F31" s="307">
        <f>1-F30</f>
        <v>1</v>
      </c>
      <c r="G31" s="308" t="str">
        <f>IFERROR(E30*F31,"")</f>
        <v/>
      </c>
      <c r="H31" s="44"/>
      <c r="I31" s="326" t="str">
        <f t="shared" si="3"/>
        <v/>
      </c>
      <c r="J31" s="310">
        <v>1</v>
      </c>
      <c r="K31" s="327" t="str">
        <f t="shared" si="4"/>
        <v/>
      </c>
      <c r="L31" s="48">
        <v>20</v>
      </c>
      <c r="M31" s="328">
        <f t="shared" si="0"/>
        <v>8.7500000000000008E-3</v>
      </c>
      <c r="N31" s="328">
        <f t="shared" si="1"/>
        <v>0.05</v>
      </c>
      <c r="O31" s="314">
        <f>(M31+N31)*0.1</f>
        <v>5.8750000000000009E-3</v>
      </c>
      <c r="P31" s="329">
        <f t="shared" si="2"/>
        <v>6.4625000000000002E-2</v>
      </c>
      <c r="Q31" s="330" t="str">
        <f t="shared" si="5"/>
        <v/>
      </c>
      <c r="R31" s="331" t="str">
        <f t="shared" si="6"/>
        <v/>
      </c>
      <c r="S31" s="306"/>
    </row>
    <row r="32" spans="2:19" x14ac:dyDescent="0.2">
      <c r="B32" s="454" t="s">
        <v>29</v>
      </c>
      <c r="C32" s="456"/>
      <c r="D32" s="458" t="str">
        <f t="shared" ref="D32" si="28">IFERROR(C32/$C$44*$D$55,"")</f>
        <v/>
      </c>
      <c r="E32" s="460" t="str">
        <f t="shared" ref="E32" si="29">IFERROR(C32+D32,"")</f>
        <v/>
      </c>
      <c r="F32" s="37">
        <v>0.5</v>
      </c>
      <c r="G32" s="318" t="str">
        <f t="shared" si="9"/>
        <v/>
      </c>
      <c r="H32" s="319"/>
      <c r="I32" s="332" t="str">
        <f t="shared" si="3"/>
        <v/>
      </c>
      <c r="J32" s="52">
        <v>0.7</v>
      </c>
      <c r="K32" s="333" t="str">
        <f t="shared" si="4"/>
        <v/>
      </c>
      <c r="L32" s="48">
        <v>20</v>
      </c>
      <c r="M32" s="321">
        <f t="shared" si="0"/>
        <v>8.7500000000000008E-3</v>
      </c>
      <c r="N32" s="321">
        <f t="shared" si="1"/>
        <v>0.05</v>
      </c>
      <c r="O32" s="322">
        <v>1.4999999999999999E-2</v>
      </c>
      <c r="P32" s="323">
        <f t="shared" si="2"/>
        <v>7.375000000000001E-2</v>
      </c>
      <c r="Q32" s="319" t="str">
        <f t="shared" si="5"/>
        <v/>
      </c>
      <c r="R32" s="334" t="str">
        <f t="shared" si="6"/>
        <v/>
      </c>
      <c r="S32" s="306"/>
    </row>
    <row r="33" spans="2:21" x14ac:dyDescent="0.2">
      <c r="B33" s="455"/>
      <c r="C33" s="457"/>
      <c r="D33" s="459"/>
      <c r="E33" s="461"/>
      <c r="F33" s="307">
        <f>1-F32</f>
        <v>0.5</v>
      </c>
      <c r="G33" s="308" t="str">
        <f>IFERROR(E32*F33,"")</f>
        <v/>
      </c>
      <c r="H33" s="44"/>
      <c r="I33" s="326" t="str">
        <f t="shared" si="3"/>
        <v/>
      </c>
      <c r="J33" s="310">
        <v>1</v>
      </c>
      <c r="K33" s="327" t="str">
        <f t="shared" si="4"/>
        <v/>
      </c>
      <c r="L33" s="48">
        <v>20</v>
      </c>
      <c r="M33" s="328">
        <f t="shared" si="0"/>
        <v>8.7500000000000008E-3</v>
      </c>
      <c r="N33" s="328">
        <f t="shared" si="1"/>
        <v>0.05</v>
      </c>
      <c r="O33" s="314">
        <f>(M33+N33)*0.1</f>
        <v>5.8750000000000009E-3</v>
      </c>
      <c r="P33" s="329">
        <f t="shared" si="2"/>
        <v>6.4625000000000002E-2</v>
      </c>
      <c r="Q33" s="330" t="str">
        <f t="shared" si="5"/>
        <v/>
      </c>
      <c r="R33" s="331" t="str">
        <f t="shared" si="6"/>
        <v/>
      </c>
      <c r="S33" s="306"/>
    </row>
    <row r="34" spans="2:21" x14ac:dyDescent="0.2">
      <c r="B34" s="454" t="s">
        <v>30</v>
      </c>
      <c r="C34" s="456"/>
      <c r="D34" s="458" t="str">
        <f t="shared" ref="D34" si="30">IFERROR(C34/$C$44*$D$55,"")</f>
        <v/>
      </c>
      <c r="E34" s="460" t="str">
        <f t="shared" ref="E34" si="31">IFERROR(C34+D34,"")</f>
        <v/>
      </c>
      <c r="F34" s="37">
        <v>1</v>
      </c>
      <c r="G34" s="318" t="str">
        <f t="shared" si="9"/>
        <v/>
      </c>
      <c r="H34" s="319"/>
      <c r="I34" s="332" t="str">
        <f t="shared" si="3"/>
        <v/>
      </c>
      <c r="J34" s="52">
        <v>0.7</v>
      </c>
      <c r="K34" s="333" t="str">
        <f t="shared" si="4"/>
        <v/>
      </c>
      <c r="L34" s="48">
        <v>20</v>
      </c>
      <c r="M34" s="321">
        <f t="shared" si="0"/>
        <v>8.7500000000000008E-3</v>
      </c>
      <c r="N34" s="321">
        <f t="shared" si="1"/>
        <v>0.05</v>
      </c>
      <c r="O34" s="322">
        <v>1.4999999999999999E-2</v>
      </c>
      <c r="P34" s="323">
        <f t="shared" si="2"/>
        <v>7.375000000000001E-2</v>
      </c>
      <c r="Q34" s="319" t="str">
        <f t="shared" si="5"/>
        <v/>
      </c>
      <c r="R34" s="334" t="str">
        <f t="shared" si="6"/>
        <v/>
      </c>
      <c r="S34" s="306"/>
    </row>
    <row r="35" spans="2:21" x14ac:dyDescent="0.2">
      <c r="B35" s="455"/>
      <c r="C35" s="457"/>
      <c r="D35" s="459"/>
      <c r="E35" s="461"/>
      <c r="F35" s="307">
        <f>1-F34</f>
        <v>0</v>
      </c>
      <c r="G35" s="308" t="str">
        <f>IFERROR(E34*F35,"")</f>
        <v/>
      </c>
      <c r="H35" s="44"/>
      <c r="I35" s="326" t="str">
        <f t="shared" si="3"/>
        <v/>
      </c>
      <c r="J35" s="310">
        <v>1</v>
      </c>
      <c r="K35" s="327" t="str">
        <f t="shared" si="4"/>
        <v/>
      </c>
      <c r="L35" s="48">
        <v>20</v>
      </c>
      <c r="M35" s="328">
        <f t="shared" si="0"/>
        <v>8.7500000000000008E-3</v>
      </c>
      <c r="N35" s="328">
        <f t="shared" si="1"/>
        <v>0.05</v>
      </c>
      <c r="O35" s="314">
        <f>(M35+N35)*0.1</f>
        <v>5.8750000000000009E-3</v>
      </c>
      <c r="P35" s="329">
        <f t="shared" si="2"/>
        <v>6.4625000000000002E-2</v>
      </c>
      <c r="Q35" s="330" t="str">
        <f t="shared" si="5"/>
        <v/>
      </c>
      <c r="R35" s="331" t="str">
        <f t="shared" si="6"/>
        <v/>
      </c>
      <c r="S35" s="306"/>
    </row>
    <row r="36" spans="2:21" x14ac:dyDescent="0.2">
      <c r="B36" s="454" t="s">
        <v>31</v>
      </c>
      <c r="C36" s="456"/>
      <c r="D36" s="458" t="str">
        <f t="shared" ref="D36" si="32">IFERROR(C36/$C$44*$D$55,"")</f>
        <v/>
      </c>
      <c r="E36" s="460" t="str">
        <f t="shared" ref="E36" si="33">IFERROR(C36+D36,"")</f>
        <v/>
      </c>
      <c r="F36" s="37">
        <v>1</v>
      </c>
      <c r="G36" s="318" t="str">
        <f t="shared" si="9"/>
        <v/>
      </c>
      <c r="H36" s="319"/>
      <c r="I36" s="332" t="str">
        <f t="shared" si="3"/>
        <v/>
      </c>
      <c r="J36" s="52">
        <v>0.7</v>
      </c>
      <c r="K36" s="333" t="str">
        <f t="shared" si="4"/>
        <v/>
      </c>
      <c r="L36" s="48">
        <v>20</v>
      </c>
      <c r="M36" s="321">
        <f t="shared" si="0"/>
        <v>8.7500000000000008E-3</v>
      </c>
      <c r="N36" s="321">
        <f t="shared" si="1"/>
        <v>0.05</v>
      </c>
      <c r="O36" s="322">
        <v>1.4999999999999999E-2</v>
      </c>
      <c r="P36" s="323">
        <f t="shared" si="2"/>
        <v>7.375000000000001E-2</v>
      </c>
      <c r="Q36" s="319" t="str">
        <f t="shared" si="5"/>
        <v/>
      </c>
      <c r="R36" s="334" t="str">
        <f t="shared" si="6"/>
        <v/>
      </c>
      <c r="S36" s="306"/>
    </row>
    <row r="37" spans="2:21" x14ac:dyDescent="0.2">
      <c r="B37" s="455"/>
      <c r="C37" s="457"/>
      <c r="D37" s="459"/>
      <c r="E37" s="461"/>
      <c r="F37" s="307">
        <f>1-F36</f>
        <v>0</v>
      </c>
      <c r="G37" s="308" t="str">
        <f>IFERROR(E36*F37,"")</f>
        <v/>
      </c>
      <c r="H37" s="44"/>
      <c r="I37" s="326" t="str">
        <f t="shared" si="3"/>
        <v/>
      </c>
      <c r="J37" s="310">
        <v>1</v>
      </c>
      <c r="K37" s="327" t="str">
        <f t="shared" si="4"/>
        <v/>
      </c>
      <c r="L37" s="48">
        <v>25</v>
      </c>
      <c r="M37" s="328">
        <f t="shared" si="0"/>
        <v>8.7500000000000008E-3</v>
      </c>
      <c r="N37" s="328">
        <f t="shared" si="1"/>
        <v>0.04</v>
      </c>
      <c r="O37" s="314">
        <f>(M37+N37)*0.1</f>
        <v>4.8750000000000009E-3</v>
      </c>
      <c r="P37" s="329">
        <f t="shared" si="2"/>
        <v>5.3625000000000006E-2</v>
      </c>
      <c r="Q37" s="330" t="str">
        <f t="shared" si="5"/>
        <v/>
      </c>
      <c r="R37" s="331" t="str">
        <f t="shared" si="6"/>
        <v/>
      </c>
      <c r="S37" s="306"/>
    </row>
    <row r="38" spans="2:21" x14ac:dyDescent="0.2">
      <c r="B38" s="462" t="s">
        <v>168</v>
      </c>
      <c r="C38" s="464"/>
      <c r="D38" s="465" t="str">
        <f t="shared" ref="D38" si="34">IFERROR(C38/$C$44*$D$55,"")</f>
        <v/>
      </c>
      <c r="E38" s="466" t="str">
        <f t="shared" ref="E38" si="35">IFERROR(C38+D38,"")</f>
        <v/>
      </c>
      <c r="F38" s="37">
        <v>0</v>
      </c>
      <c r="G38" s="318" t="str">
        <f t="shared" si="9"/>
        <v/>
      </c>
      <c r="H38" s="319"/>
      <c r="I38" s="320" t="str">
        <f t="shared" si="3"/>
        <v/>
      </c>
      <c r="J38" s="52">
        <v>0.7</v>
      </c>
      <c r="K38" s="300" t="str">
        <f t="shared" si="4"/>
        <v/>
      </c>
      <c r="L38" s="48">
        <v>20</v>
      </c>
      <c r="M38" s="321">
        <f t="shared" si="0"/>
        <v>8.7500000000000008E-3</v>
      </c>
      <c r="N38" s="321">
        <f t="shared" si="1"/>
        <v>0.05</v>
      </c>
      <c r="O38" s="322">
        <v>1.4999999999999999E-2</v>
      </c>
      <c r="P38" s="323">
        <f t="shared" si="2"/>
        <v>7.375000000000001E-2</v>
      </c>
      <c r="Q38" s="324" t="str">
        <f t="shared" si="5"/>
        <v/>
      </c>
      <c r="R38" s="325" t="str">
        <f t="shared" si="6"/>
        <v/>
      </c>
      <c r="S38" s="335"/>
      <c r="T38" s="336"/>
    </row>
    <row r="39" spans="2:21" x14ac:dyDescent="0.2">
      <c r="B39" s="463"/>
      <c r="C39" s="457"/>
      <c r="D39" s="459"/>
      <c r="E39" s="461"/>
      <c r="F39" s="307">
        <f>1-F38</f>
        <v>1</v>
      </c>
      <c r="G39" s="308" t="str">
        <f>IFERROR(E38*F39,"")</f>
        <v/>
      </c>
      <c r="H39" s="44"/>
      <c r="I39" s="309" t="str">
        <f t="shared" si="3"/>
        <v/>
      </c>
      <c r="J39" s="310">
        <v>1</v>
      </c>
      <c r="K39" s="311" t="str">
        <f t="shared" si="4"/>
        <v/>
      </c>
      <c r="L39" s="48">
        <v>30</v>
      </c>
      <c r="M39" s="312">
        <f t="shared" si="0"/>
        <v>8.7500000000000008E-3</v>
      </c>
      <c r="N39" s="313">
        <f t="shared" si="1"/>
        <v>3.3333333333333333E-2</v>
      </c>
      <c r="O39" s="314">
        <f>(M39+N39)*0.1</f>
        <v>4.2083333333333339E-3</v>
      </c>
      <c r="P39" s="315">
        <f t="shared" si="2"/>
        <v>4.6291666666666668E-2</v>
      </c>
      <c r="Q39" s="316" t="str">
        <f t="shared" si="5"/>
        <v/>
      </c>
      <c r="R39" s="317" t="str">
        <f t="shared" si="6"/>
        <v/>
      </c>
      <c r="S39" s="335"/>
      <c r="T39" s="337"/>
    </row>
    <row r="40" spans="2:21" x14ac:dyDescent="0.2">
      <c r="B40" s="445" t="s">
        <v>169</v>
      </c>
      <c r="C40" s="446"/>
      <c r="D40" s="447" t="str">
        <f t="shared" ref="D40" si="36">IFERROR(C40/$C$44*$D$55,"")</f>
        <v/>
      </c>
      <c r="E40" s="448" t="str">
        <f t="shared" ref="E40" si="37">IFERROR(C40+D40,"")</f>
        <v/>
      </c>
      <c r="F40" s="37">
        <v>0</v>
      </c>
      <c r="G40" s="318" t="str">
        <f t="shared" si="9"/>
        <v/>
      </c>
      <c r="H40" s="319"/>
      <c r="I40" s="320" t="str">
        <f t="shared" si="3"/>
        <v/>
      </c>
      <c r="J40" s="52">
        <v>0.7</v>
      </c>
      <c r="K40" s="300" t="str">
        <f t="shared" si="4"/>
        <v/>
      </c>
      <c r="L40" s="48">
        <v>20</v>
      </c>
      <c r="M40" s="321">
        <f t="shared" si="0"/>
        <v>8.7500000000000008E-3</v>
      </c>
      <c r="N40" s="321">
        <f t="shared" si="1"/>
        <v>0.05</v>
      </c>
      <c r="O40" s="322">
        <v>1.4999999999999999E-2</v>
      </c>
      <c r="P40" s="323">
        <f t="shared" si="2"/>
        <v>7.375000000000001E-2</v>
      </c>
      <c r="Q40" s="324" t="str">
        <f t="shared" si="5"/>
        <v/>
      </c>
      <c r="R40" s="325" t="str">
        <f t="shared" si="6"/>
        <v/>
      </c>
      <c r="S40" s="335"/>
      <c r="T40" s="337"/>
    </row>
    <row r="41" spans="2:21" x14ac:dyDescent="0.2">
      <c r="B41" s="445"/>
      <c r="C41" s="446"/>
      <c r="D41" s="447"/>
      <c r="E41" s="448"/>
      <c r="F41" s="307">
        <f>1-F40</f>
        <v>1</v>
      </c>
      <c r="G41" s="308" t="str">
        <f>IFERROR(E40*F41,"")</f>
        <v/>
      </c>
      <c r="H41" s="44"/>
      <c r="I41" s="309" t="str">
        <f t="shared" si="3"/>
        <v/>
      </c>
      <c r="J41" s="310">
        <v>1</v>
      </c>
      <c r="K41" s="311" t="str">
        <f t="shared" si="4"/>
        <v/>
      </c>
      <c r="L41" s="48">
        <v>30</v>
      </c>
      <c r="M41" s="312">
        <f t="shared" si="0"/>
        <v>8.7500000000000008E-3</v>
      </c>
      <c r="N41" s="313">
        <f t="shared" si="1"/>
        <v>3.3333333333333333E-2</v>
      </c>
      <c r="O41" s="314">
        <f>(M41+N41)*0.1</f>
        <v>4.2083333333333339E-3</v>
      </c>
      <c r="P41" s="315">
        <f t="shared" si="2"/>
        <v>4.6291666666666668E-2</v>
      </c>
      <c r="Q41" s="316" t="str">
        <f t="shared" si="5"/>
        <v/>
      </c>
      <c r="R41" s="317" t="str">
        <f t="shared" si="6"/>
        <v/>
      </c>
      <c r="S41" s="335"/>
      <c r="T41" s="336"/>
    </row>
    <row r="42" spans="2:21" ht="15" thickBot="1" x14ac:dyDescent="0.25">
      <c r="B42" s="449" t="s">
        <v>170</v>
      </c>
      <c r="C42" s="451"/>
      <c r="D42" s="447" t="str">
        <f t="shared" ref="D42" si="38">IFERROR(C42/$C$44*$D$55,"")</f>
        <v/>
      </c>
      <c r="E42" s="448" t="str">
        <f>IFERROR(C42+D42,"")</f>
        <v/>
      </c>
      <c r="F42" s="37">
        <v>0</v>
      </c>
      <c r="G42" s="318" t="str">
        <f t="shared" si="9"/>
        <v/>
      </c>
      <c r="H42" s="319"/>
      <c r="I42" s="320" t="str">
        <f t="shared" si="3"/>
        <v/>
      </c>
      <c r="J42" s="52">
        <v>0.7</v>
      </c>
      <c r="K42" s="300" t="str">
        <f t="shared" si="4"/>
        <v/>
      </c>
      <c r="L42" s="48">
        <v>20</v>
      </c>
      <c r="M42" s="321">
        <f t="shared" si="0"/>
        <v>8.7500000000000008E-3</v>
      </c>
      <c r="N42" s="321">
        <f t="shared" si="1"/>
        <v>0.05</v>
      </c>
      <c r="O42" s="322">
        <v>1.4999999999999999E-2</v>
      </c>
      <c r="P42" s="323">
        <f t="shared" si="2"/>
        <v>7.375000000000001E-2</v>
      </c>
      <c r="Q42" s="324" t="str">
        <f t="shared" si="5"/>
        <v/>
      </c>
      <c r="R42" s="325" t="str">
        <f t="shared" si="6"/>
        <v/>
      </c>
      <c r="S42" s="335"/>
      <c r="T42" s="336"/>
    </row>
    <row r="43" spans="2:21" ht="15" thickBot="1" x14ac:dyDescent="0.25">
      <c r="B43" s="450"/>
      <c r="C43" s="451"/>
      <c r="D43" s="452"/>
      <c r="E43" s="453"/>
      <c r="F43" s="338">
        <f>1-F42</f>
        <v>1</v>
      </c>
      <c r="G43" s="339" t="str">
        <f>IFERROR(E42*F43,"")</f>
        <v/>
      </c>
      <c r="H43" s="45"/>
      <c r="I43" s="340" t="str">
        <f t="shared" si="3"/>
        <v/>
      </c>
      <c r="J43" s="341">
        <v>1</v>
      </c>
      <c r="K43" s="342" t="str">
        <f t="shared" si="4"/>
        <v/>
      </c>
      <c r="L43" s="49">
        <v>30</v>
      </c>
      <c r="M43" s="343">
        <f t="shared" si="0"/>
        <v>8.7500000000000008E-3</v>
      </c>
      <c r="N43" s="344">
        <f t="shared" si="1"/>
        <v>3.3333333333333333E-2</v>
      </c>
      <c r="O43" s="345">
        <f>(M43+N43)*0.1</f>
        <v>4.2083333333333339E-3</v>
      </c>
      <c r="P43" s="346">
        <f t="shared" si="2"/>
        <v>4.6291666666666668E-2</v>
      </c>
      <c r="Q43" s="347" t="str">
        <f t="shared" si="5"/>
        <v/>
      </c>
      <c r="R43" s="348" t="str">
        <f t="shared" si="6"/>
        <v/>
      </c>
      <c r="S43" s="335"/>
      <c r="T43" s="336"/>
    </row>
    <row r="44" spans="2:21" ht="15.75" thickBot="1" x14ac:dyDescent="0.25">
      <c r="B44" s="349"/>
      <c r="C44" s="350">
        <f>SUM(C10:C43)</f>
        <v>0</v>
      </c>
      <c r="D44" s="351">
        <f>SUM(D10:D43)</f>
        <v>0</v>
      </c>
      <c r="E44" s="352">
        <f>SUM(E10:E43)</f>
        <v>0</v>
      </c>
      <c r="F44" s="353"/>
      <c r="G44" s="354"/>
      <c r="H44" s="355">
        <f>SUM(H10:H43)</f>
        <v>0</v>
      </c>
      <c r="I44" s="356">
        <f>SUM(I10:I43)</f>
        <v>0</v>
      </c>
      <c r="J44" s="353"/>
      <c r="K44" s="357"/>
      <c r="L44" s="358"/>
      <c r="M44" s="422" t="s">
        <v>50</v>
      </c>
      <c r="N44" s="423"/>
      <c r="O44" s="423"/>
      <c r="P44" s="424"/>
      <c r="Q44" s="359" t="str">
        <f>IFERROR(Q10+Q12+Q14+Q16+Q18+Q20+Q22+Q24+Q26+Q28+Q30+Q32+Q34+Q36+Q38+Q40+Q42,"")</f>
        <v/>
      </c>
      <c r="R44" s="359" t="str">
        <f>IFERROR(Q44/$R$7,"")</f>
        <v/>
      </c>
      <c r="S44" s="360" t="s">
        <v>48</v>
      </c>
      <c r="T44" s="336"/>
    </row>
    <row r="45" spans="2:21" ht="15.75" thickBot="1" x14ac:dyDescent="0.25">
      <c r="B45" s="361"/>
      <c r="C45" s="354"/>
      <c r="D45" s="354"/>
      <c r="E45" s="354"/>
      <c r="F45" s="353"/>
      <c r="G45" s="354"/>
      <c r="H45" s="362"/>
      <c r="I45" s="363"/>
      <c r="J45" s="353"/>
      <c r="K45" s="364"/>
      <c r="L45" s="358"/>
      <c r="M45" s="425" t="s">
        <v>51</v>
      </c>
      <c r="N45" s="426"/>
      <c r="O45" s="426"/>
      <c r="P45" s="427"/>
      <c r="Q45" s="365" t="str">
        <f>IFERROR(Q11+Q13+Q15+Q17+Q19+Q21+Q23+Q25+Q27+Q29+Q31+Q33+Q35+Q37+Q39+Q41+Q43,"")</f>
        <v/>
      </c>
      <c r="R45" s="365" t="str">
        <f>IFERROR(Q45/R7,"")</f>
        <v/>
      </c>
      <c r="S45" s="360" t="s">
        <v>49</v>
      </c>
      <c r="T45" s="336"/>
      <c r="U45" s="366"/>
    </row>
    <row r="46" spans="2:21" ht="15.75" thickBot="1" x14ac:dyDescent="0.25">
      <c r="B46" s="361"/>
      <c r="C46" s="354"/>
      <c r="D46" s="354"/>
      <c r="E46" s="354"/>
      <c r="F46" s="353"/>
      <c r="G46" s="354"/>
      <c r="H46" s="363"/>
      <c r="I46" s="363"/>
      <c r="J46" s="353"/>
      <c r="K46" s="364"/>
      <c r="L46" s="358"/>
      <c r="M46" s="428" t="s">
        <v>47</v>
      </c>
      <c r="N46" s="429"/>
      <c r="O46" s="429"/>
      <c r="P46" s="430"/>
      <c r="Q46" s="367" t="str">
        <f>IFERROR(Q44+Q45,"")</f>
        <v/>
      </c>
      <c r="R46" s="368" t="str">
        <f>IFERROR(R44+R45,"")</f>
        <v/>
      </c>
      <c r="S46" s="360"/>
      <c r="T46" s="336"/>
      <c r="U46" s="366"/>
    </row>
    <row r="47" spans="2:21" ht="7.5" customHeight="1" thickBot="1" x14ac:dyDescent="0.25">
      <c r="B47" s="361"/>
      <c r="C47" s="354"/>
      <c r="D47" s="349"/>
      <c r="E47" s="354"/>
      <c r="F47" s="353"/>
      <c r="G47" s="354"/>
      <c r="H47" s="363"/>
      <c r="I47" s="363"/>
      <c r="J47" s="353"/>
      <c r="K47" s="364"/>
      <c r="L47" s="358"/>
      <c r="M47" s="369"/>
      <c r="N47" s="369"/>
      <c r="O47" s="369"/>
      <c r="P47" s="369"/>
      <c r="Q47" s="364"/>
      <c r="R47" s="370"/>
      <c r="S47" s="360"/>
      <c r="T47" s="336"/>
      <c r="U47" s="366"/>
    </row>
    <row r="48" spans="2:21" ht="15.75" thickBot="1" x14ac:dyDescent="0.25">
      <c r="B48" s="439" t="s">
        <v>32</v>
      </c>
      <c r="C48" s="440"/>
      <c r="D48" s="371" t="s">
        <v>33</v>
      </c>
      <c r="E48" s="354"/>
      <c r="F48" s="353"/>
      <c r="G48" s="354"/>
      <c r="H48" s="363"/>
      <c r="I48" s="431" t="s">
        <v>172</v>
      </c>
      <c r="J48" s="432"/>
      <c r="K48" s="432"/>
      <c r="L48" s="432"/>
      <c r="M48" s="432"/>
      <c r="N48" s="432"/>
      <c r="O48" s="432"/>
      <c r="P48" s="433"/>
      <c r="Q48" s="412"/>
      <c r="R48" s="413" t="e">
        <f>Q48/R7</f>
        <v>#DIV/0!</v>
      </c>
      <c r="S48" s="360"/>
      <c r="T48" s="336"/>
      <c r="U48" s="366"/>
    </row>
    <row r="49" spans="2:20" ht="15" customHeight="1" thickBot="1" x14ac:dyDescent="0.25">
      <c r="B49" s="437"/>
      <c r="C49" s="438"/>
      <c r="D49" s="41"/>
      <c r="E49" s="372"/>
      <c r="F49" s="373"/>
      <c r="G49" s="373"/>
      <c r="H49" s="373"/>
      <c r="I49" s="434" t="s">
        <v>157</v>
      </c>
      <c r="J49" s="435"/>
      <c r="K49" s="435"/>
      <c r="L49" s="435"/>
      <c r="M49" s="435"/>
      <c r="N49" s="435"/>
      <c r="O49" s="435"/>
      <c r="P49" s="436"/>
      <c r="Q49" s="414">
        <f>R49*R7</f>
        <v>0</v>
      </c>
      <c r="R49" s="415"/>
      <c r="S49" s="374"/>
      <c r="T49" s="336"/>
    </row>
    <row r="50" spans="2:20" ht="15.75" customHeight="1" x14ac:dyDescent="0.2">
      <c r="B50" s="441"/>
      <c r="C50" s="442"/>
      <c r="D50" s="42"/>
      <c r="E50" s="375"/>
      <c r="F50" s="376"/>
      <c r="G50" s="377"/>
      <c r="H50" s="361"/>
      <c r="I50" s="361"/>
      <c r="J50" s="378"/>
      <c r="K50" s="379"/>
      <c r="L50" s="379"/>
      <c r="M50" s="379"/>
      <c r="N50" s="379"/>
      <c r="O50" s="379"/>
      <c r="P50" s="379"/>
      <c r="Q50" s="380" t="str">
        <f>IFERROR(Q48/R7,"")</f>
        <v/>
      </c>
      <c r="R50" s="380"/>
      <c r="S50" s="336"/>
      <c r="T50" s="336"/>
    </row>
    <row r="51" spans="2:20" x14ac:dyDescent="0.2">
      <c r="B51" s="441"/>
      <c r="C51" s="442"/>
      <c r="D51" s="42"/>
      <c r="E51" s="375"/>
      <c r="F51" s="376"/>
      <c r="G51" s="377"/>
      <c r="H51" s="361"/>
      <c r="I51" s="361"/>
      <c r="J51" s="381"/>
      <c r="K51" s="349"/>
      <c r="L51" s="379"/>
      <c r="M51" s="379"/>
      <c r="N51" s="379"/>
      <c r="O51" s="379"/>
      <c r="P51" s="382"/>
      <c r="Q51" s="383"/>
      <c r="R51" s="349"/>
      <c r="S51" s="335"/>
      <c r="T51" s="336"/>
    </row>
    <row r="52" spans="2:20" x14ac:dyDescent="0.2">
      <c r="B52" s="441"/>
      <c r="C52" s="442"/>
      <c r="D52" s="42"/>
      <c r="E52" s="384"/>
      <c r="F52" s="385"/>
      <c r="G52" s="384"/>
      <c r="H52" s="384"/>
      <c r="I52" s="384"/>
      <c r="J52" s="353"/>
      <c r="K52" s="361"/>
      <c r="L52" s="353"/>
      <c r="M52" s="353"/>
      <c r="N52" s="353"/>
      <c r="O52" s="353"/>
      <c r="P52" s="353"/>
      <c r="Q52" s="361"/>
      <c r="R52" s="361"/>
      <c r="S52" s="336"/>
      <c r="T52" s="336"/>
    </row>
    <row r="53" spans="2:20" x14ac:dyDescent="0.2">
      <c r="B53" s="443" t="s">
        <v>162</v>
      </c>
      <c r="C53" s="444"/>
      <c r="D53" s="42"/>
      <c r="E53" s="384"/>
      <c r="F53" s="385"/>
      <c r="G53" s="384"/>
      <c r="H53" s="384"/>
      <c r="I53" s="384"/>
      <c r="J53" s="353"/>
      <c r="K53" s="275"/>
      <c r="L53" s="386"/>
      <c r="M53" s="387"/>
      <c r="N53" s="387"/>
      <c r="O53" s="387"/>
      <c r="P53" s="387"/>
      <c r="Q53" s="275"/>
      <c r="R53" s="275"/>
      <c r="S53" s="335"/>
      <c r="T53" s="336"/>
    </row>
    <row r="54" spans="2:20" ht="15" thickBot="1" x14ac:dyDescent="0.25">
      <c r="B54" s="418" t="s">
        <v>163</v>
      </c>
      <c r="C54" s="419"/>
      <c r="D54" s="43"/>
      <c r="E54" s="388"/>
      <c r="F54" s="388"/>
      <c r="G54" s="388"/>
      <c r="H54" s="388"/>
      <c r="I54" s="388"/>
      <c r="J54" s="389"/>
      <c r="K54" s="390"/>
      <c r="L54" s="387"/>
      <c r="M54" s="387"/>
      <c r="N54" s="387"/>
      <c r="O54" s="387"/>
      <c r="P54" s="387"/>
      <c r="Q54" s="275"/>
      <c r="R54" s="275"/>
      <c r="S54" s="335"/>
      <c r="T54" s="336"/>
    </row>
    <row r="55" spans="2:20" ht="15" thickBot="1" x14ac:dyDescent="0.25">
      <c r="B55" s="420" t="s">
        <v>18</v>
      </c>
      <c r="C55" s="421"/>
      <c r="D55" s="356">
        <f>SUM(D49:D54)</f>
        <v>0</v>
      </c>
      <c r="E55" s="391"/>
      <c r="F55" s="391"/>
      <c r="G55" s="391"/>
      <c r="H55" s="391"/>
      <c r="I55" s="391"/>
      <c r="J55" s="389"/>
      <c r="K55" s="390"/>
      <c r="L55" s="387"/>
      <c r="M55" s="387"/>
      <c r="N55" s="387"/>
      <c r="O55" s="387"/>
      <c r="P55" s="387"/>
      <c r="Q55" s="275"/>
      <c r="R55" s="275"/>
      <c r="S55" s="335"/>
      <c r="T55" s="336"/>
    </row>
    <row r="56" spans="2:20" x14ac:dyDescent="0.2">
      <c r="E56" s="392"/>
      <c r="F56" s="393"/>
      <c r="G56" s="392"/>
      <c r="H56" s="392"/>
      <c r="I56" s="392"/>
      <c r="J56" s="353"/>
      <c r="K56" s="275"/>
      <c r="L56" s="387"/>
      <c r="M56" s="387"/>
      <c r="N56" s="387"/>
      <c r="O56" s="387"/>
      <c r="P56" s="394"/>
      <c r="Q56" s="395"/>
      <c r="R56" s="394"/>
      <c r="S56" s="335"/>
      <c r="T56" s="336"/>
    </row>
    <row r="57" spans="2:20" x14ac:dyDescent="0.2">
      <c r="E57" s="396"/>
      <c r="F57" s="397"/>
      <c r="G57" s="398"/>
      <c r="H57" s="398"/>
      <c r="I57" s="398"/>
      <c r="J57" s="399"/>
      <c r="K57" s="400"/>
      <c r="L57" s="387"/>
      <c r="M57" s="387"/>
      <c r="N57" s="387"/>
      <c r="O57" s="387"/>
      <c r="P57" s="387"/>
      <c r="Q57" s="400"/>
      <c r="R57" s="400"/>
      <c r="S57" s="336"/>
      <c r="T57" s="336"/>
    </row>
    <row r="58" spans="2:20" x14ac:dyDescent="0.2">
      <c r="B58" s="336"/>
      <c r="C58" s="336"/>
      <c r="D58" s="336"/>
      <c r="E58" s="336"/>
      <c r="F58" s="376"/>
      <c r="G58" s="401"/>
      <c r="H58" s="336"/>
      <c r="I58" s="336"/>
      <c r="J58" s="399"/>
      <c r="K58" s="336"/>
      <c r="L58" s="399"/>
      <c r="M58" s="399"/>
      <c r="N58" s="399"/>
      <c r="O58" s="399"/>
      <c r="P58" s="399"/>
      <c r="Q58" s="336"/>
      <c r="R58" s="336"/>
      <c r="S58" s="336"/>
      <c r="T58" s="336"/>
    </row>
    <row r="59" spans="2:20" x14ac:dyDescent="0.2">
      <c r="B59" s="336"/>
      <c r="C59" s="336"/>
      <c r="D59" s="336"/>
      <c r="E59" s="336"/>
      <c r="F59" s="399"/>
      <c r="G59" s="336"/>
      <c r="H59" s="336"/>
      <c r="I59" s="336"/>
      <c r="J59" s="399"/>
      <c r="K59" s="336"/>
      <c r="L59" s="399"/>
      <c r="M59" s="399"/>
      <c r="N59" s="399"/>
      <c r="O59" s="399"/>
      <c r="P59" s="399"/>
      <c r="Q59" s="336"/>
      <c r="R59" s="336"/>
      <c r="S59" s="336"/>
      <c r="T59" s="336"/>
    </row>
    <row r="60" spans="2:20" x14ac:dyDescent="0.2">
      <c r="B60" s="336"/>
      <c r="C60" s="336"/>
      <c r="D60" s="336"/>
      <c r="E60" s="336"/>
      <c r="F60" s="399"/>
      <c r="G60" s="336"/>
      <c r="H60" s="336"/>
      <c r="I60" s="336"/>
      <c r="J60" s="399"/>
      <c r="K60" s="336"/>
      <c r="L60" s="399"/>
      <c r="M60" s="399"/>
      <c r="N60" s="399"/>
      <c r="O60" s="399"/>
      <c r="P60" s="399"/>
      <c r="Q60" s="336"/>
      <c r="R60" s="336"/>
      <c r="S60" s="336"/>
      <c r="T60" s="336"/>
    </row>
    <row r="61" spans="2:20" x14ac:dyDescent="0.2">
      <c r="B61" s="336"/>
      <c r="C61" s="336"/>
      <c r="D61" s="336"/>
      <c r="E61" s="336"/>
      <c r="F61" s="399"/>
      <c r="G61" s="336"/>
      <c r="H61" s="336"/>
      <c r="I61" s="336"/>
      <c r="J61" s="399"/>
      <c r="K61" s="336"/>
      <c r="L61" s="399"/>
      <c r="M61" s="399"/>
      <c r="N61" s="399"/>
      <c r="O61" s="399"/>
      <c r="P61" s="399"/>
      <c r="Q61" s="336"/>
      <c r="R61" s="336"/>
      <c r="S61" s="336"/>
      <c r="T61" s="336"/>
    </row>
    <row r="62" spans="2:20" x14ac:dyDescent="0.2">
      <c r="B62" s="336"/>
      <c r="C62" s="336"/>
      <c r="D62" s="336"/>
      <c r="E62" s="336"/>
      <c r="F62" s="399"/>
      <c r="G62" s="336"/>
      <c r="H62" s="336"/>
      <c r="I62" s="336"/>
      <c r="J62" s="399"/>
      <c r="K62" s="336"/>
      <c r="L62" s="399"/>
      <c r="M62" s="399"/>
      <c r="N62" s="399"/>
      <c r="O62" s="399"/>
      <c r="P62" s="399"/>
      <c r="Q62" s="336"/>
      <c r="R62" s="336"/>
      <c r="S62" s="336"/>
      <c r="T62" s="336"/>
    </row>
    <row r="63" spans="2:20" x14ac:dyDescent="0.2">
      <c r="B63" s="336"/>
      <c r="C63" s="336"/>
      <c r="D63" s="336"/>
      <c r="E63" s="336"/>
      <c r="F63" s="399"/>
      <c r="G63" s="336"/>
      <c r="H63" s="336"/>
      <c r="I63" s="336"/>
      <c r="J63" s="399"/>
      <c r="K63" s="336"/>
      <c r="L63" s="399"/>
      <c r="M63" s="399"/>
      <c r="N63" s="399"/>
      <c r="O63" s="399"/>
      <c r="P63" s="399"/>
      <c r="Q63" s="336"/>
      <c r="R63" s="336"/>
      <c r="S63" s="336"/>
      <c r="T63" s="336"/>
    </row>
    <row r="64" spans="2:20" x14ac:dyDescent="0.2">
      <c r="B64" s="336"/>
      <c r="C64" s="336"/>
      <c r="D64" s="336"/>
      <c r="E64" s="336"/>
      <c r="F64" s="399"/>
      <c r="G64" s="336"/>
      <c r="H64" s="336"/>
      <c r="I64" s="336"/>
      <c r="J64" s="399"/>
      <c r="K64" s="336"/>
      <c r="L64" s="399"/>
      <c r="M64" s="399"/>
      <c r="N64" s="399"/>
      <c r="O64" s="399"/>
      <c r="P64" s="399"/>
      <c r="Q64" s="336"/>
      <c r="R64" s="336"/>
      <c r="S64" s="336"/>
      <c r="T64" s="336"/>
    </row>
    <row r="65" spans="2:20" x14ac:dyDescent="0.2">
      <c r="B65" s="336"/>
      <c r="C65" s="336"/>
      <c r="D65" s="336"/>
      <c r="E65" s="336"/>
      <c r="F65" s="399"/>
      <c r="G65" s="336"/>
      <c r="H65" s="336"/>
      <c r="I65" s="336"/>
      <c r="J65" s="399"/>
      <c r="K65" s="336"/>
      <c r="L65" s="399"/>
      <c r="M65" s="399"/>
      <c r="N65" s="399"/>
      <c r="O65" s="399"/>
      <c r="P65" s="399"/>
      <c r="Q65" s="336"/>
      <c r="R65" s="336"/>
      <c r="S65" s="336"/>
      <c r="T65" s="402"/>
    </row>
    <row r="66" spans="2:20" ht="15" x14ac:dyDescent="0.25">
      <c r="B66" s="403"/>
    </row>
  </sheetData>
  <sheetProtection algorithmName="SHA-512" hashValue="M0DaVKCvJJUqL9pa3rjZcuxe2X3GusWqhHZ6YbqUYMEsl7SIS7cwI7w3VQ9un1TYGy8f4EendjVmH6qCeh3Ztw==" saltValue="kFAo1AwOVLKzZ2W+rWJEGw==" spinCount="100000" sheet="1" objects="1" scenarios="1"/>
  <mergeCells count="97">
    <mergeCell ref="B2:C2"/>
    <mergeCell ref="B6:B7"/>
    <mergeCell ref="H6:I7"/>
    <mergeCell ref="M7:O7"/>
    <mergeCell ref="D2:K2"/>
    <mergeCell ref="B3:R3"/>
    <mergeCell ref="B4:C4"/>
    <mergeCell ref="J8:J9"/>
    <mergeCell ref="K8:K9"/>
    <mergeCell ref="L8:P8"/>
    <mergeCell ref="Q8:R8"/>
    <mergeCell ref="B10:B11"/>
    <mergeCell ref="C10:C11"/>
    <mergeCell ref="D10:D11"/>
    <mergeCell ref="E10:E11"/>
    <mergeCell ref="B8:B9"/>
    <mergeCell ref="C8:E8"/>
    <mergeCell ref="F8:G9"/>
    <mergeCell ref="H8:H9"/>
    <mergeCell ref="I8:I9"/>
    <mergeCell ref="B12:B13"/>
    <mergeCell ref="C12:C13"/>
    <mergeCell ref="D12:D13"/>
    <mergeCell ref="E12:E13"/>
    <mergeCell ref="B14:B15"/>
    <mergeCell ref="C14:C15"/>
    <mergeCell ref="D14:D15"/>
    <mergeCell ref="E14:E15"/>
    <mergeCell ref="B16:B17"/>
    <mergeCell ref="C16:C17"/>
    <mergeCell ref="D16:D17"/>
    <mergeCell ref="E16:E17"/>
    <mergeCell ref="B18:B19"/>
    <mergeCell ref="C18:C19"/>
    <mergeCell ref="D18:D19"/>
    <mergeCell ref="E18:E19"/>
    <mergeCell ref="B20:B21"/>
    <mergeCell ref="C20:C21"/>
    <mergeCell ref="D20:D21"/>
    <mergeCell ref="E20:E21"/>
    <mergeCell ref="B22:B23"/>
    <mergeCell ref="C22:C23"/>
    <mergeCell ref="D22:D23"/>
    <mergeCell ref="E22:E23"/>
    <mergeCell ref="B24:B25"/>
    <mergeCell ref="C24:C25"/>
    <mergeCell ref="D24:D25"/>
    <mergeCell ref="E24:E25"/>
    <mergeCell ref="B26:B27"/>
    <mergeCell ref="C26:C27"/>
    <mergeCell ref="D26:D27"/>
    <mergeCell ref="E26:E27"/>
    <mergeCell ref="B28:B29"/>
    <mergeCell ref="C28:C29"/>
    <mergeCell ref="D28:D29"/>
    <mergeCell ref="E28:E29"/>
    <mergeCell ref="B30:B31"/>
    <mergeCell ref="C30:C31"/>
    <mergeCell ref="D30:D31"/>
    <mergeCell ref="E30:E31"/>
    <mergeCell ref="B32:B33"/>
    <mergeCell ref="C32:C33"/>
    <mergeCell ref="D32:D33"/>
    <mergeCell ref="E32:E33"/>
    <mergeCell ref="B34:B35"/>
    <mergeCell ref="C34:C35"/>
    <mergeCell ref="D34:D35"/>
    <mergeCell ref="E34:E35"/>
    <mergeCell ref="B36:B37"/>
    <mergeCell ref="C36:C37"/>
    <mergeCell ref="D36:D37"/>
    <mergeCell ref="E36:E37"/>
    <mergeCell ref="B38:B39"/>
    <mergeCell ref="C38:C39"/>
    <mergeCell ref="D38:D39"/>
    <mergeCell ref="E38:E39"/>
    <mergeCell ref="B40:B41"/>
    <mergeCell ref="C40:C41"/>
    <mergeCell ref="D40:D41"/>
    <mergeCell ref="E40:E41"/>
    <mergeCell ref="B42:B43"/>
    <mergeCell ref="C42:C43"/>
    <mergeCell ref="D42:D43"/>
    <mergeCell ref="E42:E43"/>
    <mergeCell ref="B54:C54"/>
    <mergeCell ref="B55:C55"/>
    <mergeCell ref="M44:P44"/>
    <mergeCell ref="M45:P45"/>
    <mergeCell ref="M46:P46"/>
    <mergeCell ref="I48:P48"/>
    <mergeCell ref="I49:P49"/>
    <mergeCell ref="B49:C49"/>
    <mergeCell ref="B48:C48"/>
    <mergeCell ref="B50:C50"/>
    <mergeCell ref="B51:C51"/>
    <mergeCell ref="B52:C52"/>
    <mergeCell ref="B53:C53"/>
  </mergeCells>
  <dataValidations disablePrompts="1" count="5">
    <dataValidation type="list" allowBlank="1" showInputMessage="1" showErrorMessage="1" sqref="L10 L12 L14 L16 L18 L20 L22 L24 L26 L28 L30 L32 L34 L36 L38 L40 L42" xr:uid="{00000000-0002-0000-0000-000000000000}">
      <formula1>Amort_R</formula1>
    </dataValidation>
    <dataValidation type="list" allowBlank="1" showInputMessage="1" showErrorMessage="1" sqref="L11 L13 L15 L17 L19 L21 L23 L25 L27 L29 L31 L33 L35 L37 L39 L41 L43" xr:uid="{00000000-0002-0000-0000-000001000000}">
      <formula1>Amort_E</formula1>
    </dataValidation>
    <dataValidation type="list" allowBlank="1" showInputMessage="1" showErrorMessage="1" sqref="J10 J12 J14 J16 J18 J20 J22 J24 J26 J28 J30 J32 J34 J36 J38 J40 J42" xr:uid="{00000000-0002-0000-0000-000002000000}">
      <formula1>Part_Value</formula1>
    </dataValidation>
    <dataValidation type="list" allowBlank="1" showInputMessage="1" showErrorMessage="1" sqref="D4" xr:uid="{00000000-0002-0000-0000-000003000000}">
      <formula1>$U$7:$U$8</formula1>
    </dataValidation>
    <dataValidation type="list" allowBlank="1" showInputMessage="1" showErrorMessage="1" sqref="Y3" xr:uid="{00000000-0002-0000-0000-000004000000}">
      <formula1>$W$9:$W$10</formula1>
    </dataValidation>
  </dataValidations>
  <hyperlinks>
    <hyperlink ref="L11" location="'TABLEAU COUTS'!L8" tooltip="La durée d'amortissement des travaux énergétiques (lignes vertes) correspond à la durée de vie moyenne des composants indiquée dans la &quot;Tabelle d'amortissement commune aux associations de bailleurs et de locataires&quot; (disponible sur internet)." display="'TABLEAU COUTS'!L8" xr:uid="{00000000-0004-0000-0000-000000000000}"/>
    <hyperlink ref="Q7" r:id="rId1" xr:uid="{00000000-0004-0000-0000-000001000000}"/>
    <hyperlink ref="M7:O7" r:id="rId2" display="Taux de référence (OFC)" xr:uid="{00000000-0004-0000-0000-000002000000}"/>
    <hyperlink ref="L9" r:id="rId3" display="Durée amort." xr:uid="{00000000-0004-0000-0000-000003000000}"/>
    <hyperlink ref="I48" r:id="rId4" display="Baisse Prévisible des Charges (selon formulaire BPC):" xr:uid="{00000000-0004-0000-0000-000004000000}"/>
  </hyperlinks>
  <printOptions horizontalCentered="1"/>
  <pageMargins left="0.25" right="0.25" top="0.75" bottom="0.75" header="0.3" footer="0.3"/>
  <pageSetup paperSize="8" scale="77" orientation="landscape" r:id="rId5"/>
  <drawing r:id="rId6"/>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0">
    <pageSetUpPr fitToPage="1"/>
  </sheetPr>
  <dimension ref="B1:BH74"/>
  <sheetViews>
    <sheetView showGridLines="0" zoomScale="85" zoomScaleNormal="85" workbookViewId="0">
      <selection activeCell="L25" sqref="L25"/>
    </sheetView>
  </sheetViews>
  <sheetFormatPr baseColWidth="10" defaultColWidth="11.42578125" defaultRowHeight="14.25" x14ac:dyDescent="0.2"/>
  <cols>
    <col min="1" max="1" width="2.28515625" style="1" customWidth="1"/>
    <col min="2" max="2" width="8.85546875" style="1" customWidth="1"/>
    <col min="3" max="3" width="52.140625" style="1" customWidth="1"/>
    <col min="4" max="6" width="8.85546875" style="1" customWidth="1"/>
    <col min="7" max="7" width="14.85546875" style="1" customWidth="1"/>
    <col min="8" max="9" width="14.5703125" style="1" customWidth="1"/>
    <col min="10" max="18" width="16.7109375" style="1" customWidth="1"/>
    <col min="19" max="22" width="16.7109375" style="25" hidden="1" customWidth="1"/>
    <col min="23" max="26" width="16.7109375" style="1" hidden="1" customWidth="1"/>
    <col min="27" max="27" width="16.7109375" style="25" hidden="1" customWidth="1"/>
    <col min="28" max="28" width="16.7109375" style="1" hidden="1" customWidth="1"/>
    <col min="29" max="29" width="16.28515625" style="1" hidden="1" customWidth="1"/>
    <col min="30" max="30" width="12.5703125" style="1" hidden="1" customWidth="1"/>
    <col min="31" max="31" width="12.42578125" style="1" hidden="1" customWidth="1"/>
    <col min="32" max="33" width="12.5703125" style="1" hidden="1" customWidth="1"/>
    <col min="34" max="34" width="12.5703125" style="57" hidden="1" customWidth="1"/>
    <col min="35" max="39" width="12.5703125" style="1" hidden="1" customWidth="1"/>
    <col min="40" max="3658" width="12.5703125" style="1" customWidth="1"/>
    <col min="3659" max="16384" width="11.42578125" style="1"/>
  </cols>
  <sheetData>
    <row r="1" spans="2:60" ht="18.75" customHeight="1" x14ac:dyDescent="0.2">
      <c r="D1" s="53"/>
      <c r="E1" s="53"/>
      <c r="F1" s="54"/>
      <c r="G1" s="54"/>
      <c r="H1" s="55"/>
      <c r="I1" s="55"/>
      <c r="J1" s="53"/>
      <c r="K1" s="53"/>
      <c r="L1" s="53"/>
      <c r="M1" s="53"/>
      <c r="N1" s="53"/>
      <c r="O1" s="53"/>
      <c r="P1" s="53"/>
      <c r="Q1" s="53"/>
      <c r="R1" s="56"/>
      <c r="S1" s="244"/>
      <c r="T1" s="244"/>
      <c r="U1" s="244"/>
      <c r="V1" s="244"/>
      <c r="W1" s="56"/>
      <c r="X1" s="56"/>
      <c r="Y1" s="56"/>
      <c r="Z1" s="56"/>
      <c r="AA1" s="244"/>
      <c r="AB1" s="56"/>
      <c r="AC1" s="240"/>
    </row>
    <row r="2" spans="2:60" ht="60" customHeight="1" x14ac:dyDescent="0.2">
      <c r="C2" s="509" t="s">
        <v>159</v>
      </c>
      <c r="D2" s="509"/>
      <c r="E2" s="509"/>
      <c r="F2" s="509"/>
      <c r="G2" s="509"/>
      <c r="H2" s="509"/>
      <c r="I2" s="521" t="s">
        <v>183</v>
      </c>
      <c r="J2" s="521"/>
      <c r="K2" s="521"/>
      <c r="L2" s="521"/>
      <c r="M2" s="521"/>
      <c r="N2" s="521"/>
      <c r="R2" s="230" t="s">
        <v>186</v>
      </c>
      <c r="S2" s="245"/>
      <c r="T2" s="245"/>
      <c r="U2" s="245"/>
      <c r="V2" s="245"/>
      <c r="W2" s="230"/>
      <c r="X2" s="230"/>
      <c r="Y2" s="230"/>
      <c r="Z2" s="230"/>
      <c r="AA2" s="245"/>
      <c r="AB2" s="230"/>
      <c r="AC2" s="240"/>
      <c r="AD2" s="1" t="str">
        <f>B32</f>
        <v>Nombre total de logements:</v>
      </c>
      <c r="AE2" s="1" t="s">
        <v>178</v>
      </c>
    </row>
    <row r="3" spans="2:60" ht="19.5" customHeight="1" thickBot="1" x14ac:dyDescent="0.25">
      <c r="C3" s="264"/>
      <c r="D3" s="264"/>
      <c r="E3" s="264"/>
      <c r="F3" s="264"/>
      <c r="G3" s="264"/>
      <c r="H3" s="264"/>
      <c r="I3" s="265"/>
      <c r="J3" s="265"/>
      <c r="K3" s="265"/>
      <c r="L3" s="265"/>
      <c r="M3" s="265"/>
      <c r="N3" s="265"/>
      <c r="R3" s="230"/>
      <c r="S3" s="245"/>
      <c r="T3" s="245"/>
      <c r="U3" s="245"/>
      <c r="V3" s="245"/>
      <c r="W3" s="230"/>
      <c r="X3" s="230"/>
      <c r="Y3" s="230"/>
      <c r="Z3" s="230"/>
      <c r="AA3" s="245"/>
      <c r="AB3" s="230"/>
      <c r="AC3" s="240"/>
    </row>
    <row r="4" spans="2:60" ht="78.75" customHeight="1" thickBot="1" x14ac:dyDescent="0.25">
      <c r="B4" s="533" t="s">
        <v>177</v>
      </c>
      <c r="C4" s="534"/>
      <c r="D4" s="534"/>
      <c r="E4" s="534"/>
      <c r="F4" s="534"/>
      <c r="G4" s="534"/>
      <c r="H4" s="534"/>
      <c r="I4" s="534"/>
      <c r="J4" s="534"/>
      <c r="K4" s="534"/>
      <c r="L4" s="534"/>
      <c r="M4" s="534"/>
      <c r="N4" s="534"/>
      <c r="O4" s="534"/>
      <c r="P4" s="534"/>
      <c r="Q4" s="534"/>
      <c r="R4" s="535"/>
      <c r="S4" s="245"/>
      <c r="T4" s="245"/>
      <c r="U4" s="245"/>
      <c r="V4" s="245"/>
      <c r="W4" s="230"/>
      <c r="X4" s="230"/>
      <c r="Y4" s="230"/>
      <c r="Z4" s="230"/>
      <c r="AA4" s="245"/>
      <c r="AB4" s="230"/>
      <c r="AC4" s="240"/>
    </row>
    <row r="5" spans="2:60" ht="18" x14ac:dyDescent="0.2">
      <c r="C5" s="7"/>
      <c r="D5" s="7"/>
      <c r="E5" s="8"/>
      <c r="F5" s="3"/>
      <c r="G5" s="3"/>
      <c r="H5" s="3"/>
      <c r="I5" s="2"/>
      <c r="J5" s="2"/>
      <c r="K5" s="2"/>
      <c r="L5" s="2"/>
      <c r="M5" s="2"/>
      <c r="N5" s="3"/>
      <c r="O5" s="3"/>
      <c r="AC5" s="241"/>
    </row>
    <row r="6" spans="2:60" ht="18" x14ac:dyDescent="0.2">
      <c r="C6" s="7"/>
      <c r="D6" s="7"/>
      <c r="E6" s="8"/>
      <c r="F6" s="3"/>
      <c r="G6" s="3"/>
      <c r="H6" s="3"/>
      <c r="I6" s="2"/>
      <c r="J6" s="2"/>
      <c r="K6" s="2"/>
      <c r="L6" s="2"/>
      <c r="M6" s="2"/>
      <c r="N6" s="3"/>
      <c r="O6" s="3"/>
      <c r="AC6" s="241"/>
    </row>
    <row r="7" spans="2:60" ht="18.75" thickBot="1" x14ac:dyDescent="0.25">
      <c r="C7" s="7"/>
      <c r="D7" s="7"/>
      <c r="E7" s="8"/>
      <c r="F7" s="3"/>
      <c r="G7" s="3"/>
      <c r="H7" s="3"/>
      <c r="I7" s="2"/>
      <c r="J7" s="2"/>
      <c r="K7" s="2"/>
      <c r="L7" s="2"/>
      <c r="M7" s="2"/>
      <c r="N7" s="3"/>
      <c r="O7" s="3"/>
      <c r="AC7" s="241">
        <v>8820</v>
      </c>
    </row>
    <row r="8" spans="2:60" ht="15.75" customHeight="1" thickBot="1" x14ac:dyDescent="0.25">
      <c r="B8" s="524" t="str">
        <f>'TABLEAU COUTS'!B6</f>
        <v>Adresse-s de-s immeuble-s</v>
      </c>
      <c r="C8" s="525"/>
      <c r="D8" s="526"/>
      <c r="E8" s="8"/>
      <c r="F8" s="3"/>
      <c r="G8" s="3"/>
      <c r="H8" s="3"/>
      <c r="I8" s="2"/>
      <c r="J8" s="2"/>
      <c r="K8" s="2"/>
      <c r="L8" s="510" t="s">
        <v>34</v>
      </c>
      <c r="M8" s="511"/>
      <c r="N8" s="416">
        <v>3724</v>
      </c>
      <c r="AC8" s="242">
        <f>N8*2.5</f>
        <v>9310</v>
      </c>
      <c r="AD8" s="9" t="s">
        <v>35</v>
      </c>
    </row>
    <row r="9" spans="2:60" ht="15.75" customHeight="1" thickBot="1" x14ac:dyDescent="0.25">
      <c r="B9" s="527"/>
      <c r="C9" s="528"/>
      <c r="D9" s="529"/>
      <c r="E9" s="250"/>
      <c r="F9" s="3"/>
      <c r="G9" s="3"/>
      <c r="H9" s="3"/>
      <c r="I9" s="3"/>
      <c r="J9" s="4"/>
      <c r="K9" s="69"/>
      <c r="L9" s="69"/>
      <c r="M9" s="69"/>
      <c r="N9" s="251"/>
      <c r="O9" s="512"/>
      <c r="P9" s="513"/>
      <c r="Q9" s="3"/>
      <c r="R9" s="3"/>
      <c r="S9" s="246"/>
      <c r="T9" s="246"/>
      <c r="U9" s="246"/>
      <c r="V9" s="246"/>
      <c r="W9" s="3"/>
      <c r="X9" s="3"/>
      <c r="Y9" s="3"/>
      <c r="Z9" s="3"/>
      <c r="AA9" s="246"/>
      <c r="AB9" s="3"/>
      <c r="AC9" s="240"/>
    </row>
    <row r="10" spans="2:60" ht="80.25" customHeight="1" x14ac:dyDescent="0.2">
      <c r="B10" s="530" t="s">
        <v>36</v>
      </c>
      <c r="C10" s="531"/>
      <c r="D10" s="532"/>
      <c r="E10" s="405" t="s">
        <v>37</v>
      </c>
      <c r="F10" s="407" t="s">
        <v>38</v>
      </c>
      <c r="G10" s="232" t="s">
        <v>171</v>
      </c>
      <c r="H10" s="514" t="s">
        <v>39</v>
      </c>
      <c r="I10" s="515"/>
      <c r="J10" s="516" t="s">
        <v>179</v>
      </c>
      <c r="K10" s="518" t="s">
        <v>52</v>
      </c>
      <c r="L10" s="519"/>
      <c r="M10" s="518" t="s">
        <v>53</v>
      </c>
      <c r="N10" s="520"/>
      <c r="O10" s="235" t="s">
        <v>57</v>
      </c>
      <c r="P10" s="234" t="s">
        <v>158</v>
      </c>
      <c r="Q10" s="537" t="s">
        <v>56</v>
      </c>
      <c r="R10" s="539" t="s">
        <v>40</v>
      </c>
      <c r="S10" s="236"/>
      <c r="T10" s="236"/>
      <c r="U10" s="236"/>
      <c r="V10" s="236"/>
      <c r="W10" s="236"/>
      <c r="X10" s="236"/>
      <c r="Y10" s="236"/>
      <c r="Z10" s="236"/>
      <c r="AA10" s="236"/>
      <c r="AB10" s="236"/>
      <c r="AC10" s="240"/>
      <c r="AI10" s="536" t="s">
        <v>58</v>
      </c>
      <c r="AJ10" s="536" t="s">
        <v>59</v>
      </c>
      <c r="AK10" s="167"/>
      <c r="AR10" s="267"/>
      <c r="AS10" s="268"/>
      <c r="AT10" s="268"/>
      <c r="AU10" s="268"/>
      <c r="AV10" s="268"/>
      <c r="AW10" s="268"/>
      <c r="AX10" s="268"/>
      <c r="AY10" s="268"/>
      <c r="AZ10" s="268"/>
      <c r="BA10" s="268"/>
      <c r="BB10" s="268"/>
      <c r="BC10" s="268"/>
      <c r="BD10" s="268"/>
      <c r="BE10" s="268"/>
      <c r="BF10" s="268"/>
      <c r="BG10" s="268"/>
      <c r="BH10" s="268"/>
    </row>
    <row r="11" spans="2:60" ht="66.75" customHeight="1" thickBot="1" x14ac:dyDescent="0.25">
      <c r="B11" s="252" t="s">
        <v>160</v>
      </c>
      <c r="C11" s="522" t="s">
        <v>156</v>
      </c>
      <c r="D11" s="523"/>
      <c r="E11" s="406"/>
      <c r="F11" s="408"/>
      <c r="G11" s="262" t="s">
        <v>165</v>
      </c>
      <c r="H11" s="270" t="s">
        <v>181</v>
      </c>
      <c r="I11" s="58" t="s">
        <v>180</v>
      </c>
      <c r="J11" s="517"/>
      <c r="K11" s="65" t="str">
        <f>'TABLEAU COUTS'!R44</f>
        <v/>
      </c>
      <c r="L11" s="11" t="s">
        <v>54</v>
      </c>
      <c r="M11" s="10" t="str">
        <f>'TABLEAU COUTS'!R45</f>
        <v/>
      </c>
      <c r="N11" s="70" t="s">
        <v>55</v>
      </c>
      <c r="O11" s="72" t="e">
        <f>'TABLEAU COUTS'!R48</f>
        <v>#DIV/0!</v>
      </c>
      <c r="P11" s="74">
        <f>'TABLEAU COUTS'!R49</f>
        <v>0</v>
      </c>
      <c r="Q11" s="538"/>
      <c r="R11" s="540"/>
      <c r="S11" s="231"/>
      <c r="T11" s="236"/>
      <c r="U11" s="236"/>
      <c r="V11" s="236"/>
      <c r="W11" s="236"/>
      <c r="X11" s="236"/>
      <c r="Y11" s="236"/>
      <c r="Z11" s="236"/>
      <c r="AA11" s="236"/>
      <c r="AB11" s="247"/>
      <c r="AC11" s="12" t="s">
        <v>41</v>
      </c>
      <c r="AI11" s="536"/>
      <c r="AJ11" s="536"/>
      <c r="AK11" s="167"/>
    </row>
    <row r="12" spans="2:60" ht="15" customHeight="1" x14ac:dyDescent="0.2">
      <c r="B12" s="254"/>
      <c r="C12" s="500"/>
      <c r="D12" s="499"/>
      <c r="E12" s="76"/>
      <c r="F12" s="77"/>
      <c r="G12" s="233"/>
      <c r="H12" s="78"/>
      <c r="I12" s="79"/>
      <c r="J12" s="14" t="str">
        <f t="shared" ref="J12" si="0">IFERROR(IF((I12/F12)&lt;$AC$8,I12/F12,"pas de fixation"),"")</f>
        <v/>
      </c>
      <c r="K12" s="15" t="str">
        <f t="shared" ref="K12" si="1">IFERROR(IF(J12&lt;&gt;"pas de fixation",L12-J12,""),"")</f>
        <v/>
      </c>
      <c r="L12" s="16" t="str">
        <f t="shared" ref="L12" si="2">IF(J12&lt;&gt;"pas de fixation",IF(J12&lt;N$8,IF((N$8-J12)&gt;K$11,J12+K$11,N$8),J12),"")</f>
        <v/>
      </c>
      <c r="M12" s="15" t="str">
        <f t="shared" ref="M12" si="3">IFERROR(IF(J12&lt;&gt;"pas de fixation",N12-L12,""),"")</f>
        <v/>
      </c>
      <c r="N12" s="71" t="str">
        <f t="shared" ref="N12" si="4">IF(J12&lt;&gt;"pas de fixation",IF(L12&lt;N$8,IF((N$8-L12)&gt;M$11,L12+M$11,N$8),L12),"")</f>
        <v/>
      </c>
      <c r="O12" s="75" t="str">
        <f t="shared" ref="O12" si="5">IFERROR(IF(J12&lt;&gt;"pas de fixation",N12+$O$11,""),"")</f>
        <v/>
      </c>
      <c r="P12" s="64" t="str">
        <f t="shared" ref="P12" si="6">IFERROR(IF(J12&lt;&gt;"pas de fixation",O12+$P$11,""),"")</f>
        <v/>
      </c>
      <c r="Q12" s="17" t="str">
        <f t="shared" ref="Q12" si="7">IFERROR(IF(J12&lt;&gt;"pas de fixation",P12*F12,""),"")</f>
        <v/>
      </c>
      <c r="R12" s="18">
        <f t="shared" ref="R12" si="8">IF(J12&lt;&gt;"pas de fixation",IF(Q12&gt;H12,Q12,H12),"pas de fixation")</f>
        <v>0</v>
      </c>
      <c r="S12" s="237"/>
      <c r="T12" s="249"/>
      <c r="U12" s="249"/>
      <c r="V12" s="249"/>
      <c r="W12" s="249"/>
      <c r="X12" s="249"/>
      <c r="Y12" s="249"/>
      <c r="Z12" s="249"/>
      <c r="AA12" s="249"/>
      <c r="AB12" s="248"/>
      <c r="AC12" s="13"/>
      <c r="AD12" s="1">
        <f t="shared" ref="AD12" si="9">COUNTIF(J12,"pas de fixation")</f>
        <v>0</v>
      </c>
      <c r="AE12" s="1">
        <f t="shared" ref="AE12" si="10">IF(J12&lt;&gt;"pas de fixation",F12,"")</f>
        <v>0</v>
      </c>
      <c r="AF12" s="1">
        <f t="shared" ref="AF12" si="11">IF(J12&lt;&gt;"pas de fixation",H12,"")</f>
        <v>0</v>
      </c>
      <c r="AG12" s="1">
        <f t="shared" ref="AG12" si="12">IF(J12&lt;&gt;"pas de fixation",I12,"")</f>
        <v>0</v>
      </c>
      <c r="AH12" s="57" t="str">
        <f t="shared" ref="AH12" si="13">IFERROR(I12/F12,"")</f>
        <v/>
      </c>
      <c r="AI12" s="66" t="str">
        <f t="shared" ref="AI12" si="14">IFERROR(IF(J12&lt;&gt;"pas de fixation",O12*F12,I12),"")</f>
        <v/>
      </c>
      <c r="AJ12" s="67">
        <f t="shared" ref="AJ12" si="15">IF(J12&lt;&gt;"pas de fixation",R12,I12)</f>
        <v>0</v>
      </c>
      <c r="AK12" s="67"/>
      <c r="AM12" s="59"/>
    </row>
    <row r="13" spans="2:60" ht="15" customHeight="1" x14ac:dyDescent="0.2">
      <c r="B13" s="254"/>
      <c r="C13" s="500"/>
      <c r="D13" s="499"/>
      <c r="E13" s="76"/>
      <c r="F13" s="77"/>
      <c r="G13" s="417"/>
      <c r="H13" s="78"/>
      <c r="I13" s="79"/>
      <c r="J13" s="14" t="str">
        <f t="shared" ref="J13" si="16">IFERROR(IF((I13/F13)&lt;$AC$8,I13/F13,"pas de fixation"),"")</f>
        <v/>
      </c>
      <c r="K13" s="15" t="str">
        <f t="shared" ref="K13" si="17">IFERROR(IF(J13&lt;&gt;"pas de fixation",L13-J13,""),"")</f>
        <v/>
      </c>
      <c r="L13" s="16" t="str">
        <f t="shared" ref="L13" si="18">IF(J13&lt;&gt;"pas de fixation",IF(J13&lt;N$8,IF((N$8-J13)&gt;K$11,J13+K$11,N$8),J13),"")</f>
        <v/>
      </c>
      <c r="M13" s="15" t="str">
        <f t="shared" ref="M13" si="19">IFERROR(IF(J13&lt;&gt;"pas de fixation",N13-L13,""),"")</f>
        <v/>
      </c>
      <c r="N13" s="71" t="str">
        <f t="shared" ref="N13" si="20">IF(J13&lt;&gt;"pas de fixation",IF(L13&lt;N$8,IF((N$8-L13)&gt;M$11,L13+M$11,N$8),L13),"")</f>
        <v/>
      </c>
      <c r="O13" s="75" t="str">
        <f t="shared" ref="O13" si="21">IFERROR(IF(J13&lt;&gt;"pas de fixation",N13+$O$11,""),"")</f>
        <v/>
      </c>
      <c r="P13" s="64" t="str">
        <f t="shared" ref="P13" si="22">IFERROR(IF(J13&lt;&gt;"pas de fixation",O13+$P$11,""),"")</f>
        <v/>
      </c>
      <c r="Q13" s="17" t="str">
        <f t="shared" ref="Q13" si="23">IFERROR(IF(J13&lt;&gt;"pas de fixation",P13*F13,""),"")</f>
        <v/>
      </c>
      <c r="R13" s="18">
        <f t="shared" ref="R13" si="24">IF(J13&lt;&gt;"pas de fixation",IF(Q13&gt;H13,Q13,H13),"pas de fixation")</f>
        <v>0</v>
      </c>
      <c r="S13" s="237"/>
      <c r="T13" s="249"/>
      <c r="U13" s="249"/>
      <c r="V13" s="249"/>
      <c r="W13" s="249"/>
      <c r="X13" s="249"/>
      <c r="Y13" s="249"/>
      <c r="Z13" s="249"/>
      <c r="AA13" s="249"/>
      <c r="AB13" s="248"/>
      <c r="AC13" s="13"/>
      <c r="AD13" s="1">
        <f t="shared" ref="AD13" si="25">COUNTIF(J13,"pas de fixation")</f>
        <v>0</v>
      </c>
      <c r="AE13" s="1">
        <f t="shared" ref="AE13" si="26">IF(J13&lt;&gt;"pas de fixation",F13,"")</f>
        <v>0</v>
      </c>
      <c r="AF13" s="1">
        <f t="shared" ref="AF13" si="27">IF(J13&lt;&gt;"pas de fixation",H13,"")</f>
        <v>0</v>
      </c>
      <c r="AG13" s="1">
        <f t="shared" ref="AG13" si="28">IF(J13&lt;&gt;"pas de fixation",I13,"")</f>
        <v>0</v>
      </c>
      <c r="AH13" s="57" t="str">
        <f t="shared" ref="AH13" si="29">IFERROR(I13/F13,"")</f>
        <v/>
      </c>
      <c r="AI13" s="66" t="str">
        <f t="shared" ref="AI13" si="30">IFERROR(IF(J13&lt;&gt;"pas de fixation",O13*F13,I13),"")</f>
        <v/>
      </c>
      <c r="AJ13" s="67">
        <f t="shared" ref="AJ13" si="31">IF(J13&lt;&gt;"pas de fixation",R13,I13)</f>
        <v>0</v>
      </c>
      <c r="AK13" s="67"/>
      <c r="AM13" s="59"/>
    </row>
    <row r="14" spans="2:60" ht="15" customHeight="1" x14ac:dyDescent="0.2">
      <c r="B14" s="254"/>
      <c r="C14" s="500"/>
      <c r="D14" s="499"/>
      <c r="E14" s="76"/>
      <c r="F14" s="77"/>
      <c r="G14" s="404"/>
      <c r="H14" s="78"/>
      <c r="I14" s="79"/>
      <c r="J14" s="14" t="str">
        <f t="shared" ref="J14" si="32">IFERROR(IF((I14/F14)&lt;$AC$8,I14/F14,"pas de fixation"),"")</f>
        <v/>
      </c>
      <c r="K14" s="15" t="str">
        <f t="shared" ref="K14" si="33">IFERROR(IF(J14&lt;&gt;"pas de fixation",L14-J14,""),"")</f>
        <v/>
      </c>
      <c r="L14" s="16" t="str">
        <f t="shared" ref="L14" si="34">IF(J14&lt;&gt;"pas de fixation",IF(J14&lt;N$8,IF((N$8-J14)&gt;K$11,J14+K$11,N$8),J14),"")</f>
        <v/>
      </c>
      <c r="M14" s="15" t="str">
        <f t="shared" ref="M14" si="35">IFERROR(IF(J14&lt;&gt;"pas de fixation",N14-L14,""),"")</f>
        <v/>
      </c>
      <c r="N14" s="71" t="str">
        <f t="shared" ref="N14" si="36">IF(J14&lt;&gt;"pas de fixation",IF(L14&lt;N$8,IF((N$8-L14)&gt;M$11,L14+M$11,N$8),L14),"")</f>
        <v/>
      </c>
      <c r="O14" s="75" t="str">
        <f t="shared" ref="O14" si="37">IFERROR(IF(J14&lt;&gt;"pas de fixation",N14+$O$11,""),"")</f>
        <v/>
      </c>
      <c r="P14" s="64" t="str">
        <f t="shared" ref="P14" si="38">IFERROR(IF(J14&lt;&gt;"pas de fixation",O14+$P$11,""),"")</f>
        <v/>
      </c>
      <c r="Q14" s="17" t="str">
        <f t="shared" ref="Q14" si="39">IFERROR(IF(J14&lt;&gt;"pas de fixation",P14*F14,""),"")</f>
        <v/>
      </c>
      <c r="R14" s="18">
        <f t="shared" ref="R14" si="40">IF(J14&lt;&gt;"pas de fixation",IF(Q14&gt;H14,Q14,H14),"pas de fixation")</f>
        <v>0</v>
      </c>
      <c r="S14" s="237"/>
      <c r="T14" s="249"/>
      <c r="U14" s="249"/>
      <c r="V14" s="249"/>
      <c r="W14" s="249"/>
      <c r="X14" s="249"/>
      <c r="Y14" s="249"/>
      <c r="Z14" s="249"/>
      <c r="AA14" s="249"/>
      <c r="AB14" s="248"/>
      <c r="AC14" s="13"/>
      <c r="AD14" s="1">
        <f t="shared" ref="AD14" si="41">COUNTIF(J14,"pas de fixation")</f>
        <v>0</v>
      </c>
      <c r="AE14" s="1">
        <f t="shared" ref="AE14" si="42">IF(J14&lt;&gt;"pas de fixation",F14,"")</f>
        <v>0</v>
      </c>
      <c r="AF14" s="1">
        <f t="shared" ref="AF14" si="43">IF(J14&lt;&gt;"pas de fixation",H14,"")</f>
        <v>0</v>
      </c>
      <c r="AG14" s="1">
        <f t="shared" ref="AG14" si="44">IF(J14&lt;&gt;"pas de fixation",I14,"")</f>
        <v>0</v>
      </c>
      <c r="AH14" s="57" t="str">
        <f t="shared" ref="AH14" si="45">IFERROR(I14/F14,"")</f>
        <v/>
      </c>
      <c r="AI14" s="66" t="str">
        <f t="shared" ref="AI14" si="46">IFERROR(IF(J14&lt;&gt;"pas de fixation",O14*F14,I14),"")</f>
        <v/>
      </c>
      <c r="AJ14" s="67">
        <f t="shared" ref="AJ14" si="47">IF(J14&lt;&gt;"pas de fixation",R14,I14)</f>
        <v>0</v>
      </c>
      <c r="AK14" s="67"/>
      <c r="AM14" s="59"/>
    </row>
    <row r="15" spans="2:60" ht="15" customHeight="1" x14ac:dyDescent="0.2">
      <c r="B15" s="254"/>
      <c r="C15" s="500"/>
      <c r="D15" s="499"/>
      <c r="E15" s="76"/>
      <c r="F15" s="77"/>
      <c r="G15" s="233"/>
      <c r="H15" s="78"/>
      <c r="I15" s="79"/>
      <c r="J15" s="14" t="str">
        <f t="shared" ref="J15" si="48">IFERROR(IF((I15/F15)&lt;$AC$8,I15/F15,"pas de fixation"),"")</f>
        <v/>
      </c>
      <c r="K15" s="15" t="str">
        <f t="shared" ref="K15" si="49">IFERROR(IF(J15&lt;&gt;"pas de fixation",L15-J15,""),"")</f>
        <v/>
      </c>
      <c r="L15" s="16" t="str">
        <f t="shared" ref="L15" si="50">IF(J15&lt;&gt;"pas de fixation",IF(J15&lt;N$8,IF((N$8-J15)&gt;K$11,J15+K$11,N$8),J15),"")</f>
        <v/>
      </c>
      <c r="M15" s="15" t="str">
        <f t="shared" ref="M15" si="51">IFERROR(IF(J15&lt;&gt;"pas de fixation",N15-L15,""),"")</f>
        <v/>
      </c>
      <c r="N15" s="71" t="str">
        <f t="shared" ref="N15" si="52">IF(J15&lt;&gt;"pas de fixation",IF(L15&lt;N$8,IF((N$8-L15)&gt;M$11,L15+M$11,N$8),L15),"")</f>
        <v/>
      </c>
      <c r="O15" s="75" t="str">
        <f t="shared" ref="O15" si="53">IFERROR(IF(J15&lt;&gt;"pas de fixation",N15+$O$11,""),"")</f>
        <v/>
      </c>
      <c r="P15" s="64" t="str">
        <f t="shared" ref="P15" si="54">IFERROR(IF(J15&lt;&gt;"pas de fixation",O15+$P$11,""),"")</f>
        <v/>
      </c>
      <c r="Q15" s="17" t="str">
        <f t="shared" ref="Q15" si="55">IFERROR(IF(J15&lt;&gt;"pas de fixation",P15*F15,""),"")</f>
        <v/>
      </c>
      <c r="R15" s="18">
        <f t="shared" ref="R15" si="56">IF(J15&lt;&gt;"pas de fixation",IF(Q15&gt;H15,Q15,H15),"pas de fixation")</f>
        <v>0</v>
      </c>
      <c r="S15" s="237"/>
      <c r="T15" s="249"/>
      <c r="U15" s="249"/>
      <c r="V15" s="249"/>
      <c r="W15" s="249"/>
      <c r="X15" s="249"/>
      <c r="Y15" s="249"/>
      <c r="Z15" s="249"/>
      <c r="AA15" s="249"/>
      <c r="AB15" s="248"/>
      <c r="AC15" s="13"/>
      <c r="AD15" s="1">
        <f t="shared" ref="AD15" si="57">COUNTIF(J15,"pas de fixation")</f>
        <v>0</v>
      </c>
      <c r="AE15" s="1">
        <f t="shared" ref="AE15" si="58">IF(J15&lt;&gt;"pas de fixation",F15,"")</f>
        <v>0</v>
      </c>
      <c r="AF15" s="1">
        <f t="shared" ref="AF15" si="59">IF(J15&lt;&gt;"pas de fixation",H15,"")</f>
        <v>0</v>
      </c>
      <c r="AG15" s="1">
        <f t="shared" ref="AG15" si="60">IF(J15&lt;&gt;"pas de fixation",I15,"")</f>
        <v>0</v>
      </c>
      <c r="AH15" s="57" t="str">
        <f t="shared" ref="AH15" si="61">IFERROR(I15/F15,"")</f>
        <v/>
      </c>
      <c r="AI15" s="66" t="str">
        <f t="shared" ref="AI15" si="62">IFERROR(IF(J15&lt;&gt;"pas de fixation",O15*F15,I15),"")</f>
        <v/>
      </c>
      <c r="AJ15" s="67">
        <f t="shared" ref="AJ15" si="63">IF(J15&lt;&gt;"pas de fixation",R15,I15)</f>
        <v>0</v>
      </c>
      <c r="AK15" s="67"/>
      <c r="AM15" s="59"/>
    </row>
    <row r="16" spans="2:60" ht="15" customHeight="1" x14ac:dyDescent="0.2">
      <c r="B16" s="254"/>
      <c r="C16" s="500"/>
      <c r="D16" s="499"/>
      <c r="E16" s="76"/>
      <c r="F16" s="77"/>
      <c r="G16" s="233"/>
      <c r="H16" s="78"/>
      <c r="I16" s="79"/>
      <c r="J16" s="14" t="str">
        <f t="shared" ref="J16" si="64">IFERROR(IF((I16/F16)&lt;$AC$8,I16/F16,"pas de fixation"),"")</f>
        <v/>
      </c>
      <c r="K16" s="15" t="str">
        <f t="shared" ref="K16" si="65">IFERROR(IF(J16&lt;&gt;"pas de fixation",L16-J16,""),"")</f>
        <v/>
      </c>
      <c r="L16" s="16" t="str">
        <f t="shared" ref="L16" si="66">IF(J16&lt;&gt;"pas de fixation",IF(J16&lt;N$8,IF((N$8-J16)&gt;K$11,J16+K$11,N$8),J16),"")</f>
        <v/>
      </c>
      <c r="M16" s="15" t="str">
        <f t="shared" ref="M16" si="67">IFERROR(IF(J16&lt;&gt;"pas de fixation",N16-L16,""),"")</f>
        <v/>
      </c>
      <c r="N16" s="71" t="str">
        <f t="shared" ref="N16" si="68">IF(J16&lt;&gt;"pas de fixation",IF(L16&lt;N$8,IF((N$8-L16)&gt;M$11,L16+M$11,N$8),L16),"")</f>
        <v/>
      </c>
      <c r="O16" s="75" t="str">
        <f t="shared" ref="O16" si="69">IFERROR(IF(J16&lt;&gt;"pas de fixation",N16+$O$11,""),"")</f>
        <v/>
      </c>
      <c r="P16" s="64" t="str">
        <f t="shared" ref="P16" si="70">IFERROR(IF(J16&lt;&gt;"pas de fixation",O16+$P$11,""),"")</f>
        <v/>
      </c>
      <c r="Q16" s="17" t="str">
        <f t="shared" ref="Q16" si="71">IFERROR(IF(J16&lt;&gt;"pas de fixation",P16*F16,""),"")</f>
        <v/>
      </c>
      <c r="R16" s="18">
        <f t="shared" ref="R16" si="72">IF(J16&lt;&gt;"pas de fixation",IF(Q16&gt;H16,Q16,H16),"pas de fixation")</f>
        <v>0</v>
      </c>
      <c r="S16" s="237"/>
      <c r="T16" s="249"/>
      <c r="U16" s="249"/>
      <c r="V16" s="249"/>
      <c r="W16" s="249"/>
      <c r="X16" s="249"/>
      <c r="Y16" s="249"/>
      <c r="Z16" s="249"/>
      <c r="AA16" s="249"/>
      <c r="AB16" s="248"/>
      <c r="AC16" s="13"/>
      <c r="AD16" s="1">
        <f t="shared" ref="AD16" si="73">COUNTIF(J16,"pas de fixation")</f>
        <v>0</v>
      </c>
      <c r="AE16" s="1">
        <f t="shared" ref="AE16" si="74">IF(J16&lt;&gt;"pas de fixation",F16,"")</f>
        <v>0</v>
      </c>
      <c r="AF16" s="1">
        <f t="shared" ref="AF16" si="75">IF(J16&lt;&gt;"pas de fixation",H16,"")</f>
        <v>0</v>
      </c>
      <c r="AG16" s="1">
        <f t="shared" ref="AG16" si="76">IF(J16&lt;&gt;"pas de fixation",I16,"")</f>
        <v>0</v>
      </c>
      <c r="AH16" s="57" t="str">
        <f t="shared" ref="AH16" si="77">IFERROR(I16/F16,"")</f>
        <v/>
      </c>
      <c r="AI16" s="66" t="str">
        <f t="shared" ref="AI16" si="78">IFERROR(IF(J16&lt;&gt;"pas de fixation",O16*F16,I16),"")</f>
        <v/>
      </c>
      <c r="AJ16" s="67">
        <f t="shared" ref="AJ16" si="79">IF(J16&lt;&gt;"pas de fixation",R16,I16)</f>
        <v>0</v>
      </c>
      <c r="AK16" s="67"/>
      <c r="AM16" s="59"/>
    </row>
    <row r="17" spans="2:39" ht="15" customHeight="1" x14ac:dyDescent="0.2">
      <c r="B17" s="254"/>
      <c r="C17" s="500"/>
      <c r="D17" s="499"/>
      <c r="E17" s="76"/>
      <c r="F17" s="77"/>
      <c r="G17" s="233"/>
      <c r="H17" s="78"/>
      <c r="I17" s="79"/>
      <c r="J17" s="14" t="str">
        <f t="shared" ref="J17" si="80">IFERROR(IF((I17/F17)&lt;$AC$8,I17/F17,"pas de fixation"),"")</f>
        <v/>
      </c>
      <c r="K17" s="15" t="str">
        <f t="shared" ref="K17" si="81">IFERROR(IF(J17&lt;&gt;"pas de fixation",L17-J17,""),"")</f>
        <v/>
      </c>
      <c r="L17" s="16" t="str">
        <f t="shared" ref="L17" si="82">IF(J17&lt;&gt;"pas de fixation",IF(J17&lt;N$8,IF((N$8-J17)&gt;K$11,J17+K$11,N$8),J17),"")</f>
        <v/>
      </c>
      <c r="M17" s="15" t="str">
        <f t="shared" ref="M17" si="83">IFERROR(IF(J17&lt;&gt;"pas de fixation",N17-L17,""),"")</f>
        <v/>
      </c>
      <c r="N17" s="71" t="str">
        <f t="shared" ref="N17" si="84">IF(J17&lt;&gt;"pas de fixation",IF(L17&lt;N$8,IF((N$8-L17)&gt;M$11,L17+M$11,N$8),L17),"")</f>
        <v/>
      </c>
      <c r="O17" s="75" t="str">
        <f t="shared" ref="O17" si="85">IFERROR(IF(J17&lt;&gt;"pas de fixation",N17+$O$11,""),"")</f>
        <v/>
      </c>
      <c r="P17" s="64" t="str">
        <f t="shared" ref="P17" si="86">IFERROR(IF(J17&lt;&gt;"pas de fixation",O17+$P$11,""),"")</f>
        <v/>
      </c>
      <c r="Q17" s="17" t="str">
        <f t="shared" ref="Q17" si="87">IFERROR(IF(J17&lt;&gt;"pas de fixation",P17*F17,""),"")</f>
        <v/>
      </c>
      <c r="R17" s="18">
        <f t="shared" ref="R17" si="88">IF(J17&lt;&gt;"pas de fixation",IF(Q17&gt;H17,Q17,H17),"pas de fixation")</f>
        <v>0</v>
      </c>
      <c r="S17" s="237"/>
      <c r="T17" s="249"/>
      <c r="U17" s="249"/>
      <c r="V17" s="249"/>
      <c r="W17" s="249"/>
      <c r="X17" s="249"/>
      <c r="Y17" s="249"/>
      <c r="Z17" s="249"/>
      <c r="AA17" s="249"/>
      <c r="AB17" s="248"/>
      <c r="AC17" s="13"/>
      <c r="AD17" s="1">
        <f t="shared" ref="AD17" si="89">COUNTIF(J17,"pas de fixation")</f>
        <v>0</v>
      </c>
      <c r="AE17" s="1">
        <f t="shared" ref="AE17" si="90">IF(J17&lt;&gt;"pas de fixation",F17,"")</f>
        <v>0</v>
      </c>
      <c r="AF17" s="1">
        <f t="shared" ref="AF17" si="91">IF(J17&lt;&gt;"pas de fixation",H17,"")</f>
        <v>0</v>
      </c>
      <c r="AG17" s="1">
        <f t="shared" ref="AG17" si="92">IF(J17&lt;&gt;"pas de fixation",I17,"")</f>
        <v>0</v>
      </c>
      <c r="AH17" s="57" t="str">
        <f t="shared" ref="AH17" si="93">IFERROR(I17/F17,"")</f>
        <v/>
      </c>
      <c r="AI17" s="66" t="str">
        <f t="shared" ref="AI17" si="94">IFERROR(IF(J17&lt;&gt;"pas de fixation",O17*F17,I17),"")</f>
        <v/>
      </c>
      <c r="AJ17" s="67">
        <f t="shared" ref="AJ17" si="95">IF(J17&lt;&gt;"pas de fixation",R17,I17)</f>
        <v>0</v>
      </c>
      <c r="AK17" s="67"/>
      <c r="AM17" s="59"/>
    </row>
    <row r="18" spans="2:39" ht="15" customHeight="1" x14ac:dyDescent="0.2">
      <c r="B18" s="254"/>
      <c r="C18" s="500"/>
      <c r="D18" s="499"/>
      <c r="E18" s="76"/>
      <c r="F18" s="77"/>
      <c r="G18" s="233"/>
      <c r="H18" s="78"/>
      <c r="I18" s="79"/>
      <c r="J18" s="14" t="str">
        <f t="shared" ref="J18" si="96">IFERROR(IF((I18/F18)&lt;$AC$8,I18/F18,"pas de fixation"),"")</f>
        <v/>
      </c>
      <c r="K18" s="15" t="str">
        <f t="shared" ref="K18" si="97">IFERROR(IF(J18&lt;&gt;"pas de fixation",L18-J18,""),"")</f>
        <v/>
      </c>
      <c r="L18" s="16" t="str">
        <f t="shared" ref="L18" si="98">IF(J18&lt;&gt;"pas de fixation",IF(J18&lt;N$8,IF((N$8-J18)&gt;K$11,J18+K$11,N$8),J18),"")</f>
        <v/>
      </c>
      <c r="M18" s="15" t="str">
        <f t="shared" ref="M18" si="99">IFERROR(IF(J18&lt;&gt;"pas de fixation",N18-L18,""),"")</f>
        <v/>
      </c>
      <c r="N18" s="71" t="str">
        <f t="shared" ref="N18" si="100">IF(J18&lt;&gt;"pas de fixation",IF(L18&lt;N$8,IF((N$8-L18)&gt;M$11,L18+M$11,N$8),L18),"")</f>
        <v/>
      </c>
      <c r="O18" s="75" t="str">
        <f t="shared" ref="O18" si="101">IFERROR(IF(J18&lt;&gt;"pas de fixation",N18+$O$11,""),"")</f>
        <v/>
      </c>
      <c r="P18" s="64" t="str">
        <f t="shared" ref="P18" si="102">IFERROR(IF(J18&lt;&gt;"pas de fixation",O18+$P$11,""),"")</f>
        <v/>
      </c>
      <c r="Q18" s="17" t="str">
        <f t="shared" ref="Q18" si="103">IFERROR(IF(J18&lt;&gt;"pas de fixation",P18*F18,""),"")</f>
        <v/>
      </c>
      <c r="R18" s="18">
        <f t="shared" ref="R18" si="104">IF(J18&lt;&gt;"pas de fixation",IF(Q18&gt;H18,Q18,H18),"pas de fixation")</f>
        <v>0</v>
      </c>
      <c r="S18" s="237"/>
      <c r="T18" s="249"/>
      <c r="U18" s="249"/>
      <c r="V18" s="249"/>
      <c r="W18" s="249"/>
      <c r="X18" s="249"/>
      <c r="Y18" s="249"/>
      <c r="Z18" s="249"/>
      <c r="AA18" s="249"/>
      <c r="AB18" s="248"/>
      <c r="AC18" s="13"/>
      <c r="AD18" s="1">
        <f t="shared" ref="AD18" si="105">COUNTIF(J18,"pas de fixation")</f>
        <v>0</v>
      </c>
      <c r="AE18" s="1">
        <f t="shared" ref="AE18" si="106">IF(J18&lt;&gt;"pas de fixation",F18,"")</f>
        <v>0</v>
      </c>
      <c r="AF18" s="1">
        <f t="shared" ref="AF18" si="107">IF(J18&lt;&gt;"pas de fixation",H18,"")</f>
        <v>0</v>
      </c>
      <c r="AG18" s="1">
        <f t="shared" ref="AG18" si="108">IF(J18&lt;&gt;"pas de fixation",I18,"")</f>
        <v>0</v>
      </c>
      <c r="AH18" s="57" t="str">
        <f t="shared" ref="AH18" si="109">IFERROR(I18/F18,"")</f>
        <v/>
      </c>
      <c r="AI18" s="66" t="str">
        <f t="shared" ref="AI18" si="110">IFERROR(IF(J18&lt;&gt;"pas de fixation",O18*F18,I18),"")</f>
        <v/>
      </c>
      <c r="AJ18" s="67">
        <f t="shared" ref="AJ18" si="111">IF(J18&lt;&gt;"pas de fixation",R18,I18)</f>
        <v>0</v>
      </c>
      <c r="AK18" s="67"/>
      <c r="AM18" s="59"/>
    </row>
    <row r="19" spans="2:39" ht="15" customHeight="1" x14ac:dyDescent="0.2">
      <c r="B19" s="254"/>
      <c r="C19" s="500"/>
      <c r="D19" s="499"/>
      <c r="E19" s="76"/>
      <c r="F19" s="77"/>
      <c r="G19" s="233"/>
      <c r="H19" s="78"/>
      <c r="I19" s="79"/>
      <c r="J19" s="14" t="str">
        <f t="shared" ref="J19" si="112">IFERROR(IF((I19/F19)&lt;$AC$8,I19/F19,"pas de fixation"),"")</f>
        <v/>
      </c>
      <c r="K19" s="15" t="str">
        <f t="shared" ref="K19" si="113">IFERROR(IF(J19&lt;&gt;"pas de fixation",L19-J19,""),"")</f>
        <v/>
      </c>
      <c r="L19" s="16" t="str">
        <f t="shared" ref="L19" si="114">IF(J19&lt;&gt;"pas de fixation",IF(J19&lt;N$8,IF((N$8-J19)&gt;K$11,J19+K$11,N$8),J19),"")</f>
        <v/>
      </c>
      <c r="M19" s="15" t="str">
        <f t="shared" ref="M19" si="115">IFERROR(IF(J19&lt;&gt;"pas de fixation",N19-L19,""),"")</f>
        <v/>
      </c>
      <c r="N19" s="71" t="str">
        <f t="shared" ref="N19" si="116">IF(J19&lt;&gt;"pas de fixation",IF(L19&lt;N$8,IF((N$8-L19)&gt;M$11,L19+M$11,N$8),L19),"")</f>
        <v/>
      </c>
      <c r="O19" s="75" t="str">
        <f t="shared" ref="O19" si="117">IFERROR(IF(J19&lt;&gt;"pas de fixation",N19+$O$11,""),"")</f>
        <v/>
      </c>
      <c r="P19" s="64" t="str">
        <f t="shared" ref="P19" si="118">IFERROR(IF(J19&lt;&gt;"pas de fixation",O19+$P$11,""),"")</f>
        <v/>
      </c>
      <c r="Q19" s="17" t="str">
        <f t="shared" ref="Q19" si="119">IFERROR(IF(J19&lt;&gt;"pas de fixation",P19*F19,""),"")</f>
        <v/>
      </c>
      <c r="R19" s="18">
        <f t="shared" ref="R19" si="120">IF(J19&lt;&gt;"pas de fixation",IF(Q19&gt;H19,Q19,H19),"pas de fixation")</f>
        <v>0</v>
      </c>
      <c r="S19" s="237"/>
      <c r="T19" s="249"/>
      <c r="U19" s="249"/>
      <c r="V19" s="249"/>
      <c r="W19" s="249"/>
      <c r="X19" s="249"/>
      <c r="Y19" s="249"/>
      <c r="Z19" s="249"/>
      <c r="AA19" s="249"/>
      <c r="AB19" s="248"/>
      <c r="AC19" s="13"/>
      <c r="AD19" s="1">
        <f t="shared" ref="AD19" si="121">COUNTIF(J19,"pas de fixation")</f>
        <v>0</v>
      </c>
      <c r="AE19" s="1">
        <f t="shared" ref="AE19" si="122">IF(J19&lt;&gt;"pas de fixation",F19,"")</f>
        <v>0</v>
      </c>
      <c r="AF19" s="1">
        <f t="shared" ref="AF19" si="123">IF(J19&lt;&gt;"pas de fixation",H19,"")</f>
        <v>0</v>
      </c>
      <c r="AG19" s="1">
        <f t="shared" ref="AG19" si="124">IF(J19&lt;&gt;"pas de fixation",I19,"")</f>
        <v>0</v>
      </c>
      <c r="AH19" s="57" t="str">
        <f t="shared" ref="AH19" si="125">IFERROR(I19/F19,"")</f>
        <v/>
      </c>
      <c r="AI19" s="66" t="str">
        <f t="shared" ref="AI19" si="126">IFERROR(IF(J19&lt;&gt;"pas de fixation",O19*F19,I19),"")</f>
        <v/>
      </c>
      <c r="AJ19" s="67">
        <f t="shared" ref="AJ19" si="127">IF(J19&lt;&gt;"pas de fixation",R19,I19)</f>
        <v>0</v>
      </c>
      <c r="AK19" s="67"/>
      <c r="AM19" s="59"/>
    </row>
    <row r="20" spans="2:39" ht="15" customHeight="1" x14ac:dyDescent="0.2">
      <c r="B20" s="254"/>
      <c r="C20" s="500"/>
      <c r="D20" s="499"/>
      <c r="E20" s="76"/>
      <c r="F20" s="77"/>
      <c r="G20" s="233"/>
      <c r="H20" s="78"/>
      <c r="I20" s="79"/>
      <c r="J20" s="14" t="str">
        <f t="shared" ref="J20" si="128">IFERROR(IF((I20/F20)&lt;$AC$8,I20/F20,"pas de fixation"),"")</f>
        <v/>
      </c>
      <c r="K20" s="15" t="str">
        <f t="shared" ref="K20" si="129">IFERROR(IF(J20&lt;&gt;"pas de fixation",L20-J20,""),"")</f>
        <v/>
      </c>
      <c r="L20" s="16" t="str">
        <f t="shared" ref="L20" si="130">IF(J20&lt;&gt;"pas de fixation",IF(J20&lt;N$8,IF((N$8-J20)&gt;K$11,J20+K$11,N$8),J20),"")</f>
        <v/>
      </c>
      <c r="M20" s="15" t="str">
        <f t="shared" ref="M20" si="131">IFERROR(IF(J20&lt;&gt;"pas de fixation",N20-L20,""),"")</f>
        <v/>
      </c>
      <c r="N20" s="71" t="str">
        <f t="shared" ref="N20" si="132">IF(J20&lt;&gt;"pas de fixation",IF(L20&lt;N$8,IF((N$8-L20)&gt;M$11,L20+M$11,N$8),L20),"")</f>
        <v/>
      </c>
      <c r="O20" s="75" t="str">
        <f t="shared" ref="O20" si="133">IFERROR(IF(J20&lt;&gt;"pas de fixation",N20+$O$11,""),"")</f>
        <v/>
      </c>
      <c r="P20" s="64" t="str">
        <f t="shared" ref="P20" si="134">IFERROR(IF(J20&lt;&gt;"pas de fixation",O20+$P$11,""),"")</f>
        <v/>
      </c>
      <c r="Q20" s="17" t="str">
        <f t="shared" ref="Q20" si="135">IFERROR(IF(J20&lt;&gt;"pas de fixation",P20*F20,""),"")</f>
        <v/>
      </c>
      <c r="R20" s="18">
        <f t="shared" ref="R20" si="136">IF(J20&lt;&gt;"pas de fixation",IF(Q20&gt;H20,Q20,H20),"pas de fixation")</f>
        <v>0</v>
      </c>
      <c r="S20" s="237"/>
      <c r="T20" s="249"/>
      <c r="U20" s="249"/>
      <c r="V20" s="249"/>
      <c r="W20" s="249"/>
      <c r="X20" s="249"/>
      <c r="Y20" s="249"/>
      <c r="Z20" s="249"/>
      <c r="AA20" s="249"/>
      <c r="AB20" s="248"/>
      <c r="AC20" s="13"/>
      <c r="AD20" s="1">
        <f t="shared" ref="AD20" si="137">COUNTIF(J20,"pas de fixation")</f>
        <v>0</v>
      </c>
      <c r="AE20" s="1">
        <f t="shared" ref="AE20" si="138">IF(J20&lt;&gt;"pas de fixation",F20,"")</f>
        <v>0</v>
      </c>
      <c r="AF20" s="1">
        <f t="shared" ref="AF20" si="139">IF(J20&lt;&gt;"pas de fixation",H20,"")</f>
        <v>0</v>
      </c>
      <c r="AG20" s="1">
        <f t="shared" ref="AG20" si="140">IF(J20&lt;&gt;"pas de fixation",I20,"")</f>
        <v>0</v>
      </c>
      <c r="AH20" s="57" t="str">
        <f t="shared" ref="AH20" si="141">IFERROR(I20/F20,"")</f>
        <v/>
      </c>
      <c r="AI20" s="66" t="str">
        <f t="shared" ref="AI20" si="142">IFERROR(IF(J20&lt;&gt;"pas de fixation",O20*F20,I20),"")</f>
        <v/>
      </c>
      <c r="AJ20" s="67">
        <f t="shared" ref="AJ20" si="143">IF(J20&lt;&gt;"pas de fixation",R20,I20)</f>
        <v>0</v>
      </c>
      <c r="AK20" s="67"/>
      <c r="AM20" s="59"/>
    </row>
    <row r="21" spans="2:39" ht="15" customHeight="1" x14ac:dyDescent="0.2">
      <c r="B21" s="254"/>
      <c r="C21" s="500"/>
      <c r="D21" s="499"/>
      <c r="E21" s="76"/>
      <c r="F21" s="77"/>
      <c r="G21" s="233"/>
      <c r="H21" s="78"/>
      <c r="I21" s="79"/>
      <c r="J21" s="14" t="str">
        <f t="shared" ref="J21" si="144">IFERROR(IF((I21/F21)&lt;$AC$8,I21/F21,"pas de fixation"),"")</f>
        <v/>
      </c>
      <c r="K21" s="15" t="str">
        <f t="shared" ref="K21" si="145">IFERROR(IF(J21&lt;&gt;"pas de fixation",L21-J21,""),"")</f>
        <v/>
      </c>
      <c r="L21" s="16" t="str">
        <f t="shared" ref="L21" si="146">IF(J21&lt;&gt;"pas de fixation",IF(J21&lt;N$8,IF((N$8-J21)&gt;K$11,J21+K$11,N$8),J21),"")</f>
        <v/>
      </c>
      <c r="M21" s="15" t="str">
        <f t="shared" ref="M21" si="147">IFERROR(IF(J21&lt;&gt;"pas de fixation",N21-L21,""),"")</f>
        <v/>
      </c>
      <c r="N21" s="71" t="str">
        <f t="shared" ref="N21" si="148">IF(J21&lt;&gt;"pas de fixation",IF(L21&lt;N$8,IF((N$8-L21)&gt;M$11,L21+M$11,N$8),L21),"")</f>
        <v/>
      </c>
      <c r="O21" s="75" t="str">
        <f t="shared" ref="O21" si="149">IFERROR(IF(J21&lt;&gt;"pas de fixation",N21+$O$11,""),"")</f>
        <v/>
      </c>
      <c r="P21" s="64" t="str">
        <f t="shared" ref="P21" si="150">IFERROR(IF(J21&lt;&gt;"pas de fixation",O21+$P$11,""),"")</f>
        <v/>
      </c>
      <c r="Q21" s="17" t="str">
        <f t="shared" ref="Q21" si="151">IFERROR(IF(J21&lt;&gt;"pas de fixation",P21*F21,""),"")</f>
        <v/>
      </c>
      <c r="R21" s="18">
        <f t="shared" ref="R21" si="152">IF(J21&lt;&gt;"pas de fixation",IF(Q21&gt;H21,Q21,H21),"pas de fixation")</f>
        <v>0</v>
      </c>
      <c r="S21" s="237"/>
      <c r="T21" s="249"/>
      <c r="U21" s="249"/>
      <c r="V21" s="249"/>
      <c r="W21" s="249"/>
      <c r="X21" s="249"/>
      <c r="Y21" s="249"/>
      <c r="Z21" s="249"/>
      <c r="AA21" s="249"/>
      <c r="AB21" s="248"/>
      <c r="AC21" s="13"/>
      <c r="AD21" s="1">
        <f t="shared" ref="AD21" si="153">COUNTIF(J21,"pas de fixation")</f>
        <v>0</v>
      </c>
      <c r="AE21" s="1">
        <f t="shared" ref="AE21" si="154">IF(J21&lt;&gt;"pas de fixation",F21,"")</f>
        <v>0</v>
      </c>
      <c r="AF21" s="1">
        <f t="shared" ref="AF21" si="155">IF(J21&lt;&gt;"pas de fixation",H21,"")</f>
        <v>0</v>
      </c>
      <c r="AG21" s="1">
        <f t="shared" ref="AG21" si="156">IF(J21&lt;&gt;"pas de fixation",I21,"")</f>
        <v>0</v>
      </c>
      <c r="AH21" s="57" t="str">
        <f t="shared" ref="AH21" si="157">IFERROR(I21/F21,"")</f>
        <v/>
      </c>
      <c r="AI21" s="66" t="str">
        <f t="shared" ref="AI21" si="158">IFERROR(IF(J21&lt;&gt;"pas de fixation",O21*F21,I21),"")</f>
        <v/>
      </c>
      <c r="AJ21" s="67">
        <f t="shared" ref="AJ21" si="159">IF(J21&lt;&gt;"pas de fixation",R21,I21)</f>
        <v>0</v>
      </c>
      <c r="AK21" s="67"/>
      <c r="AM21" s="59"/>
    </row>
    <row r="22" spans="2:39" ht="15" customHeight="1" x14ac:dyDescent="0.2">
      <c r="B22" s="254"/>
      <c r="C22" s="500"/>
      <c r="D22" s="499"/>
      <c r="E22" s="76"/>
      <c r="F22" s="77"/>
      <c r="G22" s="233"/>
      <c r="H22" s="78"/>
      <c r="I22" s="79"/>
      <c r="J22" s="14" t="str">
        <f t="shared" ref="J22" si="160">IFERROR(IF((I22/F22)&lt;$AC$8,I22/F22,"pas de fixation"),"")</f>
        <v/>
      </c>
      <c r="K22" s="15" t="str">
        <f t="shared" ref="K22" si="161">IFERROR(IF(J22&lt;&gt;"pas de fixation",L22-J22,""),"")</f>
        <v/>
      </c>
      <c r="L22" s="16" t="str">
        <f t="shared" ref="L22" si="162">IF(J22&lt;&gt;"pas de fixation",IF(J22&lt;N$8,IF((N$8-J22)&gt;K$11,J22+K$11,N$8),J22),"")</f>
        <v/>
      </c>
      <c r="M22" s="15" t="str">
        <f t="shared" ref="M22" si="163">IFERROR(IF(J22&lt;&gt;"pas de fixation",N22-L22,""),"")</f>
        <v/>
      </c>
      <c r="N22" s="71" t="str">
        <f t="shared" ref="N22" si="164">IF(J22&lt;&gt;"pas de fixation",IF(L22&lt;N$8,IF((N$8-L22)&gt;M$11,L22+M$11,N$8),L22),"")</f>
        <v/>
      </c>
      <c r="O22" s="75" t="str">
        <f t="shared" ref="O22" si="165">IFERROR(IF(J22&lt;&gt;"pas de fixation",N22+$O$11,""),"")</f>
        <v/>
      </c>
      <c r="P22" s="64" t="str">
        <f t="shared" ref="P22" si="166">IFERROR(IF(J22&lt;&gt;"pas de fixation",O22+$P$11,""),"")</f>
        <v/>
      </c>
      <c r="Q22" s="17" t="str">
        <f t="shared" ref="Q22" si="167">IFERROR(IF(J22&lt;&gt;"pas de fixation",P22*F22,""),"")</f>
        <v/>
      </c>
      <c r="R22" s="18">
        <f t="shared" ref="R22" si="168">IF(J22&lt;&gt;"pas de fixation",IF(Q22&gt;H22,Q22,H22),"pas de fixation")</f>
        <v>0</v>
      </c>
      <c r="S22" s="237"/>
      <c r="T22" s="249"/>
      <c r="U22" s="249"/>
      <c r="V22" s="249"/>
      <c r="W22" s="249"/>
      <c r="X22" s="249"/>
      <c r="Y22" s="249"/>
      <c r="Z22" s="249"/>
      <c r="AA22" s="249"/>
      <c r="AB22" s="248"/>
      <c r="AC22" s="13"/>
      <c r="AD22" s="1">
        <f t="shared" ref="AD22" si="169">COUNTIF(J22,"pas de fixation")</f>
        <v>0</v>
      </c>
      <c r="AE22" s="1">
        <f t="shared" ref="AE22" si="170">IF(J22&lt;&gt;"pas de fixation",F22,"")</f>
        <v>0</v>
      </c>
      <c r="AF22" s="1">
        <f t="shared" ref="AF22" si="171">IF(J22&lt;&gt;"pas de fixation",H22,"")</f>
        <v>0</v>
      </c>
      <c r="AG22" s="1">
        <f t="shared" ref="AG22" si="172">IF(J22&lt;&gt;"pas de fixation",I22,"")</f>
        <v>0</v>
      </c>
      <c r="AH22" s="57" t="str">
        <f t="shared" ref="AH22" si="173">IFERROR(I22/F22,"")</f>
        <v/>
      </c>
      <c r="AI22" s="66" t="str">
        <f t="shared" ref="AI22" si="174">IFERROR(IF(J22&lt;&gt;"pas de fixation",O22*F22,I22),"")</f>
        <v/>
      </c>
      <c r="AJ22" s="67">
        <f t="shared" ref="AJ22" si="175">IF(J22&lt;&gt;"pas de fixation",R22,I22)</f>
        <v>0</v>
      </c>
      <c r="AK22" s="67"/>
      <c r="AM22" s="59"/>
    </row>
    <row r="23" spans="2:39" ht="15" customHeight="1" x14ac:dyDescent="0.2">
      <c r="B23" s="254"/>
      <c r="C23" s="500"/>
      <c r="D23" s="499"/>
      <c r="E23" s="76"/>
      <c r="F23" s="77"/>
      <c r="G23" s="233"/>
      <c r="H23" s="78"/>
      <c r="I23" s="79"/>
      <c r="J23" s="14" t="str">
        <f t="shared" ref="J23" si="176">IFERROR(IF((I23/F23)&lt;$AC$8,I23/F23,"pas de fixation"),"")</f>
        <v/>
      </c>
      <c r="K23" s="15" t="str">
        <f t="shared" ref="K23" si="177">IFERROR(IF(J23&lt;&gt;"pas de fixation",L23-J23,""),"")</f>
        <v/>
      </c>
      <c r="L23" s="16" t="str">
        <f t="shared" ref="L23" si="178">IF(J23&lt;&gt;"pas de fixation",IF(J23&lt;N$8,IF((N$8-J23)&gt;K$11,J23+K$11,N$8),J23),"")</f>
        <v/>
      </c>
      <c r="M23" s="15" t="str">
        <f t="shared" ref="M23" si="179">IFERROR(IF(J23&lt;&gt;"pas de fixation",N23-L23,""),"")</f>
        <v/>
      </c>
      <c r="N23" s="71" t="str">
        <f t="shared" ref="N23" si="180">IF(J23&lt;&gt;"pas de fixation",IF(L23&lt;N$8,IF((N$8-L23)&gt;M$11,L23+M$11,N$8),L23),"")</f>
        <v/>
      </c>
      <c r="O23" s="75" t="str">
        <f t="shared" ref="O23" si="181">IFERROR(IF(J23&lt;&gt;"pas de fixation",N23+$O$11,""),"")</f>
        <v/>
      </c>
      <c r="P23" s="64" t="str">
        <f t="shared" ref="P23" si="182">IFERROR(IF(J23&lt;&gt;"pas de fixation",O23+$P$11,""),"")</f>
        <v/>
      </c>
      <c r="Q23" s="17" t="str">
        <f t="shared" ref="Q23" si="183">IFERROR(IF(J23&lt;&gt;"pas de fixation",P23*F23,""),"")</f>
        <v/>
      </c>
      <c r="R23" s="18">
        <f t="shared" ref="R23" si="184">IF(J23&lt;&gt;"pas de fixation",IF(Q23&gt;H23,Q23,H23),"pas de fixation")</f>
        <v>0</v>
      </c>
      <c r="S23" s="237"/>
      <c r="T23" s="249"/>
      <c r="U23" s="249"/>
      <c r="V23" s="249"/>
      <c r="W23" s="249"/>
      <c r="X23" s="249"/>
      <c r="Y23" s="249"/>
      <c r="Z23" s="249"/>
      <c r="AA23" s="249"/>
      <c r="AB23" s="248"/>
      <c r="AC23" s="13"/>
      <c r="AD23" s="1">
        <f t="shared" ref="AD23" si="185">COUNTIF(J23,"pas de fixation")</f>
        <v>0</v>
      </c>
      <c r="AE23" s="1">
        <f t="shared" ref="AE23" si="186">IF(J23&lt;&gt;"pas de fixation",F23,"")</f>
        <v>0</v>
      </c>
      <c r="AF23" s="1">
        <f t="shared" ref="AF23" si="187">IF(J23&lt;&gt;"pas de fixation",H23,"")</f>
        <v>0</v>
      </c>
      <c r="AG23" s="1">
        <f t="shared" ref="AG23" si="188">IF(J23&lt;&gt;"pas de fixation",I23,"")</f>
        <v>0</v>
      </c>
      <c r="AH23" s="57" t="str">
        <f t="shared" ref="AH23" si="189">IFERROR(I23/F23,"")</f>
        <v/>
      </c>
      <c r="AI23" s="66" t="str">
        <f t="shared" ref="AI23" si="190">IFERROR(IF(J23&lt;&gt;"pas de fixation",O23*F23,I23),"")</f>
        <v/>
      </c>
      <c r="AJ23" s="67">
        <f t="shared" ref="AJ23" si="191">IF(J23&lt;&gt;"pas de fixation",R23,I23)</f>
        <v>0</v>
      </c>
      <c r="AK23" s="67"/>
      <c r="AM23" s="59"/>
    </row>
    <row r="24" spans="2:39" ht="15" customHeight="1" x14ac:dyDescent="0.2">
      <c r="B24" s="254"/>
      <c r="C24" s="500"/>
      <c r="D24" s="499"/>
      <c r="E24" s="76"/>
      <c r="F24" s="77"/>
      <c r="G24" s="233"/>
      <c r="H24" s="78"/>
      <c r="I24" s="79"/>
      <c r="J24" s="14" t="str">
        <f t="shared" ref="J24" si="192">IFERROR(IF((I24/F24)&lt;$AC$8,I24/F24,"pas de fixation"),"")</f>
        <v/>
      </c>
      <c r="K24" s="15" t="str">
        <f t="shared" ref="K24" si="193">IFERROR(IF(J24&lt;&gt;"pas de fixation",L24-J24,""),"")</f>
        <v/>
      </c>
      <c r="L24" s="16" t="str">
        <f t="shared" ref="L24" si="194">IF(J24&lt;&gt;"pas de fixation",IF(J24&lt;N$8,IF((N$8-J24)&gt;K$11,J24+K$11,N$8),J24),"")</f>
        <v/>
      </c>
      <c r="M24" s="15" t="str">
        <f t="shared" ref="M24" si="195">IFERROR(IF(J24&lt;&gt;"pas de fixation",N24-L24,""),"")</f>
        <v/>
      </c>
      <c r="N24" s="71" t="str">
        <f t="shared" ref="N24" si="196">IF(J24&lt;&gt;"pas de fixation",IF(L24&lt;N$8,IF((N$8-L24)&gt;M$11,L24+M$11,N$8),L24),"")</f>
        <v/>
      </c>
      <c r="O24" s="75" t="str">
        <f t="shared" ref="O24" si="197">IFERROR(IF(J24&lt;&gt;"pas de fixation",N24+$O$11,""),"")</f>
        <v/>
      </c>
      <c r="P24" s="64" t="str">
        <f t="shared" ref="P24" si="198">IFERROR(IF(J24&lt;&gt;"pas de fixation",O24+$P$11,""),"")</f>
        <v/>
      </c>
      <c r="Q24" s="17" t="str">
        <f t="shared" ref="Q24" si="199">IFERROR(IF(J24&lt;&gt;"pas de fixation",P24*F24,""),"")</f>
        <v/>
      </c>
      <c r="R24" s="18">
        <f t="shared" ref="R24" si="200">IF(J24&lt;&gt;"pas de fixation",IF(Q24&gt;H24,Q24,H24),"pas de fixation")</f>
        <v>0</v>
      </c>
      <c r="S24" s="237"/>
      <c r="T24" s="249"/>
      <c r="U24" s="249"/>
      <c r="V24" s="249"/>
      <c r="W24" s="249"/>
      <c r="X24" s="249"/>
      <c r="Y24" s="249"/>
      <c r="Z24" s="249"/>
      <c r="AA24" s="249"/>
      <c r="AB24" s="248"/>
      <c r="AC24" s="13"/>
      <c r="AD24" s="1">
        <f t="shared" ref="AD24" si="201">COUNTIF(J24,"pas de fixation")</f>
        <v>0</v>
      </c>
      <c r="AE24" s="1">
        <f t="shared" ref="AE24" si="202">IF(J24&lt;&gt;"pas de fixation",F24,"")</f>
        <v>0</v>
      </c>
      <c r="AF24" s="1">
        <f t="shared" ref="AF24" si="203">IF(J24&lt;&gt;"pas de fixation",H24,"")</f>
        <v>0</v>
      </c>
      <c r="AG24" s="1">
        <f t="shared" ref="AG24" si="204">IF(J24&lt;&gt;"pas de fixation",I24,"")</f>
        <v>0</v>
      </c>
      <c r="AH24" s="57" t="str">
        <f t="shared" ref="AH24" si="205">IFERROR(I24/F24,"")</f>
        <v/>
      </c>
      <c r="AI24" s="66" t="str">
        <f t="shared" ref="AI24" si="206">IFERROR(IF(J24&lt;&gt;"pas de fixation",O24*F24,I24),"")</f>
        <v/>
      </c>
      <c r="AJ24" s="67">
        <f t="shared" ref="AJ24" si="207">IF(J24&lt;&gt;"pas de fixation",R24,I24)</f>
        <v>0</v>
      </c>
      <c r="AK24" s="67"/>
      <c r="AM24" s="59"/>
    </row>
    <row r="25" spans="2:39" ht="15" customHeight="1" x14ac:dyDescent="0.2">
      <c r="B25" s="254"/>
      <c r="C25" s="500"/>
      <c r="D25" s="499"/>
      <c r="E25" s="76"/>
      <c r="F25" s="77"/>
      <c r="G25" s="233"/>
      <c r="H25" s="78"/>
      <c r="I25" s="79"/>
      <c r="J25" s="14" t="str">
        <f t="shared" ref="J25" si="208">IFERROR(IF((I25/F25)&lt;$AC$8,I25/F25,"pas de fixation"),"")</f>
        <v/>
      </c>
      <c r="K25" s="15" t="str">
        <f t="shared" ref="K25" si="209">IFERROR(IF(J25&lt;&gt;"pas de fixation",L25-J25,""),"")</f>
        <v/>
      </c>
      <c r="L25" s="16" t="str">
        <f t="shared" ref="L25" si="210">IF(J25&lt;&gt;"pas de fixation",IF(J25&lt;N$8,IF((N$8-J25)&gt;K$11,J25+K$11,N$8),J25),"")</f>
        <v/>
      </c>
      <c r="M25" s="15" t="str">
        <f t="shared" ref="M25" si="211">IFERROR(IF(J25&lt;&gt;"pas de fixation",N25-L25,""),"")</f>
        <v/>
      </c>
      <c r="N25" s="71" t="str">
        <f t="shared" ref="N25" si="212">IF(J25&lt;&gt;"pas de fixation",IF(L25&lt;N$8,IF((N$8-L25)&gt;M$11,L25+M$11,N$8),L25),"")</f>
        <v/>
      </c>
      <c r="O25" s="75" t="str">
        <f t="shared" ref="O25" si="213">IFERROR(IF(J25&lt;&gt;"pas de fixation",N25+$O$11,""),"")</f>
        <v/>
      </c>
      <c r="P25" s="64" t="str">
        <f t="shared" ref="P25" si="214">IFERROR(IF(J25&lt;&gt;"pas de fixation",O25+$P$11,""),"")</f>
        <v/>
      </c>
      <c r="Q25" s="17" t="str">
        <f t="shared" ref="Q25" si="215">IFERROR(IF(J25&lt;&gt;"pas de fixation",P25*F25,""),"")</f>
        <v/>
      </c>
      <c r="R25" s="18">
        <f t="shared" ref="R25" si="216">IF(J25&lt;&gt;"pas de fixation",IF(Q25&gt;H25,Q25,H25),"pas de fixation")</f>
        <v>0</v>
      </c>
      <c r="S25" s="237"/>
      <c r="T25" s="249"/>
      <c r="U25" s="249"/>
      <c r="V25" s="249"/>
      <c r="W25" s="249"/>
      <c r="X25" s="249"/>
      <c r="Y25" s="249"/>
      <c r="Z25" s="249"/>
      <c r="AA25" s="249"/>
      <c r="AB25" s="248"/>
      <c r="AC25" s="13"/>
      <c r="AD25" s="1">
        <f t="shared" ref="AD25" si="217">COUNTIF(J25,"pas de fixation")</f>
        <v>0</v>
      </c>
      <c r="AE25" s="1">
        <f t="shared" ref="AE25" si="218">IF(J25&lt;&gt;"pas de fixation",F25,"")</f>
        <v>0</v>
      </c>
      <c r="AF25" s="1">
        <f t="shared" ref="AF25" si="219">IF(J25&lt;&gt;"pas de fixation",H25,"")</f>
        <v>0</v>
      </c>
      <c r="AG25" s="1">
        <f t="shared" ref="AG25" si="220">IF(J25&lt;&gt;"pas de fixation",I25,"")</f>
        <v>0</v>
      </c>
      <c r="AH25" s="57" t="str">
        <f t="shared" ref="AH25" si="221">IFERROR(I25/F25,"")</f>
        <v/>
      </c>
      <c r="AI25" s="66" t="str">
        <f t="shared" ref="AI25" si="222">IFERROR(IF(J25&lt;&gt;"pas de fixation",O25*F25,I25),"")</f>
        <v/>
      </c>
      <c r="AJ25" s="67">
        <f t="shared" ref="AJ25" si="223">IF(J25&lt;&gt;"pas de fixation",R25,I25)</f>
        <v>0</v>
      </c>
      <c r="AK25" s="67"/>
      <c r="AM25" s="59"/>
    </row>
    <row r="26" spans="2:39" ht="15" customHeight="1" x14ac:dyDescent="0.2">
      <c r="B26" s="254"/>
      <c r="C26" s="500"/>
      <c r="D26" s="499"/>
      <c r="E26" s="76"/>
      <c r="F26" s="77"/>
      <c r="G26" s="233"/>
      <c r="H26" s="78"/>
      <c r="I26" s="79"/>
      <c r="J26" s="14" t="str">
        <f t="shared" ref="J26" si="224">IFERROR(IF((I26/F26)&lt;$AC$8,I26/F26,"pas de fixation"),"")</f>
        <v/>
      </c>
      <c r="K26" s="15" t="str">
        <f t="shared" ref="K26" si="225">IFERROR(IF(J26&lt;&gt;"pas de fixation",L26-J26,""),"")</f>
        <v/>
      </c>
      <c r="L26" s="16" t="str">
        <f t="shared" ref="L26" si="226">IF(J26&lt;&gt;"pas de fixation",IF(J26&lt;N$8,IF((N$8-J26)&gt;K$11,J26+K$11,N$8),J26),"")</f>
        <v/>
      </c>
      <c r="M26" s="15" t="str">
        <f t="shared" ref="M26" si="227">IFERROR(IF(J26&lt;&gt;"pas de fixation",N26-L26,""),"")</f>
        <v/>
      </c>
      <c r="N26" s="71" t="str">
        <f t="shared" ref="N26" si="228">IF(J26&lt;&gt;"pas de fixation",IF(L26&lt;N$8,IF((N$8-L26)&gt;M$11,L26+M$11,N$8),L26),"")</f>
        <v/>
      </c>
      <c r="O26" s="75" t="str">
        <f t="shared" ref="O26" si="229">IFERROR(IF(J26&lt;&gt;"pas de fixation",N26+$O$11,""),"")</f>
        <v/>
      </c>
      <c r="P26" s="64" t="str">
        <f t="shared" ref="P26" si="230">IFERROR(IF(J26&lt;&gt;"pas de fixation",O26+$P$11,""),"")</f>
        <v/>
      </c>
      <c r="Q26" s="17" t="str">
        <f t="shared" ref="Q26" si="231">IFERROR(IF(J26&lt;&gt;"pas de fixation",P26*F26,""),"")</f>
        <v/>
      </c>
      <c r="R26" s="18">
        <f t="shared" ref="R26" si="232">IF(J26&lt;&gt;"pas de fixation",IF(Q26&gt;H26,Q26,H26),"pas de fixation")</f>
        <v>0</v>
      </c>
      <c r="S26" s="237"/>
      <c r="T26" s="249"/>
      <c r="U26" s="249"/>
      <c r="V26" s="249"/>
      <c r="W26" s="249"/>
      <c r="X26" s="249"/>
      <c r="Y26" s="249"/>
      <c r="Z26" s="249"/>
      <c r="AA26" s="249"/>
      <c r="AB26" s="248"/>
      <c r="AC26" s="13"/>
      <c r="AD26" s="1">
        <f t="shared" ref="AD26" si="233">COUNTIF(J26,"pas de fixation")</f>
        <v>0</v>
      </c>
      <c r="AE26" s="1">
        <f t="shared" ref="AE26" si="234">IF(J26&lt;&gt;"pas de fixation",F26,"")</f>
        <v>0</v>
      </c>
      <c r="AF26" s="1">
        <f t="shared" ref="AF26" si="235">IF(J26&lt;&gt;"pas de fixation",H26,"")</f>
        <v>0</v>
      </c>
      <c r="AG26" s="1">
        <f t="shared" ref="AG26" si="236">IF(J26&lt;&gt;"pas de fixation",I26,"")</f>
        <v>0</v>
      </c>
      <c r="AH26" s="57" t="str">
        <f t="shared" ref="AH26" si="237">IFERROR(I26/F26,"")</f>
        <v/>
      </c>
      <c r="AI26" s="66" t="str">
        <f t="shared" ref="AI26" si="238">IFERROR(IF(J26&lt;&gt;"pas de fixation",O26*F26,I26),"")</f>
        <v/>
      </c>
      <c r="AJ26" s="67">
        <f t="shared" ref="AJ26" si="239">IF(J26&lt;&gt;"pas de fixation",R26,I26)</f>
        <v>0</v>
      </c>
      <c r="AK26" s="67"/>
      <c r="AM26" s="59"/>
    </row>
    <row r="27" spans="2:39" ht="15" customHeight="1" x14ac:dyDescent="0.2">
      <c r="B27" s="254"/>
      <c r="C27" s="500"/>
      <c r="D27" s="499"/>
      <c r="E27" s="76"/>
      <c r="F27" s="77"/>
      <c r="G27" s="233"/>
      <c r="H27" s="78"/>
      <c r="I27" s="79"/>
      <c r="J27" s="14" t="str">
        <f t="shared" ref="J27" si="240">IFERROR(IF((I27/F27)&lt;$AC$8,I27/F27,"pas de fixation"),"")</f>
        <v/>
      </c>
      <c r="K27" s="15" t="str">
        <f t="shared" ref="K27" si="241">IFERROR(IF(J27&lt;&gt;"pas de fixation",L27-J27,""),"")</f>
        <v/>
      </c>
      <c r="L27" s="16" t="str">
        <f t="shared" ref="L27" si="242">IF(J27&lt;&gt;"pas de fixation",IF(J27&lt;N$8,IF((N$8-J27)&gt;K$11,J27+K$11,N$8),J27),"")</f>
        <v/>
      </c>
      <c r="M27" s="15" t="str">
        <f t="shared" ref="M27" si="243">IFERROR(IF(J27&lt;&gt;"pas de fixation",N27-L27,""),"")</f>
        <v/>
      </c>
      <c r="N27" s="71" t="str">
        <f t="shared" ref="N27" si="244">IF(J27&lt;&gt;"pas de fixation",IF(L27&lt;N$8,IF((N$8-L27)&gt;M$11,L27+M$11,N$8),L27),"")</f>
        <v/>
      </c>
      <c r="O27" s="75" t="str">
        <f t="shared" ref="O27" si="245">IFERROR(IF(J27&lt;&gt;"pas de fixation",N27+$O$11,""),"")</f>
        <v/>
      </c>
      <c r="P27" s="64" t="str">
        <f t="shared" ref="P27" si="246">IFERROR(IF(J27&lt;&gt;"pas de fixation",O27+$P$11,""),"")</f>
        <v/>
      </c>
      <c r="Q27" s="17" t="str">
        <f t="shared" ref="Q27" si="247">IFERROR(IF(J27&lt;&gt;"pas de fixation",P27*F27,""),"")</f>
        <v/>
      </c>
      <c r="R27" s="18">
        <f t="shared" ref="R27" si="248">IF(J27&lt;&gt;"pas de fixation",IF(Q27&gt;H27,Q27,H27),"pas de fixation")</f>
        <v>0</v>
      </c>
      <c r="S27" s="237"/>
      <c r="T27" s="249"/>
      <c r="U27" s="249"/>
      <c r="V27" s="249"/>
      <c r="W27" s="249"/>
      <c r="X27" s="249"/>
      <c r="Y27" s="249"/>
      <c r="Z27" s="249"/>
      <c r="AA27" s="249"/>
      <c r="AB27" s="248"/>
      <c r="AC27" s="13"/>
      <c r="AD27" s="1">
        <f t="shared" ref="AD27" si="249">COUNTIF(J27,"pas de fixation")</f>
        <v>0</v>
      </c>
      <c r="AE27" s="1">
        <f t="shared" ref="AE27" si="250">IF(J27&lt;&gt;"pas de fixation",F27,"")</f>
        <v>0</v>
      </c>
      <c r="AF27" s="1">
        <f t="shared" ref="AF27" si="251">IF(J27&lt;&gt;"pas de fixation",H27,"")</f>
        <v>0</v>
      </c>
      <c r="AG27" s="1">
        <f t="shared" ref="AG27" si="252">IF(J27&lt;&gt;"pas de fixation",I27,"")</f>
        <v>0</v>
      </c>
      <c r="AH27" s="57" t="str">
        <f t="shared" ref="AH27" si="253">IFERROR(I27/F27,"")</f>
        <v/>
      </c>
      <c r="AI27" s="66" t="str">
        <f t="shared" ref="AI27" si="254">IFERROR(IF(J27&lt;&gt;"pas de fixation",O27*F27,I27),"")</f>
        <v/>
      </c>
      <c r="AJ27" s="67">
        <f t="shared" ref="AJ27" si="255">IF(J27&lt;&gt;"pas de fixation",R27,I27)</f>
        <v>0</v>
      </c>
      <c r="AK27" s="67"/>
      <c r="AM27" s="59"/>
    </row>
    <row r="28" spans="2:39" ht="15" customHeight="1" x14ac:dyDescent="0.2">
      <c r="B28" s="254"/>
      <c r="C28" s="500"/>
      <c r="D28" s="499"/>
      <c r="E28" s="76"/>
      <c r="F28" s="77"/>
      <c r="G28" s="233"/>
      <c r="H28" s="78"/>
      <c r="I28" s="79"/>
      <c r="J28" s="14" t="str">
        <f t="shared" ref="J28" si="256">IFERROR(IF((I28/F28)&lt;$AC$8,I28/F28,"pas de fixation"),"")</f>
        <v/>
      </c>
      <c r="K28" s="15" t="str">
        <f t="shared" ref="K28" si="257">IFERROR(IF(J28&lt;&gt;"pas de fixation",L28-J28,""),"")</f>
        <v/>
      </c>
      <c r="L28" s="16" t="str">
        <f t="shared" ref="L28" si="258">IF(J28&lt;&gt;"pas de fixation",IF(J28&lt;N$8,IF((N$8-J28)&gt;K$11,J28+K$11,N$8),J28),"")</f>
        <v/>
      </c>
      <c r="M28" s="15" t="str">
        <f t="shared" ref="M28" si="259">IFERROR(IF(J28&lt;&gt;"pas de fixation",N28-L28,""),"")</f>
        <v/>
      </c>
      <c r="N28" s="71" t="str">
        <f t="shared" ref="N28" si="260">IF(J28&lt;&gt;"pas de fixation",IF(L28&lt;N$8,IF((N$8-L28)&gt;M$11,L28+M$11,N$8),L28),"")</f>
        <v/>
      </c>
      <c r="O28" s="75" t="str">
        <f t="shared" ref="O28" si="261">IFERROR(IF(J28&lt;&gt;"pas de fixation",N28+$O$11,""),"")</f>
        <v/>
      </c>
      <c r="P28" s="64" t="str">
        <f t="shared" ref="P28" si="262">IFERROR(IF(J28&lt;&gt;"pas de fixation",O28+$P$11,""),"")</f>
        <v/>
      </c>
      <c r="Q28" s="17" t="str">
        <f t="shared" ref="Q28" si="263">IFERROR(IF(J28&lt;&gt;"pas de fixation",P28*F28,""),"")</f>
        <v/>
      </c>
      <c r="R28" s="18">
        <f t="shared" ref="R28" si="264">IF(J28&lt;&gt;"pas de fixation",IF(Q28&gt;H28,Q28,H28),"pas de fixation")</f>
        <v>0</v>
      </c>
      <c r="S28" s="237"/>
      <c r="T28" s="249"/>
      <c r="U28" s="249"/>
      <c r="V28" s="249"/>
      <c r="W28" s="249"/>
      <c r="X28" s="249"/>
      <c r="Y28" s="249"/>
      <c r="Z28" s="249"/>
      <c r="AA28" s="249"/>
      <c r="AB28" s="248"/>
      <c r="AC28" s="13"/>
      <c r="AD28" s="1">
        <f t="shared" ref="AD28" si="265">COUNTIF(J28,"pas de fixation")</f>
        <v>0</v>
      </c>
      <c r="AE28" s="1">
        <f t="shared" ref="AE28" si="266">IF(J28&lt;&gt;"pas de fixation",F28,"")</f>
        <v>0</v>
      </c>
      <c r="AF28" s="1">
        <f t="shared" ref="AF28" si="267">IF(J28&lt;&gt;"pas de fixation",H28,"")</f>
        <v>0</v>
      </c>
      <c r="AG28" s="1">
        <f t="shared" ref="AG28" si="268">IF(J28&lt;&gt;"pas de fixation",I28,"")</f>
        <v>0</v>
      </c>
      <c r="AH28" s="57" t="str">
        <f t="shared" ref="AH28" si="269">IFERROR(I28/F28,"")</f>
        <v/>
      </c>
      <c r="AI28" s="66" t="str">
        <f t="shared" ref="AI28" si="270">IFERROR(IF(J28&lt;&gt;"pas de fixation",O28*F28,I28),"")</f>
        <v/>
      </c>
      <c r="AJ28" s="67">
        <f t="shared" ref="AJ28" si="271">IF(J28&lt;&gt;"pas de fixation",R28,I28)</f>
        <v>0</v>
      </c>
      <c r="AK28" s="67"/>
      <c r="AM28" s="59"/>
    </row>
    <row r="29" spans="2:39" ht="15" customHeight="1" x14ac:dyDescent="0.2">
      <c r="B29" s="254"/>
      <c r="C29" s="500"/>
      <c r="D29" s="499"/>
      <c r="E29" s="76"/>
      <c r="F29" s="77"/>
      <c r="G29" s="233"/>
      <c r="H29" s="78"/>
      <c r="I29" s="79"/>
      <c r="J29" s="14" t="str">
        <f t="shared" ref="J29" si="272">IFERROR(IF((I29/F29)&lt;$AC$8,I29/F29,"pas de fixation"),"")</f>
        <v/>
      </c>
      <c r="K29" s="15" t="str">
        <f t="shared" ref="K29" si="273">IFERROR(IF(J29&lt;&gt;"pas de fixation",L29-J29,""),"")</f>
        <v/>
      </c>
      <c r="L29" s="16" t="str">
        <f t="shared" ref="L29" si="274">IF(J29&lt;&gt;"pas de fixation",IF(J29&lt;N$8,IF((N$8-J29)&gt;K$11,J29+K$11,N$8),J29),"")</f>
        <v/>
      </c>
      <c r="M29" s="15" t="str">
        <f t="shared" ref="M29" si="275">IFERROR(IF(J29&lt;&gt;"pas de fixation",N29-L29,""),"")</f>
        <v/>
      </c>
      <c r="N29" s="71" t="str">
        <f t="shared" ref="N29" si="276">IF(J29&lt;&gt;"pas de fixation",IF(L29&lt;N$8,IF((N$8-L29)&gt;M$11,L29+M$11,N$8),L29),"")</f>
        <v/>
      </c>
      <c r="O29" s="75" t="str">
        <f t="shared" ref="O29" si="277">IFERROR(IF(J29&lt;&gt;"pas de fixation",N29+$O$11,""),"")</f>
        <v/>
      </c>
      <c r="P29" s="64" t="str">
        <f t="shared" ref="P29" si="278">IFERROR(IF(J29&lt;&gt;"pas de fixation",O29+$P$11,""),"")</f>
        <v/>
      </c>
      <c r="Q29" s="17" t="str">
        <f t="shared" ref="Q29" si="279">IFERROR(IF(J29&lt;&gt;"pas de fixation",P29*F29,""),"")</f>
        <v/>
      </c>
      <c r="R29" s="18">
        <f t="shared" ref="R29" si="280">IF(J29&lt;&gt;"pas de fixation",IF(Q29&gt;H29,Q29,H29),"pas de fixation")</f>
        <v>0</v>
      </c>
      <c r="S29" s="237"/>
      <c r="T29" s="249"/>
      <c r="U29" s="249"/>
      <c r="V29" s="249"/>
      <c r="W29" s="249"/>
      <c r="X29" s="249"/>
      <c r="Y29" s="249"/>
      <c r="Z29" s="249"/>
      <c r="AA29" s="249"/>
      <c r="AB29" s="248"/>
      <c r="AC29" s="13"/>
      <c r="AD29" s="1">
        <f t="shared" ref="AD29" si="281">COUNTIF(J29,"pas de fixation")</f>
        <v>0</v>
      </c>
      <c r="AE29" s="1">
        <f t="shared" ref="AE29" si="282">IF(J29&lt;&gt;"pas de fixation",F29,"")</f>
        <v>0</v>
      </c>
      <c r="AF29" s="1">
        <f t="shared" ref="AF29" si="283">IF(J29&lt;&gt;"pas de fixation",H29,"")</f>
        <v>0</v>
      </c>
      <c r="AG29" s="1">
        <f t="shared" ref="AG29" si="284">IF(J29&lt;&gt;"pas de fixation",I29,"")</f>
        <v>0</v>
      </c>
      <c r="AH29" s="57" t="str">
        <f t="shared" ref="AH29" si="285">IFERROR(I29/F29,"")</f>
        <v/>
      </c>
      <c r="AI29" s="66" t="str">
        <f t="shared" ref="AI29" si="286">IFERROR(IF(J29&lt;&gt;"pas de fixation",O29*F29,I29),"")</f>
        <v/>
      </c>
      <c r="AJ29" s="67">
        <f t="shared" ref="AJ29" si="287">IF(J29&lt;&gt;"pas de fixation",R29,I29)</f>
        <v>0</v>
      </c>
      <c r="AK29" s="67"/>
      <c r="AM29" s="59"/>
    </row>
    <row r="30" spans="2:39" ht="15" customHeight="1" x14ac:dyDescent="0.2">
      <c r="B30" s="254"/>
      <c r="C30" s="500"/>
      <c r="D30" s="499"/>
      <c r="E30" s="76"/>
      <c r="F30" s="77"/>
      <c r="G30" s="233"/>
      <c r="H30" s="78"/>
      <c r="I30" s="79"/>
      <c r="J30" s="14" t="str">
        <f t="shared" ref="J30" si="288">IFERROR(IF((I30/F30)&lt;$AC$8,I30/F30,"pas de fixation"),"")</f>
        <v/>
      </c>
      <c r="K30" s="15" t="str">
        <f t="shared" ref="K30" si="289">IFERROR(IF(J30&lt;&gt;"pas de fixation",L30-J30,""),"")</f>
        <v/>
      </c>
      <c r="L30" s="16" t="str">
        <f t="shared" ref="L30" si="290">IF(J30&lt;&gt;"pas de fixation",IF(J30&lt;N$8,IF((N$8-J30)&gt;K$11,J30+K$11,N$8),J30),"")</f>
        <v/>
      </c>
      <c r="M30" s="15" t="str">
        <f t="shared" ref="M30" si="291">IFERROR(IF(J30&lt;&gt;"pas de fixation",N30-L30,""),"")</f>
        <v/>
      </c>
      <c r="N30" s="71" t="str">
        <f t="shared" ref="N30" si="292">IF(J30&lt;&gt;"pas de fixation",IF(L30&lt;N$8,IF((N$8-L30)&gt;M$11,L30+M$11,N$8),L30),"")</f>
        <v/>
      </c>
      <c r="O30" s="75" t="str">
        <f t="shared" ref="O30" si="293">IFERROR(IF(J30&lt;&gt;"pas de fixation",N30+$O$11,""),"")</f>
        <v/>
      </c>
      <c r="P30" s="64" t="str">
        <f t="shared" ref="P30" si="294">IFERROR(IF(J30&lt;&gt;"pas de fixation",O30+$P$11,""),"")</f>
        <v/>
      </c>
      <c r="Q30" s="17" t="str">
        <f t="shared" ref="Q30" si="295">IFERROR(IF(J30&lt;&gt;"pas de fixation",P30*F30,""),"")</f>
        <v/>
      </c>
      <c r="R30" s="18">
        <f t="shared" ref="R30" si="296">IF(J30&lt;&gt;"pas de fixation",IF(Q30&gt;H30,Q30,H30),"pas de fixation")</f>
        <v>0</v>
      </c>
      <c r="S30" s="237"/>
      <c r="T30" s="249"/>
      <c r="U30" s="249"/>
      <c r="V30" s="249"/>
      <c r="W30" s="249"/>
      <c r="X30" s="249"/>
      <c r="Y30" s="249"/>
      <c r="Z30" s="249"/>
      <c r="AA30" s="249"/>
      <c r="AB30" s="248"/>
      <c r="AC30" s="13"/>
      <c r="AD30" s="1">
        <f t="shared" ref="AD30" si="297">COUNTIF(J30,"pas de fixation")</f>
        <v>0</v>
      </c>
      <c r="AE30" s="1">
        <f t="shared" ref="AE30" si="298">IF(J30&lt;&gt;"pas de fixation",F30,"")</f>
        <v>0</v>
      </c>
      <c r="AF30" s="1">
        <f t="shared" ref="AF30" si="299">IF(J30&lt;&gt;"pas de fixation",H30,"")</f>
        <v>0</v>
      </c>
      <c r="AG30" s="1">
        <f t="shared" ref="AG30" si="300">IF(J30&lt;&gt;"pas de fixation",I30,"")</f>
        <v>0</v>
      </c>
      <c r="AH30" s="57" t="str">
        <f t="shared" ref="AH30" si="301">IFERROR(I30/F30,"")</f>
        <v/>
      </c>
      <c r="AI30" s="66" t="str">
        <f t="shared" ref="AI30" si="302">IFERROR(IF(J30&lt;&gt;"pas de fixation",O30*F30,I30),"")</f>
        <v/>
      </c>
      <c r="AJ30" s="67">
        <f t="shared" ref="AJ30" si="303">IF(J30&lt;&gt;"pas de fixation",R30,I30)</f>
        <v>0</v>
      </c>
      <c r="AK30" s="67"/>
      <c r="AM30" s="59"/>
    </row>
    <row r="31" spans="2:39" ht="15" customHeight="1" thickBot="1" x14ac:dyDescent="0.25">
      <c r="B31" s="269"/>
      <c r="C31" s="498"/>
      <c r="D31" s="499"/>
      <c r="E31" s="76"/>
      <c r="F31" s="77"/>
      <c r="G31" s="233"/>
      <c r="H31" s="78"/>
      <c r="I31" s="79"/>
      <c r="J31" s="14" t="str">
        <f t="shared" ref="J31" si="304">IFERROR(IF((I31/F31)&lt;$AC$8,I31/F31,"pas de fixation"),"")</f>
        <v/>
      </c>
      <c r="K31" s="15" t="str">
        <f t="shared" ref="K31" si="305">IFERROR(IF(J31&lt;&gt;"pas de fixation",L31-J31,""),"")</f>
        <v/>
      </c>
      <c r="L31" s="16" t="str">
        <f t="shared" ref="L31" si="306">IF(J31&lt;&gt;"pas de fixation",IF(J31&lt;N$8,IF((N$8-J31)&gt;K$11,J31+K$11,N$8),J31),"")</f>
        <v/>
      </c>
      <c r="M31" s="15" t="str">
        <f t="shared" ref="M31" si="307">IFERROR(IF(J31&lt;&gt;"pas de fixation",N31-L31,""),"")</f>
        <v/>
      </c>
      <c r="N31" s="71" t="str">
        <f t="shared" ref="N31" si="308">IF(J31&lt;&gt;"pas de fixation",IF(L31&lt;N$8,IF((N$8-L31)&gt;M$11,L31+M$11,N$8),L31),"")</f>
        <v/>
      </c>
      <c r="O31" s="75" t="str">
        <f t="shared" ref="O31" si="309">IFERROR(IF(J31&lt;&gt;"pas de fixation",N31+$O$11,""),"")</f>
        <v/>
      </c>
      <c r="P31" s="64" t="str">
        <f t="shared" ref="P31" si="310">IFERROR(IF(J31&lt;&gt;"pas de fixation",O31+$P$11,""),"")</f>
        <v/>
      </c>
      <c r="Q31" s="17" t="str">
        <f t="shared" ref="Q31" si="311">IFERROR(IF(J31&lt;&gt;"pas de fixation",P31*F31,""),"")</f>
        <v/>
      </c>
      <c r="R31" s="18">
        <f t="shared" ref="R31" si="312">IF(J31&lt;&gt;"pas de fixation",IF(Q31&gt;H31,Q31,H31),"pas de fixation")</f>
        <v>0</v>
      </c>
      <c r="S31" s="237"/>
      <c r="T31" s="249"/>
      <c r="U31" s="249"/>
      <c r="V31" s="249"/>
      <c r="W31" s="249"/>
      <c r="X31" s="249"/>
      <c r="Y31" s="249"/>
      <c r="Z31" s="249"/>
      <c r="AA31" s="249"/>
      <c r="AB31" s="248"/>
      <c r="AC31" s="13"/>
      <c r="AD31" s="1">
        <f t="shared" ref="AD31" si="313">COUNTIF(J31,"pas de fixation")</f>
        <v>0</v>
      </c>
      <c r="AE31" s="1">
        <f t="shared" ref="AE31" si="314">IF(J31&lt;&gt;"pas de fixation",F31,"")</f>
        <v>0</v>
      </c>
      <c r="AF31" s="1">
        <f t="shared" ref="AF31" si="315">IF(J31&lt;&gt;"pas de fixation",H31,"")</f>
        <v>0</v>
      </c>
      <c r="AG31" s="1">
        <f t="shared" ref="AG31" si="316">IF(J31&lt;&gt;"pas de fixation",I31,"")</f>
        <v>0</v>
      </c>
      <c r="AH31" s="57" t="str">
        <f t="shared" ref="AH31" si="317">IFERROR(I31/F31,"")</f>
        <v/>
      </c>
      <c r="AI31" s="66" t="str">
        <f t="shared" ref="AI31" si="318">IFERROR(IF(J31&lt;&gt;"pas de fixation",O31*F31,I31),"")</f>
        <v/>
      </c>
      <c r="AJ31" s="67">
        <f t="shared" ref="AJ31" si="319">IF(J31&lt;&gt;"pas de fixation",R31,I31)</f>
        <v>0</v>
      </c>
      <c r="AK31" s="67"/>
      <c r="AM31" s="59"/>
    </row>
    <row r="32" spans="2:39" ht="16.5" thickBot="1" x14ac:dyDescent="0.25">
      <c r="B32" s="494" t="s">
        <v>42</v>
      </c>
      <c r="C32" s="495"/>
      <c r="D32" s="19">
        <f>COUNTA(C12:C31)</f>
        <v>0</v>
      </c>
      <c r="E32" s="50"/>
      <c r="F32" s="63">
        <f>SUM(F12:F31)</f>
        <v>0</v>
      </c>
      <c r="G32" s="259"/>
      <c r="H32" s="260">
        <f>SUM(H12:H31)</f>
        <v>0</v>
      </c>
      <c r="I32" s="261">
        <f>SUM(I12:I31)</f>
        <v>0</v>
      </c>
      <c r="J32" s="20"/>
      <c r="K32" s="51"/>
      <c r="L32" s="80"/>
      <c r="M32" s="51"/>
      <c r="N32" s="51"/>
      <c r="O32" s="51"/>
      <c r="P32" s="51"/>
      <c r="Q32" s="21"/>
      <c r="R32" s="258">
        <f>SUM(R12:R31)</f>
        <v>0</v>
      </c>
      <c r="S32" s="238" t="e">
        <f>SUM(#REF!)</f>
        <v>#REF!</v>
      </c>
      <c r="T32" s="238" t="e">
        <f>SUM(#REF!)</f>
        <v>#REF!</v>
      </c>
      <c r="U32" s="238" t="e">
        <f>SUM(#REF!)</f>
        <v>#REF!</v>
      </c>
      <c r="V32" s="238"/>
      <c r="W32" s="238" t="e">
        <f>SUM(#REF!)</f>
        <v>#REF!</v>
      </c>
      <c r="X32" s="238" t="e">
        <f>SUM(#REF!)</f>
        <v>#REF!</v>
      </c>
      <c r="Y32" s="238"/>
      <c r="Z32" s="238"/>
      <c r="AA32" s="238"/>
      <c r="AB32" s="238"/>
      <c r="AC32" s="243">
        <f>SUM(AC12:AC31)</f>
        <v>0</v>
      </c>
      <c r="AD32" s="6">
        <f>SUM(AD12:AD31)</f>
        <v>0</v>
      </c>
      <c r="AE32" s="6">
        <f>SUM(AE12:AE31)</f>
        <v>0</v>
      </c>
      <c r="AF32" s="6" t="e">
        <f>SUM(#REF!)</f>
        <v>#REF!</v>
      </c>
      <c r="AG32" s="6">
        <f>SUM(AG12:AG31)</f>
        <v>0</v>
      </c>
      <c r="AH32" s="57">
        <f>SUM(AH12:AH31)</f>
        <v>0</v>
      </c>
      <c r="AI32" s="66" t="e">
        <f>SUM(#REF!)</f>
        <v>#REF!</v>
      </c>
      <c r="AJ32" s="66" t="e">
        <f>SUM(#REF!)</f>
        <v>#REF!</v>
      </c>
      <c r="AK32" s="66"/>
    </row>
    <row r="33" spans="2:29" ht="15" customHeight="1" thickBot="1" x14ac:dyDescent="0.3">
      <c r="B33" s="496" t="s">
        <v>147</v>
      </c>
      <c r="C33" s="497"/>
      <c r="D33" s="253">
        <f>D32-AD32</f>
        <v>0</v>
      </c>
      <c r="E33" s="22"/>
      <c r="F33" s="263">
        <f>AE32</f>
        <v>0</v>
      </c>
      <c r="G33" s="255"/>
      <c r="H33" s="256"/>
      <c r="I33" s="257"/>
      <c r="J33" s="23"/>
      <c r="K33" s="23"/>
      <c r="L33" s="501"/>
      <c r="M33" s="501"/>
      <c r="N33" s="501"/>
      <c r="O33" s="501"/>
      <c r="P33" s="24"/>
      <c r="Q33" s="502" t="s">
        <v>148</v>
      </c>
      <c r="R33" s="503"/>
      <c r="S33" s="239"/>
      <c r="T33" s="239"/>
      <c r="U33" s="239"/>
      <c r="V33" s="239"/>
      <c r="W33" s="239"/>
      <c r="X33" s="239"/>
      <c r="Y33" s="239"/>
      <c r="Z33" s="239"/>
      <c r="AA33" s="239"/>
      <c r="AB33" s="239"/>
      <c r="AC33" s="240"/>
    </row>
    <row r="34" spans="2:29" ht="15" customHeight="1" x14ac:dyDescent="0.2">
      <c r="C34" s="39"/>
      <c r="D34" s="39"/>
      <c r="E34" s="38"/>
      <c r="F34" s="38"/>
      <c r="G34" s="38"/>
      <c r="H34" s="39"/>
      <c r="I34" s="39"/>
      <c r="J34" s="39"/>
      <c r="K34" s="40"/>
      <c r="L34" s="507"/>
      <c r="M34" s="507"/>
      <c r="N34" s="507"/>
      <c r="O34" s="508"/>
      <c r="Q34" s="504"/>
      <c r="R34" s="503"/>
      <c r="S34" s="239"/>
      <c r="T34" s="239"/>
      <c r="U34" s="239"/>
      <c r="V34" s="239"/>
      <c r="W34" s="239"/>
      <c r="X34" s="239"/>
      <c r="Y34" s="239"/>
      <c r="Z34" s="239"/>
      <c r="AA34" s="239"/>
      <c r="AB34" s="239"/>
      <c r="AC34" s="240"/>
    </row>
    <row r="35" spans="2:29" ht="14.25" customHeight="1" x14ac:dyDescent="0.2">
      <c r="C35" s="60"/>
      <c r="D35" s="5"/>
      <c r="E35" s="5"/>
      <c r="F35" s="5"/>
      <c r="G35" s="5"/>
      <c r="H35" s="5"/>
      <c r="I35" s="5"/>
      <c r="J35" s="5"/>
      <c r="K35" s="73"/>
      <c r="L35" s="507"/>
      <c r="M35" s="507"/>
      <c r="N35" s="507"/>
      <c r="O35" s="508"/>
      <c r="Q35" s="504"/>
      <c r="R35" s="503"/>
      <c r="S35" s="239"/>
      <c r="T35" s="239"/>
      <c r="U35" s="239"/>
      <c r="V35" s="239"/>
      <c r="W35" s="239"/>
      <c r="X35" s="239"/>
      <c r="Y35" s="239"/>
      <c r="Z35" s="239"/>
      <c r="AA35" s="239"/>
      <c r="AB35" s="239"/>
      <c r="AC35" s="240"/>
    </row>
    <row r="36" spans="2:29" ht="28.5" customHeight="1" thickBot="1" x14ac:dyDescent="0.25">
      <c r="C36" s="68"/>
      <c r="K36" s="68"/>
      <c r="L36" s="507"/>
      <c r="M36" s="507"/>
      <c r="N36" s="507"/>
      <c r="O36" s="81"/>
      <c r="P36" s="68"/>
      <c r="Q36" s="505"/>
      <c r="R36" s="506"/>
      <c r="S36" s="239"/>
      <c r="T36" s="239"/>
      <c r="U36" s="239"/>
      <c r="V36" s="239"/>
      <c r="W36" s="239"/>
      <c r="X36" s="239"/>
      <c r="Y36" s="239"/>
      <c r="Z36" s="239"/>
      <c r="AA36" s="239"/>
      <c r="AB36" s="239"/>
      <c r="AC36" s="240"/>
    </row>
    <row r="37" spans="2:29" x14ac:dyDescent="0.2">
      <c r="L37" s="5"/>
    </row>
    <row r="38" spans="2:29" x14ac:dyDescent="0.2">
      <c r="L38" s="5"/>
    </row>
    <row r="39" spans="2:29" x14ac:dyDescent="0.2">
      <c r="L39" s="5"/>
    </row>
    <row r="40" spans="2:29" x14ac:dyDescent="0.2">
      <c r="L40" s="5"/>
    </row>
    <row r="41" spans="2:29" x14ac:dyDescent="0.2">
      <c r="L41" s="5"/>
    </row>
    <row r="42" spans="2:29" x14ac:dyDescent="0.2">
      <c r="L42" s="5"/>
    </row>
    <row r="43" spans="2:29" x14ac:dyDescent="0.2">
      <c r="L43" s="5"/>
    </row>
    <row r="44" spans="2:29" x14ac:dyDescent="0.2">
      <c r="L44" s="5"/>
    </row>
    <row r="45" spans="2:29" x14ac:dyDescent="0.2">
      <c r="L45" s="5"/>
    </row>
    <row r="46" spans="2:29" x14ac:dyDescent="0.2">
      <c r="L46" s="5"/>
    </row>
    <row r="47" spans="2:29" x14ac:dyDescent="0.2">
      <c r="L47" s="5"/>
    </row>
    <row r="48" spans="2:29" x14ac:dyDescent="0.2">
      <c r="L48" s="5"/>
    </row>
    <row r="49" spans="12:22" x14ac:dyDescent="0.2">
      <c r="S49" s="1"/>
      <c r="T49" s="1"/>
      <c r="U49" s="1"/>
      <c r="V49" s="1"/>
    </row>
    <row r="50" spans="12:22" x14ac:dyDescent="0.2">
      <c r="L50" s="5"/>
    </row>
    <row r="51" spans="12:22" x14ac:dyDescent="0.2">
      <c r="L51" s="5"/>
    </row>
    <row r="52" spans="12:22" x14ac:dyDescent="0.2">
      <c r="L52" s="5"/>
    </row>
    <row r="53" spans="12:22" x14ac:dyDescent="0.2">
      <c r="L53" s="5"/>
    </row>
    <row r="54" spans="12:22" x14ac:dyDescent="0.2">
      <c r="L54" s="5"/>
    </row>
    <row r="55" spans="12:22" x14ac:dyDescent="0.2">
      <c r="L55" s="5"/>
    </row>
    <row r="56" spans="12:22" x14ac:dyDescent="0.2">
      <c r="L56" s="5"/>
    </row>
    <row r="57" spans="12:22" x14ac:dyDescent="0.2">
      <c r="L57" s="5"/>
    </row>
    <row r="58" spans="12:22" x14ac:dyDescent="0.2">
      <c r="L58" s="5"/>
    </row>
    <row r="59" spans="12:22" x14ac:dyDescent="0.2">
      <c r="L59" s="5"/>
    </row>
    <row r="60" spans="12:22" x14ac:dyDescent="0.2">
      <c r="L60" s="5"/>
    </row>
    <row r="61" spans="12:22" x14ac:dyDescent="0.2">
      <c r="L61" s="5"/>
    </row>
    <row r="62" spans="12:22" x14ac:dyDescent="0.2">
      <c r="L62" s="5"/>
    </row>
    <row r="63" spans="12:22" x14ac:dyDescent="0.2">
      <c r="L63" s="5"/>
    </row>
    <row r="64" spans="12:22" x14ac:dyDescent="0.2">
      <c r="L64" s="5"/>
    </row>
    <row r="65" spans="12:12" x14ac:dyDescent="0.2">
      <c r="L65" s="5"/>
    </row>
    <row r="66" spans="12:12" x14ac:dyDescent="0.2">
      <c r="L66" s="5"/>
    </row>
    <row r="67" spans="12:12" x14ac:dyDescent="0.2">
      <c r="L67" s="5"/>
    </row>
    <row r="68" spans="12:12" x14ac:dyDescent="0.2">
      <c r="L68" s="5"/>
    </row>
    <row r="69" spans="12:12" x14ac:dyDescent="0.2">
      <c r="L69" s="5"/>
    </row>
    <row r="70" spans="12:12" x14ac:dyDescent="0.2">
      <c r="L70" s="5"/>
    </row>
    <row r="71" spans="12:12" x14ac:dyDescent="0.2">
      <c r="L71" s="5"/>
    </row>
    <row r="72" spans="12:12" x14ac:dyDescent="0.2">
      <c r="L72" s="5"/>
    </row>
    <row r="73" spans="12:12" x14ac:dyDescent="0.2">
      <c r="L73" s="5"/>
    </row>
    <row r="74" spans="12:12" x14ac:dyDescent="0.2">
      <c r="L74" s="5"/>
    </row>
  </sheetData>
  <sheetProtection algorithmName="SHA-512" hashValue="kRINYRqIleTL4UM1o43NV4shQD6Eablg63+or1shTEOPyPgXYCZsGaJP4PuwO9+LvECB4YI1flfjCvRY8l1eOg==" saltValue="2nY3vvNfoE8CdVJpkKa7Kg==" spinCount="100000" sheet="1" objects="1" scenarios="1"/>
  <mergeCells count="43">
    <mergeCell ref="C13:D13"/>
    <mergeCell ref="C27:D27"/>
    <mergeCell ref="C28:D28"/>
    <mergeCell ref="C29:D29"/>
    <mergeCell ref="C30:D30"/>
    <mergeCell ref="C14:D14"/>
    <mergeCell ref="C15:D15"/>
    <mergeCell ref="C18:D18"/>
    <mergeCell ref="C17:D17"/>
    <mergeCell ref="C16:D16"/>
    <mergeCell ref="C19:D19"/>
    <mergeCell ref="C20:D20"/>
    <mergeCell ref="C21:D21"/>
    <mergeCell ref="C22:D22"/>
    <mergeCell ref="AI10:AI11"/>
    <mergeCell ref="AJ10:AJ11"/>
    <mergeCell ref="Q10:Q11"/>
    <mergeCell ref="R10:R11"/>
    <mergeCell ref="C12:D12"/>
    <mergeCell ref="C2:H2"/>
    <mergeCell ref="L8:M8"/>
    <mergeCell ref="O9:P9"/>
    <mergeCell ref="H10:I10"/>
    <mergeCell ref="J10:J11"/>
    <mergeCell ref="K10:L10"/>
    <mergeCell ref="M10:N10"/>
    <mergeCell ref="I2:N2"/>
    <mergeCell ref="C11:D11"/>
    <mergeCell ref="B8:D9"/>
    <mergeCell ref="B10:D10"/>
    <mergeCell ref="B4:R4"/>
    <mergeCell ref="L33:O33"/>
    <mergeCell ref="Q33:R36"/>
    <mergeCell ref="L34:N35"/>
    <mergeCell ref="O34:O35"/>
    <mergeCell ref="L36:N36"/>
    <mergeCell ref="B32:C32"/>
    <mergeCell ref="B33:C33"/>
    <mergeCell ref="C31:D31"/>
    <mergeCell ref="C23:D23"/>
    <mergeCell ref="C24:D24"/>
    <mergeCell ref="C25:D25"/>
    <mergeCell ref="C26:D26"/>
  </mergeCells>
  <conditionalFormatting sqref="AC13:AC31">
    <cfRule type="expression" dxfId="9" priority="122">
      <formula>IF(AC13&lt;0,TRUE)</formula>
    </cfRule>
  </conditionalFormatting>
  <conditionalFormatting sqref="AC13:AC31">
    <cfRule type="expression" dxfId="8" priority="121">
      <formula>IF(AC13=$O$11,TRUE)</formula>
    </cfRule>
  </conditionalFormatting>
  <conditionalFormatting sqref="AC12">
    <cfRule type="expression" dxfId="7" priority="10">
      <formula>IF(AC12&lt;0,TRUE)</formula>
    </cfRule>
  </conditionalFormatting>
  <conditionalFormatting sqref="AC12">
    <cfRule type="expression" dxfId="6" priority="9">
      <formula>IF(AC12=$O$11,TRUE)</formula>
    </cfRule>
  </conditionalFormatting>
  <hyperlinks>
    <hyperlink ref="L8:M8" r:id="rId1" display="Plafond LDTR:" xr:uid="{00000000-0004-0000-0200-000000000000}"/>
    <hyperlink ref="F10:F11" r:id="rId2" display="Pièces RGL" xr:uid="{00000000-0004-0000-0200-000001000000}"/>
    <hyperlink ref="B33" r:id="rId3" display="Nombre de loyers contrôlés après travaux:" xr:uid="{00000000-0004-0000-0200-000002000000}"/>
  </hyperlinks>
  <printOptions horizontalCentered="1"/>
  <pageMargins left="0.25" right="0.25" top="0.75" bottom="0.75" header="0.3" footer="0.3"/>
  <pageSetup paperSize="8" scale="73" fitToHeight="0" orientation="landscape" r:id="rId4"/>
  <rowBreaks count="1" manualBreakCount="1">
    <brk id="68"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28686" r:id="rId7" name="Button 14">
              <controlPr defaultSize="0" print="0" autoFill="0" autoPict="0" macro="[0]!AjouterPlLignes_Bouton">
                <anchor moveWithCells="1" sizeWithCells="1">
                  <from>
                    <xdr:col>1</xdr:col>
                    <xdr:colOff>276225</xdr:colOff>
                    <xdr:row>4</xdr:row>
                    <xdr:rowOff>161925</xdr:rowOff>
                  </from>
                  <to>
                    <xdr:col>2</xdr:col>
                    <xdr:colOff>1733550</xdr:colOff>
                    <xdr:row>6</xdr:row>
                    <xdr:rowOff>38100</xdr:rowOff>
                  </to>
                </anchor>
              </controlPr>
            </control>
          </mc:Choice>
        </mc:AlternateContent>
        <mc:AlternateContent xmlns:mc="http://schemas.openxmlformats.org/markup-compatibility/2006">
          <mc:Choice Requires="x14">
            <control shapeId="28687" r:id="rId8" name="Button 15">
              <controlPr defaultSize="0" print="0" autoFill="0" autoPict="0" macro="[0]!Traitement.ProcSupprimerLigne">
                <anchor moveWithCells="1" sizeWithCells="1">
                  <from>
                    <xdr:col>2</xdr:col>
                    <xdr:colOff>2209800</xdr:colOff>
                    <xdr:row>4</xdr:row>
                    <xdr:rowOff>152400</xdr:rowOff>
                  </from>
                  <to>
                    <xdr:col>4</xdr:col>
                    <xdr:colOff>9525</xdr:colOff>
                    <xdr:row>6</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pageSetUpPr fitToPage="1"/>
  </sheetPr>
  <dimension ref="A1:B1"/>
  <sheetViews>
    <sheetView zoomScale="160" zoomScaleNormal="160" workbookViewId="0">
      <selection activeCell="B7" sqref="B7"/>
    </sheetView>
  </sheetViews>
  <sheetFormatPr baseColWidth="10" defaultColWidth="11.42578125" defaultRowHeight="14.25" x14ac:dyDescent="0.2"/>
  <cols>
    <col min="1" max="1" width="53.5703125" style="26" customWidth="1"/>
    <col min="2" max="16384" width="11.42578125" style="26"/>
  </cols>
  <sheetData>
    <row r="1" spans="1:2" ht="70.5" customHeight="1" x14ac:dyDescent="0.2">
      <c r="A1" s="409" t="s">
        <v>185</v>
      </c>
      <c r="B1" s="410" t="s">
        <v>184</v>
      </c>
    </row>
  </sheetData>
  <sheetProtection algorithmName="SHA-512" hashValue="gX4R7DXPZvYJ/SItPy+epPzhdPW1d0YS7BcsuQpqNa0HGCVfK2Nd3Gowu4iAVtUk01oxqnbd5eDK9Apcahrf4g==" saltValue="f5bBS6/X2i/l3lPsZJkKZw==" spinCount="100000" sheet="1" objects="1" scenarios="1"/>
  <printOptions horizontalCentered="1" verticalCentered="1"/>
  <pageMargins left="0.25" right="0.25" top="0.75" bottom="0.75" header="0.3" footer="0.3"/>
  <pageSetup paperSize="9" scale="8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pageSetUpPr fitToPage="1"/>
  </sheetPr>
  <dimension ref="A2:AG66"/>
  <sheetViews>
    <sheetView zoomScale="85" zoomScaleNormal="85" workbookViewId="0">
      <selection activeCell="D16" sqref="D16"/>
    </sheetView>
  </sheetViews>
  <sheetFormatPr baseColWidth="10" defaultColWidth="11.42578125" defaultRowHeight="12.75" x14ac:dyDescent="0.2"/>
  <cols>
    <col min="1" max="1" width="24.7109375" style="82" customWidth="1"/>
    <col min="2" max="3" width="11.42578125" style="82"/>
    <col min="4" max="4" width="14.7109375" style="82" customWidth="1"/>
    <col min="5" max="5" width="14.140625" style="82" customWidth="1"/>
    <col min="6" max="6" width="15.42578125" style="82" customWidth="1"/>
    <col min="7" max="7" width="10" style="82" customWidth="1"/>
    <col min="8" max="8" width="6.28515625" style="82" customWidth="1"/>
    <col min="9" max="9" width="11" style="82" customWidth="1"/>
    <col min="10" max="10" width="11.28515625" style="82" customWidth="1"/>
    <col min="11" max="11" width="9.85546875" style="82" customWidth="1"/>
    <col min="12" max="12" width="6.28515625" style="82" customWidth="1"/>
    <col min="13" max="13" width="8.28515625" style="82" customWidth="1"/>
    <col min="14" max="14" width="10.85546875" style="82" customWidth="1"/>
    <col min="15" max="15" width="8.7109375" style="82" customWidth="1"/>
    <col min="16" max="16" width="8.42578125" style="82" customWidth="1"/>
    <col min="17" max="17" width="9.140625" style="82" customWidth="1"/>
    <col min="18" max="18" width="8" style="82" customWidth="1"/>
    <col min="19" max="19" width="9.42578125" style="82" customWidth="1"/>
    <col min="20" max="20" width="9.5703125" style="82" customWidth="1"/>
    <col min="21" max="21" width="7.7109375" style="82" customWidth="1"/>
    <col min="22" max="22" width="22.140625" style="82" customWidth="1"/>
    <col min="23" max="23" width="17.5703125" style="82" customWidth="1"/>
    <col min="24" max="24" width="12.140625" style="82" customWidth="1"/>
    <col min="25" max="25" width="28.7109375" style="82" customWidth="1"/>
    <col min="26" max="26" width="20.140625" style="82" customWidth="1"/>
    <col min="27" max="27" width="13.42578125" style="82" customWidth="1"/>
    <col min="28" max="29" width="6.28515625" style="82" customWidth="1"/>
    <col min="30" max="34" width="11.42578125" style="82"/>
    <col min="35" max="46" width="6.28515625" style="82" customWidth="1"/>
    <col min="47" max="64" width="9.28515625" style="82" customWidth="1"/>
    <col min="65" max="16384" width="11.42578125" style="82"/>
  </cols>
  <sheetData>
    <row r="2" spans="1:33" x14ac:dyDescent="0.2">
      <c r="A2" s="166" t="s">
        <v>143</v>
      </c>
      <c r="B2" s="188" t="s">
        <v>142</v>
      </c>
      <c r="C2" s="188" t="s">
        <v>141</v>
      </c>
      <c r="D2" s="193" t="s">
        <v>140</v>
      </c>
      <c r="E2" s="193" t="s">
        <v>139</v>
      </c>
      <c r="F2" s="193" t="s">
        <v>138</v>
      </c>
      <c r="G2" s="86"/>
    </row>
    <row r="3" spans="1:33" x14ac:dyDescent="0.2">
      <c r="A3" s="121" t="str">
        <f>'TABLEAU LOYERS'!B8</f>
        <v>Adresse-s de-s immeuble-s</v>
      </c>
      <c r="B3" s="164"/>
      <c r="C3" s="100"/>
      <c r="D3" s="158">
        <v>0</v>
      </c>
      <c r="E3" s="163">
        <v>0</v>
      </c>
      <c r="F3" s="162">
        <v>1.4999999999999999E-2</v>
      </c>
      <c r="G3" s="187"/>
    </row>
    <row r="4" spans="1:33" x14ac:dyDescent="0.2">
      <c r="A4" s="161"/>
      <c r="B4" s="161"/>
      <c r="C4" s="160"/>
      <c r="D4" s="159"/>
      <c r="E4" s="83"/>
      <c r="F4" s="85"/>
      <c r="G4" s="88"/>
    </row>
    <row r="6" spans="1:33" ht="14.25" customHeight="1" x14ac:dyDescent="0.2">
      <c r="A6" s="592" t="s">
        <v>129</v>
      </c>
      <c r="B6" s="593"/>
      <c r="C6" s="593"/>
      <c r="D6" s="593"/>
      <c r="E6" s="593"/>
      <c r="F6" s="593"/>
      <c r="G6" s="593"/>
      <c r="H6" s="593"/>
      <c r="I6" s="593"/>
      <c r="J6" s="593"/>
      <c r="K6" s="593"/>
      <c r="L6" s="593"/>
      <c r="M6" s="593"/>
      <c r="N6" s="593"/>
      <c r="O6" s="593"/>
      <c r="P6" s="593"/>
      <c r="Q6" s="593"/>
      <c r="R6" s="594"/>
      <c r="S6" s="156"/>
      <c r="T6" s="156"/>
      <c r="U6" s="156"/>
      <c r="V6" s="156"/>
      <c r="W6" s="595"/>
      <c r="X6" s="595"/>
      <c r="Y6" s="595"/>
      <c r="Z6" s="595"/>
      <c r="AA6" s="157"/>
      <c r="AB6" s="156"/>
      <c r="AC6" s="156"/>
      <c r="AD6" s="587"/>
      <c r="AE6" s="587"/>
      <c r="AF6" s="587"/>
      <c r="AG6" s="587"/>
    </row>
    <row r="7" spans="1:33" ht="14.25" customHeight="1" x14ac:dyDescent="0.2">
      <c r="A7" s="154"/>
      <c r="B7" s="153"/>
      <c r="C7" s="153"/>
      <c r="D7" s="153"/>
      <c r="E7" s="153"/>
      <c r="F7" s="153"/>
      <c r="G7" s="588" t="s">
        <v>137</v>
      </c>
      <c r="H7" s="589"/>
      <c r="I7" s="589"/>
      <c r="J7" s="589"/>
      <c r="K7" s="589"/>
      <c r="L7" s="589"/>
      <c r="M7" s="589"/>
      <c r="N7" s="589"/>
      <c r="O7" s="589"/>
      <c r="P7" s="589"/>
      <c r="Q7" s="589"/>
      <c r="R7" s="590"/>
      <c r="W7" s="84"/>
      <c r="X7" s="84"/>
      <c r="Y7" s="84"/>
      <c r="Z7" s="83"/>
      <c r="AA7" s="84"/>
      <c r="AB7" s="84"/>
      <c r="AC7" s="84"/>
      <c r="AD7" s="138"/>
      <c r="AE7" s="138"/>
      <c r="AF7" s="138"/>
      <c r="AG7" s="155"/>
    </row>
    <row r="8" spans="1:33" ht="14.25" customHeight="1" x14ac:dyDescent="0.2">
      <c r="A8" s="154"/>
      <c r="B8" s="153"/>
      <c r="C8" s="153"/>
      <c r="D8" s="153"/>
      <c r="E8" s="153"/>
      <c r="F8" s="153"/>
      <c r="G8" s="571" t="s">
        <v>121</v>
      </c>
      <c r="H8" s="572"/>
      <c r="I8" s="572"/>
      <c r="J8" s="572"/>
      <c r="K8" s="574" t="s">
        <v>127</v>
      </c>
      <c r="L8" s="575"/>
      <c r="M8" s="575"/>
      <c r="N8" s="576"/>
      <c r="O8" s="577" t="s">
        <v>126</v>
      </c>
      <c r="P8" s="578"/>
      <c r="Q8" s="578"/>
      <c r="R8" s="579"/>
      <c r="W8" s="84"/>
      <c r="X8" s="152"/>
      <c r="Y8" s="84"/>
      <c r="Z8" s="84"/>
      <c r="AA8" s="85"/>
      <c r="AB8" s="84"/>
      <c r="AC8" s="84"/>
      <c r="AD8" s="34"/>
      <c r="AE8" s="151"/>
      <c r="AF8" s="34"/>
      <c r="AG8" s="34"/>
    </row>
    <row r="9" spans="1:33" ht="25.5" x14ac:dyDescent="0.2">
      <c r="A9" s="184" t="s">
        <v>136</v>
      </c>
      <c r="B9" s="185" t="s">
        <v>135</v>
      </c>
      <c r="C9" s="149" t="s">
        <v>134</v>
      </c>
      <c r="D9" s="149" t="s">
        <v>133</v>
      </c>
      <c r="E9" s="150" t="s">
        <v>132</v>
      </c>
      <c r="F9" s="149" t="s">
        <v>131</v>
      </c>
      <c r="G9" s="132" t="s">
        <v>110</v>
      </c>
      <c r="H9" s="131" t="s">
        <v>109</v>
      </c>
      <c r="I9" s="131" t="s">
        <v>123</v>
      </c>
      <c r="J9" s="130" t="s">
        <v>125</v>
      </c>
      <c r="K9" s="142" t="s">
        <v>112</v>
      </c>
      <c r="L9" s="128" t="s">
        <v>109</v>
      </c>
      <c r="M9" s="128" t="s">
        <v>123</v>
      </c>
      <c r="N9" s="148" t="s">
        <v>107</v>
      </c>
      <c r="O9" s="141" t="s">
        <v>110</v>
      </c>
      <c r="P9" s="140" t="s">
        <v>109</v>
      </c>
      <c r="Q9" s="140" t="s">
        <v>123</v>
      </c>
      <c r="R9" s="139" t="s">
        <v>107</v>
      </c>
      <c r="W9" s="84"/>
      <c r="X9" s="84"/>
      <c r="Y9" s="84"/>
      <c r="Z9" s="84"/>
      <c r="AA9" s="84"/>
      <c r="AB9" s="84"/>
      <c r="AC9" s="84"/>
      <c r="AD9" s="138"/>
      <c r="AE9" s="34"/>
      <c r="AF9" s="34"/>
      <c r="AG9" s="34"/>
    </row>
    <row r="10" spans="1:33" ht="14.25" x14ac:dyDescent="0.2">
      <c r="A10" s="174">
        <f>'TABLEAU LOYERS'!D33</f>
        <v>0</v>
      </c>
      <c r="B10" s="173">
        <f>'TABLEAU LOYERS'!F33</f>
        <v>0</v>
      </c>
      <c r="C10" s="103">
        <f>'TABLEAU LOYERS'!H33</f>
        <v>0</v>
      </c>
      <c r="D10" s="103">
        <f>'TABLEAU LOYERS'!I33</f>
        <v>0</v>
      </c>
      <c r="E10" s="191" t="str">
        <f>IFERROR(100%-D10/C10,"")</f>
        <v/>
      </c>
      <c r="F10" s="190" t="s">
        <v>130</v>
      </c>
      <c r="G10" s="121" t="e">
        <f>COUNTIFS('TABLEAU LOYERS'!#REF!,"&lt;=3405")</f>
        <v>#REF!</v>
      </c>
      <c r="H10" s="119" t="e">
        <f>SUMIFS('TABLEAU LOYERS'!#REF!,'TABLEAU LOYERS'!#REF!,"&lt;=3405")</f>
        <v>#REF!</v>
      </c>
      <c r="I10" s="102" t="e">
        <f>AVERAGEIF('TABLEAU LOYERS'!#REF!,"&lt;=3405")</f>
        <v>#REF!</v>
      </c>
      <c r="J10" s="120" t="e">
        <f>G10/A12</f>
        <v>#REF!</v>
      </c>
      <c r="K10" s="119" t="e">
        <f>COUNTIFS('TABLEAU LOYERS'!#REF!,"&gt;3405",'TABLEAU LOYERS'!#REF!,"&lt;=8512")</f>
        <v>#REF!</v>
      </c>
      <c r="L10" s="119" t="e">
        <f>SUMIFS('TABLEAU LOYERS'!#REF!,'TABLEAU LOYERS'!#REF!,"&gt;3405",'TABLEAU LOYERS'!#REF!,"&lt;=8512")</f>
        <v>#REF!</v>
      </c>
      <c r="M10" s="102" t="e">
        <f>AVERAGEIFS('TABLEAU LOYERS'!#REF!,'TABLEAU LOYERS'!#REF!,"&gt;3405",'TABLEAU LOYERS'!#REF!,"&lt;=8512")</f>
        <v>#REF!</v>
      </c>
      <c r="N10" s="120" t="e">
        <f>K10/A12</f>
        <v>#REF!</v>
      </c>
      <c r="O10" s="121" t="e">
        <f>COUNTIFS('TABLEAU LOYERS'!#REF!,"&gt;8513")</f>
        <v>#REF!</v>
      </c>
      <c r="P10" s="119" t="e">
        <f>SUMIFS('TABLEAU LOYERS'!#REF!,'TABLEAU LOYERS'!#REF!,"&gt;8513")</f>
        <v>#REF!</v>
      </c>
      <c r="Q10" s="119" t="e">
        <f>AVERAGEIF('TABLEAU LOYERS'!#REF!,"&gt;8513")</f>
        <v>#REF!</v>
      </c>
      <c r="R10" s="120" t="e">
        <f>O10/A12</f>
        <v>#REF!</v>
      </c>
      <c r="W10" s="84"/>
      <c r="X10" s="84"/>
      <c r="Y10" s="84"/>
      <c r="Z10" s="84"/>
      <c r="AA10" s="84"/>
      <c r="AB10" s="84"/>
      <c r="AC10" s="84"/>
      <c r="AD10" s="34"/>
      <c r="AE10" s="34"/>
      <c r="AF10" s="34"/>
      <c r="AG10" s="34"/>
    </row>
    <row r="11" spans="1:33" ht="14.25" x14ac:dyDescent="0.2">
      <c r="A11" s="565" t="s">
        <v>149</v>
      </c>
      <c r="B11" s="566"/>
      <c r="C11" s="566"/>
      <c r="D11" s="567"/>
      <c r="W11" s="84"/>
      <c r="X11" s="84"/>
      <c r="Y11" s="84"/>
      <c r="Z11" s="84"/>
      <c r="AA11" s="84"/>
      <c r="AB11" s="84"/>
      <c r="AC11" s="84"/>
      <c r="AD11" s="34"/>
      <c r="AE11" s="34"/>
      <c r="AF11" s="34"/>
      <c r="AG11" s="34"/>
    </row>
    <row r="12" spans="1:33" ht="14.25" x14ac:dyDescent="0.2">
      <c r="A12" s="175">
        <f>'TABLEAU LOYERS'!D32</f>
        <v>0</v>
      </c>
      <c r="B12" s="176">
        <f>'TABLEAU LOYERS'!F32</f>
        <v>0</v>
      </c>
      <c r="C12" s="103">
        <f>'TABLEAU LOYERS'!H32</f>
        <v>0</v>
      </c>
      <c r="D12" s="101">
        <f>'TABLEAU LOYERS'!I32</f>
        <v>0</v>
      </c>
      <c r="G12" s="565" t="s">
        <v>146</v>
      </c>
      <c r="H12" s="566"/>
      <c r="I12" s="566"/>
      <c r="J12" s="567"/>
      <c r="K12" s="147"/>
      <c r="L12" s="147"/>
      <c r="M12" s="147"/>
      <c r="N12" s="147"/>
      <c r="O12" s="147"/>
      <c r="P12" s="147"/>
      <c r="Q12" s="147"/>
      <c r="R12" s="147"/>
      <c r="W12" s="84"/>
      <c r="X12" s="84"/>
      <c r="Y12" s="84"/>
      <c r="Z12" s="84"/>
      <c r="AA12" s="84"/>
      <c r="AB12" s="84"/>
      <c r="AC12" s="84"/>
      <c r="AD12" s="34"/>
      <c r="AE12" s="34"/>
      <c r="AF12" s="34"/>
      <c r="AG12" s="34"/>
    </row>
    <row r="13" spans="1:33" ht="14.25" x14ac:dyDescent="0.2">
      <c r="C13" s="146"/>
      <c r="D13" s="146"/>
      <c r="G13" s="177" t="e">
        <f>G10+K10+O10</f>
        <v>#REF!</v>
      </c>
      <c r="H13" s="178" t="e">
        <f>H10+L10+P10</f>
        <v>#REF!</v>
      </c>
      <c r="I13" s="179" t="e">
        <f>J10+N10+R10</f>
        <v>#REF!</v>
      </c>
      <c r="J13" s="180"/>
      <c r="W13" s="84"/>
      <c r="X13" s="84"/>
      <c r="Y13" s="84"/>
      <c r="Z13" s="84"/>
      <c r="AA13" s="84"/>
      <c r="AB13" s="84"/>
      <c r="AC13" s="84"/>
      <c r="AD13" s="34"/>
      <c r="AE13" s="34"/>
      <c r="AF13" s="34"/>
      <c r="AG13" s="34"/>
    </row>
    <row r="14" spans="1:33" ht="14.25" x14ac:dyDescent="0.2">
      <c r="C14" s="186"/>
      <c r="D14" s="186"/>
      <c r="W14" s="84"/>
      <c r="X14" s="84"/>
      <c r="Y14" s="84"/>
      <c r="Z14" s="84"/>
      <c r="AA14" s="84"/>
      <c r="AB14" s="84"/>
      <c r="AC14" s="84"/>
      <c r="AD14" s="34"/>
      <c r="AE14" s="34"/>
      <c r="AF14" s="34"/>
      <c r="AG14" s="34"/>
    </row>
    <row r="15" spans="1:33" ht="14.25" x14ac:dyDescent="0.2">
      <c r="C15" s="601"/>
      <c r="D15" s="601"/>
      <c r="W15" s="84"/>
      <c r="X15" s="83"/>
      <c r="Y15" s="83"/>
      <c r="Z15" s="83"/>
      <c r="AA15" s="84"/>
      <c r="AB15" s="84"/>
      <c r="AC15" s="84"/>
      <c r="AD15" s="34"/>
      <c r="AE15" s="145"/>
      <c r="AF15" s="145"/>
      <c r="AG15" s="145"/>
    </row>
    <row r="16" spans="1:33" ht="14.25" x14ac:dyDescent="0.2">
      <c r="G16" s="592" t="s">
        <v>129</v>
      </c>
      <c r="H16" s="593"/>
      <c r="I16" s="593"/>
      <c r="J16" s="593"/>
      <c r="K16" s="593"/>
      <c r="L16" s="593"/>
      <c r="M16" s="593"/>
      <c r="N16" s="593"/>
      <c r="O16" s="593"/>
      <c r="P16" s="593"/>
      <c r="Q16" s="593"/>
      <c r="R16" s="594"/>
      <c r="W16" s="84"/>
      <c r="X16" s="83"/>
      <c r="Y16" s="83"/>
      <c r="Z16" s="83"/>
      <c r="AA16" s="84"/>
      <c r="AB16" s="84"/>
      <c r="AC16" s="84"/>
      <c r="AD16" s="34"/>
      <c r="AE16" s="145"/>
      <c r="AF16" s="145"/>
      <c r="AG16" s="145"/>
    </row>
    <row r="17" spans="1:33" ht="14.25" x14ac:dyDescent="0.2">
      <c r="A17" s="91"/>
      <c r="B17" s="144"/>
      <c r="G17" s="562" t="s">
        <v>128</v>
      </c>
      <c r="H17" s="563"/>
      <c r="I17" s="563"/>
      <c r="J17" s="563"/>
      <c r="K17" s="563"/>
      <c r="L17" s="563"/>
      <c r="M17" s="563"/>
      <c r="N17" s="563"/>
      <c r="O17" s="563"/>
      <c r="P17" s="563"/>
      <c r="Q17" s="563"/>
      <c r="R17" s="564"/>
      <c r="W17" s="84"/>
      <c r="X17" s="84"/>
      <c r="Y17" s="84"/>
      <c r="Z17" s="84"/>
      <c r="AA17" s="84"/>
      <c r="AB17" s="84"/>
      <c r="AC17" s="84"/>
      <c r="AD17" s="34"/>
      <c r="AE17" s="34"/>
      <c r="AF17" s="34"/>
      <c r="AG17" s="34"/>
    </row>
    <row r="18" spans="1:33" ht="14.25" x14ac:dyDescent="0.2">
      <c r="G18" s="571" t="s">
        <v>121</v>
      </c>
      <c r="H18" s="572"/>
      <c r="I18" s="572"/>
      <c r="J18" s="572"/>
      <c r="K18" s="574" t="s">
        <v>127</v>
      </c>
      <c r="L18" s="575"/>
      <c r="M18" s="575"/>
      <c r="N18" s="576"/>
      <c r="O18" s="578" t="s">
        <v>126</v>
      </c>
      <c r="P18" s="578"/>
      <c r="Q18" s="578"/>
      <c r="R18" s="579"/>
      <c r="W18" s="84"/>
      <c r="X18" s="84"/>
      <c r="Y18" s="84"/>
      <c r="Z18" s="84"/>
      <c r="AA18" s="84"/>
      <c r="AB18" s="84"/>
      <c r="AC18" s="84"/>
      <c r="AD18" s="143"/>
      <c r="AE18" s="143"/>
      <c r="AF18" s="143"/>
      <c r="AG18" s="143"/>
    </row>
    <row r="19" spans="1:33" ht="25.5" x14ac:dyDescent="0.2">
      <c r="G19" s="132" t="s">
        <v>110</v>
      </c>
      <c r="H19" s="131" t="s">
        <v>109</v>
      </c>
      <c r="I19" s="131" t="s">
        <v>123</v>
      </c>
      <c r="J19" s="132" t="s">
        <v>125</v>
      </c>
      <c r="K19" s="142" t="s">
        <v>112</v>
      </c>
      <c r="L19" s="128" t="s">
        <v>113</v>
      </c>
      <c r="M19" s="128" t="s">
        <v>123</v>
      </c>
      <c r="N19" s="128" t="s">
        <v>107</v>
      </c>
      <c r="O19" s="141" t="s">
        <v>124</v>
      </c>
      <c r="P19" s="140" t="s">
        <v>113</v>
      </c>
      <c r="Q19" s="140" t="s">
        <v>123</v>
      </c>
      <c r="R19" s="139" t="s">
        <v>107</v>
      </c>
      <c r="W19" s="84"/>
      <c r="X19" s="84"/>
      <c r="Y19" s="84"/>
      <c r="Z19" s="84"/>
      <c r="AA19" s="85"/>
      <c r="AB19" s="84"/>
      <c r="AC19" s="84"/>
      <c r="AD19" s="34"/>
      <c r="AE19" s="34"/>
      <c r="AF19" s="34"/>
      <c r="AG19" s="34"/>
    </row>
    <row r="20" spans="1:33" ht="14.25" x14ac:dyDescent="0.2">
      <c r="G20" s="121" t="e">
        <f>COUNTIFS('TABLEAU LOYERS'!#REF!,"&lt;=3405")</f>
        <v>#REF!</v>
      </c>
      <c r="H20" s="119" t="e">
        <f>SUMIFS('TABLEAU LOYERS'!#REF!,'TABLEAU LOYERS'!#REF!,"&lt;=3405")</f>
        <v>#REF!</v>
      </c>
      <c r="I20" s="102" t="e">
        <f>AVERAGEIF('TABLEAU LOYERS'!#REF!,"&lt;=3405")</f>
        <v>#REF!</v>
      </c>
      <c r="J20" s="120" t="e">
        <f>G20/A12</f>
        <v>#REF!</v>
      </c>
      <c r="K20" s="119" t="e">
        <f>COUNTIFS('TABLEAU LOYERS'!#REF!,"&gt;3405",'TABLEAU LOYERS'!#REF!,"&lt;=8512")</f>
        <v>#REF!</v>
      </c>
      <c r="L20" s="119" t="e">
        <f>SUMIFS('TABLEAU LOYERS'!#REF!,'TABLEAU LOYERS'!#REF!,"&gt;3405",'TABLEAU LOYERS'!#REF!,"&lt;=8512")</f>
        <v>#REF!</v>
      </c>
      <c r="M20" s="102" t="e">
        <f>AVERAGEIFS('TABLEAU LOYERS'!#REF!,'TABLEAU LOYERS'!#REF!,"&gt;3405",'TABLEAU LOYERS'!#REF!,"&lt;=8512")</f>
        <v>#REF!</v>
      </c>
      <c r="N20" s="123" t="e">
        <f>K20/A12</f>
        <v>#REF!</v>
      </c>
      <c r="O20" s="121" t="e">
        <f>COUNTIFS('TABLEAU LOYERS'!#REF!,"&gt;8513")</f>
        <v>#REF!</v>
      </c>
      <c r="P20" s="119" t="e">
        <f>SUMIFS('TABLEAU LOYERS'!#REF!,'TABLEAU LOYERS'!#REF!,"&gt;8513")</f>
        <v>#REF!</v>
      </c>
      <c r="Q20" s="119" t="e">
        <f>AVERAGEIF('TABLEAU LOYERS'!#REF!,"&gt;8513")</f>
        <v>#REF!</v>
      </c>
      <c r="R20" s="120" t="e">
        <f>O20/A12</f>
        <v>#REF!</v>
      </c>
      <c r="W20" s="84"/>
      <c r="X20" s="84"/>
      <c r="Y20" s="84"/>
      <c r="Z20" s="84"/>
      <c r="AA20" s="84"/>
      <c r="AB20" s="84"/>
      <c r="AC20" s="84"/>
      <c r="AD20" s="138"/>
      <c r="AE20" s="34"/>
      <c r="AF20" s="34"/>
      <c r="AG20" s="34"/>
    </row>
    <row r="21" spans="1:33" x14ac:dyDescent="0.2">
      <c r="W21" s="84"/>
      <c r="X21" s="84"/>
      <c r="Y21" s="84"/>
      <c r="Z21" s="84"/>
      <c r="AA21" s="84"/>
      <c r="AB21" s="84"/>
      <c r="AC21" s="84"/>
      <c r="AD21" s="84"/>
      <c r="AE21" s="84"/>
      <c r="AF21" s="84"/>
      <c r="AG21" s="84"/>
    </row>
    <row r="22" spans="1:33" x14ac:dyDescent="0.2">
      <c r="G22" s="565" t="s">
        <v>146</v>
      </c>
      <c r="H22" s="566"/>
      <c r="I22" s="566"/>
      <c r="J22" s="567"/>
      <c r="W22" s="84"/>
      <c r="X22" s="84"/>
      <c r="Y22" s="84"/>
      <c r="Z22" s="84"/>
      <c r="AA22" s="84"/>
      <c r="AB22" s="84"/>
      <c r="AC22" s="84"/>
      <c r="AD22" s="84"/>
      <c r="AE22" s="84"/>
      <c r="AF22" s="84"/>
      <c r="AG22" s="84"/>
    </row>
    <row r="23" spans="1:33" x14ac:dyDescent="0.2">
      <c r="G23" s="177" t="e">
        <f>G20+K20+O20</f>
        <v>#REF!</v>
      </c>
      <c r="H23" s="178" t="e">
        <f>H20+L20+P20</f>
        <v>#REF!</v>
      </c>
      <c r="I23" s="179" t="e">
        <f>J20+N20+R20</f>
        <v>#REF!</v>
      </c>
      <c r="J23" s="180"/>
      <c r="W23" s="84"/>
      <c r="X23" s="84"/>
      <c r="Y23" s="84"/>
      <c r="Z23" s="84"/>
      <c r="AA23" s="84"/>
      <c r="AB23" s="84"/>
      <c r="AC23" s="84"/>
      <c r="AD23" s="84"/>
      <c r="AE23" s="84"/>
      <c r="AF23" s="84"/>
      <c r="AG23" s="84"/>
    </row>
    <row r="24" spans="1:33" ht="14.25" x14ac:dyDescent="0.2">
      <c r="W24" s="84"/>
      <c r="X24" s="84"/>
      <c r="Y24" s="84"/>
      <c r="Z24" s="84"/>
      <c r="AA24" s="84"/>
      <c r="AB24" s="84"/>
      <c r="AC24" s="84"/>
      <c r="AD24" s="34"/>
      <c r="AE24" s="34"/>
      <c r="AF24" s="34"/>
      <c r="AG24" s="34"/>
    </row>
    <row r="26" spans="1:33" x14ac:dyDescent="0.2">
      <c r="C26" s="156"/>
      <c r="D26" s="592" t="s">
        <v>122</v>
      </c>
      <c r="E26" s="593"/>
      <c r="F26" s="593"/>
      <c r="G26" s="593"/>
      <c r="H26" s="593"/>
      <c r="I26" s="593"/>
      <c r="J26" s="593"/>
      <c r="K26" s="593"/>
      <c r="L26" s="593"/>
      <c r="M26" s="593"/>
      <c r="N26" s="593"/>
      <c r="O26" s="593"/>
      <c r="P26" s="593"/>
      <c r="Q26" s="593"/>
      <c r="R26" s="594"/>
      <c r="V26" s="592" t="s">
        <v>153</v>
      </c>
      <c r="W26" s="594"/>
    </row>
    <row r="27" spans="1:33" x14ac:dyDescent="0.2">
      <c r="D27" s="136"/>
      <c r="E27" s="135"/>
      <c r="F27" s="135"/>
      <c r="G27" s="135"/>
      <c r="H27" s="135"/>
      <c r="I27" s="135"/>
      <c r="J27" s="135"/>
      <c r="K27" s="135"/>
      <c r="L27" s="135"/>
      <c r="M27" s="135"/>
      <c r="N27" s="135"/>
      <c r="O27" s="135"/>
      <c r="P27" s="135"/>
      <c r="Q27" s="135"/>
      <c r="R27" s="137"/>
      <c r="V27" s="136"/>
      <c r="W27" s="135"/>
    </row>
    <row r="28" spans="1:33" x14ac:dyDescent="0.2">
      <c r="D28" s="136"/>
      <c r="E28" s="135"/>
      <c r="F28" s="135"/>
      <c r="G28" s="571" t="s">
        <v>121</v>
      </c>
      <c r="H28" s="572"/>
      <c r="I28" s="572"/>
      <c r="J28" s="573"/>
      <c r="K28" s="574" t="s">
        <v>120</v>
      </c>
      <c r="L28" s="575"/>
      <c r="M28" s="575"/>
      <c r="N28" s="576"/>
      <c r="O28" s="577" t="s">
        <v>119</v>
      </c>
      <c r="P28" s="578"/>
      <c r="Q28" s="578"/>
      <c r="R28" s="579"/>
      <c r="V28" s="136"/>
      <c r="W28" s="135"/>
    </row>
    <row r="29" spans="1:33" ht="25.5" x14ac:dyDescent="0.2">
      <c r="D29" s="133" t="s">
        <v>116</v>
      </c>
      <c r="E29" s="133" t="s">
        <v>115</v>
      </c>
      <c r="F29" s="133" t="s">
        <v>114</v>
      </c>
      <c r="G29" s="132" t="s">
        <v>110</v>
      </c>
      <c r="H29" s="131" t="s">
        <v>113</v>
      </c>
      <c r="I29" s="131" t="s">
        <v>111</v>
      </c>
      <c r="J29" s="130" t="s">
        <v>107</v>
      </c>
      <c r="K29" s="129" t="s">
        <v>112</v>
      </c>
      <c r="L29" s="128" t="s">
        <v>109</v>
      </c>
      <c r="M29" s="148" t="s">
        <v>111</v>
      </c>
      <c r="N29" s="127" t="s">
        <v>107</v>
      </c>
      <c r="O29" s="126" t="s">
        <v>110</v>
      </c>
      <c r="P29" s="125" t="s">
        <v>109</v>
      </c>
      <c r="Q29" s="125" t="s">
        <v>108</v>
      </c>
      <c r="R29" s="124" t="s">
        <v>107</v>
      </c>
      <c r="V29" s="134" t="s">
        <v>118</v>
      </c>
      <c r="W29" s="133" t="s">
        <v>117</v>
      </c>
    </row>
    <row r="30" spans="1:33" x14ac:dyDescent="0.2">
      <c r="D30" s="101">
        <f>'TABLEAU LOYERS'!R32</f>
        <v>0</v>
      </c>
      <c r="E30" s="123" t="e">
        <f>100%-C10/D30</f>
        <v>#DIV/0!</v>
      </c>
      <c r="F30" s="122">
        <v>3</v>
      </c>
      <c r="G30" s="121" t="e">
        <f>COUNTIFS('TABLEAU LOYERS'!#REF!,"&lt;=3405")</f>
        <v>#REF!</v>
      </c>
      <c r="H30" s="119" t="e">
        <f>SUMIFS('TABLEAU LOYERS'!#REF!,'TABLEAU LOYERS'!#REF!,"&lt;=3405")</f>
        <v>#REF!</v>
      </c>
      <c r="I30" s="102" t="e">
        <f>AVERAGEIF('TABLEAU LOYERS'!#REF!,"&lt;=3405")</f>
        <v>#REF!</v>
      </c>
      <c r="J30" s="118" t="e">
        <f>G30/A12</f>
        <v>#REF!</v>
      </c>
      <c r="K30" s="121" t="e">
        <f>COUNTIFS('TABLEAU LOYERS'!#REF!,"&gt;3405",'TABLEAU LOYERS'!#REF!,"&lt;=8512")</f>
        <v>#REF!</v>
      </c>
      <c r="L30" s="119" t="e">
        <f>SUMIFS('TABLEAU LOYERS'!#REF!,'TABLEAU LOYERS'!#REF!,"&gt;3405",'TABLEAU LOYERS'!#REF!,"&lt;=8512")</f>
        <v>#REF!</v>
      </c>
      <c r="M30" s="102" t="e">
        <f>AVERAGEIFS('TABLEAU LOYERS'!#REF!,'TABLEAU LOYERS'!#REF!,"&gt;3405",'TABLEAU LOYERS'!#REF!,"&lt;=8512")</f>
        <v>#REF!</v>
      </c>
      <c r="N30" s="120" t="e">
        <f>K30/A12</f>
        <v>#REF!</v>
      </c>
      <c r="O30" s="119"/>
      <c r="P30" s="119"/>
      <c r="Q30" s="119"/>
      <c r="R30" s="118"/>
      <c r="V30" s="189"/>
      <c r="W30" s="122"/>
    </row>
    <row r="31" spans="1:33" x14ac:dyDescent="0.2">
      <c r="C31" s="86"/>
      <c r="D31" s="168"/>
      <c r="V31" s="192" t="s">
        <v>154</v>
      </c>
      <c r="W31" s="192" t="s">
        <v>155</v>
      </c>
    </row>
    <row r="32" spans="1:33" x14ac:dyDescent="0.2">
      <c r="C32" s="86"/>
      <c r="D32" s="168"/>
      <c r="O32" s="121" t="e">
        <f>COUNTIFS('TABLEAU LOYERS'!#REF!,"&gt;8513")</f>
        <v>#REF!</v>
      </c>
      <c r="P32" s="119" t="e">
        <f>SUMIFS('TABLEAU LOYERS'!#REF!,'TABLEAU LOYERS'!#REF!,"&gt;8513")</f>
        <v>#REF!</v>
      </c>
      <c r="Q32" s="119" t="e">
        <f>AVERAGEIF('TABLEAU LOYERS'!#REF!,"&gt;8513")</f>
        <v>#REF!</v>
      </c>
      <c r="R32" s="120" t="e">
        <f>O32/A12</f>
        <v>#REF!</v>
      </c>
      <c r="S32" s="169" t="s">
        <v>144</v>
      </c>
      <c r="V32" s="165"/>
      <c r="W32" s="165"/>
    </row>
    <row r="33" spans="1:26" x14ac:dyDescent="0.2">
      <c r="A33" s="86"/>
      <c r="B33" s="86"/>
      <c r="C33" s="86"/>
      <c r="D33" s="168"/>
    </row>
    <row r="34" spans="1:26" x14ac:dyDescent="0.2">
      <c r="A34" s="86"/>
      <c r="B34" s="86"/>
      <c r="C34" s="86"/>
      <c r="D34" s="168"/>
      <c r="O34" s="170" t="e">
        <f>O32+O30</f>
        <v>#REF!</v>
      </c>
      <c r="P34" s="170" t="e">
        <f>P30+P32</f>
        <v>#REF!</v>
      </c>
      <c r="Q34" s="170" t="e">
        <f>AVERAGE(Q30:Q32)</f>
        <v>#REF!</v>
      </c>
      <c r="R34" s="171" t="e">
        <f>R32+R30</f>
        <v>#REF!</v>
      </c>
      <c r="S34" s="172" t="s">
        <v>145</v>
      </c>
    </row>
    <row r="35" spans="1:26" x14ac:dyDescent="0.2">
      <c r="G35" s="565" t="s">
        <v>146</v>
      </c>
      <c r="H35" s="566"/>
      <c r="I35" s="566"/>
      <c r="J35" s="567"/>
    </row>
    <row r="36" spans="1:26" x14ac:dyDescent="0.2">
      <c r="G36" s="175" t="e">
        <f>G30+K30+O34</f>
        <v>#REF!</v>
      </c>
      <c r="H36" s="181" t="e">
        <f>H30+L30+P34</f>
        <v>#REF!</v>
      </c>
      <c r="I36" s="182" t="e">
        <f>J30+N30+R34</f>
        <v>#REF!</v>
      </c>
      <c r="J36" s="183"/>
    </row>
    <row r="39" spans="1:26" x14ac:dyDescent="0.2">
      <c r="A39" s="585" t="s">
        <v>106</v>
      </c>
      <c r="B39" s="586"/>
      <c r="C39" s="586"/>
      <c r="D39" s="586"/>
      <c r="E39" s="586"/>
      <c r="F39" s="586"/>
      <c r="G39" s="586"/>
      <c r="H39" s="586"/>
      <c r="I39" s="586"/>
      <c r="J39" s="586"/>
      <c r="K39" s="586"/>
      <c r="L39" s="586"/>
      <c r="M39" s="586"/>
      <c r="N39" s="586"/>
      <c r="O39" s="568" t="s">
        <v>105</v>
      </c>
      <c r="P39" s="569"/>
      <c r="Q39" s="569"/>
      <c r="R39" s="569"/>
      <c r="S39" s="569"/>
      <c r="T39" s="569"/>
      <c r="U39" s="570"/>
    </row>
    <row r="40" spans="1:26" x14ac:dyDescent="0.2">
      <c r="A40" s="225"/>
      <c r="B40" s="226"/>
      <c r="C40" s="227"/>
      <c r="D40" s="227"/>
      <c r="E40" s="227"/>
      <c r="F40" s="227"/>
      <c r="G40" s="227"/>
      <c r="H40" s="227"/>
      <c r="I40" s="227"/>
      <c r="J40" s="227"/>
      <c r="K40" s="227"/>
      <c r="L40" s="227"/>
      <c r="M40" s="227"/>
      <c r="N40" s="227"/>
      <c r="O40" s="228"/>
      <c r="P40" s="229"/>
      <c r="Q40" s="568" t="s">
        <v>104</v>
      </c>
      <c r="R40" s="569"/>
      <c r="S40" s="569"/>
      <c r="T40" s="569"/>
      <c r="U40" s="570"/>
    </row>
    <row r="41" spans="1:26" x14ac:dyDescent="0.2">
      <c r="A41" s="116"/>
      <c r="B41" s="117"/>
      <c r="C41" s="562" t="s">
        <v>48</v>
      </c>
      <c r="D41" s="564"/>
      <c r="E41" s="562" t="s">
        <v>49</v>
      </c>
      <c r="F41" s="564"/>
      <c r="G41" s="116"/>
      <c r="H41" s="562" t="s">
        <v>151</v>
      </c>
      <c r="I41" s="563"/>
      <c r="J41" s="563"/>
      <c r="K41" s="564"/>
      <c r="L41" s="562" t="s">
        <v>103</v>
      </c>
      <c r="M41" s="563"/>
      <c r="N41" s="564"/>
      <c r="O41" s="596" t="s">
        <v>102</v>
      </c>
      <c r="P41" s="597"/>
      <c r="Q41" s="598" t="s">
        <v>150</v>
      </c>
      <c r="R41" s="599"/>
      <c r="S41" s="600"/>
      <c r="T41" s="116" t="s">
        <v>80</v>
      </c>
      <c r="U41" s="115" t="s">
        <v>101</v>
      </c>
    </row>
    <row r="42" spans="1:26" ht="38.25" x14ac:dyDescent="0.2">
      <c r="A42" s="109" t="s">
        <v>100</v>
      </c>
      <c r="B42" s="113" t="s">
        <v>99</v>
      </c>
      <c r="C42" s="111" t="s">
        <v>98</v>
      </c>
      <c r="D42" s="114" t="s">
        <v>96</v>
      </c>
      <c r="E42" s="108" t="s">
        <v>97</v>
      </c>
      <c r="F42" s="108" t="s">
        <v>96</v>
      </c>
      <c r="G42" s="113" t="s">
        <v>95</v>
      </c>
      <c r="H42" s="111" t="s">
        <v>94</v>
      </c>
      <c r="I42" s="110" t="s">
        <v>93</v>
      </c>
      <c r="J42" s="110" t="s">
        <v>92</v>
      </c>
      <c r="K42" s="112" t="s">
        <v>91</v>
      </c>
      <c r="L42" s="111" t="s">
        <v>90</v>
      </c>
      <c r="M42" s="110" t="s">
        <v>89</v>
      </c>
      <c r="N42" s="110" t="s">
        <v>88</v>
      </c>
      <c r="O42" s="109" t="s">
        <v>87</v>
      </c>
      <c r="P42" s="108" t="s">
        <v>86</v>
      </c>
      <c r="Q42" s="106" t="s">
        <v>85</v>
      </c>
      <c r="R42" s="106" t="s">
        <v>84</v>
      </c>
      <c r="S42" s="107" t="s">
        <v>83</v>
      </c>
      <c r="T42" s="106" t="s">
        <v>82</v>
      </c>
      <c r="U42" s="105" t="s">
        <v>81</v>
      </c>
    </row>
    <row r="43" spans="1:26" x14ac:dyDescent="0.2">
      <c r="A43" s="103">
        <f>'TABLEAU COUTS'!E44</f>
        <v>0</v>
      </c>
      <c r="B43" s="101">
        <f>'TABLEAU COUTS'!H44</f>
        <v>0</v>
      </c>
      <c r="C43" s="101" t="e">
        <f>'TABLEAU COUTS'!I10+'TABLEAU COUTS'!I12+'TABLEAU COUTS'!I14+'TABLEAU COUTS'!I16+'TABLEAU COUTS'!I18+'TABLEAU COUTS'!I20+'TABLEAU COUTS'!I22+'TABLEAU COUTS'!I24+'TABLEAU COUTS'!I26+'TABLEAU COUTS'!I28+'TABLEAU COUTS'!I30+'TABLEAU COUTS'!I32+'TABLEAU COUTS'!I34+'TABLEAU COUTS'!I36+'TABLEAU COUTS'!I38+'TABLEAU COUTS'!I40+'TABLEAU COUTS'!I42</f>
        <v>#VALUE!</v>
      </c>
      <c r="D43" s="194" t="e">
        <f>'TABLEAU COUTS'!Q44/('STATISTIQUE LEN'!C43*70%)</f>
        <v>#VALUE!</v>
      </c>
      <c r="E43" s="195" t="e">
        <f>'TABLEAU COUTS'!I11+'TABLEAU COUTS'!I13+'TABLEAU COUTS'!I15+'TABLEAU COUTS'!I17+'TABLEAU COUTS'!I19+'TABLEAU COUTS'!I21+'TABLEAU COUTS'!I23+'TABLEAU COUTS'!I25+'TABLEAU COUTS'!I27+'TABLEAU COUTS'!I29+'TABLEAU COUTS'!I31+'TABLEAU COUTS'!I33+'TABLEAU COUTS'!I35+'TABLEAU COUTS'!I37+'TABLEAU COUTS'!I39+'TABLEAU COUTS'!I41+'TABLEAU COUTS'!I43</f>
        <v>#VALUE!</v>
      </c>
      <c r="F43" s="196" t="e">
        <f>'TABLEAU COUTS'!Q45/'STATISTIQUE LEN'!E43</f>
        <v>#VALUE!</v>
      </c>
      <c r="G43" s="104" t="e">
        <f>SUM(E43,C43)</f>
        <v>#VALUE!</v>
      </c>
      <c r="H43" s="103">
        <f>'TABLEAU COUTS'!Q48</f>
        <v>0</v>
      </c>
      <c r="I43" s="102">
        <f>'TABLEAU COUTS'!Q49</f>
        <v>0</v>
      </c>
      <c r="J43" s="102">
        <f>H43+I43</f>
        <v>0</v>
      </c>
      <c r="K43" s="101">
        <f>'TABLEAU COUTS'!R49</f>
        <v>0</v>
      </c>
      <c r="L43" s="99"/>
      <c r="M43" s="100"/>
      <c r="N43" s="206" t="e">
        <f>A43/M43</f>
        <v>#DIV/0!</v>
      </c>
      <c r="O43" s="200">
        <f>A43-B43</f>
        <v>0</v>
      </c>
      <c r="P43" s="201">
        <f>SUM(W52)</f>
        <v>0</v>
      </c>
      <c r="Q43" s="202">
        <f>$C$10-$D$10</f>
        <v>0</v>
      </c>
      <c r="R43" s="202">
        <f>$D$30-$C$10</f>
        <v>0</v>
      </c>
      <c r="S43" s="203">
        <f>R43+Q43</f>
        <v>0</v>
      </c>
      <c r="T43" s="204">
        <f>Z51</f>
        <v>0</v>
      </c>
      <c r="U43" s="205">
        <f>B10*4300</f>
        <v>0</v>
      </c>
    </row>
    <row r="44" spans="1:26" x14ac:dyDescent="0.2">
      <c r="B44" s="98" t="e">
        <f>B43/A43</f>
        <v>#DIV/0!</v>
      </c>
      <c r="C44" s="98" t="e">
        <f>C43/A43</f>
        <v>#VALUE!</v>
      </c>
      <c r="D44" s="197"/>
      <c r="E44" s="194" t="e">
        <f>E43/A43</f>
        <v>#VALUE!</v>
      </c>
      <c r="F44" s="198"/>
      <c r="G44" s="97" t="e">
        <f>G43/A43</f>
        <v>#VALUE!</v>
      </c>
      <c r="H44" s="84"/>
      <c r="I44" s="84"/>
      <c r="J44" s="96"/>
      <c r="K44" s="84"/>
      <c r="V44" s="580" t="s">
        <v>152</v>
      </c>
      <c r="W44" s="581"/>
      <c r="Y44" s="591" t="s">
        <v>80</v>
      </c>
      <c r="Z44" s="581"/>
    </row>
    <row r="45" spans="1:26" x14ac:dyDescent="0.2">
      <c r="D45" s="199" t="e">
        <f>C43*D43</f>
        <v>#VALUE!</v>
      </c>
      <c r="E45" s="86"/>
      <c r="F45" s="199" t="e">
        <f>E43*F43</f>
        <v>#VALUE!</v>
      </c>
      <c r="G45" s="95"/>
      <c r="H45" s="95"/>
      <c r="I45" s="95"/>
      <c r="J45" s="95"/>
      <c r="K45" s="84"/>
      <c r="V45" s="207" t="s">
        <v>79</v>
      </c>
      <c r="W45" s="208">
        <f>$O$43</f>
        <v>0</v>
      </c>
      <c r="Y45" s="207" t="s">
        <v>79</v>
      </c>
      <c r="Z45" s="208">
        <f>$O$43</f>
        <v>0</v>
      </c>
    </row>
    <row r="46" spans="1:26" x14ac:dyDescent="0.2">
      <c r="D46" s="582" t="e">
        <f>D45+F45</f>
        <v>#VALUE!</v>
      </c>
      <c r="E46" s="583"/>
      <c r="F46" s="584"/>
      <c r="G46" s="94"/>
      <c r="H46" s="93"/>
      <c r="I46" s="93"/>
      <c r="J46" s="93"/>
      <c r="K46" s="93"/>
      <c r="V46" s="217" t="s">
        <v>78</v>
      </c>
      <c r="W46" s="218">
        <f>W45*40%</f>
        <v>0</v>
      </c>
      <c r="Y46" s="209" t="s">
        <v>77</v>
      </c>
      <c r="Z46" s="210">
        <f>70%*Z45</f>
        <v>0</v>
      </c>
    </row>
    <row r="47" spans="1:26" x14ac:dyDescent="0.2">
      <c r="V47" s="219" t="s">
        <v>76</v>
      </c>
      <c r="W47" s="220">
        <f>F3+0.5%</f>
        <v>0.02</v>
      </c>
      <c r="Y47" s="211" t="s">
        <v>75</v>
      </c>
      <c r="Z47" s="212">
        <v>35</v>
      </c>
    </row>
    <row r="48" spans="1:26" x14ac:dyDescent="0.2">
      <c r="V48" s="221"/>
      <c r="W48" s="222">
        <f>W46*W47</f>
        <v>0</v>
      </c>
      <c r="Y48" s="211" t="s">
        <v>74</v>
      </c>
      <c r="Z48" s="210">
        <f>Z46*(F3+0.5%)/2</f>
        <v>0</v>
      </c>
    </row>
    <row r="49" spans="1:27" x14ac:dyDescent="0.2">
      <c r="V49" s="217" t="s">
        <v>73</v>
      </c>
      <c r="W49" s="218">
        <f>W45*60%</f>
        <v>0</v>
      </c>
      <c r="Y49" s="211" t="s">
        <v>72</v>
      </c>
      <c r="Z49" s="210">
        <f>Z46/Z47</f>
        <v>0</v>
      </c>
    </row>
    <row r="50" spans="1:27" x14ac:dyDescent="0.2">
      <c r="V50" s="211" t="s">
        <v>71</v>
      </c>
      <c r="W50" s="223">
        <f>$F$3</f>
        <v>1.4999999999999999E-2</v>
      </c>
      <c r="Y50" s="211" t="s">
        <v>70</v>
      </c>
      <c r="Z50" s="210">
        <f>(Z48+Z49)*10%</f>
        <v>0</v>
      </c>
      <c r="AA50" s="92"/>
    </row>
    <row r="51" spans="1:27" x14ac:dyDescent="0.2">
      <c r="V51" s="221"/>
      <c r="W51" s="222">
        <f>W49*W50</f>
        <v>0</v>
      </c>
      <c r="Y51" s="213" t="s">
        <v>69</v>
      </c>
      <c r="Z51" s="214">
        <f>Z48+Z49+Z50</f>
        <v>0</v>
      </c>
    </row>
    <row r="52" spans="1:27" x14ac:dyDescent="0.2">
      <c r="V52" s="213" t="s">
        <v>68</v>
      </c>
      <c r="W52" s="214">
        <f>W48+W51</f>
        <v>0</v>
      </c>
      <c r="X52" s="224" t="e">
        <f>W52/W45</f>
        <v>#DIV/0!</v>
      </c>
      <c r="Y52" s="215" t="s">
        <v>67</v>
      </c>
      <c r="Z52" s="216" t="e">
        <f>Z51/B10</f>
        <v>#DIV/0!</v>
      </c>
    </row>
    <row r="53" spans="1:27" x14ac:dyDescent="0.2">
      <c r="V53" s="211" t="s">
        <v>66</v>
      </c>
      <c r="W53" s="210">
        <f>$D$30-$C$10</f>
        <v>0</v>
      </c>
      <c r="X53" s="224" t="e">
        <f>W53/W45</f>
        <v>#DIV/0!</v>
      </c>
    </row>
    <row r="54" spans="1:27" x14ac:dyDescent="0.2">
      <c r="V54" s="221" t="s">
        <v>65</v>
      </c>
      <c r="W54" s="222">
        <f>$D$31-$C$10</f>
        <v>0</v>
      </c>
      <c r="X54" s="224" t="e">
        <f>W54/W45</f>
        <v>#DIV/0!</v>
      </c>
    </row>
    <row r="55" spans="1:27" ht="13.5" thickBot="1" x14ac:dyDescent="0.25">
      <c r="P55" s="91"/>
    </row>
    <row r="56" spans="1:27" ht="15.75" thickBot="1" x14ac:dyDescent="0.25">
      <c r="A56" s="544" t="s">
        <v>64</v>
      </c>
      <c r="B56" s="545"/>
      <c r="C56" s="545"/>
      <c r="D56" s="546"/>
      <c r="P56" s="91"/>
    </row>
    <row r="57" spans="1:27" x14ac:dyDescent="0.2">
      <c r="A57" s="547" t="s">
        <v>63</v>
      </c>
      <c r="B57" s="548"/>
      <c r="C57" s="549"/>
      <c r="D57" s="553" t="str">
        <f>'TABLEAU COUTS'!Q46</f>
        <v/>
      </c>
      <c r="V57" s="561"/>
      <c r="W57" s="561"/>
    </row>
    <row r="58" spans="1:27" x14ac:dyDescent="0.2">
      <c r="A58" s="550"/>
      <c r="B58" s="551"/>
      <c r="C58" s="552"/>
      <c r="D58" s="554"/>
      <c r="V58" s="84"/>
      <c r="W58" s="83"/>
    </row>
    <row r="59" spans="1:27" x14ac:dyDescent="0.2">
      <c r="A59" s="555" t="s">
        <v>62</v>
      </c>
      <c r="B59" s="556"/>
      <c r="C59" s="557"/>
      <c r="D59" s="90">
        <f>IFERROR(W8-F8,"")</f>
        <v>0</v>
      </c>
      <c r="V59" s="84"/>
      <c r="W59" s="83"/>
    </row>
    <row r="60" spans="1:27" ht="13.5" thickBot="1" x14ac:dyDescent="0.25">
      <c r="A60" s="558" t="s">
        <v>61</v>
      </c>
      <c r="B60" s="559"/>
      <c r="C60" s="560"/>
      <c r="D60" s="89" t="str">
        <f>IFERROR(IF(D59&lt;D57,(D57-D59)/'TABLEAU LOYERS'!F32,0),"")</f>
        <v/>
      </c>
      <c r="V60" s="85"/>
      <c r="W60" s="88"/>
    </row>
    <row r="61" spans="1:27" ht="13.5" thickBot="1" x14ac:dyDescent="0.25">
      <c r="A61" s="541" t="s">
        <v>60</v>
      </c>
      <c r="B61" s="542"/>
      <c r="C61" s="543"/>
      <c r="D61" s="87">
        <f>IF(D60&gt;120,120,D60)</f>
        <v>120</v>
      </c>
      <c r="V61" s="84"/>
      <c r="W61" s="83"/>
    </row>
    <row r="62" spans="1:27" x14ac:dyDescent="0.2">
      <c r="V62" s="86"/>
      <c r="W62" s="83"/>
    </row>
    <row r="63" spans="1:27" x14ac:dyDescent="0.2">
      <c r="V63" s="84"/>
      <c r="W63" s="85"/>
    </row>
    <row r="64" spans="1:27" x14ac:dyDescent="0.2">
      <c r="V64" s="84"/>
      <c r="W64" s="83"/>
    </row>
    <row r="65" spans="22:23" x14ac:dyDescent="0.2">
      <c r="V65" s="84"/>
      <c r="W65" s="83"/>
    </row>
    <row r="66" spans="22:23" x14ac:dyDescent="0.2">
      <c r="V66" s="84"/>
      <c r="W66" s="83"/>
    </row>
  </sheetData>
  <sheetProtection algorithmName="SHA-512" hashValue="/z7hpkh2p4CCLOyBsgr3YNx840ZrVGQHch0q9BoXxi85Iauhby+ARVATYgw9PksrKx2+AD1ysoZgVbRAt6aOdw==" saltValue="vqLn2g+N0rd7RNm9IvWDgQ==" spinCount="100000" sheet="1" objects="1" scenarios="1"/>
  <mergeCells count="41">
    <mergeCell ref="Y44:Z44"/>
    <mergeCell ref="A6:R6"/>
    <mergeCell ref="W6:Z6"/>
    <mergeCell ref="C41:D41"/>
    <mergeCell ref="E41:F41"/>
    <mergeCell ref="O41:P41"/>
    <mergeCell ref="Q41:S41"/>
    <mergeCell ref="C15:D15"/>
    <mergeCell ref="G16:R16"/>
    <mergeCell ref="G17:R17"/>
    <mergeCell ref="A11:D11"/>
    <mergeCell ref="D26:R26"/>
    <mergeCell ref="V26:W26"/>
    <mergeCell ref="L41:N41"/>
    <mergeCell ref="AD6:AG6"/>
    <mergeCell ref="G7:R7"/>
    <mergeCell ref="G8:J8"/>
    <mergeCell ref="K8:N8"/>
    <mergeCell ref="O8:R8"/>
    <mergeCell ref="D46:F46"/>
    <mergeCell ref="K18:N18"/>
    <mergeCell ref="O18:R18"/>
    <mergeCell ref="A39:N39"/>
    <mergeCell ref="O39:U39"/>
    <mergeCell ref="G18:J18"/>
    <mergeCell ref="V57:W57"/>
    <mergeCell ref="H41:K41"/>
    <mergeCell ref="G12:J12"/>
    <mergeCell ref="G22:J22"/>
    <mergeCell ref="G35:J35"/>
    <mergeCell ref="Q40:U40"/>
    <mergeCell ref="G28:J28"/>
    <mergeCell ref="K28:N28"/>
    <mergeCell ref="O28:R28"/>
    <mergeCell ref="V44:W44"/>
    <mergeCell ref="A61:C61"/>
    <mergeCell ref="A56:D56"/>
    <mergeCell ref="A57:C58"/>
    <mergeCell ref="D57:D58"/>
    <mergeCell ref="A59:C59"/>
    <mergeCell ref="A60:C60"/>
  </mergeCells>
  <pageMargins left="0.7" right="0.7" top="0.75" bottom="0.75" header="0.3" footer="0.3"/>
  <pageSetup paperSize="9" scale="59" orientation="landscape" r:id="rId1"/>
  <headerFooter>
    <oddHeader>&amp;L&amp;F&amp;R&amp;A</oddHeader>
    <oddFooter>&amp;R&amp;D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dimension ref="A1:E16"/>
  <sheetViews>
    <sheetView workbookViewId="0">
      <selection activeCell="F15" sqref="F15"/>
    </sheetView>
  </sheetViews>
  <sheetFormatPr baseColWidth="10" defaultColWidth="11.42578125" defaultRowHeight="14.25" x14ac:dyDescent="0.2"/>
  <cols>
    <col min="1" max="1" width="18.42578125" style="26" customWidth="1"/>
    <col min="2" max="2" width="11.42578125" style="34"/>
    <col min="3" max="3" width="18.28515625" style="35" customWidth="1"/>
    <col min="4" max="4" width="11.42578125" style="26"/>
    <col min="5" max="5" width="11.42578125" style="35"/>
    <col min="6" max="6" width="22.85546875" style="26" bestFit="1" customWidth="1"/>
    <col min="7" max="16384" width="11.42578125" style="26"/>
  </cols>
  <sheetData>
    <row r="1" spans="1:5" x14ac:dyDescent="0.2">
      <c r="A1" s="27" t="s">
        <v>43</v>
      </c>
      <c r="B1" s="28"/>
      <c r="C1" s="29" t="s">
        <v>44</v>
      </c>
      <c r="E1" s="35" t="s">
        <v>46</v>
      </c>
    </row>
    <row r="2" spans="1:5" x14ac:dyDescent="0.2">
      <c r="A2" s="30" t="s">
        <v>45</v>
      </c>
      <c r="B2" s="31"/>
      <c r="C2" s="32">
        <v>10</v>
      </c>
      <c r="E2" s="61">
        <v>0.5</v>
      </c>
    </row>
    <row r="3" spans="1:5" x14ac:dyDescent="0.2">
      <c r="A3" s="30">
        <v>20</v>
      </c>
      <c r="B3" s="31"/>
      <c r="C3" s="33">
        <v>15</v>
      </c>
      <c r="E3" s="61">
        <v>0.6</v>
      </c>
    </row>
    <row r="4" spans="1:5" x14ac:dyDescent="0.2">
      <c r="A4" s="30"/>
      <c r="B4" s="31"/>
      <c r="C4" s="33">
        <v>20</v>
      </c>
      <c r="E4" s="61">
        <v>0.7</v>
      </c>
    </row>
    <row r="5" spans="1:5" x14ac:dyDescent="0.2">
      <c r="A5" s="30"/>
      <c r="B5" s="31"/>
      <c r="C5" s="33">
        <v>25</v>
      </c>
      <c r="E5" s="61"/>
    </row>
    <row r="6" spans="1:5" x14ac:dyDescent="0.2">
      <c r="A6" s="30"/>
      <c r="B6" s="31"/>
      <c r="C6" s="33">
        <v>30</v>
      </c>
      <c r="E6" s="61"/>
    </row>
    <row r="7" spans="1:5" x14ac:dyDescent="0.2">
      <c r="A7" s="30"/>
      <c r="B7" s="31"/>
      <c r="C7" s="33">
        <v>35</v>
      </c>
      <c r="E7" s="61"/>
    </row>
    <row r="8" spans="1:5" x14ac:dyDescent="0.2">
      <c r="C8" s="33">
        <v>40</v>
      </c>
      <c r="E8" s="61"/>
    </row>
    <row r="9" spans="1:5" x14ac:dyDescent="0.2">
      <c r="E9" s="61"/>
    </row>
    <row r="10" spans="1:5" x14ac:dyDescent="0.2">
      <c r="E10" s="61"/>
    </row>
    <row r="11" spans="1:5" x14ac:dyDescent="0.2">
      <c r="E11" s="61"/>
    </row>
    <row r="12" spans="1:5" x14ac:dyDescent="0.2">
      <c r="E12" s="61"/>
    </row>
    <row r="13" spans="1:5" x14ac:dyDescent="0.2">
      <c r="E13" s="61"/>
    </row>
    <row r="14" spans="1:5" x14ac:dyDescent="0.2">
      <c r="E14" s="61"/>
    </row>
    <row r="15" spans="1:5" x14ac:dyDescent="0.2">
      <c r="E15" s="61"/>
    </row>
    <row r="16" spans="1:5" x14ac:dyDescent="0.2">
      <c r="E16" s="61"/>
    </row>
  </sheetData>
  <sheetProtection algorithmName="SHA-512" hashValue="f5/4MCwqql6Yq9T+DB4dnfPs80i30bVH2i2peFGNOr6VpxvS3LlSc/0O0Lho2+WECY6rpPhjzPl0oWHOotl0sg==" saltValue="iEmpaZ6iDzmsOXtdZGkIWQ==" spinCount="100000" sheet="1" objects="1" scenarios="1" selectLockedCells="1" selectUnlockedCells="1"/>
  <pageMargins left="0.7" right="0.7" top="0.75" bottom="0.75" header="0.3" footer="0.3"/>
  <pageSetup paperSize="9" orientation="portrait" horizontalDpi="1200" verticalDpi="1200" r:id="rId1"/>
  <ignoredErrors>
    <ignoredError sqref="A2:A3" numberStoredAsText="1"/>
  </ignoredErrors>
  <tableParts count="2">
    <tablePart r:id="rId2"/>
    <tablePart r:id="rId3"/>
  </tableParts>
</worksheet>
</file>

<file path=customUI/customUI14.xml><?xml version="1.0" encoding="utf-8"?>
<customUI xmlns="http://schemas.microsoft.com/office/2009/07/customui" onLoad="CustomUI_onLoad">
  <ribbon>
    <tabs>
      <tab id="Tab01" label="LDTR">
        <group id="Groupe1" label="Lignes">
          <button id="Bouton1" label="Ajouter une ligne" onAction="AjouterLigne"/>
          <button id="Bouton3" label="Ajouter plusieurs lignes" onAction="AjouterPlLignes"/>
          <button id="Bouton2" label="Supprimer une ligne" onAction="SupprimerLigne"/>
        </group>
        <group id="grpAide" label="Assistance">
          <button id="btnAide" label="Aide" imageMso="Help" size="large" onAction="OuvrirAidePDF"/>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90992893-f9ad-44aa-921c-c3e410eaf63c</TitusGUID>
  <TitusMetadata xmlns="">eyJucyI6Imh0dHBzOlwvXC93d3cuZ2UuY2giLCJwcm9wcyI6W3sibiI6IkVHRTEwMTIiLCJ2YWxzIjpbeyJ2YWx1ZSI6IkVHRTEwMTItMjAxRjAzNTU5MiJ9XX1dfQ==</TitusMetadata>
</titus>
</file>

<file path=customXml/itemProps1.xml><?xml version="1.0" encoding="utf-8"?>
<ds:datastoreItem xmlns:ds="http://schemas.openxmlformats.org/officeDocument/2006/customXml" ds:itemID="{2461B45C-DADD-46F9-B583-430B7490C0AB}">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11</vt:i4>
      </vt:variant>
    </vt:vector>
  </HeadingPairs>
  <TitlesOfParts>
    <vt:vector size="16" baseType="lpstr">
      <vt:lpstr>TABLEAU COUTS</vt:lpstr>
      <vt:lpstr>TABLEAU LOYERS</vt:lpstr>
      <vt:lpstr>AIDE</vt:lpstr>
      <vt:lpstr>STATISTIQUE LEN</vt:lpstr>
      <vt:lpstr>Listes</vt:lpstr>
      <vt:lpstr>Amort_E</vt:lpstr>
      <vt:lpstr>Amort_R</vt:lpstr>
      <vt:lpstr>FirstTime</vt:lpstr>
      <vt:lpstr>NbrLogements</vt:lpstr>
      <vt:lpstr>Part_Value</vt:lpstr>
      <vt:lpstr>AIDE!Print_Area</vt:lpstr>
      <vt:lpstr>'STATISTIQUE LEN'!Print_Area</vt:lpstr>
      <vt:lpstr>'TABLEAU COUTS'!Print_Area</vt:lpstr>
      <vt:lpstr>'TABLEAU LOYERS'!Print_Area</vt:lpstr>
      <vt:lpstr>AIDE!Zone_d_impression</vt:lpstr>
      <vt:lpstr>'TABLEAU COUTS'!Zone_d_impression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 LDTR</dc:title>
  <dc:creator>Christe Mercedes (DT)</dc:creator>
  <cp:lastModifiedBy>Christe Mercedes (DT)</cp:lastModifiedBy>
  <cp:lastPrinted>2025-01-13T10:53:29Z</cp:lastPrinted>
  <dcterms:created xsi:type="dcterms:W3CDTF">2019-04-26T14:56:50Z</dcterms:created>
  <dcterms:modified xsi:type="dcterms:W3CDTF">2026-01-16T21:02:00Z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-2093186331</vt:i4>
  </property>
  <property fmtid="{D5CDD505-2E9C-101B-9397-08002B2CF9AE}" pid="4" name="_EmailSubject">
    <vt:lpwstr>D13 - publication stp</vt:lpwstr>
  </property>
  <property fmtid="{D5CDD505-2E9C-101B-9397-08002B2CF9AE}" pid="5" name="_AuthorEmail">
    <vt:lpwstr>mercedes.christe@etat.ge.ch</vt:lpwstr>
  </property>
  <property fmtid="{D5CDD505-2E9C-101B-9397-08002B2CF9AE}" pid="6" name="_AuthorEmailDisplayName">
    <vt:lpwstr>Christe Mercedes (DT)</vt:lpwstr>
  </property>
  <property fmtid="{D5CDD505-2E9C-101B-9397-08002B2CF9AE}" pid="8" name="TitusGUID">
    <vt:lpwstr>90992893-f9ad-44aa-921c-c3e410eaf63c</vt:lpwstr>
  </property>
  <property fmtid="{D5CDD505-2E9C-101B-9397-08002B2CF9AE}" pid="9" name="EGE1012">
    <vt:lpwstr>EGE1012-201F035592</vt:lpwstr>
  </property>
  <property fmtid="{D5CDD505-2E9C-101B-9397-08002B2CF9AE}" pid="10" name="_PreviousAdHocReviewCycleID">
    <vt:i4>-180047876</vt:i4>
  </property>
</Properties>
</file>