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cd.ge.ch/sites/G01M/ec/SIOCLPF/Documents de travail/Formulaires/C10/"/>
    </mc:Choice>
  </mc:AlternateContent>
  <xr:revisionPtr revIDLastSave="0" documentId="13_ncr:1_{84825269-E346-42EA-A750-BF66D31551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tions générales" sheetId="1" r:id="rId1"/>
    <sheet name="Informations LOCATIF" sheetId="2" r:id="rId2"/>
    <sheet name="Informations VENTE" sheetId="6" r:id="rId3"/>
    <sheet name="Surfaces commerciales &amp; garages" sheetId="7" r:id="rId4"/>
    <sheet name="Récapitulatif" sheetId="9" r:id="rId5"/>
    <sheet name="Listes" sheetId="8" state="hidden" r:id="rId6"/>
    <sheet name="Aide calcul" sheetId="10" state="hidden" r:id="rId7"/>
  </sheets>
  <definedNames>
    <definedName name="ID">'Informations LOCATIF'!#REF!</definedName>
    <definedName name="L_HBM">Listes!$L$4:$L$7</definedName>
    <definedName name="LHBM">Listes!$L$4:$L$7</definedName>
    <definedName name="NB">'Informations LOCATIF'!#REF!</definedName>
    <definedName name="_xlnm.Print_Area" localSheetId="0">'Informations générales'!$A$1:$S$103</definedName>
    <definedName name="_xlnm.Print_Area" localSheetId="1">'Informations LOCATIF'!$A$1:$AK$529</definedName>
    <definedName name="_xlnm.Print_Area" localSheetId="2">'Informations VENTE'!$A$1:$AD$527</definedName>
    <definedName name="_xlnm.Print_Area" localSheetId="4">Récapitulatif!$A$1:$N$53</definedName>
    <definedName name="_xlnm.Print_Area" localSheetId="3">'Surfaces commerciales &amp; garages'!$A$1:$U$56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9" i="2" l="1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B26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S15" i="7" l="1"/>
  <c r="AG27" i="2"/>
  <c r="S38" i="7"/>
  <c r="C66" i="1"/>
  <c r="AQ28" i="2"/>
  <c r="AP28" i="2"/>
  <c r="AO28" i="2"/>
  <c r="AN28" i="2"/>
  <c r="F19" i="9"/>
  <c r="G19" i="9"/>
  <c r="E39" i="9"/>
  <c r="E38" i="9"/>
  <c r="E37" i="9"/>
  <c r="E36" i="9"/>
  <c r="D39" i="9"/>
  <c r="D38" i="9"/>
  <c r="D37" i="9"/>
  <c r="D36" i="9"/>
  <c r="J3" i="7"/>
  <c r="I3" i="6"/>
  <c r="I3" i="2"/>
  <c r="I3" i="1"/>
  <c r="I3" i="9"/>
  <c r="C34" i="9"/>
  <c r="Q29" i="2"/>
  <c r="AI27" i="2" l="1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Q39" i="7" l="1"/>
  <c r="P39" i="7"/>
  <c r="L39" i="7"/>
  <c r="K39" i="7"/>
  <c r="S54" i="7"/>
  <c r="I54" i="7"/>
  <c r="S53" i="7"/>
  <c r="I53" i="7"/>
  <c r="S52" i="7"/>
  <c r="I52" i="7"/>
  <c r="S51" i="7"/>
  <c r="I51" i="7"/>
  <c r="S50" i="7"/>
  <c r="I50" i="7"/>
  <c r="Q16" i="7"/>
  <c r="P16" i="7"/>
  <c r="O16" i="7"/>
  <c r="L16" i="7"/>
  <c r="K16" i="7"/>
  <c r="S31" i="7"/>
  <c r="S30" i="7"/>
  <c r="S29" i="7"/>
  <c r="I29" i="7"/>
  <c r="S28" i="7"/>
  <c r="I28" i="7"/>
  <c r="S27" i="7"/>
  <c r="I27" i="7"/>
  <c r="B43" i="1"/>
  <c r="E8" i="2"/>
  <c r="H65" i="1" l="1"/>
  <c r="AA27" i="6" l="1"/>
  <c r="W27" i="6"/>
  <c r="V27" i="6"/>
  <c r="U27" i="6"/>
  <c r="T27" i="6"/>
  <c r="S27" i="6"/>
  <c r="R27" i="6"/>
  <c r="Q27" i="6"/>
  <c r="N27" i="6"/>
  <c r="J27" i="6"/>
  <c r="AE27" i="2"/>
  <c r="AC27" i="2"/>
  <c r="Y27" i="2"/>
  <c r="X27" i="2"/>
  <c r="W27" i="2"/>
  <c r="V27" i="2"/>
  <c r="U27" i="2"/>
  <c r="T27" i="2"/>
  <c r="S27" i="2"/>
  <c r="P27" i="2"/>
  <c r="J27" i="2"/>
  <c r="B30" i="9" l="1"/>
  <c r="C30" i="9" s="1"/>
  <c r="I30" i="9" s="1"/>
  <c r="B29" i="9"/>
  <c r="C29" i="9" s="1"/>
  <c r="B28" i="9"/>
  <c r="D28" i="9" s="1"/>
  <c r="G28" i="9" s="1"/>
  <c r="B27" i="9"/>
  <c r="D27" i="9" s="1"/>
  <c r="G27" i="9" s="1"/>
  <c r="B26" i="9"/>
  <c r="C26" i="9" s="1"/>
  <c r="I26" i="9" s="1"/>
  <c r="Q28" i="2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D26" i="9" l="1"/>
  <c r="G26" i="9" s="1"/>
  <c r="C27" i="9"/>
  <c r="F27" i="9" s="1"/>
  <c r="D29" i="9"/>
  <c r="G29" i="9" s="1"/>
  <c r="F26" i="9"/>
  <c r="I29" i="9"/>
  <c r="F29" i="9"/>
  <c r="F30" i="9"/>
  <c r="C28" i="9"/>
  <c r="N37" i="7"/>
  <c r="K37" i="7"/>
  <c r="N14" i="7"/>
  <c r="J14" i="7"/>
  <c r="E8" i="6"/>
  <c r="D50" i="9"/>
  <c r="C50" i="9"/>
  <c r="C39" i="9"/>
  <c r="C38" i="9"/>
  <c r="C37" i="9"/>
  <c r="AN29" i="6"/>
  <c r="AN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43" i="6"/>
  <c r="AN44" i="6"/>
  <c r="AN45" i="6"/>
  <c r="AN46" i="6"/>
  <c r="AN47" i="6"/>
  <c r="AN48" i="6"/>
  <c r="AN49" i="6"/>
  <c r="AN50" i="6"/>
  <c r="AN51" i="6"/>
  <c r="AN52" i="6"/>
  <c r="AN53" i="6"/>
  <c r="AN54" i="6"/>
  <c r="AN55" i="6"/>
  <c r="AN56" i="6"/>
  <c r="AN57" i="6"/>
  <c r="AN58" i="6"/>
  <c r="AN59" i="6"/>
  <c r="AN60" i="6"/>
  <c r="AN61" i="6"/>
  <c r="AN62" i="6"/>
  <c r="AN63" i="6"/>
  <c r="AN64" i="6"/>
  <c r="AN65" i="6"/>
  <c r="AN66" i="6"/>
  <c r="AN67" i="6"/>
  <c r="AN68" i="6"/>
  <c r="AN69" i="6"/>
  <c r="AN70" i="6"/>
  <c r="AN71" i="6"/>
  <c r="AN72" i="6"/>
  <c r="AN73" i="6"/>
  <c r="AN74" i="6"/>
  <c r="AN75" i="6"/>
  <c r="AN76" i="6"/>
  <c r="AN77" i="6"/>
  <c r="AN78" i="6"/>
  <c r="AN79" i="6"/>
  <c r="AN80" i="6"/>
  <c r="AN81" i="6"/>
  <c r="AN82" i="6"/>
  <c r="AN83" i="6"/>
  <c r="AN84" i="6"/>
  <c r="AN85" i="6"/>
  <c r="AN86" i="6"/>
  <c r="AN87" i="6"/>
  <c r="AN88" i="6"/>
  <c r="AN89" i="6"/>
  <c r="AN90" i="6"/>
  <c r="AN91" i="6"/>
  <c r="AN92" i="6"/>
  <c r="AN93" i="6"/>
  <c r="AN94" i="6"/>
  <c r="AN95" i="6"/>
  <c r="AN96" i="6"/>
  <c r="AN97" i="6"/>
  <c r="AN98" i="6"/>
  <c r="AN99" i="6"/>
  <c r="AN100" i="6"/>
  <c r="AN101" i="6"/>
  <c r="AN102" i="6"/>
  <c r="AN103" i="6"/>
  <c r="AN104" i="6"/>
  <c r="AN105" i="6"/>
  <c r="AN106" i="6"/>
  <c r="AN107" i="6"/>
  <c r="AN108" i="6"/>
  <c r="AN109" i="6"/>
  <c r="AN110" i="6"/>
  <c r="AN111" i="6"/>
  <c r="AN112" i="6"/>
  <c r="AN113" i="6"/>
  <c r="AN114" i="6"/>
  <c r="AN115" i="6"/>
  <c r="AN116" i="6"/>
  <c r="AN117" i="6"/>
  <c r="AN118" i="6"/>
  <c r="AN119" i="6"/>
  <c r="AN120" i="6"/>
  <c r="AN121" i="6"/>
  <c r="AN122" i="6"/>
  <c r="AN123" i="6"/>
  <c r="AN124" i="6"/>
  <c r="AN125" i="6"/>
  <c r="AN126" i="6"/>
  <c r="AN127" i="6"/>
  <c r="AN128" i="6"/>
  <c r="AN129" i="6"/>
  <c r="AN130" i="6"/>
  <c r="AN131" i="6"/>
  <c r="AN132" i="6"/>
  <c r="AN133" i="6"/>
  <c r="AN134" i="6"/>
  <c r="AN135" i="6"/>
  <c r="AN136" i="6"/>
  <c r="AN137" i="6"/>
  <c r="AN138" i="6"/>
  <c r="AN139" i="6"/>
  <c r="AN140" i="6"/>
  <c r="AN141" i="6"/>
  <c r="AN142" i="6"/>
  <c r="AN143" i="6"/>
  <c r="AN144" i="6"/>
  <c r="AN145" i="6"/>
  <c r="AN146" i="6"/>
  <c r="AN147" i="6"/>
  <c r="AN148" i="6"/>
  <c r="AN149" i="6"/>
  <c r="AN150" i="6"/>
  <c r="AN151" i="6"/>
  <c r="AN152" i="6"/>
  <c r="AN153" i="6"/>
  <c r="AN154" i="6"/>
  <c r="AN155" i="6"/>
  <c r="AN156" i="6"/>
  <c r="AN157" i="6"/>
  <c r="AN158" i="6"/>
  <c r="AN159" i="6"/>
  <c r="AN160" i="6"/>
  <c r="AN161" i="6"/>
  <c r="AN162" i="6"/>
  <c r="AN163" i="6"/>
  <c r="AN164" i="6"/>
  <c r="AN165" i="6"/>
  <c r="AN166" i="6"/>
  <c r="AN167" i="6"/>
  <c r="AN168" i="6"/>
  <c r="AN169" i="6"/>
  <c r="AN170" i="6"/>
  <c r="AN171" i="6"/>
  <c r="AN172" i="6"/>
  <c r="AN173" i="6"/>
  <c r="AN174" i="6"/>
  <c r="AN175" i="6"/>
  <c r="AN176" i="6"/>
  <c r="AN177" i="6"/>
  <c r="AN178" i="6"/>
  <c r="AN179" i="6"/>
  <c r="AN180" i="6"/>
  <c r="AN181" i="6"/>
  <c r="AN182" i="6"/>
  <c r="AN183" i="6"/>
  <c r="AN184" i="6"/>
  <c r="AN185" i="6"/>
  <c r="AN186" i="6"/>
  <c r="AN187" i="6"/>
  <c r="AN188" i="6"/>
  <c r="AN189" i="6"/>
  <c r="AN190" i="6"/>
  <c r="AN191" i="6"/>
  <c r="AN192" i="6"/>
  <c r="AN193" i="6"/>
  <c r="AN194" i="6"/>
  <c r="AN195" i="6"/>
  <c r="AN196" i="6"/>
  <c r="AN197" i="6"/>
  <c r="AN198" i="6"/>
  <c r="AN199" i="6"/>
  <c r="AN200" i="6"/>
  <c r="AN201" i="6"/>
  <c r="AN202" i="6"/>
  <c r="AN203" i="6"/>
  <c r="AN204" i="6"/>
  <c r="AN205" i="6"/>
  <c r="AN206" i="6"/>
  <c r="AN207" i="6"/>
  <c r="AN208" i="6"/>
  <c r="AN209" i="6"/>
  <c r="AN210" i="6"/>
  <c r="AN211" i="6"/>
  <c r="AN212" i="6"/>
  <c r="AN213" i="6"/>
  <c r="AN214" i="6"/>
  <c r="AN215" i="6"/>
  <c r="AN216" i="6"/>
  <c r="AN217" i="6"/>
  <c r="AN218" i="6"/>
  <c r="AN219" i="6"/>
  <c r="AN220" i="6"/>
  <c r="AN221" i="6"/>
  <c r="AN222" i="6"/>
  <c r="AN223" i="6"/>
  <c r="AN224" i="6"/>
  <c r="AN225" i="6"/>
  <c r="AN226" i="6"/>
  <c r="AN227" i="6"/>
  <c r="AN228" i="6"/>
  <c r="AN229" i="6"/>
  <c r="AN230" i="6"/>
  <c r="AN231" i="6"/>
  <c r="AN232" i="6"/>
  <c r="AN233" i="6"/>
  <c r="AN234" i="6"/>
  <c r="AN235" i="6"/>
  <c r="AN236" i="6"/>
  <c r="AN237" i="6"/>
  <c r="AN238" i="6"/>
  <c r="AN239" i="6"/>
  <c r="AN240" i="6"/>
  <c r="AN241" i="6"/>
  <c r="AN242" i="6"/>
  <c r="AN243" i="6"/>
  <c r="AN244" i="6"/>
  <c r="AN245" i="6"/>
  <c r="AN246" i="6"/>
  <c r="AN247" i="6"/>
  <c r="AN248" i="6"/>
  <c r="AN249" i="6"/>
  <c r="AN250" i="6"/>
  <c r="AN251" i="6"/>
  <c r="AN252" i="6"/>
  <c r="AN253" i="6"/>
  <c r="AN254" i="6"/>
  <c r="AN255" i="6"/>
  <c r="AN256" i="6"/>
  <c r="AN257" i="6"/>
  <c r="AN258" i="6"/>
  <c r="AN259" i="6"/>
  <c r="AN260" i="6"/>
  <c r="AN261" i="6"/>
  <c r="AN262" i="6"/>
  <c r="AN263" i="6"/>
  <c r="AN264" i="6"/>
  <c r="AN265" i="6"/>
  <c r="AN266" i="6"/>
  <c r="AN267" i="6"/>
  <c r="AN268" i="6"/>
  <c r="AN269" i="6"/>
  <c r="AN270" i="6"/>
  <c r="AN271" i="6"/>
  <c r="AN272" i="6"/>
  <c r="AN273" i="6"/>
  <c r="AN274" i="6"/>
  <c r="AN275" i="6"/>
  <c r="AN276" i="6"/>
  <c r="AN277" i="6"/>
  <c r="AN278" i="6"/>
  <c r="AN279" i="6"/>
  <c r="AN280" i="6"/>
  <c r="AN281" i="6"/>
  <c r="AN282" i="6"/>
  <c r="AN283" i="6"/>
  <c r="AN284" i="6"/>
  <c r="AN285" i="6"/>
  <c r="AN286" i="6"/>
  <c r="AN287" i="6"/>
  <c r="AN288" i="6"/>
  <c r="AN289" i="6"/>
  <c r="AN290" i="6"/>
  <c r="AN291" i="6"/>
  <c r="AN292" i="6"/>
  <c r="AN293" i="6"/>
  <c r="AN294" i="6"/>
  <c r="AN295" i="6"/>
  <c r="AN296" i="6"/>
  <c r="AN297" i="6"/>
  <c r="AN298" i="6"/>
  <c r="AN299" i="6"/>
  <c r="AN300" i="6"/>
  <c r="AN301" i="6"/>
  <c r="AN302" i="6"/>
  <c r="AN303" i="6"/>
  <c r="AN304" i="6"/>
  <c r="AN305" i="6"/>
  <c r="AN306" i="6"/>
  <c r="AN307" i="6"/>
  <c r="AN308" i="6"/>
  <c r="AN309" i="6"/>
  <c r="AN310" i="6"/>
  <c r="AN311" i="6"/>
  <c r="AN312" i="6"/>
  <c r="AN313" i="6"/>
  <c r="AN314" i="6"/>
  <c r="AN315" i="6"/>
  <c r="AN316" i="6"/>
  <c r="AN317" i="6"/>
  <c r="AN318" i="6"/>
  <c r="AN319" i="6"/>
  <c r="AN320" i="6"/>
  <c r="AN321" i="6"/>
  <c r="AN322" i="6"/>
  <c r="AN323" i="6"/>
  <c r="AN324" i="6"/>
  <c r="AN325" i="6"/>
  <c r="AN326" i="6"/>
  <c r="AN327" i="6"/>
  <c r="AN328" i="6"/>
  <c r="AN329" i="6"/>
  <c r="AN330" i="6"/>
  <c r="AN331" i="6"/>
  <c r="AN332" i="6"/>
  <c r="AN333" i="6"/>
  <c r="AN334" i="6"/>
  <c r="AN335" i="6"/>
  <c r="AN336" i="6"/>
  <c r="AN337" i="6"/>
  <c r="AN338" i="6"/>
  <c r="AN339" i="6"/>
  <c r="AN340" i="6"/>
  <c r="AN341" i="6"/>
  <c r="AN342" i="6"/>
  <c r="AN343" i="6"/>
  <c r="AN344" i="6"/>
  <c r="AN345" i="6"/>
  <c r="AN346" i="6"/>
  <c r="AN347" i="6"/>
  <c r="AN348" i="6"/>
  <c r="AN349" i="6"/>
  <c r="AN350" i="6"/>
  <c r="AN351" i="6"/>
  <c r="AN352" i="6"/>
  <c r="AN353" i="6"/>
  <c r="AN354" i="6"/>
  <c r="AN355" i="6"/>
  <c r="AN356" i="6"/>
  <c r="AN357" i="6"/>
  <c r="AN358" i="6"/>
  <c r="AN359" i="6"/>
  <c r="AN360" i="6"/>
  <c r="AN361" i="6"/>
  <c r="AN362" i="6"/>
  <c r="AN363" i="6"/>
  <c r="AN364" i="6"/>
  <c r="AN365" i="6"/>
  <c r="AN366" i="6"/>
  <c r="AN367" i="6"/>
  <c r="AN368" i="6"/>
  <c r="AN369" i="6"/>
  <c r="AN370" i="6"/>
  <c r="AN371" i="6"/>
  <c r="AN372" i="6"/>
  <c r="AN373" i="6"/>
  <c r="AN374" i="6"/>
  <c r="AN375" i="6"/>
  <c r="AN376" i="6"/>
  <c r="AN377" i="6"/>
  <c r="AN378" i="6"/>
  <c r="AN379" i="6"/>
  <c r="AN380" i="6"/>
  <c r="AN381" i="6"/>
  <c r="AN382" i="6"/>
  <c r="AN383" i="6"/>
  <c r="AN384" i="6"/>
  <c r="AN385" i="6"/>
  <c r="AN386" i="6"/>
  <c r="AN387" i="6"/>
  <c r="AN388" i="6"/>
  <c r="AN389" i="6"/>
  <c r="AN390" i="6"/>
  <c r="AN391" i="6"/>
  <c r="AN392" i="6"/>
  <c r="AN393" i="6"/>
  <c r="AN394" i="6"/>
  <c r="AN395" i="6"/>
  <c r="AN396" i="6"/>
  <c r="AN397" i="6"/>
  <c r="AN398" i="6"/>
  <c r="AN399" i="6"/>
  <c r="AN400" i="6"/>
  <c r="AN401" i="6"/>
  <c r="AN402" i="6"/>
  <c r="AN403" i="6"/>
  <c r="AN404" i="6"/>
  <c r="AN405" i="6"/>
  <c r="AN406" i="6"/>
  <c r="AN407" i="6"/>
  <c r="AN408" i="6"/>
  <c r="AN409" i="6"/>
  <c r="AN410" i="6"/>
  <c r="AN411" i="6"/>
  <c r="AN412" i="6"/>
  <c r="AN413" i="6"/>
  <c r="AN414" i="6"/>
  <c r="AN415" i="6"/>
  <c r="AN416" i="6"/>
  <c r="AN417" i="6"/>
  <c r="AN418" i="6"/>
  <c r="AN419" i="6"/>
  <c r="AN420" i="6"/>
  <c r="AN421" i="6"/>
  <c r="AN422" i="6"/>
  <c r="AN423" i="6"/>
  <c r="AN424" i="6"/>
  <c r="AN425" i="6"/>
  <c r="AN426" i="6"/>
  <c r="AN427" i="6"/>
  <c r="AN428" i="6"/>
  <c r="AN429" i="6"/>
  <c r="AN430" i="6"/>
  <c r="AN431" i="6"/>
  <c r="AN432" i="6"/>
  <c r="AN433" i="6"/>
  <c r="AN434" i="6"/>
  <c r="AN435" i="6"/>
  <c r="AN436" i="6"/>
  <c r="AN437" i="6"/>
  <c r="AN438" i="6"/>
  <c r="AN439" i="6"/>
  <c r="AN440" i="6"/>
  <c r="AN441" i="6"/>
  <c r="AN442" i="6"/>
  <c r="AN443" i="6"/>
  <c r="AN444" i="6"/>
  <c r="AN445" i="6"/>
  <c r="AN446" i="6"/>
  <c r="AN447" i="6"/>
  <c r="AN448" i="6"/>
  <c r="AN449" i="6"/>
  <c r="AN450" i="6"/>
  <c r="AN451" i="6"/>
  <c r="AN452" i="6"/>
  <c r="AN453" i="6"/>
  <c r="AN454" i="6"/>
  <c r="AN455" i="6"/>
  <c r="AN456" i="6"/>
  <c r="AN457" i="6"/>
  <c r="AN458" i="6"/>
  <c r="AN459" i="6"/>
  <c r="AN460" i="6"/>
  <c r="AN461" i="6"/>
  <c r="AN462" i="6"/>
  <c r="AN463" i="6"/>
  <c r="AN464" i="6"/>
  <c r="AN465" i="6"/>
  <c r="AN466" i="6"/>
  <c r="AN467" i="6"/>
  <c r="AN468" i="6"/>
  <c r="AN469" i="6"/>
  <c r="AN470" i="6"/>
  <c r="AN471" i="6"/>
  <c r="AN472" i="6"/>
  <c r="AN473" i="6"/>
  <c r="AN474" i="6"/>
  <c r="AN475" i="6"/>
  <c r="AN476" i="6"/>
  <c r="AN477" i="6"/>
  <c r="AN478" i="6"/>
  <c r="AN479" i="6"/>
  <c r="AN480" i="6"/>
  <c r="AN481" i="6"/>
  <c r="AN482" i="6"/>
  <c r="AN483" i="6"/>
  <c r="AN484" i="6"/>
  <c r="AN485" i="6"/>
  <c r="AN486" i="6"/>
  <c r="AN487" i="6"/>
  <c r="AN488" i="6"/>
  <c r="AN489" i="6"/>
  <c r="AN490" i="6"/>
  <c r="AN491" i="6"/>
  <c r="AN492" i="6"/>
  <c r="AN493" i="6"/>
  <c r="AN494" i="6"/>
  <c r="AN495" i="6"/>
  <c r="AN496" i="6"/>
  <c r="AN497" i="6"/>
  <c r="AN498" i="6"/>
  <c r="AN499" i="6"/>
  <c r="AN500" i="6"/>
  <c r="AN501" i="6"/>
  <c r="AN502" i="6"/>
  <c r="AN503" i="6"/>
  <c r="AN504" i="6"/>
  <c r="AN505" i="6"/>
  <c r="AN506" i="6"/>
  <c r="AN507" i="6"/>
  <c r="AN508" i="6"/>
  <c r="AN509" i="6"/>
  <c r="AN510" i="6"/>
  <c r="AN511" i="6"/>
  <c r="AN512" i="6"/>
  <c r="AN513" i="6"/>
  <c r="AN514" i="6"/>
  <c r="AN515" i="6"/>
  <c r="AN516" i="6"/>
  <c r="AN517" i="6"/>
  <c r="AN518" i="6"/>
  <c r="AN519" i="6"/>
  <c r="AN520" i="6"/>
  <c r="AN521" i="6"/>
  <c r="AN522" i="6"/>
  <c r="AN523" i="6"/>
  <c r="AN524" i="6"/>
  <c r="AN525" i="6"/>
  <c r="AN526" i="6"/>
  <c r="AN527" i="6"/>
  <c r="AN28" i="6"/>
  <c r="AP527" i="6"/>
  <c r="AO527" i="6"/>
  <c r="AL527" i="6"/>
  <c r="AK527" i="6"/>
  <c r="AJ527" i="6"/>
  <c r="AI527" i="6"/>
  <c r="AH527" i="6"/>
  <c r="AG527" i="6"/>
  <c r="AF527" i="6"/>
  <c r="O527" i="6"/>
  <c r="P527" i="6" s="1"/>
  <c r="AP526" i="6"/>
  <c r="AO526" i="6"/>
  <c r="AL526" i="6"/>
  <c r="AK526" i="6"/>
  <c r="AJ526" i="6"/>
  <c r="AI526" i="6"/>
  <c r="AH526" i="6"/>
  <c r="AG526" i="6"/>
  <c r="AF526" i="6"/>
  <c r="O526" i="6"/>
  <c r="P526" i="6" s="1"/>
  <c r="AP525" i="6"/>
  <c r="AO525" i="6"/>
  <c r="AL525" i="6"/>
  <c r="AK525" i="6"/>
  <c r="AJ525" i="6"/>
  <c r="AI525" i="6"/>
  <c r="AH525" i="6"/>
  <c r="AG525" i="6"/>
  <c r="AF525" i="6"/>
  <c r="O525" i="6"/>
  <c r="P525" i="6" s="1"/>
  <c r="AP524" i="6"/>
  <c r="AO524" i="6"/>
  <c r="AL524" i="6"/>
  <c r="AK524" i="6"/>
  <c r="AJ524" i="6"/>
  <c r="AI524" i="6"/>
  <c r="AH524" i="6"/>
  <c r="AG524" i="6"/>
  <c r="AF524" i="6"/>
  <c r="O524" i="6"/>
  <c r="P524" i="6" s="1"/>
  <c r="AP523" i="6"/>
  <c r="AO523" i="6"/>
  <c r="AL523" i="6"/>
  <c r="AK523" i="6"/>
  <c r="AJ523" i="6"/>
  <c r="AI523" i="6"/>
  <c r="AH523" i="6"/>
  <c r="AG523" i="6"/>
  <c r="AF523" i="6"/>
  <c r="O523" i="6"/>
  <c r="P523" i="6" s="1"/>
  <c r="AP522" i="6"/>
  <c r="AO522" i="6"/>
  <c r="AL522" i="6"/>
  <c r="AK522" i="6"/>
  <c r="AJ522" i="6"/>
  <c r="AI522" i="6"/>
  <c r="AH522" i="6"/>
  <c r="AG522" i="6"/>
  <c r="AF522" i="6"/>
  <c r="O522" i="6"/>
  <c r="P522" i="6" s="1"/>
  <c r="AP521" i="6"/>
  <c r="AO521" i="6"/>
  <c r="AL521" i="6"/>
  <c r="AK521" i="6"/>
  <c r="AJ521" i="6"/>
  <c r="AI521" i="6"/>
  <c r="AH521" i="6"/>
  <c r="AG521" i="6"/>
  <c r="AF521" i="6"/>
  <c r="O521" i="6"/>
  <c r="P521" i="6" s="1"/>
  <c r="AP520" i="6"/>
  <c r="AO520" i="6"/>
  <c r="AL520" i="6"/>
  <c r="AK520" i="6"/>
  <c r="AJ520" i="6"/>
  <c r="AI520" i="6"/>
  <c r="AH520" i="6"/>
  <c r="AG520" i="6"/>
  <c r="AF520" i="6"/>
  <c r="O520" i="6"/>
  <c r="P520" i="6" s="1"/>
  <c r="AP519" i="6"/>
  <c r="AO519" i="6"/>
  <c r="AL519" i="6"/>
  <c r="AK519" i="6"/>
  <c r="AJ519" i="6"/>
  <c r="AI519" i="6"/>
  <c r="AH519" i="6"/>
  <c r="AG519" i="6"/>
  <c r="AF519" i="6"/>
  <c r="O519" i="6"/>
  <c r="P519" i="6" s="1"/>
  <c r="AP518" i="6"/>
  <c r="AO518" i="6"/>
  <c r="AL518" i="6"/>
  <c r="AK518" i="6"/>
  <c r="AJ518" i="6"/>
  <c r="AI518" i="6"/>
  <c r="AH518" i="6"/>
  <c r="AG518" i="6"/>
  <c r="AF518" i="6"/>
  <c r="O518" i="6"/>
  <c r="P518" i="6" s="1"/>
  <c r="AP517" i="6"/>
  <c r="AO517" i="6"/>
  <c r="AL517" i="6"/>
  <c r="AK517" i="6"/>
  <c r="AJ517" i="6"/>
  <c r="AI517" i="6"/>
  <c r="AH517" i="6"/>
  <c r="AG517" i="6"/>
  <c r="AF517" i="6"/>
  <c r="O517" i="6"/>
  <c r="P517" i="6" s="1"/>
  <c r="AP516" i="6"/>
  <c r="AO516" i="6"/>
  <c r="AL516" i="6"/>
  <c r="AK516" i="6"/>
  <c r="AJ516" i="6"/>
  <c r="AI516" i="6"/>
  <c r="AH516" i="6"/>
  <c r="AG516" i="6"/>
  <c r="AF516" i="6"/>
  <c r="O516" i="6"/>
  <c r="P516" i="6" s="1"/>
  <c r="AP515" i="6"/>
  <c r="AO515" i="6"/>
  <c r="AL515" i="6"/>
  <c r="AK515" i="6"/>
  <c r="AJ515" i="6"/>
  <c r="AI515" i="6"/>
  <c r="AH515" i="6"/>
  <c r="AG515" i="6"/>
  <c r="AF515" i="6"/>
  <c r="O515" i="6"/>
  <c r="P515" i="6" s="1"/>
  <c r="AP514" i="6"/>
  <c r="AO514" i="6"/>
  <c r="AL514" i="6"/>
  <c r="AK514" i="6"/>
  <c r="AJ514" i="6"/>
  <c r="AI514" i="6"/>
  <c r="AH514" i="6"/>
  <c r="AG514" i="6"/>
  <c r="AF514" i="6"/>
  <c r="O514" i="6"/>
  <c r="P514" i="6" s="1"/>
  <c r="AP513" i="6"/>
  <c r="AO513" i="6"/>
  <c r="AL513" i="6"/>
  <c r="AK513" i="6"/>
  <c r="AJ513" i="6"/>
  <c r="AI513" i="6"/>
  <c r="AH513" i="6"/>
  <c r="AG513" i="6"/>
  <c r="AF513" i="6"/>
  <c r="O513" i="6"/>
  <c r="P513" i="6" s="1"/>
  <c r="AP512" i="6"/>
  <c r="AO512" i="6"/>
  <c r="AL512" i="6"/>
  <c r="AK512" i="6"/>
  <c r="AJ512" i="6"/>
  <c r="AI512" i="6"/>
  <c r="AH512" i="6"/>
  <c r="AG512" i="6"/>
  <c r="AF512" i="6"/>
  <c r="O512" i="6"/>
  <c r="P512" i="6" s="1"/>
  <c r="AP511" i="6"/>
  <c r="AO511" i="6"/>
  <c r="AL511" i="6"/>
  <c r="AK511" i="6"/>
  <c r="AJ511" i="6"/>
  <c r="AI511" i="6"/>
  <c r="AH511" i="6"/>
  <c r="AG511" i="6"/>
  <c r="AF511" i="6"/>
  <c r="O511" i="6"/>
  <c r="P511" i="6" s="1"/>
  <c r="AP510" i="6"/>
  <c r="AO510" i="6"/>
  <c r="AL510" i="6"/>
  <c r="AK510" i="6"/>
  <c r="AJ510" i="6"/>
  <c r="AI510" i="6"/>
  <c r="AH510" i="6"/>
  <c r="AG510" i="6"/>
  <c r="AF510" i="6"/>
  <c r="O510" i="6"/>
  <c r="P510" i="6" s="1"/>
  <c r="AP509" i="6"/>
  <c r="AO509" i="6"/>
  <c r="AL509" i="6"/>
  <c r="AK509" i="6"/>
  <c r="AJ509" i="6"/>
  <c r="AI509" i="6"/>
  <c r="AH509" i="6"/>
  <c r="AG509" i="6"/>
  <c r="AF509" i="6"/>
  <c r="O509" i="6"/>
  <c r="P509" i="6" s="1"/>
  <c r="AP508" i="6"/>
  <c r="AO508" i="6"/>
  <c r="AL508" i="6"/>
  <c r="AK508" i="6"/>
  <c r="AJ508" i="6"/>
  <c r="AI508" i="6"/>
  <c r="AH508" i="6"/>
  <c r="AG508" i="6"/>
  <c r="AF508" i="6"/>
  <c r="O508" i="6"/>
  <c r="P508" i="6" s="1"/>
  <c r="AP507" i="6"/>
  <c r="AO507" i="6"/>
  <c r="AL507" i="6"/>
  <c r="AK507" i="6"/>
  <c r="AJ507" i="6"/>
  <c r="AI507" i="6"/>
  <c r="AH507" i="6"/>
  <c r="AG507" i="6"/>
  <c r="AF507" i="6"/>
  <c r="O507" i="6"/>
  <c r="P507" i="6" s="1"/>
  <c r="AP506" i="6"/>
  <c r="AO506" i="6"/>
  <c r="AL506" i="6"/>
  <c r="AK506" i="6"/>
  <c r="AJ506" i="6"/>
  <c r="AI506" i="6"/>
  <c r="AH506" i="6"/>
  <c r="AG506" i="6"/>
  <c r="AF506" i="6"/>
  <c r="O506" i="6"/>
  <c r="P506" i="6" s="1"/>
  <c r="AP505" i="6"/>
  <c r="AO505" i="6"/>
  <c r="AL505" i="6"/>
  <c r="AK505" i="6"/>
  <c r="AJ505" i="6"/>
  <c r="AI505" i="6"/>
  <c r="AH505" i="6"/>
  <c r="AG505" i="6"/>
  <c r="AF505" i="6"/>
  <c r="O505" i="6"/>
  <c r="P505" i="6" s="1"/>
  <c r="AP504" i="6"/>
  <c r="AO504" i="6"/>
  <c r="AL504" i="6"/>
  <c r="AK504" i="6"/>
  <c r="AJ504" i="6"/>
  <c r="AI504" i="6"/>
  <c r="AH504" i="6"/>
  <c r="AG504" i="6"/>
  <c r="AF504" i="6"/>
  <c r="O504" i="6"/>
  <c r="P504" i="6" s="1"/>
  <c r="AP503" i="6"/>
  <c r="AO503" i="6"/>
  <c r="AL503" i="6"/>
  <c r="AK503" i="6"/>
  <c r="AJ503" i="6"/>
  <c r="AI503" i="6"/>
  <c r="AH503" i="6"/>
  <c r="AG503" i="6"/>
  <c r="AF503" i="6"/>
  <c r="O503" i="6"/>
  <c r="P503" i="6" s="1"/>
  <c r="AP502" i="6"/>
  <c r="AO502" i="6"/>
  <c r="AL502" i="6"/>
  <c r="AK502" i="6"/>
  <c r="AJ502" i="6"/>
  <c r="AI502" i="6"/>
  <c r="AH502" i="6"/>
  <c r="AG502" i="6"/>
  <c r="AF502" i="6"/>
  <c r="O502" i="6"/>
  <c r="P502" i="6" s="1"/>
  <c r="AP501" i="6"/>
  <c r="AO501" i="6"/>
  <c r="AL501" i="6"/>
  <c r="AK501" i="6"/>
  <c r="AJ501" i="6"/>
  <c r="AI501" i="6"/>
  <c r="AH501" i="6"/>
  <c r="AG501" i="6"/>
  <c r="AF501" i="6"/>
  <c r="O501" i="6"/>
  <c r="P501" i="6" s="1"/>
  <c r="AP500" i="6"/>
  <c r="AO500" i="6"/>
  <c r="AL500" i="6"/>
  <c r="AK500" i="6"/>
  <c r="AJ500" i="6"/>
  <c r="AI500" i="6"/>
  <c r="AH500" i="6"/>
  <c r="AG500" i="6"/>
  <c r="AF500" i="6"/>
  <c r="O500" i="6"/>
  <c r="P500" i="6" s="1"/>
  <c r="AP499" i="6"/>
  <c r="AO499" i="6"/>
  <c r="AL499" i="6"/>
  <c r="AK499" i="6"/>
  <c r="AJ499" i="6"/>
  <c r="AI499" i="6"/>
  <c r="AH499" i="6"/>
  <c r="AG499" i="6"/>
  <c r="AF499" i="6"/>
  <c r="O499" i="6"/>
  <c r="P499" i="6" s="1"/>
  <c r="AP498" i="6"/>
  <c r="AO498" i="6"/>
  <c r="AL498" i="6"/>
  <c r="AK498" i="6"/>
  <c r="AJ498" i="6"/>
  <c r="AI498" i="6"/>
  <c r="AH498" i="6"/>
  <c r="AG498" i="6"/>
  <c r="AF498" i="6"/>
  <c r="O498" i="6"/>
  <c r="P498" i="6" s="1"/>
  <c r="AP497" i="6"/>
  <c r="AO497" i="6"/>
  <c r="AL497" i="6"/>
  <c r="AK497" i="6"/>
  <c r="AJ497" i="6"/>
  <c r="AI497" i="6"/>
  <c r="AH497" i="6"/>
  <c r="AG497" i="6"/>
  <c r="AF497" i="6"/>
  <c r="O497" i="6"/>
  <c r="P497" i="6" s="1"/>
  <c r="AP496" i="6"/>
  <c r="AO496" i="6"/>
  <c r="AL496" i="6"/>
  <c r="AK496" i="6"/>
  <c r="AJ496" i="6"/>
  <c r="AI496" i="6"/>
  <c r="AH496" i="6"/>
  <c r="AG496" i="6"/>
  <c r="AF496" i="6"/>
  <c r="O496" i="6"/>
  <c r="P496" i="6" s="1"/>
  <c r="AP495" i="6"/>
  <c r="AO495" i="6"/>
  <c r="AL495" i="6"/>
  <c r="AK495" i="6"/>
  <c r="AJ495" i="6"/>
  <c r="AI495" i="6"/>
  <c r="AH495" i="6"/>
  <c r="AG495" i="6"/>
  <c r="AF495" i="6"/>
  <c r="O495" i="6"/>
  <c r="P495" i="6" s="1"/>
  <c r="AP494" i="6"/>
  <c r="AO494" i="6"/>
  <c r="AL494" i="6"/>
  <c r="AK494" i="6"/>
  <c r="AJ494" i="6"/>
  <c r="AI494" i="6"/>
  <c r="AH494" i="6"/>
  <c r="AG494" i="6"/>
  <c r="AF494" i="6"/>
  <c r="O494" i="6"/>
  <c r="P494" i="6" s="1"/>
  <c r="AP493" i="6"/>
  <c r="AO493" i="6"/>
  <c r="AL493" i="6"/>
  <c r="AK493" i="6"/>
  <c r="AJ493" i="6"/>
  <c r="AI493" i="6"/>
  <c r="AH493" i="6"/>
  <c r="AG493" i="6"/>
  <c r="AF493" i="6"/>
  <c r="O493" i="6"/>
  <c r="P493" i="6" s="1"/>
  <c r="AP492" i="6"/>
  <c r="AO492" i="6"/>
  <c r="AL492" i="6"/>
  <c r="AK492" i="6"/>
  <c r="AJ492" i="6"/>
  <c r="AI492" i="6"/>
  <c r="AH492" i="6"/>
  <c r="AG492" i="6"/>
  <c r="AF492" i="6"/>
  <c r="O492" i="6"/>
  <c r="P492" i="6" s="1"/>
  <c r="AP491" i="6"/>
  <c r="AO491" i="6"/>
  <c r="AL491" i="6"/>
  <c r="AK491" i="6"/>
  <c r="AJ491" i="6"/>
  <c r="AI491" i="6"/>
  <c r="AH491" i="6"/>
  <c r="AG491" i="6"/>
  <c r="AF491" i="6"/>
  <c r="O491" i="6"/>
  <c r="P491" i="6" s="1"/>
  <c r="AP490" i="6"/>
  <c r="AO490" i="6"/>
  <c r="AL490" i="6"/>
  <c r="AK490" i="6"/>
  <c r="AJ490" i="6"/>
  <c r="AI490" i="6"/>
  <c r="AH490" i="6"/>
  <c r="AG490" i="6"/>
  <c r="AF490" i="6"/>
  <c r="O490" i="6"/>
  <c r="P490" i="6" s="1"/>
  <c r="AP489" i="6"/>
  <c r="AO489" i="6"/>
  <c r="AL489" i="6"/>
  <c r="AK489" i="6"/>
  <c r="AJ489" i="6"/>
  <c r="AI489" i="6"/>
  <c r="AH489" i="6"/>
  <c r="AG489" i="6"/>
  <c r="AF489" i="6"/>
  <c r="O489" i="6"/>
  <c r="P489" i="6" s="1"/>
  <c r="AP488" i="6"/>
  <c r="AO488" i="6"/>
  <c r="AL488" i="6"/>
  <c r="AK488" i="6"/>
  <c r="AJ488" i="6"/>
  <c r="AI488" i="6"/>
  <c r="AH488" i="6"/>
  <c r="AG488" i="6"/>
  <c r="AF488" i="6"/>
  <c r="O488" i="6"/>
  <c r="P488" i="6" s="1"/>
  <c r="AP487" i="6"/>
  <c r="AO487" i="6"/>
  <c r="AL487" i="6"/>
  <c r="AK487" i="6"/>
  <c r="AJ487" i="6"/>
  <c r="AI487" i="6"/>
  <c r="AH487" i="6"/>
  <c r="AG487" i="6"/>
  <c r="AF487" i="6"/>
  <c r="O487" i="6"/>
  <c r="P487" i="6" s="1"/>
  <c r="AP486" i="6"/>
  <c r="AO486" i="6"/>
  <c r="AL486" i="6"/>
  <c r="AK486" i="6"/>
  <c r="AJ486" i="6"/>
  <c r="AI486" i="6"/>
  <c r="AH486" i="6"/>
  <c r="AG486" i="6"/>
  <c r="AF486" i="6"/>
  <c r="O486" i="6"/>
  <c r="P486" i="6" s="1"/>
  <c r="AP485" i="6"/>
  <c r="AO485" i="6"/>
  <c r="AL485" i="6"/>
  <c r="AK485" i="6"/>
  <c r="AJ485" i="6"/>
  <c r="AI485" i="6"/>
  <c r="AH485" i="6"/>
  <c r="AG485" i="6"/>
  <c r="AF485" i="6"/>
  <c r="O485" i="6"/>
  <c r="P485" i="6" s="1"/>
  <c r="AP484" i="6"/>
  <c r="AO484" i="6"/>
  <c r="AL484" i="6"/>
  <c r="AK484" i="6"/>
  <c r="AJ484" i="6"/>
  <c r="AI484" i="6"/>
  <c r="AH484" i="6"/>
  <c r="AG484" i="6"/>
  <c r="AF484" i="6"/>
  <c r="O484" i="6"/>
  <c r="P484" i="6" s="1"/>
  <c r="AP483" i="6"/>
  <c r="AO483" i="6"/>
  <c r="AL483" i="6"/>
  <c r="AK483" i="6"/>
  <c r="AJ483" i="6"/>
  <c r="AI483" i="6"/>
  <c r="AH483" i="6"/>
  <c r="AG483" i="6"/>
  <c r="AF483" i="6"/>
  <c r="O483" i="6"/>
  <c r="P483" i="6" s="1"/>
  <c r="AP482" i="6"/>
  <c r="AO482" i="6"/>
  <c r="AL482" i="6"/>
  <c r="AK482" i="6"/>
  <c r="AJ482" i="6"/>
  <c r="AI482" i="6"/>
  <c r="AH482" i="6"/>
  <c r="AG482" i="6"/>
  <c r="AF482" i="6"/>
  <c r="O482" i="6"/>
  <c r="P482" i="6" s="1"/>
  <c r="AP481" i="6"/>
  <c r="AO481" i="6"/>
  <c r="AL481" i="6"/>
  <c r="AK481" i="6"/>
  <c r="AJ481" i="6"/>
  <c r="AI481" i="6"/>
  <c r="AH481" i="6"/>
  <c r="AG481" i="6"/>
  <c r="AF481" i="6"/>
  <c r="O481" i="6"/>
  <c r="P481" i="6" s="1"/>
  <c r="AP480" i="6"/>
  <c r="AO480" i="6"/>
  <c r="AL480" i="6"/>
  <c r="AK480" i="6"/>
  <c r="AJ480" i="6"/>
  <c r="AI480" i="6"/>
  <c r="AH480" i="6"/>
  <c r="AG480" i="6"/>
  <c r="AF480" i="6"/>
  <c r="O480" i="6"/>
  <c r="P480" i="6" s="1"/>
  <c r="AP479" i="6"/>
  <c r="AO479" i="6"/>
  <c r="AL479" i="6"/>
  <c r="AK479" i="6"/>
  <c r="AJ479" i="6"/>
  <c r="AI479" i="6"/>
  <c r="AH479" i="6"/>
  <c r="AG479" i="6"/>
  <c r="AF479" i="6"/>
  <c r="O479" i="6"/>
  <c r="P479" i="6" s="1"/>
  <c r="AP478" i="6"/>
  <c r="AO478" i="6"/>
  <c r="AL478" i="6"/>
  <c r="AK478" i="6"/>
  <c r="AJ478" i="6"/>
  <c r="AI478" i="6"/>
  <c r="AH478" i="6"/>
  <c r="AG478" i="6"/>
  <c r="AF478" i="6"/>
  <c r="O478" i="6"/>
  <c r="P478" i="6" s="1"/>
  <c r="AP477" i="6"/>
  <c r="AO477" i="6"/>
  <c r="AL477" i="6"/>
  <c r="AK477" i="6"/>
  <c r="AJ477" i="6"/>
  <c r="AI477" i="6"/>
  <c r="AH477" i="6"/>
  <c r="AG477" i="6"/>
  <c r="AF477" i="6"/>
  <c r="O477" i="6"/>
  <c r="P477" i="6" s="1"/>
  <c r="AP476" i="6"/>
  <c r="AO476" i="6"/>
  <c r="AL476" i="6"/>
  <c r="AK476" i="6"/>
  <c r="AJ476" i="6"/>
  <c r="AI476" i="6"/>
  <c r="AH476" i="6"/>
  <c r="AG476" i="6"/>
  <c r="AF476" i="6"/>
  <c r="O476" i="6"/>
  <c r="P476" i="6" s="1"/>
  <c r="AP475" i="6"/>
  <c r="AO475" i="6"/>
  <c r="AL475" i="6"/>
  <c r="AK475" i="6"/>
  <c r="AJ475" i="6"/>
  <c r="AI475" i="6"/>
  <c r="AH475" i="6"/>
  <c r="AG475" i="6"/>
  <c r="AF475" i="6"/>
  <c r="O475" i="6"/>
  <c r="P475" i="6" s="1"/>
  <c r="AP474" i="6"/>
  <c r="AO474" i="6"/>
  <c r="AL474" i="6"/>
  <c r="AK474" i="6"/>
  <c r="AJ474" i="6"/>
  <c r="AI474" i="6"/>
  <c r="AH474" i="6"/>
  <c r="AG474" i="6"/>
  <c r="AF474" i="6"/>
  <c r="O474" i="6"/>
  <c r="P474" i="6" s="1"/>
  <c r="AP473" i="6"/>
  <c r="AO473" i="6"/>
  <c r="AL473" i="6"/>
  <c r="AK473" i="6"/>
  <c r="AJ473" i="6"/>
  <c r="AI473" i="6"/>
  <c r="AH473" i="6"/>
  <c r="AG473" i="6"/>
  <c r="AF473" i="6"/>
  <c r="O473" i="6"/>
  <c r="P473" i="6" s="1"/>
  <c r="AP472" i="6"/>
  <c r="AO472" i="6"/>
  <c r="AL472" i="6"/>
  <c r="AK472" i="6"/>
  <c r="AJ472" i="6"/>
  <c r="AI472" i="6"/>
  <c r="AH472" i="6"/>
  <c r="AG472" i="6"/>
  <c r="AF472" i="6"/>
  <c r="O472" i="6"/>
  <c r="P472" i="6" s="1"/>
  <c r="AP471" i="6"/>
  <c r="AO471" i="6"/>
  <c r="AL471" i="6"/>
  <c r="AK471" i="6"/>
  <c r="AJ471" i="6"/>
  <c r="AI471" i="6"/>
  <c r="AH471" i="6"/>
  <c r="AG471" i="6"/>
  <c r="AF471" i="6"/>
  <c r="O471" i="6"/>
  <c r="P471" i="6" s="1"/>
  <c r="AP470" i="6"/>
  <c r="AO470" i="6"/>
  <c r="AL470" i="6"/>
  <c r="AK470" i="6"/>
  <c r="AJ470" i="6"/>
  <c r="AI470" i="6"/>
  <c r="AH470" i="6"/>
  <c r="AG470" i="6"/>
  <c r="AF470" i="6"/>
  <c r="O470" i="6"/>
  <c r="P470" i="6" s="1"/>
  <c r="AP469" i="6"/>
  <c r="AO469" i="6"/>
  <c r="AL469" i="6"/>
  <c r="AK469" i="6"/>
  <c r="AJ469" i="6"/>
  <c r="AI469" i="6"/>
  <c r="AH469" i="6"/>
  <c r="AG469" i="6"/>
  <c r="AF469" i="6"/>
  <c r="O469" i="6"/>
  <c r="P469" i="6" s="1"/>
  <c r="AP468" i="6"/>
  <c r="AO468" i="6"/>
  <c r="AL468" i="6"/>
  <c r="AK468" i="6"/>
  <c r="AJ468" i="6"/>
  <c r="AI468" i="6"/>
  <c r="AH468" i="6"/>
  <c r="AG468" i="6"/>
  <c r="AF468" i="6"/>
  <c r="O468" i="6"/>
  <c r="P468" i="6" s="1"/>
  <c r="AP467" i="6"/>
  <c r="AO467" i="6"/>
  <c r="AL467" i="6"/>
  <c r="AK467" i="6"/>
  <c r="AJ467" i="6"/>
  <c r="AI467" i="6"/>
  <c r="AH467" i="6"/>
  <c r="AG467" i="6"/>
  <c r="AF467" i="6"/>
  <c r="O467" i="6"/>
  <c r="P467" i="6" s="1"/>
  <c r="AP466" i="6"/>
  <c r="AO466" i="6"/>
  <c r="AL466" i="6"/>
  <c r="AK466" i="6"/>
  <c r="AJ466" i="6"/>
  <c r="AI466" i="6"/>
  <c r="AH466" i="6"/>
  <c r="AG466" i="6"/>
  <c r="AF466" i="6"/>
  <c r="O466" i="6"/>
  <c r="P466" i="6" s="1"/>
  <c r="AP465" i="6"/>
  <c r="AO465" i="6"/>
  <c r="AL465" i="6"/>
  <c r="AK465" i="6"/>
  <c r="AJ465" i="6"/>
  <c r="AI465" i="6"/>
  <c r="AH465" i="6"/>
  <c r="AG465" i="6"/>
  <c r="AF465" i="6"/>
  <c r="O465" i="6"/>
  <c r="P465" i="6" s="1"/>
  <c r="AP464" i="6"/>
  <c r="AO464" i="6"/>
  <c r="AL464" i="6"/>
  <c r="AK464" i="6"/>
  <c r="AJ464" i="6"/>
  <c r="AI464" i="6"/>
  <c r="AH464" i="6"/>
  <c r="AG464" i="6"/>
  <c r="AF464" i="6"/>
  <c r="O464" i="6"/>
  <c r="P464" i="6" s="1"/>
  <c r="AP463" i="6"/>
  <c r="AO463" i="6"/>
  <c r="AL463" i="6"/>
  <c r="AK463" i="6"/>
  <c r="AJ463" i="6"/>
  <c r="AI463" i="6"/>
  <c r="AH463" i="6"/>
  <c r="AG463" i="6"/>
  <c r="AF463" i="6"/>
  <c r="O463" i="6"/>
  <c r="P463" i="6" s="1"/>
  <c r="AP462" i="6"/>
  <c r="AO462" i="6"/>
  <c r="AL462" i="6"/>
  <c r="AK462" i="6"/>
  <c r="AJ462" i="6"/>
  <c r="AI462" i="6"/>
  <c r="AH462" i="6"/>
  <c r="AG462" i="6"/>
  <c r="AF462" i="6"/>
  <c r="O462" i="6"/>
  <c r="P462" i="6" s="1"/>
  <c r="AP461" i="6"/>
  <c r="AO461" i="6"/>
  <c r="AL461" i="6"/>
  <c r="AK461" i="6"/>
  <c r="AJ461" i="6"/>
  <c r="AI461" i="6"/>
  <c r="AH461" i="6"/>
  <c r="AG461" i="6"/>
  <c r="AF461" i="6"/>
  <c r="O461" i="6"/>
  <c r="P461" i="6" s="1"/>
  <c r="AP460" i="6"/>
  <c r="AO460" i="6"/>
  <c r="AL460" i="6"/>
  <c r="AK460" i="6"/>
  <c r="AJ460" i="6"/>
  <c r="AI460" i="6"/>
  <c r="AH460" i="6"/>
  <c r="AG460" i="6"/>
  <c r="AF460" i="6"/>
  <c r="O460" i="6"/>
  <c r="P460" i="6" s="1"/>
  <c r="AP459" i="6"/>
  <c r="AO459" i="6"/>
  <c r="AL459" i="6"/>
  <c r="AK459" i="6"/>
  <c r="AJ459" i="6"/>
  <c r="AI459" i="6"/>
  <c r="AH459" i="6"/>
  <c r="AG459" i="6"/>
  <c r="AF459" i="6"/>
  <c r="O459" i="6"/>
  <c r="P459" i="6" s="1"/>
  <c r="AP458" i="6"/>
  <c r="AO458" i="6"/>
  <c r="AL458" i="6"/>
  <c r="AK458" i="6"/>
  <c r="AJ458" i="6"/>
  <c r="AI458" i="6"/>
  <c r="AH458" i="6"/>
  <c r="AG458" i="6"/>
  <c r="AF458" i="6"/>
  <c r="O458" i="6"/>
  <c r="P458" i="6" s="1"/>
  <c r="AP457" i="6"/>
  <c r="AO457" i="6"/>
  <c r="AL457" i="6"/>
  <c r="AK457" i="6"/>
  <c r="AJ457" i="6"/>
  <c r="AI457" i="6"/>
  <c r="AH457" i="6"/>
  <c r="AG457" i="6"/>
  <c r="AF457" i="6"/>
  <c r="O457" i="6"/>
  <c r="P457" i="6" s="1"/>
  <c r="AP456" i="6"/>
  <c r="AO456" i="6"/>
  <c r="AL456" i="6"/>
  <c r="AK456" i="6"/>
  <c r="AJ456" i="6"/>
  <c r="AI456" i="6"/>
  <c r="AH456" i="6"/>
  <c r="AG456" i="6"/>
  <c r="AF456" i="6"/>
  <c r="O456" i="6"/>
  <c r="P456" i="6" s="1"/>
  <c r="AP455" i="6"/>
  <c r="AO455" i="6"/>
  <c r="AL455" i="6"/>
  <c r="AK455" i="6"/>
  <c r="AJ455" i="6"/>
  <c r="AI455" i="6"/>
  <c r="AH455" i="6"/>
  <c r="AG455" i="6"/>
  <c r="AF455" i="6"/>
  <c r="O455" i="6"/>
  <c r="P455" i="6" s="1"/>
  <c r="AP454" i="6"/>
  <c r="AO454" i="6"/>
  <c r="AL454" i="6"/>
  <c r="AK454" i="6"/>
  <c r="AJ454" i="6"/>
  <c r="AI454" i="6"/>
  <c r="AH454" i="6"/>
  <c r="AG454" i="6"/>
  <c r="AF454" i="6"/>
  <c r="O454" i="6"/>
  <c r="P454" i="6" s="1"/>
  <c r="AP453" i="6"/>
  <c r="AO453" i="6"/>
  <c r="AL453" i="6"/>
  <c r="AK453" i="6"/>
  <c r="AJ453" i="6"/>
  <c r="AI453" i="6"/>
  <c r="AH453" i="6"/>
  <c r="AG453" i="6"/>
  <c r="AF453" i="6"/>
  <c r="O453" i="6"/>
  <c r="P453" i="6" s="1"/>
  <c r="AP452" i="6"/>
  <c r="AO452" i="6"/>
  <c r="AL452" i="6"/>
  <c r="AK452" i="6"/>
  <c r="AJ452" i="6"/>
  <c r="AI452" i="6"/>
  <c r="AH452" i="6"/>
  <c r="AG452" i="6"/>
  <c r="AF452" i="6"/>
  <c r="O452" i="6"/>
  <c r="P452" i="6" s="1"/>
  <c r="AP451" i="6"/>
  <c r="AO451" i="6"/>
  <c r="AL451" i="6"/>
  <c r="AK451" i="6"/>
  <c r="AJ451" i="6"/>
  <c r="AI451" i="6"/>
  <c r="AH451" i="6"/>
  <c r="AG451" i="6"/>
  <c r="AF451" i="6"/>
  <c r="O451" i="6"/>
  <c r="P451" i="6" s="1"/>
  <c r="AP450" i="6"/>
  <c r="AO450" i="6"/>
  <c r="AL450" i="6"/>
  <c r="AK450" i="6"/>
  <c r="AJ450" i="6"/>
  <c r="AI450" i="6"/>
  <c r="AH450" i="6"/>
  <c r="AG450" i="6"/>
  <c r="AF450" i="6"/>
  <c r="O450" i="6"/>
  <c r="P450" i="6" s="1"/>
  <c r="AP449" i="6"/>
  <c r="AO449" i="6"/>
  <c r="AL449" i="6"/>
  <c r="AK449" i="6"/>
  <c r="AJ449" i="6"/>
  <c r="AI449" i="6"/>
  <c r="AH449" i="6"/>
  <c r="AG449" i="6"/>
  <c r="AF449" i="6"/>
  <c r="O449" i="6"/>
  <c r="P449" i="6" s="1"/>
  <c r="AP448" i="6"/>
  <c r="AO448" i="6"/>
  <c r="AL448" i="6"/>
  <c r="AK448" i="6"/>
  <c r="AJ448" i="6"/>
  <c r="AI448" i="6"/>
  <c r="AH448" i="6"/>
  <c r="AG448" i="6"/>
  <c r="AF448" i="6"/>
  <c r="O448" i="6"/>
  <c r="P448" i="6" s="1"/>
  <c r="AP447" i="6"/>
  <c r="AO447" i="6"/>
  <c r="AL447" i="6"/>
  <c r="AK447" i="6"/>
  <c r="AJ447" i="6"/>
  <c r="AI447" i="6"/>
  <c r="AH447" i="6"/>
  <c r="AG447" i="6"/>
  <c r="AF447" i="6"/>
  <c r="O447" i="6"/>
  <c r="P447" i="6" s="1"/>
  <c r="AP446" i="6"/>
  <c r="AO446" i="6"/>
  <c r="AL446" i="6"/>
  <c r="AK446" i="6"/>
  <c r="AJ446" i="6"/>
  <c r="AI446" i="6"/>
  <c r="AH446" i="6"/>
  <c r="AG446" i="6"/>
  <c r="AF446" i="6"/>
  <c r="O446" i="6"/>
  <c r="P446" i="6" s="1"/>
  <c r="AP445" i="6"/>
  <c r="AO445" i="6"/>
  <c r="AL445" i="6"/>
  <c r="AK445" i="6"/>
  <c r="AJ445" i="6"/>
  <c r="AI445" i="6"/>
  <c r="AH445" i="6"/>
  <c r="AG445" i="6"/>
  <c r="AF445" i="6"/>
  <c r="O445" i="6"/>
  <c r="P445" i="6" s="1"/>
  <c r="AP444" i="6"/>
  <c r="AO444" i="6"/>
  <c r="AL444" i="6"/>
  <c r="AK444" i="6"/>
  <c r="AJ444" i="6"/>
  <c r="AI444" i="6"/>
  <c r="AH444" i="6"/>
  <c r="AG444" i="6"/>
  <c r="AF444" i="6"/>
  <c r="O444" i="6"/>
  <c r="P444" i="6" s="1"/>
  <c r="AP443" i="6"/>
  <c r="AO443" i="6"/>
  <c r="AL443" i="6"/>
  <c r="AK443" i="6"/>
  <c r="AJ443" i="6"/>
  <c r="AI443" i="6"/>
  <c r="AH443" i="6"/>
  <c r="AG443" i="6"/>
  <c r="AF443" i="6"/>
  <c r="O443" i="6"/>
  <c r="P443" i="6" s="1"/>
  <c r="AP442" i="6"/>
  <c r="AO442" i="6"/>
  <c r="AL442" i="6"/>
  <c r="AK442" i="6"/>
  <c r="AJ442" i="6"/>
  <c r="AI442" i="6"/>
  <c r="AH442" i="6"/>
  <c r="AG442" i="6"/>
  <c r="AF442" i="6"/>
  <c r="O442" i="6"/>
  <c r="P442" i="6" s="1"/>
  <c r="AP441" i="6"/>
  <c r="AO441" i="6"/>
  <c r="AL441" i="6"/>
  <c r="AK441" i="6"/>
  <c r="AJ441" i="6"/>
  <c r="AI441" i="6"/>
  <c r="AH441" i="6"/>
  <c r="AG441" i="6"/>
  <c r="AF441" i="6"/>
  <c r="O441" i="6"/>
  <c r="P441" i="6" s="1"/>
  <c r="AP440" i="6"/>
  <c r="AO440" i="6"/>
  <c r="AL440" i="6"/>
  <c r="AK440" i="6"/>
  <c r="AJ440" i="6"/>
  <c r="AI440" i="6"/>
  <c r="AH440" i="6"/>
  <c r="AG440" i="6"/>
  <c r="AF440" i="6"/>
  <c r="O440" i="6"/>
  <c r="P440" i="6" s="1"/>
  <c r="AP439" i="6"/>
  <c r="AO439" i="6"/>
  <c r="AL439" i="6"/>
  <c r="AK439" i="6"/>
  <c r="AJ439" i="6"/>
  <c r="AI439" i="6"/>
  <c r="AH439" i="6"/>
  <c r="AG439" i="6"/>
  <c r="AF439" i="6"/>
  <c r="O439" i="6"/>
  <c r="P439" i="6" s="1"/>
  <c r="AP438" i="6"/>
  <c r="AO438" i="6"/>
  <c r="AL438" i="6"/>
  <c r="AK438" i="6"/>
  <c r="AJ438" i="6"/>
  <c r="AI438" i="6"/>
  <c r="AH438" i="6"/>
  <c r="AG438" i="6"/>
  <c r="AF438" i="6"/>
  <c r="O438" i="6"/>
  <c r="P438" i="6" s="1"/>
  <c r="AP437" i="6"/>
  <c r="AO437" i="6"/>
  <c r="AL437" i="6"/>
  <c r="AK437" i="6"/>
  <c r="AJ437" i="6"/>
  <c r="AI437" i="6"/>
  <c r="AH437" i="6"/>
  <c r="AG437" i="6"/>
  <c r="AF437" i="6"/>
  <c r="O437" i="6"/>
  <c r="P437" i="6" s="1"/>
  <c r="AP436" i="6"/>
  <c r="AO436" i="6"/>
  <c r="AL436" i="6"/>
  <c r="AK436" i="6"/>
  <c r="AJ436" i="6"/>
  <c r="AI436" i="6"/>
  <c r="AH436" i="6"/>
  <c r="AG436" i="6"/>
  <c r="AF436" i="6"/>
  <c r="O436" i="6"/>
  <c r="P436" i="6" s="1"/>
  <c r="AP435" i="6"/>
  <c r="AO435" i="6"/>
  <c r="AL435" i="6"/>
  <c r="AK435" i="6"/>
  <c r="AJ435" i="6"/>
  <c r="AI435" i="6"/>
  <c r="AH435" i="6"/>
  <c r="AG435" i="6"/>
  <c r="AF435" i="6"/>
  <c r="O435" i="6"/>
  <c r="P435" i="6" s="1"/>
  <c r="AP434" i="6"/>
  <c r="AO434" i="6"/>
  <c r="AL434" i="6"/>
  <c r="AK434" i="6"/>
  <c r="AJ434" i="6"/>
  <c r="AI434" i="6"/>
  <c r="AH434" i="6"/>
  <c r="AG434" i="6"/>
  <c r="AF434" i="6"/>
  <c r="O434" i="6"/>
  <c r="P434" i="6" s="1"/>
  <c r="AP433" i="6"/>
  <c r="AO433" i="6"/>
  <c r="AL433" i="6"/>
  <c r="AK433" i="6"/>
  <c r="AJ433" i="6"/>
  <c r="AI433" i="6"/>
  <c r="AH433" i="6"/>
  <c r="AG433" i="6"/>
  <c r="AF433" i="6"/>
  <c r="O433" i="6"/>
  <c r="P433" i="6" s="1"/>
  <c r="AP432" i="6"/>
  <c r="AO432" i="6"/>
  <c r="AL432" i="6"/>
  <c r="AK432" i="6"/>
  <c r="AJ432" i="6"/>
  <c r="AI432" i="6"/>
  <c r="AH432" i="6"/>
  <c r="AG432" i="6"/>
  <c r="AF432" i="6"/>
  <c r="O432" i="6"/>
  <c r="P432" i="6" s="1"/>
  <c r="AP431" i="6"/>
  <c r="AO431" i="6"/>
  <c r="AL431" i="6"/>
  <c r="AK431" i="6"/>
  <c r="AJ431" i="6"/>
  <c r="AI431" i="6"/>
  <c r="AH431" i="6"/>
  <c r="AG431" i="6"/>
  <c r="AF431" i="6"/>
  <c r="O431" i="6"/>
  <c r="P431" i="6" s="1"/>
  <c r="AP430" i="6"/>
  <c r="AO430" i="6"/>
  <c r="AL430" i="6"/>
  <c r="AK430" i="6"/>
  <c r="AJ430" i="6"/>
  <c r="AI430" i="6"/>
  <c r="AH430" i="6"/>
  <c r="AG430" i="6"/>
  <c r="AF430" i="6"/>
  <c r="O430" i="6"/>
  <c r="P430" i="6" s="1"/>
  <c r="AP429" i="6"/>
  <c r="AO429" i="6"/>
  <c r="AL429" i="6"/>
  <c r="AK429" i="6"/>
  <c r="AJ429" i="6"/>
  <c r="AI429" i="6"/>
  <c r="AH429" i="6"/>
  <c r="AG429" i="6"/>
  <c r="AF429" i="6"/>
  <c r="O429" i="6"/>
  <c r="P429" i="6" s="1"/>
  <c r="AP428" i="6"/>
  <c r="AO428" i="6"/>
  <c r="AL428" i="6"/>
  <c r="AK428" i="6"/>
  <c r="AJ428" i="6"/>
  <c r="AI428" i="6"/>
  <c r="AH428" i="6"/>
  <c r="AG428" i="6"/>
  <c r="AF428" i="6"/>
  <c r="O428" i="6"/>
  <c r="P428" i="6" s="1"/>
  <c r="AP427" i="6"/>
  <c r="AO427" i="6"/>
  <c r="AL427" i="6"/>
  <c r="AK427" i="6"/>
  <c r="AJ427" i="6"/>
  <c r="AI427" i="6"/>
  <c r="AH427" i="6"/>
  <c r="AG427" i="6"/>
  <c r="AF427" i="6"/>
  <c r="O427" i="6"/>
  <c r="P427" i="6" s="1"/>
  <c r="AP426" i="6"/>
  <c r="AO426" i="6"/>
  <c r="AL426" i="6"/>
  <c r="AK426" i="6"/>
  <c r="AJ426" i="6"/>
  <c r="AI426" i="6"/>
  <c r="AH426" i="6"/>
  <c r="AG426" i="6"/>
  <c r="AF426" i="6"/>
  <c r="O426" i="6"/>
  <c r="P426" i="6" s="1"/>
  <c r="AP425" i="6"/>
  <c r="AO425" i="6"/>
  <c r="AL425" i="6"/>
  <c r="AK425" i="6"/>
  <c r="AJ425" i="6"/>
  <c r="AI425" i="6"/>
  <c r="AH425" i="6"/>
  <c r="AG425" i="6"/>
  <c r="AF425" i="6"/>
  <c r="O425" i="6"/>
  <c r="P425" i="6" s="1"/>
  <c r="AP424" i="6"/>
  <c r="AO424" i="6"/>
  <c r="AL424" i="6"/>
  <c r="AK424" i="6"/>
  <c r="AJ424" i="6"/>
  <c r="AI424" i="6"/>
  <c r="AH424" i="6"/>
  <c r="AG424" i="6"/>
  <c r="AF424" i="6"/>
  <c r="O424" i="6"/>
  <c r="P424" i="6" s="1"/>
  <c r="AP423" i="6"/>
  <c r="AO423" i="6"/>
  <c r="AL423" i="6"/>
  <c r="AK423" i="6"/>
  <c r="AJ423" i="6"/>
  <c r="AI423" i="6"/>
  <c r="AH423" i="6"/>
  <c r="AG423" i="6"/>
  <c r="AF423" i="6"/>
  <c r="O423" i="6"/>
  <c r="P423" i="6" s="1"/>
  <c r="AP422" i="6"/>
  <c r="AO422" i="6"/>
  <c r="AL422" i="6"/>
  <c r="AK422" i="6"/>
  <c r="AJ422" i="6"/>
  <c r="AI422" i="6"/>
  <c r="AH422" i="6"/>
  <c r="AG422" i="6"/>
  <c r="AF422" i="6"/>
  <c r="O422" i="6"/>
  <c r="P422" i="6" s="1"/>
  <c r="AP421" i="6"/>
  <c r="AO421" i="6"/>
  <c r="AL421" i="6"/>
  <c r="AK421" i="6"/>
  <c r="AJ421" i="6"/>
  <c r="AI421" i="6"/>
  <c r="AH421" i="6"/>
  <c r="AG421" i="6"/>
  <c r="AF421" i="6"/>
  <c r="O421" i="6"/>
  <c r="P421" i="6" s="1"/>
  <c r="AP420" i="6"/>
  <c r="AO420" i="6"/>
  <c r="AL420" i="6"/>
  <c r="AK420" i="6"/>
  <c r="AJ420" i="6"/>
  <c r="AI420" i="6"/>
  <c r="AH420" i="6"/>
  <c r="AG420" i="6"/>
  <c r="AF420" i="6"/>
  <c r="O420" i="6"/>
  <c r="P420" i="6" s="1"/>
  <c r="AP419" i="6"/>
  <c r="AO419" i="6"/>
  <c r="AL419" i="6"/>
  <c r="AK419" i="6"/>
  <c r="AJ419" i="6"/>
  <c r="AI419" i="6"/>
  <c r="AH419" i="6"/>
  <c r="AG419" i="6"/>
  <c r="AF419" i="6"/>
  <c r="O419" i="6"/>
  <c r="P419" i="6" s="1"/>
  <c r="AP418" i="6"/>
  <c r="AO418" i="6"/>
  <c r="AL418" i="6"/>
  <c r="AK418" i="6"/>
  <c r="AJ418" i="6"/>
  <c r="AI418" i="6"/>
  <c r="AH418" i="6"/>
  <c r="AG418" i="6"/>
  <c r="AF418" i="6"/>
  <c r="O418" i="6"/>
  <c r="P418" i="6" s="1"/>
  <c r="AP417" i="6"/>
  <c r="AO417" i="6"/>
  <c r="AL417" i="6"/>
  <c r="AK417" i="6"/>
  <c r="AJ417" i="6"/>
  <c r="AI417" i="6"/>
  <c r="AH417" i="6"/>
  <c r="AG417" i="6"/>
  <c r="AF417" i="6"/>
  <c r="O417" i="6"/>
  <c r="P417" i="6" s="1"/>
  <c r="AP416" i="6"/>
  <c r="AO416" i="6"/>
  <c r="AL416" i="6"/>
  <c r="AK416" i="6"/>
  <c r="AJ416" i="6"/>
  <c r="AI416" i="6"/>
  <c r="AH416" i="6"/>
  <c r="AG416" i="6"/>
  <c r="AF416" i="6"/>
  <c r="O416" i="6"/>
  <c r="P416" i="6" s="1"/>
  <c r="AP415" i="6"/>
  <c r="AO415" i="6"/>
  <c r="AL415" i="6"/>
  <c r="AK415" i="6"/>
  <c r="AJ415" i="6"/>
  <c r="AI415" i="6"/>
  <c r="AH415" i="6"/>
  <c r="AG415" i="6"/>
  <c r="AF415" i="6"/>
  <c r="O415" i="6"/>
  <c r="P415" i="6" s="1"/>
  <c r="AP414" i="6"/>
  <c r="AO414" i="6"/>
  <c r="AL414" i="6"/>
  <c r="AK414" i="6"/>
  <c r="AJ414" i="6"/>
  <c r="AI414" i="6"/>
  <c r="AH414" i="6"/>
  <c r="AG414" i="6"/>
  <c r="AF414" i="6"/>
  <c r="O414" i="6"/>
  <c r="P414" i="6" s="1"/>
  <c r="AP413" i="6"/>
  <c r="AO413" i="6"/>
  <c r="AL413" i="6"/>
  <c r="AK413" i="6"/>
  <c r="AJ413" i="6"/>
  <c r="AI413" i="6"/>
  <c r="AH413" i="6"/>
  <c r="AG413" i="6"/>
  <c r="AF413" i="6"/>
  <c r="O413" i="6"/>
  <c r="P413" i="6" s="1"/>
  <c r="AP412" i="6"/>
  <c r="AO412" i="6"/>
  <c r="AL412" i="6"/>
  <c r="AK412" i="6"/>
  <c r="AJ412" i="6"/>
  <c r="AI412" i="6"/>
  <c r="AH412" i="6"/>
  <c r="AG412" i="6"/>
  <c r="AF412" i="6"/>
  <c r="O412" i="6"/>
  <c r="P412" i="6" s="1"/>
  <c r="AP411" i="6"/>
  <c r="AO411" i="6"/>
  <c r="AL411" i="6"/>
  <c r="AK411" i="6"/>
  <c r="AJ411" i="6"/>
  <c r="AI411" i="6"/>
  <c r="AH411" i="6"/>
  <c r="AG411" i="6"/>
  <c r="AF411" i="6"/>
  <c r="O411" i="6"/>
  <c r="P411" i="6" s="1"/>
  <c r="AP410" i="6"/>
  <c r="AO410" i="6"/>
  <c r="AL410" i="6"/>
  <c r="AK410" i="6"/>
  <c r="AJ410" i="6"/>
  <c r="AI410" i="6"/>
  <c r="AH410" i="6"/>
  <c r="AG410" i="6"/>
  <c r="AF410" i="6"/>
  <c r="O410" i="6"/>
  <c r="P410" i="6" s="1"/>
  <c r="AP409" i="6"/>
  <c r="AO409" i="6"/>
  <c r="AL409" i="6"/>
  <c r="AK409" i="6"/>
  <c r="AJ409" i="6"/>
  <c r="AI409" i="6"/>
  <c r="AH409" i="6"/>
  <c r="AG409" i="6"/>
  <c r="AF409" i="6"/>
  <c r="O409" i="6"/>
  <c r="P409" i="6" s="1"/>
  <c r="AP408" i="6"/>
  <c r="AO408" i="6"/>
  <c r="AL408" i="6"/>
  <c r="AK408" i="6"/>
  <c r="AJ408" i="6"/>
  <c r="AI408" i="6"/>
  <c r="AH408" i="6"/>
  <c r="AG408" i="6"/>
  <c r="AF408" i="6"/>
  <c r="O408" i="6"/>
  <c r="P408" i="6" s="1"/>
  <c r="AP407" i="6"/>
  <c r="AO407" i="6"/>
  <c r="AL407" i="6"/>
  <c r="AK407" i="6"/>
  <c r="AJ407" i="6"/>
  <c r="AI407" i="6"/>
  <c r="AH407" i="6"/>
  <c r="AG407" i="6"/>
  <c r="AF407" i="6"/>
  <c r="O407" i="6"/>
  <c r="P407" i="6" s="1"/>
  <c r="AP406" i="6"/>
  <c r="AO406" i="6"/>
  <c r="AL406" i="6"/>
  <c r="AK406" i="6"/>
  <c r="AJ406" i="6"/>
  <c r="AI406" i="6"/>
  <c r="AH406" i="6"/>
  <c r="AG406" i="6"/>
  <c r="AF406" i="6"/>
  <c r="O406" i="6"/>
  <c r="P406" i="6" s="1"/>
  <c r="AP405" i="6"/>
  <c r="AO405" i="6"/>
  <c r="AL405" i="6"/>
  <c r="AK405" i="6"/>
  <c r="AJ405" i="6"/>
  <c r="AI405" i="6"/>
  <c r="AH405" i="6"/>
  <c r="AG405" i="6"/>
  <c r="AF405" i="6"/>
  <c r="O405" i="6"/>
  <c r="P405" i="6" s="1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AZ140" i="2"/>
  <c r="AZ141" i="2"/>
  <c r="AZ142" i="2"/>
  <c r="AZ143" i="2"/>
  <c r="AZ144" i="2"/>
  <c r="AZ145" i="2"/>
  <c r="AZ146" i="2"/>
  <c r="AZ147" i="2"/>
  <c r="AZ148" i="2"/>
  <c r="AZ149" i="2"/>
  <c r="AZ150" i="2"/>
  <c r="AZ151" i="2"/>
  <c r="AZ152" i="2"/>
  <c r="AZ153" i="2"/>
  <c r="AZ154" i="2"/>
  <c r="AZ155" i="2"/>
  <c r="AZ156" i="2"/>
  <c r="AZ157" i="2"/>
  <c r="AZ158" i="2"/>
  <c r="AZ159" i="2"/>
  <c r="AZ160" i="2"/>
  <c r="AZ161" i="2"/>
  <c r="AZ162" i="2"/>
  <c r="AZ163" i="2"/>
  <c r="AZ164" i="2"/>
  <c r="AZ165" i="2"/>
  <c r="AZ166" i="2"/>
  <c r="AZ167" i="2"/>
  <c r="AZ168" i="2"/>
  <c r="AZ169" i="2"/>
  <c r="AZ170" i="2"/>
  <c r="AZ171" i="2"/>
  <c r="AZ172" i="2"/>
  <c r="AZ173" i="2"/>
  <c r="AZ174" i="2"/>
  <c r="AZ175" i="2"/>
  <c r="AZ176" i="2"/>
  <c r="AZ177" i="2"/>
  <c r="AZ178" i="2"/>
  <c r="AZ179" i="2"/>
  <c r="AZ180" i="2"/>
  <c r="AZ181" i="2"/>
  <c r="AZ182" i="2"/>
  <c r="AZ183" i="2"/>
  <c r="AZ184" i="2"/>
  <c r="AZ185" i="2"/>
  <c r="AZ186" i="2"/>
  <c r="AZ187" i="2"/>
  <c r="AZ188" i="2"/>
  <c r="AZ189" i="2"/>
  <c r="AZ190" i="2"/>
  <c r="AZ191" i="2"/>
  <c r="AZ192" i="2"/>
  <c r="AZ193" i="2"/>
  <c r="AZ194" i="2"/>
  <c r="AZ195" i="2"/>
  <c r="AZ196" i="2"/>
  <c r="AZ197" i="2"/>
  <c r="AZ198" i="2"/>
  <c r="AZ199" i="2"/>
  <c r="AZ200" i="2"/>
  <c r="AZ201" i="2"/>
  <c r="AZ202" i="2"/>
  <c r="AZ203" i="2"/>
  <c r="AZ204" i="2"/>
  <c r="AZ205" i="2"/>
  <c r="AZ206" i="2"/>
  <c r="AZ207" i="2"/>
  <c r="AZ208" i="2"/>
  <c r="AZ209" i="2"/>
  <c r="AZ210" i="2"/>
  <c r="AZ211" i="2"/>
  <c r="AZ212" i="2"/>
  <c r="AZ213" i="2"/>
  <c r="AZ214" i="2"/>
  <c r="AZ215" i="2"/>
  <c r="AZ216" i="2"/>
  <c r="AZ217" i="2"/>
  <c r="AZ218" i="2"/>
  <c r="AZ219" i="2"/>
  <c r="AZ220" i="2"/>
  <c r="AZ221" i="2"/>
  <c r="AZ222" i="2"/>
  <c r="AZ223" i="2"/>
  <c r="AZ224" i="2"/>
  <c r="AZ225" i="2"/>
  <c r="AZ226" i="2"/>
  <c r="AZ227" i="2"/>
  <c r="AZ228" i="2"/>
  <c r="AZ229" i="2"/>
  <c r="AZ230" i="2"/>
  <c r="AZ231" i="2"/>
  <c r="AZ232" i="2"/>
  <c r="AZ233" i="2"/>
  <c r="AZ234" i="2"/>
  <c r="AZ235" i="2"/>
  <c r="AZ236" i="2"/>
  <c r="AZ237" i="2"/>
  <c r="AZ238" i="2"/>
  <c r="AZ239" i="2"/>
  <c r="AZ240" i="2"/>
  <c r="AZ241" i="2"/>
  <c r="AZ242" i="2"/>
  <c r="AZ243" i="2"/>
  <c r="AZ244" i="2"/>
  <c r="AZ245" i="2"/>
  <c r="AZ246" i="2"/>
  <c r="AZ247" i="2"/>
  <c r="AZ248" i="2"/>
  <c r="AZ249" i="2"/>
  <c r="AZ250" i="2"/>
  <c r="AZ251" i="2"/>
  <c r="AZ252" i="2"/>
  <c r="AZ253" i="2"/>
  <c r="AZ254" i="2"/>
  <c r="AZ255" i="2"/>
  <c r="AZ256" i="2"/>
  <c r="AZ257" i="2"/>
  <c r="AZ258" i="2"/>
  <c r="AZ259" i="2"/>
  <c r="AZ260" i="2"/>
  <c r="AZ261" i="2"/>
  <c r="AZ262" i="2"/>
  <c r="AZ263" i="2"/>
  <c r="AZ264" i="2"/>
  <c r="AZ265" i="2"/>
  <c r="AZ266" i="2"/>
  <c r="AZ267" i="2"/>
  <c r="AZ268" i="2"/>
  <c r="AZ269" i="2"/>
  <c r="AZ270" i="2"/>
  <c r="AZ271" i="2"/>
  <c r="AZ272" i="2"/>
  <c r="AZ273" i="2"/>
  <c r="AZ274" i="2"/>
  <c r="AZ275" i="2"/>
  <c r="AZ276" i="2"/>
  <c r="AZ277" i="2"/>
  <c r="AZ278" i="2"/>
  <c r="AZ279" i="2"/>
  <c r="AZ280" i="2"/>
  <c r="AZ281" i="2"/>
  <c r="AZ282" i="2"/>
  <c r="AZ283" i="2"/>
  <c r="AZ284" i="2"/>
  <c r="AZ285" i="2"/>
  <c r="AZ286" i="2"/>
  <c r="AZ287" i="2"/>
  <c r="AZ288" i="2"/>
  <c r="AZ289" i="2"/>
  <c r="AZ290" i="2"/>
  <c r="AZ291" i="2"/>
  <c r="AZ292" i="2"/>
  <c r="AZ293" i="2"/>
  <c r="AZ294" i="2"/>
  <c r="AZ295" i="2"/>
  <c r="AZ296" i="2"/>
  <c r="AZ297" i="2"/>
  <c r="AZ298" i="2"/>
  <c r="AZ299" i="2"/>
  <c r="AZ300" i="2"/>
  <c r="AZ301" i="2"/>
  <c r="AZ302" i="2"/>
  <c r="AZ303" i="2"/>
  <c r="AZ304" i="2"/>
  <c r="AZ305" i="2"/>
  <c r="AZ306" i="2"/>
  <c r="AZ307" i="2"/>
  <c r="AZ308" i="2"/>
  <c r="AZ309" i="2"/>
  <c r="AZ310" i="2"/>
  <c r="AZ311" i="2"/>
  <c r="AZ312" i="2"/>
  <c r="AZ313" i="2"/>
  <c r="AZ314" i="2"/>
  <c r="AZ315" i="2"/>
  <c r="AZ316" i="2"/>
  <c r="AZ317" i="2"/>
  <c r="AZ318" i="2"/>
  <c r="AZ319" i="2"/>
  <c r="AZ320" i="2"/>
  <c r="AZ321" i="2"/>
  <c r="AZ322" i="2"/>
  <c r="AZ323" i="2"/>
  <c r="AZ324" i="2"/>
  <c r="AZ325" i="2"/>
  <c r="AZ326" i="2"/>
  <c r="AZ327" i="2"/>
  <c r="AZ328" i="2"/>
  <c r="AZ329" i="2"/>
  <c r="AZ330" i="2"/>
  <c r="AZ331" i="2"/>
  <c r="AZ332" i="2"/>
  <c r="AZ333" i="2"/>
  <c r="AZ334" i="2"/>
  <c r="AZ335" i="2"/>
  <c r="AZ336" i="2"/>
  <c r="AZ337" i="2"/>
  <c r="AZ338" i="2"/>
  <c r="AZ339" i="2"/>
  <c r="AZ340" i="2"/>
  <c r="AZ341" i="2"/>
  <c r="AZ342" i="2"/>
  <c r="AZ343" i="2"/>
  <c r="AZ344" i="2"/>
  <c r="AZ345" i="2"/>
  <c r="AZ346" i="2"/>
  <c r="AZ347" i="2"/>
  <c r="AZ348" i="2"/>
  <c r="AZ349" i="2"/>
  <c r="AZ350" i="2"/>
  <c r="AZ351" i="2"/>
  <c r="AZ352" i="2"/>
  <c r="AZ353" i="2"/>
  <c r="AZ354" i="2"/>
  <c r="AZ355" i="2"/>
  <c r="AZ356" i="2"/>
  <c r="AZ357" i="2"/>
  <c r="AZ358" i="2"/>
  <c r="AZ359" i="2"/>
  <c r="AZ360" i="2"/>
  <c r="AZ361" i="2"/>
  <c r="AZ362" i="2"/>
  <c r="AZ363" i="2"/>
  <c r="AZ364" i="2"/>
  <c r="AZ365" i="2"/>
  <c r="AZ366" i="2"/>
  <c r="AZ367" i="2"/>
  <c r="AZ368" i="2"/>
  <c r="AZ369" i="2"/>
  <c r="AZ370" i="2"/>
  <c r="AZ371" i="2"/>
  <c r="AZ372" i="2"/>
  <c r="AZ373" i="2"/>
  <c r="AZ374" i="2"/>
  <c r="AZ375" i="2"/>
  <c r="AZ376" i="2"/>
  <c r="AZ377" i="2"/>
  <c r="AZ378" i="2"/>
  <c r="AZ379" i="2"/>
  <c r="AZ380" i="2"/>
  <c r="AZ381" i="2"/>
  <c r="AZ382" i="2"/>
  <c r="AZ383" i="2"/>
  <c r="AZ384" i="2"/>
  <c r="AZ385" i="2"/>
  <c r="AZ386" i="2"/>
  <c r="AZ387" i="2"/>
  <c r="AZ388" i="2"/>
  <c r="AZ389" i="2"/>
  <c r="AZ390" i="2"/>
  <c r="AZ391" i="2"/>
  <c r="AZ392" i="2"/>
  <c r="AZ393" i="2"/>
  <c r="AZ394" i="2"/>
  <c r="AZ395" i="2"/>
  <c r="AZ396" i="2"/>
  <c r="AZ397" i="2"/>
  <c r="AZ398" i="2"/>
  <c r="AZ399" i="2"/>
  <c r="AZ400" i="2"/>
  <c r="AZ401" i="2"/>
  <c r="AZ402" i="2"/>
  <c r="AZ403" i="2"/>
  <c r="AZ404" i="2"/>
  <c r="AZ405" i="2"/>
  <c r="AZ406" i="2"/>
  <c r="AZ407" i="2"/>
  <c r="AZ408" i="2"/>
  <c r="AZ409" i="2"/>
  <c r="AZ410" i="2"/>
  <c r="AZ411" i="2"/>
  <c r="AZ412" i="2"/>
  <c r="AZ413" i="2"/>
  <c r="AZ414" i="2"/>
  <c r="AZ415" i="2"/>
  <c r="AZ416" i="2"/>
  <c r="AZ417" i="2"/>
  <c r="AZ418" i="2"/>
  <c r="AZ419" i="2"/>
  <c r="AZ420" i="2"/>
  <c r="AZ421" i="2"/>
  <c r="AZ422" i="2"/>
  <c r="AZ423" i="2"/>
  <c r="AZ424" i="2"/>
  <c r="AZ425" i="2"/>
  <c r="AZ426" i="2"/>
  <c r="AZ427" i="2"/>
  <c r="AZ428" i="2"/>
  <c r="AZ429" i="2"/>
  <c r="AZ430" i="2"/>
  <c r="AZ431" i="2"/>
  <c r="AZ432" i="2"/>
  <c r="AZ433" i="2"/>
  <c r="AZ434" i="2"/>
  <c r="AZ435" i="2"/>
  <c r="AZ436" i="2"/>
  <c r="AZ437" i="2"/>
  <c r="AZ438" i="2"/>
  <c r="AZ439" i="2"/>
  <c r="AZ440" i="2"/>
  <c r="AZ441" i="2"/>
  <c r="AZ442" i="2"/>
  <c r="AZ443" i="2"/>
  <c r="AZ444" i="2"/>
  <c r="AZ445" i="2"/>
  <c r="AZ446" i="2"/>
  <c r="AZ447" i="2"/>
  <c r="AZ448" i="2"/>
  <c r="AZ449" i="2"/>
  <c r="AZ450" i="2"/>
  <c r="AZ451" i="2"/>
  <c r="AZ452" i="2"/>
  <c r="AZ453" i="2"/>
  <c r="AZ454" i="2"/>
  <c r="AZ455" i="2"/>
  <c r="AZ456" i="2"/>
  <c r="AZ457" i="2"/>
  <c r="AZ458" i="2"/>
  <c r="AZ459" i="2"/>
  <c r="AZ460" i="2"/>
  <c r="AZ461" i="2"/>
  <c r="AZ462" i="2"/>
  <c r="AZ463" i="2"/>
  <c r="AZ464" i="2"/>
  <c r="AZ465" i="2"/>
  <c r="AZ466" i="2"/>
  <c r="AZ467" i="2"/>
  <c r="AZ468" i="2"/>
  <c r="AZ469" i="2"/>
  <c r="AZ470" i="2"/>
  <c r="AZ471" i="2"/>
  <c r="AZ472" i="2"/>
  <c r="AZ473" i="2"/>
  <c r="AZ474" i="2"/>
  <c r="AZ475" i="2"/>
  <c r="AZ476" i="2"/>
  <c r="AZ477" i="2"/>
  <c r="AZ478" i="2"/>
  <c r="AZ479" i="2"/>
  <c r="AZ480" i="2"/>
  <c r="AZ481" i="2"/>
  <c r="AZ482" i="2"/>
  <c r="AZ483" i="2"/>
  <c r="AZ484" i="2"/>
  <c r="AZ485" i="2"/>
  <c r="AZ486" i="2"/>
  <c r="AZ487" i="2"/>
  <c r="AZ488" i="2"/>
  <c r="AZ489" i="2"/>
  <c r="AZ490" i="2"/>
  <c r="AZ491" i="2"/>
  <c r="AZ492" i="2"/>
  <c r="AZ493" i="2"/>
  <c r="AZ494" i="2"/>
  <c r="AZ495" i="2"/>
  <c r="AZ496" i="2"/>
  <c r="AZ497" i="2"/>
  <c r="AZ498" i="2"/>
  <c r="AZ499" i="2"/>
  <c r="AZ500" i="2"/>
  <c r="AZ501" i="2"/>
  <c r="AZ502" i="2"/>
  <c r="AZ503" i="2"/>
  <c r="AZ504" i="2"/>
  <c r="AZ505" i="2"/>
  <c r="AZ506" i="2"/>
  <c r="AZ507" i="2"/>
  <c r="AZ508" i="2"/>
  <c r="AZ509" i="2"/>
  <c r="AZ510" i="2"/>
  <c r="AZ511" i="2"/>
  <c r="AZ512" i="2"/>
  <c r="AZ513" i="2"/>
  <c r="AZ514" i="2"/>
  <c r="AZ515" i="2"/>
  <c r="AZ516" i="2"/>
  <c r="AZ517" i="2"/>
  <c r="AZ518" i="2"/>
  <c r="AZ519" i="2"/>
  <c r="AZ520" i="2"/>
  <c r="AZ521" i="2"/>
  <c r="AZ522" i="2"/>
  <c r="AZ523" i="2"/>
  <c r="AZ524" i="2"/>
  <c r="AZ525" i="2"/>
  <c r="AZ526" i="2"/>
  <c r="AZ527" i="2"/>
  <c r="AZ28" i="2"/>
  <c r="BB527" i="2"/>
  <c r="BA527" i="2"/>
  <c r="AX527" i="2"/>
  <c r="AW527" i="2"/>
  <c r="AV527" i="2"/>
  <c r="AU527" i="2"/>
  <c r="AT527" i="2"/>
  <c r="AS527" i="2"/>
  <c r="AR527" i="2"/>
  <c r="AD527" i="2"/>
  <c r="Q527" i="2"/>
  <c r="R527" i="2" s="1"/>
  <c r="BB526" i="2"/>
  <c r="BA526" i="2"/>
  <c r="AX526" i="2"/>
  <c r="AW526" i="2"/>
  <c r="AV526" i="2"/>
  <c r="AU526" i="2"/>
  <c r="AT526" i="2"/>
  <c r="AS526" i="2"/>
  <c r="AR526" i="2"/>
  <c r="AD526" i="2"/>
  <c r="Q526" i="2"/>
  <c r="R526" i="2" s="1"/>
  <c r="BB525" i="2"/>
  <c r="BA525" i="2"/>
  <c r="AX525" i="2"/>
  <c r="AW525" i="2"/>
  <c r="AV525" i="2"/>
  <c r="AU525" i="2"/>
  <c r="AT525" i="2"/>
  <c r="AS525" i="2"/>
  <c r="AR525" i="2"/>
  <c r="AD525" i="2"/>
  <c r="Q525" i="2"/>
  <c r="R525" i="2" s="1"/>
  <c r="BB524" i="2"/>
  <c r="BA524" i="2"/>
  <c r="AX524" i="2"/>
  <c r="AW524" i="2"/>
  <c r="AV524" i="2"/>
  <c r="AU524" i="2"/>
  <c r="AT524" i="2"/>
  <c r="AS524" i="2"/>
  <c r="AR524" i="2"/>
  <c r="Q524" i="2"/>
  <c r="R524" i="2" s="1"/>
  <c r="BB523" i="2"/>
  <c r="BA523" i="2"/>
  <c r="AX523" i="2"/>
  <c r="AW523" i="2"/>
  <c r="AV523" i="2"/>
  <c r="AU523" i="2"/>
  <c r="AT523" i="2"/>
  <c r="AS523" i="2"/>
  <c r="AR523" i="2"/>
  <c r="AD523" i="2"/>
  <c r="Q523" i="2"/>
  <c r="R523" i="2" s="1"/>
  <c r="BB522" i="2"/>
  <c r="BA522" i="2"/>
  <c r="AX522" i="2"/>
  <c r="AW522" i="2"/>
  <c r="AV522" i="2"/>
  <c r="AU522" i="2"/>
  <c r="AT522" i="2"/>
  <c r="AS522" i="2"/>
  <c r="AR522" i="2"/>
  <c r="AD522" i="2"/>
  <c r="Q522" i="2"/>
  <c r="R522" i="2" s="1"/>
  <c r="BB521" i="2"/>
  <c r="BA521" i="2"/>
  <c r="AX521" i="2"/>
  <c r="AW521" i="2"/>
  <c r="AV521" i="2"/>
  <c r="AU521" i="2"/>
  <c r="AT521" i="2"/>
  <c r="AS521" i="2"/>
  <c r="AR521" i="2"/>
  <c r="AD521" i="2"/>
  <c r="Q521" i="2"/>
  <c r="R521" i="2" s="1"/>
  <c r="BB520" i="2"/>
  <c r="BA520" i="2"/>
  <c r="AX520" i="2"/>
  <c r="AW520" i="2"/>
  <c r="AV520" i="2"/>
  <c r="AU520" i="2"/>
  <c r="AT520" i="2"/>
  <c r="AS520" i="2"/>
  <c r="AR520" i="2"/>
  <c r="AD520" i="2"/>
  <c r="Q520" i="2"/>
  <c r="R520" i="2" s="1"/>
  <c r="BB519" i="2"/>
  <c r="BA519" i="2"/>
  <c r="AX519" i="2"/>
  <c r="AW519" i="2"/>
  <c r="AV519" i="2"/>
  <c r="AU519" i="2"/>
  <c r="AT519" i="2"/>
  <c r="AS519" i="2"/>
  <c r="AR519" i="2"/>
  <c r="AD519" i="2"/>
  <c r="Q519" i="2"/>
  <c r="R519" i="2" s="1"/>
  <c r="BB518" i="2"/>
  <c r="BA518" i="2"/>
  <c r="AX518" i="2"/>
  <c r="AW518" i="2"/>
  <c r="AV518" i="2"/>
  <c r="AU518" i="2"/>
  <c r="AT518" i="2"/>
  <c r="AS518" i="2"/>
  <c r="AR518" i="2"/>
  <c r="AD518" i="2"/>
  <c r="Q518" i="2"/>
  <c r="R518" i="2" s="1"/>
  <c r="BB517" i="2"/>
  <c r="BA517" i="2"/>
  <c r="AX517" i="2"/>
  <c r="AW517" i="2"/>
  <c r="AV517" i="2"/>
  <c r="AU517" i="2"/>
  <c r="AT517" i="2"/>
  <c r="AS517" i="2"/>
  <c r="AR517" i="2"/>
  <c r="AD517" i="2"/>
  <c r="Q517" i="2"/>
  <c r="R517" i="2" s="1"/>
  <c r="BB516" i="2"/>
  <c r="BA516" i="2"/>
  <c r="AX516" i="2"/>
  <c r="AW516" i="2"/>
  <c r="AV516" i="2"/>
  <c r="AU516" i="2"/>
  <c r="AT516" i="2"/>
  <c r="AS516" i="2"/>
  <c r="AR516" i="2"/>
  <c r="AD516" i="2"/>
  <c r="Q516" i="2"/>
  <c r="R516" i="2" s="1"/>
  <c r="BB515" i="2"/>
  <c r="BA515" i="2"/>
  <c r="AX515" i="2"/>
  <c r="AW515" i="2"/>
  <c r="AV515" i="2"/>
  <c r="AU515" i="2"/>
  <c r="AT515" i="2"/>
  <c r="AS515" i="2"/>
  <c r="AR515" i="2"/>
  <c r="AD515" i="2"/>
  <c r="Q515" i="2"/>
  <c r="R515" i="2" s="1"/>
  <c r="BB514" i="2"/>
  <c r="BA514" i="2"/>
  <c r="AX514" i="2"/>
  <c r="AW514" i="2"/>
  <c r="AV514" i="2"/>
  <c r="AU514" i="2"/>
  <c r="AT514" i="2"/>
  <c r="AS514" i="2"/>
  <c r="AR514" i="2"/>
  <c r="AD514" i="2"/>
  <c r="Q514" i="2"/>
  <c r="R514" i="2" s="1"/>
  <c r="BB513" i="2"/>
  <c r="BA513" i="2"/>
  <c r="AX513" i="2"/>
  <c r="AW513" i="2"/>
  <c r="AV513" i="2"/>
  <c r="AU513" i="2"/>
  <c r="AT513" i="2"/>
  <c r="AS513" i="2"/>
  <c r="AR513" i="2"/>
  <c r="AD513" i="2"/>
  <c r="Q513" i="2"/>
  <c r="R513" i="2" s="1"/>
  <c r="BB512" i="2"/>
  <c r="BA512" i="2"/>
  <c r="AX512" i="2"/>
  <c r="AW512" i="2"/>
  <c r="AV512" i="2"/>
  <c r="AU512" i="2"/>
  <c r="AT512" i="2"/>
  <c r="AS512" i="2"/>
  <c r="AR512" i="2"/>
  <c r="AD512" i="2"/>
  <c r="Q512" i="2"/>
  <c r="R512" i="2" s="1"/>
  <c r="BB511" i="2"/>
  <c r="BA511" i="2"/>
  <c r="AX511" i="2"/>
  <c r="AW511" i="2"/>
  <c r="AV511" i="2"/>
  <c r="AU511" i="2"/>
  <c r="AT511" i="2"/>
  <c r="AS511" i="2"/>
  <c r="AR511" i="2"/>
  <c r="AD511" i="2"/>
  <c r="Q511" i="2"/>
  <c r="R511" i="2" s="1"/>
  <c r="BB510" i="2"/>
  <c r="BA510" i="2"/>
  <c r="AX510" i="2"/>
  <c r="AW510" i="2"/>
  <c r="AV510" i="2"/>
  <c r="AU510" i="2"/>
  <c r="AT510" i="2"/>
  <c r="AS510" i="2"/>
  <c r="AR510" i="2"/>
  <c r="AD510" i="2"/>
  <c r="Q510" i="2"/>
  <c r="R510" i="2" s="1"/>
  <c r="BB509" i="2"/>
  <c r="BA509" i="2"/>
  <c r="AX509" i="2"/>
  <c r="AW509" i="2"/>
  <c r="AV509" i="2"/>
  <c r="AU509" i="2"/>
  <c r="AT509" i="2"/>
  <c r="AS509" i="2"/>
  <c r="AR509" i="2"/>
  <c r="AD509" i="2"/>
  <c r="Q509" i="2"/>
  <c r="R509" i="2" s="1"/>
  <c r="BB508" i="2"/>
  <c r="BA508" i="2"/>
  <c r="AX508" i="2"/>
  <c r="AW508" i="2"/>
  <c r="AV508" i="2"/>
  <c r="AU508" i="2"/>
  <c r="AT508" i="2"/>
  <c r="AS508" i="2"/>
  <c r="AR508" i="2"/>
  <c r="AD508" i="2"/>
  <c r="Q508" i="2"/>
  <c r="R508" i="2" s="1"/>
  <c r="BB507" i="2"/>
  <c r="BA507" i="2"/>
  <c r="AX507" i="2"/>
  <c r="AW507" i="2"/>
  <c r="AV507" i="2"/>
  <c r="AU507" i="2"/>
  <c r="AT507" i="2"/>
  <c r="AS507" i="2"/>
  <c r="AR507" i="2"/>
  <c r="AD507" i="2"/>
  <c r="Q507" i="2"/>
  <c r="R507" i="2" s="1"/>
  <c r="BB506" i="2"/>
  <c r="BA506" i="2"/>
  <c r="AX506" i="2"/>
  <c r="AW506" i="2"/>
  <c r="AV506" i="2"/>
  <c r="AU506" i="2"/>
  <c r="AT506" i="2"/>
  <c r="AS506" i="2"/>
  <c r="AR506" i="2"/>
  <c r="AD506" i="2"/>
  <c r="Q506" i="2"/>
  <c r="R506" i="2" s="1"/>
  <c r="BB505" i="2"/>
  <c r="BA505" i="2"/>
  <c r="AX505" i="2"/>
  <c r="AW505" i="2"/>
  <c r="AV505" i="2"/>
  <c r="AU505" i="2"/>
  <c r="AT505" i="2"/>
  <c r="AS505" i="2"/>
  <c r="AR505" i="2"/>
  <c r="AD505" i="2"/>
  <c r="Q505" i="2"/>
  <c r="R505" i="2" s="1"/>
  <c r="BB504" i="2"/>
  <c r="BA504" i="2"/>
  <c r="AX504" i="2"/>
  <c r="AW504" i="2"/>
  <c r="AV504" i="2"/>
  <c r="AU504" i="2"/>
  <c r="AT504" i="2"/>
  <c r="AS504" i="2"/>
  <c r="AR504" i="2"/>
  <c r="AD504" i="2"/>
  <c r="Q504" i="2"/>
  <c r="R504" i="2" s="1"/>
  <c r="BB503" i="2"/>
  <c r="BA503" i="2"/>
  <c r="AX503" i="2"/>
  <c r="AW503" i="2"/>
  <c r="AV503" i="2"/>
  <c r="AU503" i="2"/>
  <c r="AT503" i="2"/>
  <c r="AS503" i="2"/>
  <c r="AR503" i="2"/>
  <c r="AD503" i="2"/>
  <c r="Q503" i="2"/>
  <c r="R503" i="2" s="1"/>
  <c r="BB502" i="2"/>
  <c r="BA502" i="2"/>
  <c r="AX502" i="2"/>
  <c r="AW502" i="2"/>
  <c r="AV502" i="2"/>
  <c r="AU502" i="2"/>
  <c r="AT502" i="2"/>
  <c r="AS502" i="2"/>
  <c r="AR502" i="2"/>
  <c r="AD502" i="2"/>
  <c r="Q502" i="2"/>
  <c r="R502" i="2" s="1"/>
  <c r="BB501" i="2"/>
  <c r="BA501" i="2"/>
  <c r="AX501" i="2"/>
  <c r="AW501" i="2"/>
  <c r="AV501" i="2"/>
  <c r="AU501" i="2"/>
  <c r="AT501" i="2"/>
  <c r="AS501" i="2"/>
  <c r="AR501" i="2"/>
  <c r="AD501" i="2"/>
  <c r="Q501" i="2"/>
  <c r="R501" i="2" s="1"/>
  <c r="BB500" i="2"/>
  <c r="BA500" i="2"/>
  <c r="AX500" i="2"/>
  <c r="AW500" i="2"/>
  <c r="AV500" i="2"/>
  <c r="AU500" i="2"/>
  <c r="AT500" i="2"/>
  <c r="AS500" i="2"/>
  <c r="AR500" i="2"/>
  <c r="AD500" i="2"/>
  <c r="Q500" i="2"/>
  <c r="R500" i="2" s="1"/>
  <c r="BB499" i="2"/>
  <c r="BA499" i="2"/>
  <c r="AX499" i="2"/>
  <c r="AW499" i="2"/>
  <c r="AV499" i="2"/>
  <c r="AU499" i="2"/>
  <c r="AT499" i="2"/>
  <c r="AS499" i="2"/>
  <c r="AR499" i="2"/>
  <c r="AD499" i="2"/>
  <c r="Q499" i="2"/>
  <c r="R499" i="2" s="1"/>
  <c r="BB498" i="2"/>
  <c r="BA498" i="2"/>
  <c r="AX498" i="2"/>
  <c r="AW498" i="2"/>
  <c r="AV498" i="2"/>
  <c r="AU498" i="2"/>
  <c r="AT498" i="2"/>
  <c r="AS498" i="2"/>
  <c r="AR498" i="2"/>
  <c r="AD498" i="2"/>
  <c r="Q498" i="2"/>
  <c r="R498" i="2" s="1"/>
  <c r="BB497" i="2"/>
  <c r="BA497" i="2"/>
  <c r="AX497" i="2"/>
  <c r="AW497" i="2"/>
  <c r="AV497" i="2"/>
  <c r="AU497" i="2"/>
  <c r="AT497" i="2"/>
  <c r="AS497" i="2"/>
  <c r="AR497" i="2"/>
  <c r="AD497" i="2"/>
  <c r="Q497" i="2"/>
  <c r="R497" i="2" s="1"/>
  <c r="BB496" i="2"/>
  <c r="BA496" i="2"/>
  <c r="AX496" i="2"/>
  <c r="AW496" i="2"/>
  <c r="AV496" i="2"/>
  <c r="AU496" i="2"/>
  <c r="AT496" i="2"/>
  <c r="AS496" i="2"/>
  <c r="AR496" i="2"/>
  <c r="AD496" i="2"/>
  <c r="Q496" i="2"/>
  <c r="R496" i="2" s="1"/>
  <c r="BB495" i="2"/>
  <c r="BA495" i="2"/>
  <c r="AX495" i="2"/>
  <c r="AW495" i="2"/>
  <c r="AV495" i="2"/>
  <c r="AU495" i="2"/>
  <c r="AT495" i="2"/>
  <c r="AS495" i="2"/>
  <c r="AR495" i="2"/>
  <c r="AD495" i="2"/>
  <c r="Q495" i="2"/>
  <c r="R495" i="2" s="1"/>
  <c r="BB494" i="2"/>
  <c r="BA494" i="2"/>
  <c r="AX494" i="2"/>
  <c r="AW494" i="2"/>
  <c r="AV494" i="2"/>
  <c r="AU494" i="2"/>
  <c r="AT494" i="2"/>
  <c r="AS494" i="2"/>
  <c r="AR494" i="2"/>
  <c r="AD494" i="2"/>
  <c r="Q494" i="2"/>
  <c r="R494" i="2" s="1"/>
  <c r="BB493" i="2"/>
  <c r="BA493" i="2"/>
  <c r="AX493" i="2"/>
  <c r="AW493" i="2"/>
  <c r="AV493" i="2"/>
  <c r="AU493" i="2"/>
  <c r="AT493" i="2"/>
  <c r="AS493" i="2"/>
  <c r="AR493" i="2"/>
  <c r="AD493" i="2"/>
  <c r="Q493" i="2"/>
  <c r="R493" i="2" s="1"/>
  <c r="BB492" i="2"/>
  <c r="BA492" i="2"/>
  <c r="AX492" i="2"/>
  <c r="AW492" i="2"/>
  <c r="AV492" i="2"/>
  <c r="AU492" i="2"/>
  <c r="AT492" i="2"/>
  <c r="AS492" i="2"/>
  <c r="AR492" i="2"/>
  <c r="AD492" i="2"/>
  <c r="Q492" i="2"/>
  <c r="R492" i="2" s="1"/>
  <c r="BB491" i="2"/>
  <c r="BA491" i="2"/>
  <c r="AX491" i="2"/>
  <c r="AW491" i="2"/>
  <c r="AV491" i="2"/>
  <c r="AU491" i="2"/>
  <c r="AT491" i="2"/>
  <c r="AS491" i="2"/>
  <c r="AR491" i="2"/>
  <c r="AD491" i="2"/>
  <c r="Q491" i="2"/>
  <c r="R491" i="2" s="1"/>
  <c r="BB490" i="2"/>
  <c r="BA490" i="2"/>
  <c r="AX490" i="2"/>
  <c r="AW490" i="2"/>
  <c r="AV490" i="2"/>
  <c r="AU490" i="2"/>
  <c r="AT490" i="2"/>
  <c r="AS490" i="2"/>
  <c r="AR490" i="2"/>
  <c r="AD490" i="2"/>
  <c r="Q490" i="2"/>
  <c r="R490" i="2" s="1"/>
  <c r="BB489" i="2"/>
  <c r="BA489" i="2"/>
  <c r="AX489" i="2"/>
  <c r="AW489" i="2"/>
  <c r="AV489" i="2"/>
  <c r="AU489" i="2"/>
  <c r="AT489" i="2"/>
  <c r="AS489" i="2"/>
  <c r="AR489" i="2"/>
  <c r="AD489" i="2"/>
  <c r="Q489" i="2"/>
  <c r="R489" i="2" s="1"/>
  <c r="BB488" i="2"/>
  <c r="BA488" i="2"/>
  <c r="AX488" i="2"/>
  <c r="AW488" i="2"/>
  <c r="AV488" i="2"/>
  <c r="AU488" i="2"/>
  <c r="AT488" i="2"/>
  <c r="AS488" i="2"/>
  <c r="AR488" i="2"/>
  <c r="AD488" i="2"/>
  <c r="Q488" i="2"/>
  <c r="R488" i="2" s="1"/>
  <c r="BB487" i="2"/>
  <c r="BA487" i="2"/>
  <c r="AX487" i="2"/>
  <c r="AW487" i="2"/>
  <c r="AV487" i="2"/>
  <c r="AU487" i="2"/>
  <c r="AT487" i="2"/>
  <c r="AS487" i="2"/>
  <c r="AR487" i="2"/>
  <c r="AD487" i="2"/>
  <c r="Q487" i="2"/>
  <c r="R487" i="2" s="1"/>
  <c r="BB486" i="2"/>
  <c r="BA486" i="2"/>
  <c r="AX486" i="2"/>
  <c r="AW486" i="2"/>
  <c r="AV486" i="2"/>
  <c r="AU486" i="2"/>
  <c r="AT486" i="2"/>
  <c r="AS486" i="2"/>
  <c r="AR486" i="2"/>
  <c r="AD486" i="2"/>
  <c r="Q486" i="2"/>
  <c r="R486" i="2" s="1"/>
  <c r="BB485" i="2"/>
  <c r="BA485" i="2"/>
  <c r="AX485" i="2"/>
  <c r="AW485" i="2"/>
  <c r="AV485" i="2"/>
  <c r="AU485" i="2"/>
  <c r="AT485" i="2"/>
  <c r="AS485" i="2"/>
  <c r="AR485" i="2"/>
  <c r="AD485" i="2"/>
  <c r="Q485" i="2"/>
  <c r="R485" i="2" s="1"/>
  <c r="BB484" i="2"/>
  <c r="BA484" i="2"/>
  <c r="AX484" i="2"/>
  <c r="AW484" i="2"/>
  <c r="AV484" i="2"/>
  <c r="AU484" i="2"/>
  <c r="AT484" i="2"/>
  <c r="AS484" i="2"/>
  <c r="AR484" i="2"/>
  <c r="AD484" i="2"/>
  <c r="Q484" i="2"/>
  <c r="R484" i="2" s="1"/>
  <c r="BB483" i="2"/>
  <c r="BA483" i="2"/>
  <c r="AX483" i="2"/>
  <c r="AW483" i="2"/>
  <c r="AV483" i="2"/>
  <c r="AU483" i="2"/>
  <c r="AT483" i="2"/>
  <c r="AS483" i="2"/>
  <c r="AR483" i="2"/>
  <c r="AD483" i="2"/>
  <c r="Q483" i="2"/>
  <c r="R483" i="2" s="1"/>
  <c r="BB482" i="2"/>
  <c r="BA482" i="2"/>
  <c r="AX482" i="2"/>
  <c r="AW482" i="2"/>
  <c r="AV482" i="2"/>
  <c r="AU482" i="2"/>
  <c r="AT482" i="2"/>
  <c r="AS482" i="2"/>
  <c r="AR482" i="2"/>
  <c r="AD482" i="2"/>
  <c r="Q482" i="2"/>
  <c r="R482" i="2" s="1"/>
  <c r="BB481" i="2"/>
  <c r="BA481" i="2"/>
  <c r="AX481" i="2"/>
  <c r="AW481" i="2"/>
  <c r="AV481" i="2"/>
  <c r="AU481" i="2"/>
  <c r="AT481" i="2"/>
  <c r="AS481" i="2"/>
  <c r="AR481" i="2"/>
  <c r="AD481" i="2"/>
  <c r="Q481" i="2"/>
  <c r="R481" i="2" s="1"/>
  <c r="BB480" i="2"/>
  <c r="BA480" i="2"/>
  <c r="AX480" i="2"/>
  <c r="AW480" i="2"/>
  <c r="AV480" i="2"/>
  <c r="AU480" i="2"/>
  <c r="AT480" i="2"/>
  <c r="AS480" i="2"/>
  <c r="AR480" i="2"/>
  <c r="AD480" i="2"/>
  <c r="Q480" i="2"/>
  <c r="R480" i="2" s="1"/>
  <c r="BB479" i="2"/>
  <c r="BA479" i="2"/>
  <c r="AX479" i="2"/>
  <c r="AW479" i="2"/>
  <c r="AV479" i="2"/>
  <c r="AU479" i="2"/>
  <c r="AT479" i="2"/>
  <c r="AS479" i="2"/>
  <c r="AR479" i="2"/>
  <c r="AD479" i="2"/>
  <c r="Q479" i="2"/>
  <c r="R479" i="2" s="1"/>
  <c r="BB478" i="2"/>
  <c r="BA478" i="2"/>
  <c r="AX478" i="2"/>
  <c r="AW478" i="2"/>
  <c r="AV478" i="2"/>
  <c r="AU478" i="2"/>
  <c r="AT478" i="2"/>
  <c r="AS478" i="2"/>
  <c r="AR478" i="2"/>
  <c r="AD478" i="2"/>
  <c r="Q478" i="2"/>
  <c r="R478" i="2" s="1"/>
  <c r="BB477" i="2"/>
  <c r="BA477" i="2"/>
  <c r="AX477" i="2"/>
  <c r="AW477" i="2"/>
  <c r="AV477" i="2"/>
  <c r="AU477" i="2"/>
  <c r="AT477" i="2"/>
  <c r="AS477" i="2"/>
  <c r="AR477" i="2"/>
  <c r="AD477" i="2"/>
  <c r="Q477" i="2"/>
  <c r="R477" i="2" s="1"/>
  <c r="BB476" i="2"/>
  <c r="BA476" i="2"/>
  <c r="AX476" i="2"/>
  <c r="AW476" i="2"/>
  <c r="AV476" i="2"/>
  <c r="AU476" i="2"/>
  <c r="AT476" i="2"/>
  <c r="AS476" i="2"/>
  <c r="AR476" i="2"/>
  <c r="AD476" i="2"/>
  <c r="Q476" i="2"/>
  <c r="R476" i="2" s="1"/>
  <c r="BB475" i="2"/>
  <c r="BA475" i="2"/>
  <c r="AX475" i="2"/>
  <c r="AW475" i="2"/>
  <c r="AV475" i="2"/>
  <c r="AU475" i="2"/>
  <c r="AT475" i="2"/>
  <c r="AS475" i="2"/>
  <c r="AR475" i="2"/>
  <c r="AD475" i="2"/>
  <c r="Q475" i="2"/>
  <c r="R475" i="2" s="1"/>
  <c r="BB474" i="2"/>
  <c r="BA474" i="2"/>
  <c r="AX474" i="2"/>
  <c r="AW474" i="2"/>
  <c r="AV474" i="2"/>
  <c r="AU474" i="2"/>
  <c r="AT474" i="2"/>
  <c r="AS474" i="2"/>
  <c r="AR474" i="2"/>
  <c r="AD474" i="2"/>
  <c r="Q474" i="2"/>
  <c r="R474" i="2" s="1"/>
  <c r="BB473" i="2"/>
  <c r="BA473" i="2"/>
  <c r="AX473" i="2"/>
  <c r="AW473" i="2"/>
  <c r="AV473" i="2"/>
  <c r="AU473" i="2"/>
  <c r="AT473" i="2"/>
  <c r="AS473" i="2"/>
  <c r="AR473" i="2"/>
  <c r="AD473" i="2"/>
  <c r="Q473" i="2"/>
  <c r="R473" i="2" s="1"/>
  <c r="BB472" i="2"/>
  <c r="BA472" i="2"/>
  <c r="AX472" i="2"/>
  <c r="AW472" i="2"/>
  <c r="AV472" i="2"/>
  <c r="AU472" i="2"/>
  <c r="AT472" i="2"/>
  <c r="AS472" i="2"/>
  <c r="AR472" i="2"/>
  <c r="AD472" i="2"/>
  <c r="Q472" i="2"/>
  <c r="R472" i="2" s="1"/>
  <c r="BB471" i="2"/>
  <c r="BA471" i="2"/>
  <c r="AX471" i="2"/>
  <c r="AW471" i="2"/>
  <c r="AV471" i="2"/>
  <c r="AU471" i="2"/>
  <c r="AT471" i="2"/>
  <c r="AS471" i="2"/>
  <c r="AR471" i="2"/>
  <c r="AD471" i="2"/>
  <c r="Q471" i="2"/>
  <c r="R471" i="2" s="1"/>
  <c r="BB470" i="2"/>
  <c r="BA470" i="2"/>
  <c r="AX470" i="2"/>
  <c r="AW470" i="2"/>
  <c r="AV470" i="2"/>
  <c r="AU470" i="2"/>
  <c r="AT470" i="2"/>
  <c r="AS470" i="2"/>
  <c r="AR470" i="2"/>
  <c r="AD470" i="2"/>
  <c r="Q470" i="2"/>
  <c r="R470" i="2" s="1"/>
  <c r="BB469" i="2"/>
  <c r="BA469" i="2"/>
  <c r="AX469" i="2"/>
  <c r="AW469" i="2"/>
  <c r="AV469" i="2"/>
  <c r="AU469" i="2"/>
  <c r="AT469" i="2"/>
  <c r="AS469" i="2"/>
  <c r="AR469" i="2"/>
  <c r="AD469" i="2"/>
  <c r="Q469" i="2"/>
  <c r="R469" i="2" s="1"/>
  <c r="BB468" i="2"/>
  <c r="BA468" i="2"/>
  <c r="AX468" i="2"/>
  <c r="AW468" i="2"/>
  <c r="AV468" i="2"/>
  <c r="AU468" i="2"/>
  <c r="AT468" i="2"/>
  <c r="AS468" i="2"/>
  <c r="AR468" i="2"/>
  <c r="AD468" i="2"/>
  <c r="Q468" i="2"/>
  <c r="R468" i="2" s="1"/>
  <c r="BB467" i="2"/>
  <c r="BA467" i="2"/>
  <c r="AX467" i="2"/>
  <c r="AW467" i="2"/>
  <c r="AV467" i="2"/>
  <c r="AU467" i="2"/>
  <c r="AT467" i="2"/>
  <c r="AS467" i="2"/>
  <c r="AR467" i="2"/>
  <c r="AD467" i="2"/>
  <c r="Q467" i="2"/>
  <c r="R467" i="2" s="1"/>
  <c r="BB466" i="2"/>
  <c r="BA466" i="2"/>
  <c r="AX466" i="2"/>
  <c r="AW466" i="2"/>
  <c r="AV466" i="2"/>
  <c r="AU466" i="2"/>
  <c r="AT466" i="2"/>
  <c r="AS466" i="2"/>
  <c r="AR466" i="2"/>
  <c r="AD466" i="2"/>
  <c r="Q466" i="2"/>
  <c r="R466" i="2" s="1"/>
  <c r="BB465" i="2"/>
  <c r="BA465" i="2"/>
  <c r="AX465" i="2"/>
  <c r="AW465" i="2"/>
  <c r="AV465" i="2"/>
  <c r="AU465" i="2"/>
  <c r="AT465" i="2"/>
  <c r="AS465" i="2"/>
  <c r="AR465" i="2"/>
  <c r="AD465" i="2"/>
  <c r="Q465" i="2"/>
  <c r="R465" i="2" s="1"/>
  <c r="BB464" i="2"/>
  <c r="BA464" i="2"/>
  <c r="AX464" i="2"/>
  <c r="AW464" i="2"/>
  <c r="AV464" i="2"/>
  <c r="AU464" i="2"/>
  <c r="AT464" i="2"/>
  <c r="AS464" i="2"/>
  <c r="AR464" i="2"/>
  <c r="AD464" i="2"/>
  <c r="Q464" i="2"/>
  <c r="R464" i="2" s="1"/>
  <c r="BB463" i="2"/>
  <c r="BA463" i="2"/>
  <c r="AX463" i="2"/>
  <c r="AW463" i="2"/>
  <c r="AV463" i="2"/>
  <c r="AU463" i="2"/>
  <c r="AT463" i="2"/>
  <c r="AS463" i="2"/>
  <c r="AR463" i="2"/>
  <c r="AD463" i="2"/>
  <c r="Q463" i="2"/>
  <c r="R463" i="2" s="1"/>
  <c r="BB462" i="2"/>
  <c r="BA462" i="2"/>
  <c r="AX462" i="2"/>
  <c r="AW462" i="2"/>
  <c r="AV462" i="2"/>
  <c r="AU462" i="2"/>
  <c r="AT462" i="2"/>
  <c r="AS462" i="2"/>
  <c r="AR462" i="2"/>
  <c r="AD462" i="2"/>
  <c r="Q462" i="2"/>
  <c r="R462" i="2" s="1"/>
  <c r="BB461" i="2"/>
  <c r="BA461" i="2"/>
  <c r="AX461" i="2"/>
  <c r="AW461" i="2"/>
  <c r="AV461" i="2"/>
  <c r="AU461" i="2"/>
  <c r="AT461" i="2"/>
  <c r="AS461" i="2"/>
  <c r="AR461" i="2"/>
  <c r="AD461" i="2"/>
  <c r="Q461" i="2"/>
  <c r="R461" i="2" s="1"/>
  <c r="BB460" i="2"/>
  <c r="BA460" i="2"/>
  <c r="AX460" i="2"/>
  <c r="AW460" i="2"/>
  <c r="AV460" i="2"/>
  <c r="AU460" i="2"/>
  <c r="AT460" i="2"/>
  <c r="AS460" i="2"/>
  <c r="AR460" i="2"/>
  <c r="AD460" i="2"/>
  <c r="Q460" i="2"/>
  <c r="R460" i="2" s="1"/>
  <c r="BB459" i="2"/>
  <c r="BA459" i="2"/>
  <c r="AX459" i="2"/>
  <c r="AW459" i="2"/>
  <c r="AV459" i="2"/>
  <c r="AU459" i="2"/>
  <c r="AT459" i="2"/>
  <c r="AS459" i="2"/>
  <c r="AR459" i="2"/>
  <c r="AD459" i="2"/>
  <c r="Q459" i="2"/>
  <c r="R459" i="2" s="1"/>
  <c r="BB458" i="2"/>
  <c r="BA458" i="2"/>
  <c r="AX458" i="2"/>
  <c r="AW458" i="2"/>
  <c r="AV458" i="2"/>
  <c r="AU458" i="2"/>
  <c r="AT458" i="2"/>
  <c r="AS458" i="2"/>
  <c r="AR458" i="2"/>
  <c r="AD458" i="2"/>
  <c r="Q458" i="2"/>
  <c r="R458" i="2" s="1"/>
  <c r="BB457" i="2"/>
  <c r="BA457" i="2"/>
  <c r="AX457" i="2"/>
  <c r="AW457" i="2"/>
  <c r="AV457" i="2"/>
  <c r="AU457" i="2"/>
  <c r="AT457" i="2"/>
  <c r="AS457" i="2"/>
  <c r="AR457" i="2"/>
  <c r="AD457" i="2"/>
  <c r="Q457" i="2"/>
  <c r="R457" i="2" s="1"/>
  <c r="BB456" i="2"/>
  <c r="BA456" i="2"/>
  <c r="AX456" i="2"/>
  <c r="AW456" i="2"/>
  <c r="AV456" i="2"/>
  <c r="AU456" i="2"/>
  <c r="AT456" i="2"/>
  <c r="AS456" i="2"/>
  <c r="AR456" i="2"/>
  <c r="AD456" i="2"/>
  <c r="Q456" i="2"/>
  <c r="R456" i="2" s="1"/>
  <c r="BB455" i="2"/>
  <c r="BA455" i="2"/>
  <c r="AX455" i="2"/>
  <c r="AW455" i="2"/>
  <c r="AV455" i="2"/>
  <c r="AU455" i="2"/>
  <c r="AT455" i="2"/>
  <c r="AS455" i="2"/>
  <c r="AR455" i="2"/>
  <c r="AD455" i="2"/>
  <c r="Q455" i="2"/>
  <c r="R455" i="2" s="1"/>
  <c r="BB454" i="2"/>
  <c r="BA454" i="2"/>
  <c r="AX454" i="2"/>
  <c r="AW454" i="2"/>
  <c r="AV454" i="2"/>
  <c r="AU454" i="2"/>
  <c r="AT454" i="2"/>
  <c r="AS454" i="2"/>
  <c r="AR454" i="2"/>
  <c r="AD454" i="2"/>
  <c r="Q454" i="2"/>
  <c r="R454" i="2" s="1"/>
  <c r="BB453" i="2"/>
  <c r="BA453" i="2"/>
  <c r="AX453" i="2"/>
  <c r="AW453" i="2"/>
  <c r="AV453" i="2"/>
  <c r="AU453" i="2"/>
  <c r="AT453" i="2"/>
  <c r="AS453" i="2"/>
  <c r="AR453" i="2"/>
  <c r="AD453" i="2"/>
  <c r="Q453" i="2"/>
  <c r="R453" i="2" s="1"/>
  <c r="BB452" i="2"/>
  <c r="BA452" i="2"/>
  <c r="AX452" i="2"/>
  <c r="AW452" i="2"/>
  <c r="AV452" i="2"/>
  <c r="AU452" i="2"/>
  <c r="AT452" i="2"/>
  <c r="AS452" i="2"/>
  <c r="AR452" i="2"/>
  <c r="AD452" i="2"/>
  <c r="Q452" i="2"/>
  <c r="R452" i="2" s="1"/>
  <c r="BB451" i="2"/>
  <c r="BA451" i="2"/>
  <c r="AX451" i="2"/>
  <c r="AW451" i="2"/>
  <c r="AV451" i="2"/>
  <c r="AU451" i="2"/>
  <c r="AT451" i="2"/>
  <c r="AS451" i="2"/>
  <c r="AR451" i="2"/>
  <c r="AD451" i="2"/>
  <c r="Q451" i="2"/>
  <c r="R451" i="2" s="1"/>
  <c r="BB450" i="2"/>
  <c r="BA450" i="2"/>
  <c r="AX450" i="2"/>
  <c r="AW450" i="2"/>
  <c r="AV450" i="2"/>
  <c r="AU450" i="2"/>
  <c r="AT450" i="2"/>
  <c r="AS450" i="2"/>
  <c r="AR450" i="2"/>
  <c r="AD450" i="2"/>
  <c r="Q450" i="2"/>
  <c r="R450" i="2" s="1"/>
  <c r="BB449" i="2"/>
  <c r="BA449" i="2"/>
  <c r="AX449" i="2"/>
  <c r="AW449" i="2"/>
  <c r="AV449" i="2"/>
  <c r="AU449" i="2"/>
  <c r="AT449" i="2"/>
  <c r="AS449" i="2"/>
  <c r="AR449" i="2"/>
  <c r="AD449" i="2"/>
  <c r="Q449" i="2"/>
  <c r="R449" i="2" s="1"/>
  <c r="BB448" i="2"/>
  <c r="BA448" i="2"/>
  <c r="AX448" i="2"/>
  <c r="AW448" i="2"/>
  <c r="AV448" i="2"/>
  <c r="AU448" i="2"/>
  <c r="AT448" i="2"/>
  <c r="AS448" i="2"/>
  <c r="AR448" i="2"/>
  <c r="AD448" i="2"/>
  <c r="Q448" i="2"/>
  <c r="R448" i="2" s="1"/>
  <c r="BB447" i="2"/>
  <c r="BA447" i="2"/>
  <c r="AX447" i="2"/>
  <c r="AW447" i="2"/>
  <c r="AV447" i="2"/>
  <c r="AU447" i="2"/>
  <c r="AT447" i="2"/>
  <c r="AS447" i="2"/>
  <c r="AR447" i="2"/>
  <c r="AD447" i="2"/>
  <c r="Q447" i="2"/>
  <c r="R447" i="2" s="1"/>
  <c r="BB446" i="2"/>
  <c r="BA446" i="2"/>
  <c r="AX446" i="2"/>
  <c r="AW446" i="2"/>
  <c r="AV446" i="2"/>
  <c r="AU446" i="2"/>
  <c r="AT446" i="2"/>
  <c r="AS446" i="2"/>
  <c r="AR446" i="2"/>
  <c r="AD446" i="2"/>
  <c r="Q446" i="2"/>
  <c r="R446" i="2" s="1"/>
  <c r="BB445" i="2"/>
  <c r="BA445" i="2"/>
  <c r="AX445" i="2"/>
  <c r="AW445" i="2"/>
  <c r="AV445" i="2"/>
  <c r="AU445" i="2"/>
  <c r="AT445" i="2"/>
  <c r="AS445" i="2"/>
  <c r="AR445" i="2"/>
  <c r="AD445" i="2"/>
  <c r="Q445" i="2"/>
  <c r="R445" i="2" s="1"/>
  <c r="BB444" i="2"/>
  <c r="BA444" i="2"/>
  <c r="AX444" i="2"/>
  <c r="AW444" i="2"/>
  <c r="AV444" i="2"/>
  <c r="AU444" i="2"/>
  <c r="AT444" i="2"/>
  <c r="AS444" i="2"/>
  <c r="AR444" i="2"/>
  <c r="AD444" i="2"/>
  <c r="Q444" i="2"/>
  <c r="R444" i="2" s="1"/>
  <c r="BB443" i="2"/>
  <c r="BA443" i="2"/>
  <c r="AX443" i="2"/>
  <c r="AW443" i="2"/>
  <c r="AV443" i="2"/>
  <c r="AU443" i="2"/>
  <c r="AT443" i="2"/>
  <c r="AS443" i="2"/>
  <c r="AR443" i="2"/>
  <c r="AD443" i="2"/>
  <c r="Q443" i="2"/>
  <c r="R443" i="2" s="1"/>
  <c r="BB442" i="2"/>
  <c r="BA442" i="2"/>
  <c r="AX442" i="2"/>
  <c r="AW442" i="2"/>
  <c r="AV442" i="2"/>
  <c r="AU442" i="2"/>
  <c r="AT442" i="2"/>
  <c r="AS442" i="2"/>
  <c r="AR442" i="2"/>
  <c r="AD442" i="2"/>
  <c r="Q442" i="2"/>
  <c r="R442" i="2" s="1"/>
  <c r="BB441" i="2"/>
  <c r="BA441" i="2"/>
  <c r="AX441" i="2"/>
  <c r="AW441" i="2"/>
  <c r="AV441" i="2"/>
  <c r="AU441" i="2"/>
  <c r="AT441" i="2"/>
  <c r="AS441" i="2"/>
  <c r="AR441" i="2"/>
  <c r="AD441" i="2"/>
  <c r="Q441" i="2"/>
  <c r="R441" i="2" s="1"/>
  <c r="BB440" i="2"/>
  <c r="BA440" i="2"/>
  <c r="AX440" i="2"/>
  <c r="AW440" i="2"/>
  <c r="AV440" i="2"/>
  <c r="AU440" i="2"/>
  <c r="AT440" i="2"/>
  <c r="AS440" i="2"/>
  <c r="AR440" i="2"/>
  <c r="AD440" i="2"/>
  <c r="Q440" i="2"/>
  <c r="R440" i="2" s="1"/>
  <c r="BB439" i="2"/>
  <c r="BA439" i="2"/>
  <c r="AX439" i="2"/>
  <c r="AW439" i="2"/>
  <c r="AV439" i="2"/>
  <c r="AU439" i="2"/>
  <c r="AT439" i="2"/>
  <c r="AS439" i="2"/>
  <c r="AR439" i="2"/>
  <c r="AD439" i="2"/>
  <c r="Q439" i="2"/>
  <c r="R439" i="2" s="1"/>
  <c r="BB438" i="2"/>
  <c r="BA438" i="2"/>
  <c r="AX438" i="2"/>
  <c r="AW438" i="2"/>
  <c r="AV438" i="2"/>
  <c r="AU438" i="2"/>
  <c r="AT438" i="2"/>
  <c r="AS438" i="2"/>
  <c r="AR438" i="2"/>
  <c r="AD438" i="2"/>
  <c r="Q438" i="2"/>
  <c r="R438" i="2" s="1"/>
  <c r="BB437" i="2"/>
  <c r="BA437" i="2"/>
  <c r="AX437" i="2"/>
  <c r="AW437" i="2"/>
  <c r="AV437" i="2"/>
  <c r="AU437" i="2"/>
  <c r="AT437" i="2"/>
  <c r="AS437" i="2"/>
  <c r="AR437" i="2"/>
  <c r="AD437" i="2"/>
  <c r="Q437" i="2"/>
  <c r="R437" i="2" s="1"/>
  <c r="BB436" i="2"/>
  <c r="BA436" i="2"/>
  <c r="AX436" i="2"/>
  <c r="AW436" i="2"/>
  <c r="AV436" i="2"/>
  <c r="AU436" i="2"/>
  <c r="AT436" i="2"/>
  <c r="AS436" i="2"/>
  <c r="AR436" i="2"/>
  <c r="AD436" i="2"/>
  <c r="Q436" i="2"/>
  <c r="R436" i="2" s="1"/>
  <c r="BB435" i="2"/>
  <c r="BA435" i="2"/>
  <c r="AX435" i="2"/>
  <c r="AW435" i="2"/>
  <c r="AV435" i="2"/>
  <c r="AU435" i="2"/>
  <c r="AT435" i="2"/>
  <c r="AS435" i="2"/>
  <c r="AR435" i="2"/>
  <c r="AD435" i="2"/>
  <c r="Q435" i="2"/>
  <c r="R435" i="2" s="1"/>
  <c r="BB434" i="2"/>
  <c r="BA434" i="2"/>
  <c r="AX434" i="2"/>
  <c r="AW434" i="2"/>
  <c r="AV434" i="2"/>
  <c r="AU434" i="2"/>
  <c r="AT434" i="2"/>
  <c r="AS434" i="2"/>
  <c r="AR434" i="2"/>
  <c r="AD434" i="2"/>
  <c r="Q434" i="2"/>
  <c r="R434" i="2" s="1"/>
  <c r="BB433" i="2"/>
  <c r="BA433" i="2"/>
  <c r="AX433" i="2"/>
  <c r="AW433" i="2"/>
  <c r="AV433" i="2"/>
  <c r="AU433" i="2"/>
  <c r="AT433" i="2"/>
  <c r="AS433" i="2"/>
  <c r="AR433" i="2"/>
  <c r="AD433" i="2"/>
  <c r="Q433" i="2"/>
  <c r="R433" i="2" s="1"/>
  <c r="BB432" i="2"/>
  <c r="BA432" i="2"/>
  <c r="AX432" i="2"/>
  <c r="AW432" i="2"/>
  <c r="AV432" i="2"/>
  <c r="AU432" i="2"/>
  <c r="AT432" i="2"/>
  <c r="AS432" i="2"/>
  <c r="AR432" i="2"/>
  <c r="AD432" i="2"/>
  <c r="Q432" i="2"/>
  <c r="R432" i="2" s="1"/>
  <c r="BB431" i="2"/>
  <c r="BA431" i="2"/>
  <c r="AX431" i="2"/>
  <c r="AW431" i="2"/>
  <c r="AV431" i="2"/>
  <c r="AU431" i="2"/>
  <c r="AT431" i="2"/>
  <c r="AS431" i="2"/>
  <c r="AR431" i="2"/>
  <c r="AD431" i="2"/>
  <c r="Q431" i="2"/>
  <c r="R431" i="2" s="1"/>
  <c r="BB430" i="2"/>
  <c r="BA430" i="2"/>
  <c r="AX430" i="2"/>
  <c r="AW430" i="2"/>
  <c r="AV430" i="2"/>
  <c r="AU430" i="2"/>
  <c r="AT430" i="2"/>
  <c r="AS430" i="2"/>
  <c r="AR430" i="2"/>
  <c r="AD430" i="2"/>
  <c r="Q430" i="2"/>
  <c r="R430" i="2" s="1"/>
  <c r="BB429" i="2"/>
  <c r="BA429" i="2"/>
  <c r="AX429" i="2"/>
  <c r="AW429" i="2"/>
  <c r="AV429" i="2"/>
  <c r="AU429" i="2"/>
  <c r="AT429" i="2"/>
  <c r="AS429" i="2"/>
  <c r="AR429" i="2"/>
  <c r="AD429" i="2"/>
  <c r="Q429" i="2"/>
  <c r="R429" i="2" s="1"/>
  <c r="BB428" i="2"/>
  <c r="BA428" i="2"/>
  <c r="AX428" i="2"/>
  <c r="AW428" i="2"/>
  <c r="AV428" i="2"/>
  <c r="AU428" i="2"/>
  <c r="AT428" i="2"/>
  <c r="AS428" i="2"/>
  <c r="AR428" i="2"/>
  <c r="AD428" i="2"/>
  <c r="Q428" i="2"/>
  <c r="R428" i="2" s="1"/>
  <c r="BB427" i="2"/>
  <c r="BA427" i="2"/>
  <c r="AX427" i="2"/>
  <c r="AW427" i="2"/>
  <c r="AV427" i="2"/>
  <c r="AU427" i="2"/>
  <c r="AT427" i="2"/>
  <c r="AS427" i="2"/>
  <c r="AR427" i="2"/>
  <c r="AD427" i="2"/>
  <c r="Q427" i="2"/>
  <c r="R427" i="2" s="1"/>
  <c r="BB426" i="2"/>
  <c r="BA426" i="2"/>
  <c r="AX426" i="2"/>
  <c r="AW426" i="2"/>
  <c r="AV426" i="2"/>
  <c r="AU426" i="2"/>
  <c r="AT426" i="2"/>
  <c r="AS426" i="2"/>
  <c r="AR426" i="2"/>
  <c r="AD426" i="2"/>
  <c r="Q426" i="2"/>
  <c r="R426" i="2" s="1"/>
  <c r="BB425" i="2"/>
  <c r="BA425" i="2"/>
  <c r="AX425" i="2"/>
  <c r="AW425" i="2"/>
  <c r="AV425" i="2"/>
  <c r="AU425" i="2"/>
  <c r="AT425" i="2"/>
  <c r="AS425" i="2"/>
  <c r="AR425" i="2"/>
  <c r="AD425" i="2"/>
  <c r="Q425" i="2"/>
  <c r="R425" i="2" s="1"/>
  <c r="BB424" i="2"/>
  <c r="BA424" i="2"/>
  <c r="AX424" i="2"/>
  <c r="AW424" i="2"/>
  <c r="AV424" i="2"/>
  <c r="AU424" i="2"/>
  <c r="AT424" i="2"/>
  <c r="AS424" i="2"/>
  <c r="AR424" i="2"/>
  <c r="AD424" i="2"/>
  <c r="Q424" i="2"/>
  <c r="R424" i="2" s="1"/>
  <c r="BB423" i="2"/>
  <c r="BA423" i="2"/>
  <c r="AX423" i="2"/>
  <c r="AW423" i="2"/>
  <c r="AV423" i="2"/>
  <c r="AU423" i="2"/>
  <c r="AT423" i="2"/>
  <c r="AS423" i="2"/>
  <c r="AR423" i="2"/>
  <c r="AD423" i="2"/>
  <c r="Q423" i="2"/>
  <c r="R423" i="2" s="1"/>
  <c r="BB422" i="2"/>
  <c r="BA422" i="2"/>
  <c r="AX422" i="2"/>
  <c r="AW422" i="2"/>
  <c r="AV422" i="2"/>
  <c r="AU422" i="2"/>
  <c r="AT422" i="2"/>
  <c r="AS422" i="2"/>
  <c r="AR422" i="2"/>
  <c r="AD422" i="2"/>
  <c r="Q422" i="2"/>
  <c r="R422" i="2" s="1"/>
  <c r="BB421" i="2"/>
  <c r="BA421" i="2"/>
  <c r="AX421" i="2"/>
  <c r="AW421" i="2"/>
  <c r="AV421" i="2"/>
  <c r="AU421" i="2"/>
  <c r="AT421" i="2"/>
  <c r="AS421" i="2"/>
  <c r="AR421" i="2"/>
  <c r="AD421" i="2"/>
  <c r="Q421" i="2"/>
  <c r="R421" i="2" s="1"/>
  <c r="BB420" i="2"/>
  <c r="BA420" i="2"/>
  <c r="AX420" i="2"/>
  <c r="AW420" i="2"/>
  <c r="AV420" i="2"/>
  <c r="AU420" i="2"/>
  <c r="AT420" i="2"/>
  <c r="AS420" i="2"/>
  <c r="AR420" i="2"/>
  <c r="AD420" i="2"/>
  <c r="Q420" i="2"/>
  <c r="R420" i="2" s="1"/>
  <c r="BB419" i="2"/>
  <c r="BA419" i="2"/>
  <c r="AX419" i="2"/>
  <c r="AW419" i="2"/>
  <c r="AV419" i="2"/>
  <c r="AU419" i="2"/>
  <c r="AT419" i="2"/>
  <c r="AS419" i="2"/>
  <c r="AR419" i="2"/>
  <c r="AD419" i="2"/>
  <c r="Q419" i="2"/>
  <c r="R419" i="2" s="1"/>
  <c r="BB418" i="2"/>
  <c r="BA418" i="2"/>
  <c r="AX418" i="2"/>
  <c r="AW418" i="2"/>
  <c r="AV418" i="2"/>
  <c r="AU418" i="2"/>
  <c r="AT418" i="2"/>
  <c r="AS418" i="2"/>
  <c r="AR418" i="2"/>
  <c r="AD418" i="2"/>
  <c r="Q418" i="2"/>
  <c r="R418" i="2" s="1"/>
  <c r="BB417" i="2"/>
  <c r="BA417" i="2"/>
  <c r="AX417" i="2"/>
  <c r="AW417" i="2"/>
  <c r="AV417" i="2"/>
  <c r="AU417" i="2"/>
  <c r="AT417" i="2"/>
  <c r="AS417" i="2"/>
  <c r="AR417" i="2"/>
  <c r="AD417" i="2"/>
  <c r="Q417" i="2"/>
  <c r="R417" i="2" s="1"/>
  <c r="BB416" i="2"/>
  <c r="BA416" i="2"/>
  <c r="AX416" i="2"/>
  <c r="AW416" i="2"/>
  <c r="AV416" i="2"/>
  <c r="AU416" i="2"/>
  <c r="AT416" i="2"/>
  <c r="AS416" i="2"/>
  <c r="AR416" i="2"/>
  <c r="AD416" i="2"/>
  <c r="Q416" i="2"/>
  <c r="R416" i="2" s="1"/>
  <c r="BB415" i="2"/>
  <c r="BA415" i="2"/>
  <c r="AX415" i="2"/>
  <c r="AW415" i="2"/>
  <c r="AV415" i="2"/>
  <c r="AU415" i="2"/>
  <c r="AT415" i="2"/>
  <c r="AS415" i="2"/>
  <c r="AR415" i="2"/>
  <c r="AD415" i="2"/>
  <c r="Q415" i="2"/>
  <c r="R415" i="2" s="1"/>
  <c r="BB414" i="2"/>
  <c r="BA414" i="2"/>
  <c r="AX414" i="2"/>
  <c r="AW414" i="2"/>
  <c r="AV414" i="2"/>
  <c r="AU414" i="2"/>
  <c r="AT414" i="2"/>
  <c r="AS414" i="2"/>
  <c r="AR414" i="2"/>
  <c r="AD414" i="2"/>
  <c r="Q414" i="2"/>
  <c r="R414" i="2" s="1"/>
  <c r="BB413" i="2"/>
  <c r="BA413" i="2"/>
  <c r="AX413" i="2"/>
  <c r="AW413" i="2"/>
  <c r="AV413" i="2"/>
  <c r="AU413" i="2"/>
  <c r="AT413" i="2"/>
  <c r="AS413" i="2"/>
  <c r="AR413" i="2"/>
  <c r="AD413" i="2"/>
  <c r="Q413" i="2"/>
  <c r="R413" i="2" s="1"/>
  <c r="BB412" i="2"/>
  <c r="BA412" i="2"/>
  <c r="AX412" i="2"/>
  <c r="AW412" i="2"/>
  <c r="AV412" i="2"/>
  <c r="AU412" i="2"/>
  <c r="AT412" i="2"/>
  <c r="AS412" i="2"/>
  <c r="AR412" i="2"/>
  <c r="AD412" i="2"/>
  <c r="Q412" i="2"/>
  <c r="R412" i="2" s="1"/>
  <c r="BB411" i="2"/>
  <c r="BA411" i="2"/>
  <c r="AX411" i="2"/>
  <c r="AW411" i="2"/>
  <c r="AV411" i="2"/>
  <c r="AU411" i="2"/>
  <c r="AT411" i="2"/>
  <c r="AS411" i="2"/>
  <c r="AR411" i="2"/>
  <c r="AD411" i="2"/>
  <c r="Q411" i="2"/>
  <c r="R411" i="2" s="1"/>
  <c r="BB410" i="2"/>
  <c r="BA410" i="2"/>
  <c r="AX410" i="2"/>
  <c r="AW410" i="2"/>
  <c r="AV410" i="2"/>
  <c r="AU410" i="2"/>
  <c r="AT410" i="2"/>
  <c r="AS410" i="2"/>
  <c r="AR410" i="2"/>
  <c r="AD410" i="2"/>
  <c r="Q410" i="2"/>
  <c r="R410" i="2" s="1"/>
  <c r="BB409" i="2"/>
  <c r="BA409" i="2"/>
  <c r="AX409" i="2"/>
  <c r="AW409" i="2"/>
  <c r="AV409" i="2"/>
  <c r="AU409" i="2"/>
  <c r="AT409" i="2"/>
  <c r="AS409" i="2"/>
  <c r="AR409" i="2"/>
  <c r="AD409" i="2"/>
  <c r="Q409" i="2"/>
  <c r="R409" i="2" s="1"/>
  <c r="BB408" i="2"/>
  <c r="BA408" i="2"/>
  <c r="AX408" i="2"/>
  <c r="AW408" i="2"/>
  <c r="AV408" i="2"/>
  <c r="AU408" i="2"/>
  <c r="AT408" i="2"/>
  <c r="AS408" i="2"/>
  <c r="AR408" i="2"/>
  <c r="AD408" i="2"/>
  <c r="Q408" i="2"/>
  <c r="R408" i="2" s="1"/>
  <c r="BB407" i="2"/>
  <c r="BA407" i="2"/>
  <c r="AX407" i="2"/>
  <c r="AW407" i="2"/>
  <c r="AV407" i="2"/>
  <c r="AU407" i="2"/>
  <c r="AT407" i="2"/>
  <c r="AS407" i="2"/>
  <c r="AR407" i="2"/>
  <c r="AD407" i="2"/>
  <c r="Q407" i="2"/>
  <c r="R407" i="2" s="1"/>
  <c r="BB406" i="2"/>
  <c r="BA406" i="2"/>
  <c r="AX406" i="2"/>
  <c r="AW406" i="2"/>
  <c r="AV406" i="2"/>
  <c r="AU406" i="2"/>
  <c r="AT406" i="2"/>
  <c r="AS406" i="2"/>
  <c r="AR406" i="2"/>
  <c r="AD406" i="2"/>
  <c r="Q406" i="2"/>
  <c r="R406" i="2" s="1"/>
  <c r="BB405" i="2"/>
  <c r="BA405" i="2"/>
  <c r="AX405" i="2"/>
  <c r="AW405" i="2"/>
  <c r="AV405" i="2"/>
  <c r="AU405" i="2"/>
  <c r="AT405" i="2"/>
  <c r="AS405" i="2"/>
  <c r="AR405" i="2"/>
  <c r="AD405" i="2"/>
  <c r="Q405" i="2"/>
  <c r="R405" i="2" s="1"/>
  <c r="D41" i="9"/>
  <c r="D47" i="9"/>
  <c r="AY498" i="2" l="1"/>
  <c r="AL498" i="2" s="1"/>
  <c r="AY442" i="2"/>
  <c r="AL442" i="2" s="1"/>
  <c r="I27" i="9"/>
  <c r="F28" i="9"/>
  <c r="I28" i="9"/>
  <c r="AY431" i="2"/>
  <c r="AL431" i="2" s="1"/>
  <c r="AY415" i="2"/>
  <c r="AL415" i="2" s="1"/>
  <c r="AY452" i="2"/>
  <c r="AL452" i="2" s="1"/>
  <c r="AY510" i="2"/>
  <c r="AL510" i="2" s="1"/>
  <c r="AY480" i="2"/>
  <c r="AL480" i="2" s="1"/>
  <c r="AM410" i="6"/>
  <c r="AE410" i="6" s="1"/>
  <c r="AM418" i="6"/>
  <c r="AE418" i="6" s="1"/>
  <c r="AM426" i="6"/>
  <c r="AE426" i="6" s="1"/>
  <c r="AM434" i="6"/>
  <c r="AE434" i="6" s="1"/>
  <c r="AM442" i="6"/>
  <c r="AE442" i="6" s="1"/>
  <c r="AM450" i="6"/>
  <c r="AE450" i="6" s="1"/>
  <c r="AM458" i="6"/>
  <c r="AE458" i="6" s="1"/>
  <c r="AM480" i="6"/>
  <c r="AE480" i="6" s="1"/>
  <c r="AM496" i="6"/>
  <c r="AE496" i="6" s="1"/>
  <c r="AM469" i="6"/>
  <c r="AE469" i="6" s="1"/>
  <c r="AM485" i="6"/>
  <c r="AE485" i="6" s="1"/>
  <c r="AM501" i="6"/>
  <c r="AE501" i="6" s="1"/>
  <c r="AM510" i="6"/>
  <c r="AE510" i="6" s="1"/>
  <c r="AM512" i="6"/>
  <c r="AE512" i="6" s="1"/>
  <c r="AM514" i="6"/>
  <c r="AE514" i="6" s="1"/>
  <c r="AM516" i="6"/>
  <c r="AE516" i="6" s="1"/>
  <c r="AM518" i="6"/>
  <c r="AE518" i="6" s="1"/>
  <c r="AM520" i="6"/>
  <c r="AE520" i="6" s="1"/>
  <c r="AM522" i="6"/>
  <c r="AE522" i="6" s="1"/>
  <c r="AM524" i="6"/>
  <c r="AE524" i="6" s="1"/>
  <c r="AM526" i="6"/>
  <c r="AE526" i="6" s="1"/>
  <c r="AM408" i="6"/>
  <c r="AE408" i="6" s="1"/>
  <c r="AM416" i="6"/>
  <c r="AE416" i="6" s="1"/>
  <c r="AM424" i="6"/>
  <c r="AE424" i="6" s="1"/>
  <c r="AM432" i="6"/>
  <c r="AE432" i="6" s="1"/>
  <c r="AM440" i="6"/>
  <c r="AE440" i="6" s="1"/>
  <c r="AM448" i="6"/>
  <c r="AE448" i="6" s="1"/>
  <c r="AM456" i="6"/>
  <c r="AE456" i="6" s="1"/>
  <c r="AM467" i="6"/>
  <c r="AE467" i="6" s="1"/>
  <c r="AM499" i="6"/>
  <c r="AE499" i="6" s="1"/>
  <c r="AM406" i="6"/>
  <c r="AE406" i="6" s="1"/>
  <c r="AM414" i="6"/>
  <c r="AE414" i="6" s="1"/>
  <c r="AM422" i="6"/>
  <c r="AE422" i="6" s="1"/>
  <c r="AM430" i="6"/>
  <c r="AE430" i="6" s="1"/>
  <c r="AM438" i="6"/>
  <c r="AE438" i="6" s="1"/>
  <c r="AM446" i="6"/>
  <c r="AE446" i="6" s="1"/>
  <c r="AM454" i="6"/>
  <c r="AE454" i="6" s="1"/>
  <c r="AM462" i="6"/>
  <c r="AE462" i="6" s="1"/>
  <c r="AM472" i="6"/>
  <c r="AE472" i="6" s="1"/>
  <c r="AM488" i="6"/>
  <c r="AE488" i="6" s="1"/>
  <c r="AM504" i="6"/>
  <c r="AE504" i="6" s="1"/>
  <c r="AM465" i="6"/>
  <c r="AE465" i="6" s="1"/>
  <c r="AM477" i="6"/>
  <c r="AE477" i="6" s="1"/>
  <c r="AM493" i="6"/>
  <c r="AE493" i="6" s="1"/>
  <c r="AM509" i="6"/>
  <c r="AE509" i="6" s="1"/>
  <c r="AM511" i="6"/>
  <c r="AE511" i="6" s="1"/>
  <c r="AM513" i="6"/>
  <c r="AE513" i="6" s="1"/>
  <c r="AM515" i="6"/>
  <c r="AE515" i="6" s="1"/>
  <c r="AM517" i="6"/>
  <c r="AE517" i="6" s="1"/>
  <c r="AM519" i="6"/>
  <c r="AE519" i="6" s="1"/>
  <c r="AM521" i="6"/>
  <c r="AE521" i="6" s="1"/>
  <c r="AM523" i="6"/>
  <c r="AE523" i="6" s="1"/>
  <c r="AM525" i="6"/>
  <c r="AE525" i="6" s="1"/>
  <c r="AM527" i="6"/>
  <c r="AE527" i="6" s="1"/>
  <c r="AM412" i="6"/>
  <c r="AE412" i="6" s="1"/>
  <c r="AM420" i="6"/>
  <c r="AE420" i="6" s="1"/>
  <c r="AM428" i="6"/>
  <c r="AE428" i="6" s="1"/>
  <c r="AM436" i="6"/>
  <c r="AE436" i="6" s="1"/>
  <c r="AM444" i="6"/>
  <c r="AE444" i="6" s="1"/>
  <c r="AM452" i="6"/>
  <c r="AE452" i="6" s="1"/>
  <c r="AM460" i="6"/>
  <c r="AE460" i="6" s="1"/>
  <c r="AM405" i="6"/>
  <c r="AE405" i="6" s="1"/>
  <c r="AM407" i="6"/>
  <c r="AE407" i="6" s="1"/>
  <c r="AM409" i="6"/>
  <c r="AE409" i="6" s="1"/>
  <c r="AM411" i="6"/>
  <c r="AE411" i="6" s="1"/>
  <c r="AM413" i="6"/>
  <c r="AE413" i="6" s="1"/>
  <c r="AM415" i="6"/>
  <c r="AE415" i="6" s="1"/>
  <c r="AM417" i="6"/>
  <c r="AE417" i="6" s="1"/>
  <c r="AM419" i="6"/>
  <c r="AE419" i="6" s="1"/>
  <c r="AM421" i="6"/>
  <c r="AE421" i="6" s="1"/>
  <c r="AM423" i="6"/>
  <c r="AE423" i="6" s="1"/>
  <c r="AM425" i="6"/>
  <c r="AE425" i="6" s="1"/>
  <c r="AM427" i="6"/>
  <c r="AE427" i="6" s="1"/>
  <c r="AM429" i="6"/>
  <c r="AE429" i="6" s="1"/>
  <c r="AM431" i="6"/>
  <c r="AE431" i="6" s="1"/>
  <c r="AM433" i="6"/>
  <c r="AE433" i="6" s="1"/>
  <c r="AM435" i="6"/>
  <c r="AE435" i="6" s="1"/>
  <c r="AM437" i="6"/>
  <c r="AE437" i="6" s="1"/>
  <c r="AM439" i="6"/>
  <c r="AE439" i="6" s="1"/>
  <c r="AM441" i="6"/>
  <c r="AE441" i="6" s="1"/>
  <c r="AM443" i="6"/>
  <c r="AE443" i="6" s="1"/>
  <c r="AM445" i="6"/>
  <c r="AE445" i="6" s="1"/>
  <c r="AM447" i="6"/>
  <c r="AE447" i="6" s="1"/>
  <c r="AM449" i="6"/>
  <c r="AE449" i="6" s="1"/>
  <c r="AM451" i="6"/>
  <c r="AE451" i="6" s="1"/>
  <c r="AM453" i="6"/>
  <c r="AE453" i="6" s="1"/>
  <c r="AM455" i="6"/>
  <c r="AE455" i="6" s="1"/>
  <c r="AM457" i="6"/>
  <c r="AE457" i="6" s="1"/>
  <c r="AM459" i="6"/>
  <c r="AE459" i="6" s="1"/>
  <c r="AM461" i="6"/>
  <c r="AE461" i="6" s="1"/>
  <c r="AM463" i="6"/>
  <c r="AE463" i="6" s="1"/>
  <c r="AM466" i="6"/>
  <c r="AE466" i="6" s="1"/>
  <c r="AM464" i="6"/>
  <c r="AE464" i="6" s="1"/>
  <c r="AM474" i="6"/>
  <c r="AE474" i="6" s="1"/>
  <c r="AM482" i="6"/>
  <c r="AE482" i="6" s="1"/>
  <c r="AM490" i="6"/>
  <c r="AE490" i="6" s="1"/>
  <c r="AM506" i="6"/>
  <c r="AE506" i="6" s="1"/>
  <c r="AM471" i="6"/>
  <c r="AE471" i="6" s="1"/>
  <c r="AM479" i="6"/>
  <c r="AE479" i="6" s="1"/>
  <c r="AM487" i="6"/>
  <c r="AE487" i="6" s="1"/>
  <c r="AM495" i="6"/>
  <c r="AE495" i="6" s="1"/>
  <c r="AM498" i="6"/>
  <c r="AE498" i="6" s="1"/>
  <c r="AM503" i="6"/>
  <c r="AE503" i="6" s="1"/>
  <c r="AM468" i="6"/>
  <c r="AE468" i="6" s="1"/>
  <c r="AM484" i="6"/>
  <c r="AE484" i="6" s="1"/>
  <c r="AM492" i="6"/>
  <c r="AE492" i="6" s="1"/>
  <c r="AM500" i="6"/>
  <c r="AE500" i="6" s="1"/>
  <c r="AM508" i="6"/>
  <c r="AE508" i="6" s="1"/>
  <c r="AM473" i="6"/>
  <c r="AE473" i="6" s="1"/>
  <c r="AM476" i="6"/>
  <c r="AE476" i="6" s="1"/>
  <c r="AM481" i="6"/>
  <c r="AE481" i="6" s="1"/>
  <c r="AM489" i="6"/>
  <c r="AE489" i="6" s="1"/>
  <c r="AM497" i="6"/>
  <c r="AE497" i="6" s="1"/>
  <c r="AM505" i="6"/>
  <c r="AE505" i="6" s="1"/>
  <c r="AM470" i="6"/>
  <c r="AE470" i="6" s="1"/>
  <c r="AM478" i="6"/>
  <c r="AE478" i="6" s="1"/>
  <c r="AM486" i="6"/>
  <c r="AE486" i="6" s="1"/>
  <c r="AM494" i="6"/>
  <c r="AE494" i="6" s="1"/>
  <c r="AM502" i="6"/>
  <c r="AE502" i="6" s="1"/>
  <c r="AM475" i="6"/>
  <c r="AE475" i="6" s="1"/>
  <c r="AM483" i="6"/>
  <c r="AE483" i="6" s="1"/>
  <c r="AM491" i="6"/>
  <c r="AE491" i="6" s="1"/>
  <c r="AM507" i="6"/>
  <c r="AE507" i="6" s="1"/>
  <c r="AY491" i="2"/>
  <c r="AL491" i="2" s="1"/>
  <c r="AY490" i="2"/>
  <c r="AL490" i="2" s="1"/>
  <c r="AY439" i="2"/>
  <c r="AL439" i="2" s="1"/>
  <c r="AY447" i="2"/>
  <c r="AL447" i="2" s="1"/>
  <c r="AY455" i="2"/>
  <c r="AL455" i="2" s="1"/>
  <c r="AY520" i="2"/>
  <c r="AL520" i="2" s="1"/>
  <c r="AY407" i="2"/>
  <c r="AL407" i="2" s="1"/>
  <c r="AY445" i="2"/>
  <c r="AL445" i="2" s="1"/>
  <c r="AY463" i="2"/>
  <c r="AL463" i="2" s="1"/>
  <c r="AY493" i="2"/>
  <c r="AL493" i="2" s="1"/>
  <c r="AY475" i="2"/>
  <c r="AL475" i="2" s="1"/>
  <c r="AY466" i="2"/>
  <c r="AL466" i="2" s="1"/>
  <c r="AY471" i="2"/>
  <c r="AL471" i="2" s="1"/>
  <c r="AY479" i="2"/>
  <c r="AL479" i="2" s="1"/>
  <c r="AY506" i="2"/>
  <c r="AL506" i="2" s="1"/>
  <c r="AY516" i="2"/>
  <c r="AL516" i="2" s="1"/>
  <c r="AY522" i="2"/>
  <c r="AL522" i="2" s="1"/>
  <c r="AY440" i="2"/>
  <c r="AL440" i="2" s="1"/>
  <c r="AY423" i="2"/>
  <c r="AL423" i="2" s="1"/>
  <c r="AY514" i="2"/>
  <c r="AL514" i="2" s="1"/>
  <c r="AY406" i="2"/>
  <c r="AL406" i="2" s="1"/>
  <c r="AY412" i="2"/>
  <c r="AL412" i="2" s="1"/>
  <c r="AY413" i="2"/>
  <c r="AL413" i="2" s="1"/>
  <c r="AY419" i="2"/>
  <c r="AL419" i="2" s="1"/>
  <c r="AY422" i="2"/>
  <c r="AL422" i="2" s="1"/>
  <c r="AY428" i="2"/>
  <c r="AL428" i="2" s="1"/>
  <c r="AY429" i="2"/>
  <c r="AL429" i="2" s="1"/>
  <c r="AY459" i="2"/>
  <c r="AL459" i="2" s="1"/>
  <c r="AY462" i="2"/>
  <c r="AL462" i="2" s="1"/>
  <c r="AY473" i="2"/>
  <c r="AL473" i="2" s="1"/>
  <c r="AY482" i="2"/>
  <c r="AL482" i="2" s="1"/>
  <c r="AY499" i="2"/>
  <c r="AL499" i="2" s="1"/>
  <c r="AY501" i="2"/>
  <c r="AL501" i="2" s="1"/>
  <c r="AY518" i="2"/>
  <c r="AL518" i="2" s="1"/>
  <c r="AY524" i="2"/>
  <c r="AL524" i="2" s="1"/>
  <c r="AY408" i="2"/>
  <c r="AL408" i="2" s="1"/>
  <c r="AY417" i="2"/>
  <c r="AL417" i="2" s="1"/>
  <c r="AY424" i="2"/>
  <c r="AL424" i="2" s="1"/>
  <c r="AY433" i="2"/>
  <c r="AL433" i="2" s="1"/>
  <c r="AY443" i="2"/>
  <c r="AL443" i="2" s="1"/>
  <c r="AY446" i="2"/>
  <c r="AL446" i="2" s="1"/>
  <c r="AY457" i="2"/>
  <c r="AL457" i="2" s="1"/>
  <c r="AY464" i="2"/>
  <c r="AL464" i="2" s="1"/>
  <c r="AY468" i="2"/>
  <c r="AL468" i="2" s="1"/>
  <c r="AY469" i="2"/>
  <c r="AL469" i="2" s="1"/>
  <c r="AY483" i="2"/>
  <c r="AL483" i="2" s="1"/>
  <c r="AY485" i="2"/>
  <c r="AL485" i="2" s="1"/>
  <c r="AY502" i="2"/>
  <c r="AL502" i="2" s="1"/>
  <c r="AY508" i="2"/>
  <c r="AL508" i="2" s="1"/>
  <c r="AY512" i="2"/>
  <c r="AL512" i="2" s="1"/>
  <c r="AY527" i="2"/>
  <c r="AL527" i="2" s="1"/>
  <c r="AY410" i="2"/>
  <c r="AL410" i="2" s="1"/>
  <c r="AY426" i="2"/>
  <c r="AL426" i="2" s="1"/>
  <c r="AY436" i="2"/>
  <c r="AL436" i="2" s="1"/>
  <c r="AY437" i="2"/>
  <c r="AL437" i="2" s="1"/>
  <c r="AY450" i="2"/>
  <c r="AL450" i="2" s="1"/>
  <c r="AY470" i="2"/>
  <c r="AL470" i="2" s="1"/>
  <c r="AY494" i="2"/>
  <c r="AL494" i="2" s="1"/>
  <c r="AY500" i="2"/>
  <c r="AL500" i="2" s="1"/>
  <c r="AY504" i="2"/>
  <c r="AL504" i="2" s="1"/>
  <c r="AY519" i="2"/>
  <c r="AL519" i="2" s="1"/>
  <c r="AY521" i="2"/>
  <c r="AL521" i="2" s="1"/>
  <c r="AY405" i="2"/>
  <c r="AL405" i="2" s="1"/>
  <c r="AY411" i="2"/>
  <c r="AL411" i="2" s="1"/>
  <c r="AY414" i="2"/>
  <c r="AL414" i="2" s="1"/>
  <c r="AY420" i="2"/>
  <c r="AL420" i="2" s="1"/>
  <c r="AY421" i="2"/>
  <c r="AL421" i="2" s="1"/>
  <c r="AY427" i="2"/>
  <c r="AL427" i="2" s="1"/>
  <c r="AY430" i="2"/>
  <c r="AL430" i="2" s="1"/>
  <c r="AY434" i="2"/>
  <c r="AL434" i="2" s="1"/>
  <c r="AY448" i="2"/>
  <c r="AL448" i="2" s="1"/>
  <c r="AY461" i="2"/>
  <c r="AL461" i="2" s="1"/>
  <c r="AY474" i="2"/>
  <c r="AL474" i="2" s="1"/>
  <c r="AY481" i="2"/>
  <c r="AL481" i="2" s="1"/>
  <c r="AY486" i="2"/>
  <c r="AL486" i="2" s="1"/>
  <c r="AY492" i="2"/>
  <c r="AL492" i="2" s="1"/>
  <c r="AY496" i="2"/>
  <c r="AL496" i="2" s="1"/>
  <c r="AY511" i="2"/>
  <c r="AL511" i="2" s="1"/>
  <c r="AY513" i="2"/>
  <c r="AL513" i="2" s="1"/>
  <c r="AY525" i="2"/>
  <c r="AL525" i="2" s="1"/>
  <c r="AY441" i="2"/>
  <c r="AL441" i="2" s="1"/>
  <c r="AY451" i="2"/>
  <c r="AL451" i="2" s="1"/>
  <c r="AY454" i="2"/>
  <c r="AL454" i="2" s="1"/>
  <c r="AY465" i="2"/>
  <c r="AL465" i="2" s="1"/>
  <c r="AY467" i="2"/>
  <c r="AL467" i="2" s="1"/>
  <c r="AY472" i="2"/>
  <c r="AL472" i="2" s="1"/>
  <c r="AY476" i="2"/>
  <c r="AL476" i="2" s="1"/>
  <c r="AY477" i="2"/>
  <c r="AL477" i="2" s="1"/>
  <c r="AY484" i="2"/>
  <c r="AL484" i="2" s="1"/>
  <c r="AY488" i="2"/>
  <c r="AL488" i="2" s="1"/>
  <c r="AY503" i="2"/>
  <c r="AL503" i="2" s="1"/>
  <c r="AY505" i="2"/>
  <c r="AL505" i="2" s="1"/>
  <c r="AY517" i="2"/>
  <c r="AL517" i="2" s="1"/>
  <c r="AY523" i="2"/>
  <c r="AL523" i="2" s="1"/>
  <c r="AY409" i="2"/>
  <c r="AL409" i="2" s="1"/>
  <c r="AY416" i="2"/>
  <c r="AL416" i="2" s="1"/>
  <c r="AY425" i="2"/>
  <c r="AL425" i="2" s="1"/>
  <c r="AY432" i="2"/>
  <c r="AL432" i="2" s="1"/>
  <c r="AY444" i="2"/>
  <c r="AL444" i="2" s="1"/>
  <c r="AY453" i="2"/>
  <c r="AL453" i="2" s="1"/>
  <c r="AY458" i="2"/>
  <c r="AL458" i="2" s="1"/>
  <c r="AY478" i="2"/>
  <c r="AL478" i="2" s="1"/>
  <c r="AY495" i="2"/>
  <c r="AL495" i="2" s="1"/>
  <c r="AY497" i="2"/>
  <c r="AL497" i="2" s="1"/>
  <c r="AY515" i="2"/>
  <c r="AL515" i="2" s="1"/>
  <c r="AY418" i="2"/>
  <c r="AL418" i="2" s="1"/>
  <c r="AY435" i="2"/>
  <c r="AL435" i="2" s="1"/>
  <c r="AY438" i="2"/>
  <c r="AL438" i="2" s="1"/>
  <c r="AY449" i="2"/>
  <c r="AL449" i="2" s="1"/>
  <c r="AY456" i="2"/>
  <c r="AL456" i="2" s="1"/>
  <c r="AY460" i="2"/>
  <c r="AL460" i="2" s="1"/>
  <c r="AY487" i="2"/>
  <c r="AL487" i="2" s="1"/>
  <c r="AY489" i="2"/>
  <c r="AL489" i="2" s="1"/>
  <c r="AY507" i="2"/>
  <c r="AL507" i="2" s="1"/>
  <c r="AY509" i="2"/>
  <c r="AL509" i="2" s="1"/>
  <c r="AY526" i="2"/>
  <c r="AL526" i="2" s="1"/>
  <c r="G16" i="9"/>
  <c r="S41" i="7" l="1"/>
  <c r="S48" i="7"/>
  <c r="S47" i="7"/>
  <c r="I47" i="7"/>
  <c r="S49" i="7"/>
  <c r="I49" i="7"/>
  <c r="I48" i="7"/>
  <c r="S46" i="7"/>
  <c r="I46" i="7"/>
  <c r="S45" i="7"/>
  <c r="I45" i="7"/>
  <c r="S44" i="7"/>
  <c r="I44" i="7"/>
  <c r="S40" i="7"/>
  <c r="S20" i="7"/>
  <c r="S17" i="7"/>
  <c r="I26" i="7"/>
  <c r="S26" i="7"/>
  <c r="S25" i="7"/>
  <c r="I25" i="7"/>
  <c r="S21" i="7"/>
  <c r="I21" i="7"/>
  <c r="S24" i="7"/>
  <c r="I24" i="7"/>
  <c r="S23" i="7"/>
  <c r="I23" i="7"/>
  <c r="S22" i="7"/>
  <c r="I22" i="7"/>
  <c r="S43" i="7"/>
  <c r="I41" i="7"/>
  <c r="I40" i="7"/>
  <c r="J16" i="9"/>
  <c r="B20" i="9" l="1"/>
  <c r="B21" i="9"/>
  <c r="B22" i="9"/>
  <c r="B23" i="9"/>
  <c r="B24" i="9"/>
  <c r="B25" i="9"/>
  <c r="B19" i="9"/>
  <c r="C19" i="9" s="1"/>
  <c r="I19" i="9" s="1"/>
  <c r="B12" i="9"/>
  <c r="B14" i="9"/>
  <c r="D24" i="9" l="1"/>
  <c r="G24" i="9" s="1"/>
  <c r="C24" i="9"/>
  <c r="F24" i="9" s="1"/>
  <c r="D25" i="9"/>
  <c r="G25" i="9" s="1"/>
  <c r="C25" i="9"/>
  <c r="F25" i="9" s="1"/>
  <c r="C22" i="9"/>
  <c r="D22" i="9"/>
  <c r="D23" i="9"/>
  <c r="C23" i="9"/>
  <c r="C21" i="9"/>
  <c r="D21" i="9"/>
  <c r="C20" i="9"/>
  <c r="D35" i="9" l="1"/>
  <c r="C51" i="9"/>
  <c r="F21" i="9"/>
  <c r="G21" i="9"/>
  <c r="F23" i="9"/>
  <c r="G23" i="9"/>
  <c r="D51" i="9"/>
  <c r="G22" i="9"/>
  <c r="I20" i="9"/>
  <c r="F22" i="9"/>
  <c r="C18" i="9"/>
  <c r="K29" i="9"/>
  <c r="L26" i="9"/>
  <c r="M28" i="9"/>
  <c r="M26" i="9"/>
  <c r="K30" i="9"/>
  <c r="K27" i="9"/>
  <c r="L29" i="9"/>
  <c r="L27" i="9"/>
  <c r="M29" i="9"/>
  <c r="K28" i="9"/>
  <c r="L30" i="9"/>
  <c r="M27" i="9"/>
  <c r="K26" i="9"/>
  <c r="L28" i="9"/>
  <c r="M30" i="9"/>
  <c r="F20" i="9"/>
  <c r="I21" i="9"/>
  <c r="M16" i="9"/>
  <c r="M25" i="9"/>
  <c r="M20" i="9"/>
  <c r="L23" i="9"/>
  <c r="M24" i="9"/>
  <c r="M23" i="9"/>
  <c r="K24" i="9"/>
  <c r="K20" i="9"/>
  <c r="K22" i="9"/>
  <c r="L21" i="9"/>
  <c r="K23" i="9"/>
  <c r="L19" i="9"/>
  <c r="L25" i="9"/>
  <c r="M21" i="9"/>
  <c r="L24" i="9"/>
  <c r="M19" i="9"/>
  <c r="L20" i="9"/>
  <c r="M22" i="9"/>
  <c r="K21" i="9"/>
  <c r="L22" i="9"/>
  <c r="K19" i="9"/>
  <c r="K25" i="9"/>
  <c r="I22" i="9"/>
  <c r="I23" i="9"/>
  <c r="I24" i="9"/>
  <c r="I25" i="9"/>
  <c r="S42" i="7"/>
  <c r="I17" i="7"/>
  <c r="D34" i="9" l="1"/>
  <c r="I42" i="7"/>
  <c r="I43" i="7"/>
  <c r="I18" i="7"/>
  <c r="S18" i="7"/>
  <c r="S19" i="7"/>
  <c r="I19" i="7"/>
  <c r="I20" i="7"/>
  <c r="I16" i="7" l="1"/>
  <c r="I39" i="7"/>
  <c r="B35" i="9"/>
  <c r="C70" i="1"/>
  <c r="B39" i="9" s="1"/>
  <c r="C69" i="1"/>
  <c r="B38" i="9" s="1"/>
  <c r="C68" i="1"/>
  <c r="B37" i="9" s="1"/>
  <c r="C67" i="1"/>
  <c r="B36" i="9" s="1"/>
  <c r="AP404" i="6" l="1"/>
  <c r="AO404" i="6"/>
  <c r="AL404" i="6"/>
  <c r="AK404" i="6"/>
  <c r="AJ404" i="6"/>
  <c r="AI404" i="6"/>
  <c r="AH404" i="6"/>
  <c r="AG404" i="6"/>
  <c r="AF404" i="6"/>
  <c r="O404" i="6"/>
  <c r="P404" i="6" s="1"/>
  <c r="AP403" i="6"/>
  <c r="AO403" i="6"/>
  <c r="AL403" i="6"/>
  <c r="AK403" i="6"/>
  <c r="AJ403" i="6"/>
  <c r="AI403" i="6"/>
  <c r="AH403" i="6"/>
  <c r="AG403" i="6"/>
  <c r="AF403" i="6"/>
  <c r="O403" i="6"/>
  <c r="P403" i="6" s="1"/>
  <c r="AP402" i="6"/>
  <c r="AO402" i="6"/>
  <c r="AL402" i="6"/>
  <c r="AK402" i="6"/>
  <c r="AJ402" i="6"/>
  <c r="AI402" i="6"/>
  <c r="AH402" i="6"/>
  <c r="AG402" i="6"/>
  <c r="AF402" i="6"/>
  <c r="O402" i="6"/>
  <c r="P402" i="6" s="1"/>
  <c r="AP401" i="6"/>
  <c r="AO401" i="6"/>
  <c r="AL401" i="6"/>
  <c r="AK401" i="6"/>
  <c r="AJ401" i="6"/>
  <c r="AI401" i="6"/>
  <c r="AH401" i="6"/>
  <c r="AG401" i="6"/>
  <c r="AF401" i="6"/>
  <c r="O401" i="6"/>
  <c r="P401" i="6" s="1"/>
  <c r="AP400" i="6"/>
  <c r="AO400" i="6"/>
  <c r="AL400" i="6"/>
  <c r="AK400" i="6"/>
  <c r="AJ400" i="6"/>
  <c r="AI400" i="6"/>
  <c r="AH400" i="6"/>
  <c r="AG400" i="6"/>
  <c r="AF400" i="6"/>
  <c r="O400" i="6"/>
  <c r="P400" i="6" s="1"/>
  <c r="AP399" i="6"/>
  <c r="AO399" i="6"/>
  <c r="AL399" i="6"/>
  <c r="AK399" i="6"/>
  <c r="AJ399" i="6"/>
  <c r="AI399" i="6"/>
  <c r="AH399" i="6"/>
  <c r="AG399" i="6"/>
  <c r="AF399" i="6"/>
  <c r="O399" i="6"/>
  <c r="P399" i="6" s="1"/>
  <c r="AP398" i="6"/>
  <c r="AO398" i="6"/>
  <c r="AL398" i="6"/>
  <c r="AK398" i="6"/>
  <c r="AJ398" i="6"/>
  <c r="AI398" i="6"/>
  <c r="AH398" i="6"/>
  <c r="AG398" i="6"/>
  <c r="AF398" i="6"/>
  <c r="O398" i="6"/>
  <c r="P398" i="6" s="1"/>
  <c r="AP397" i="6"/>
  <c r="AO397" i="6"/>
  <c r="AL397" i="6"/>
  <c r="AK397" i="6"/>
  <c r="AJ397" i="6"/>
  <c r="AI397" i="6"/>
  <c r="AH397" i="6"/>
  <c r="AG397" i="6"/>
  <c r="AF397" i="6"/>
  <c r="O397" i="6"/>
  <c r="P397" i="6" s="1"/>
  <c r="AP396" i="6"/>
  <c r="AO396" i="6"/>
  <c r="AL396" i="6"/>
  <c r="AK396" i="6"/>
  <c r="AJ396" i="6"/>
  <c r="AI396" i="6"/>
  <c r="AH396" i="6"/>
  <c r="AG396" i="6"/>
  <c r="AF396" i="6"/>
  <c r="O396" i="6"/>
  <c r="P396" i="6" s="1"/>
  <c r="AP395" i="6"/>
  <c r="AO395" i="6"/>
  <c r="AL395" i="6"/>
  <c r="AK395" i="6"/>
  <c r="AJ395" i="6"/>
  <c r="AI395" i="6"/>
  <c r="AH395" i="6"/>
  <c r="AG395" i="6"/>
  <c r="AF395" i="6"/>
  <c r="O395" i="6"/>
  <c r="P395" i="6" s="1"/>
  <c r="AP394" i="6"/>
  <c r="AO394" i="6"/>
  <c r="AL394" i="6"/>
  <c r="AK394" i="6"/>
  <c r="AJ394" i="6"/>
  <c r="AI394" i="6"/>
  <c r="AH394" i="6"/>
  <c r="AG394" i="6"/>
  <c r="AF394" i="6"/>
  <c r="O394" i="6"/>
  <c r="P394" i="6" s="1"/>
  <c r="AP393" i="6"/>
  <c r="AO393" i="6"/>
  <c r="AL393" i="6"/>
  <c r="AK393" i="6"/>
  <c r="AJ393" i="6"/>
  <c r="AI393" i="6"/>
  <c r="AH393" i="6"/>
  <c r="AG393" i="6"/>
  <c r="AF393" i="6"/>
  <c r="O393" i="6"/>
  <c r="P393" i="6" s="1"/>
  <c r="AP392" i="6"/>
  <c r="AO392" i="6"/>
  <c r="AL392" i="6"/>
  <c r="AK392" i="6"/>
  <c r="AJ392" i="6"/>
  <c r="AI392" i="6"/>
  <c r="AH392" i="6"/>
  <c r="AG392" i="6"/>
  <c r="AF392" i="6"/>
  <c r="O392" i="6"/>
  <c r="P392" i="6" s="1"/>
  <c r="AP391" i="6"/>
  <c r="AO391" i="6"/>
  <c r="AL391" i="6"/>
  <c r="AK391" i="6"/>
  <c r="AJ391" i="6"/>
  <c r="AI391" i="6"/>
  <c r="AH391" i="6"/>
  <c r="AG391" i="6"/>
  <c r="AF391" i="6"/>
  <c r="O391" i="6"/>
  <c r="P391" i="6" s="1"/>
  <c r="AP390" i="6"/>
  <c r="AO390" i="6"/>
  <c r="AL390" i="6"/>
  <c r="AK390" i="6"/>
  <c r="AJ390" i="6"/>
  <c r="AI390" i="6"/>
  <c r="AH390" i="6"/>
  <c r="AG390" i="6"/>
  <c r="AF390" i="6"/>
  <c r="O390" i="6"/>
  <c r="P390" i="6" s="1"/>
  <c r="AP389" i="6"/>
  <c r="AO389" i="6"/>
  <c r="AL389" i="6"/>
  <c r="AK389" i="6"/>
  <c r="AJ389" i="6"/>
  <c r="AI389" i="6"/>
  <c r="AH389" i="6"/>
  <c r="AG389" i="6"/>
  <c r="AF389" i="6"/>
  <c r="O389" i="6"/>
  <c r="P389" i="6" s="1"/>
  <c r="AP388" i="6"/>
  <c r="AO388" i="6"/>
  <c r="AL388" i="6"/>
  <c r="AK388" i="6"/>
  <c r="AJ388" i="6"/>
  <c r="AI388" i="6"/>
  <c r="AH388" i="6"/>
  <c r="AG388" i="6"/>
  <c r="AF388" i="6"/>
  <c r="O388" i="6"/>
  <c r="P388" i="6" s="1"/>
  <c r="AP387" i="6"/>
  <c r="AO387" i="6"/>
  <c r="AL387" i="6"/>
  <c r="AK387" i="6"/>
  <c r="AJ387" i="6"/>
  <c r="AI387" i="6"/>
  <c r="AH387" i="6"/>
  <c r="AG387" i="6"/>
  <c r="AF387" i="6"/>
  <c r="O387" i="6"/>
  <c r="P387" i="6" s="1"/>
  <c r="AP386" i="6"/>
  <c r="AO386" i="6"/>
  <c r="AL386" i="6"/>
  <c r="AK386" i="6"/>
  <c r="AJ386" i="6"/>
  <c r="AI386" i="6"/>
  <c r="AH386" i="6"/>
  <c r="AG386" i="6"/>
  <c r="AF386" i="6"/>
  <c r="O386" i="6"/>
  <c r="P386" i="6" s="1"/>
  <c r="AP385" i="6"/>
  <c r="AO385" i="6"/>
  <c r="AL385" i="6"/>
  <c r="AK385" i="6"/>
  <c r="AJ385" i="6"/>
  <c r="AI385" i="6"/>
  <c r="AH385" i="6"/>
  <c r="AG385" i="6"/>
  <c r="AF385" i="6"/>
  <c r="O385" i="6"/>
  <c r="P385" i="6" s="1"/>
  <c r="AP384" i="6"/>
  <c r="AO384" i="6"/>
  <c r="AL384" i="6"/>
  <c r="AK384" i="6"/>
  <c r="AJ384" i="6"/>
  <c r="AI384" i="6"/>
  <c r="AH384" i="6"/>
  <c r="AG384" i="6"/>
  <c r="AF384" i="6"/>
  <c r="O384" i="6"/>
  <c r="P384" i="6" s="1"/>
  <c r="AP383" i="6"/>
  <c r="AO383" i="6"/>
  <c r="AL383" i="6"/>
  <c r="AK383" i="6"/>
  <c r="AJ383" i="6"/>
  <c r="AI383" i="6"/>
  <c r="AH383" i="6"/>
  <c r="AG383" i="6"/>
  <c r="AF383" i="6"/>
  <c r="O383" i="6"/>
  <c r="P383" i="6" s="1"/>
  <c r="AP382" i="6"/>
  <c r="AO382" i="6"/>
  <c r="AL382" i="6"/>
  <c r="AK382" i="6"/>
  <c r="AJ382" i="6"/>
  <c r="AI382" i="6"/>
  <c r="AH382" i="6"/>
  <c r="AG382" i="6"/>
  <c r="AF382" i="6"/>
  <c r="O382" i="6"/>
  <c r="P382" i="6" s="1"/>
  <c r="AP381" i="6"/>
  <c r="AO381" i="6"/>
  <c r="AL381" i="6"/>
  <c r="AK381" i="6"/>
  <c r="AJ381" i="6"/>
  <c r="AI381" i="6"/>
  <c r="AH381" i="6"/>
  <c r="AG381" i="6"/>
  <c r="AF381" i="6"/>
  <c r="O381" i="6"/>
  <c r="P381" i="6" s="1"/>
  <c r="AP380" i="6"/>
  <c r="AO380" i="6"/>
  <c r="AL380" i="6"/>
  <c r="AK380" i="6"/>
  <c r="AJ380" i="6"/>
  <c r="AI380" i="6"/>
  <c r="AH380" i="6"/>
  <c r="AG380" i="6"/>
  <c r="AF380" i="6"/>
  <c r="O380" i="6"/>
  <c r="P380" i="6" s="1"/>
  <c r="AP379" i="6"/>
  <c r="AO379" i="6"/>
  <c r="AL379" i="6"/>
  <c r="AK379" i="6"/>
  <c r="AJ379" i="6"/>
  <c r="AI379" i="6"/>
  <c r="AH379" i="6"/>
  <c r="AG379" i="6"/>
  <c r="AF379" i="6"/>
  <c r="O379" i="6"/>
  <c r="P379" i="6" s="1"/>
  <c r="AP378" i="6"/>
  <c r="AO378" i="6"/>
  <c r="AL378" i="6"/>
  <c r="AK378" i="6"/>
  <c r="AJ378" i="6"/>
  <c r="AI378" i="6"/>
  <c r="AH378" i="6"/>
  <c r="AG378" i="6"/>
  <c r="AF378" i="6"/>
  <c r="O378" i="6"/>
  <c r="P378" i="6" s="1"/>
  <c r="AP377" i="6"/>
  <c r="AO377" i="6"/>
  <c r="AL377" i="6"/>
  <c r="AK377" i="6"/>
  <c r="AJ377" i="6"/>
  <c r="AI377" i="6"/>
  <c r="AH377" i="6"/>
  <c r="AG377" i="6"/>
  <c r="AF377" i="6"/>
  <c r="O377" i="6"/>
  <c r="P377" i="6" s="1"/>
  <c r="AP376" i="6"/>
  <c r="AO376" i="6"/>
  <c r="AL376" i="6"/>
  <c r="AK376" i="6"/>
  <c r="AJ376" i="6"/>
  <c r="AI376" i="6"/>
  <c r="AH376" i="6"/>
  <c r="AG376" i="6"/>
  <c r="AF376" i="6"/>
  <c r="O376" i="6"/>
  <c r="P376" i="6" s="1"/>
  <c r="AP375" i="6"/>
  <c r="AO375" i="6"/>
  <c r="AL375" i="6"/>
  <c r="AK375" i="6"/>
  <c r="AJ375" i="6"/>
  <c r="AI375" i="6"/>
  <c r="AH375" i="6"/>
  <c r="AG375" i="6"/>
  <c r="AF375" i="6"/>
  <c r="O375" i="6"/>
  <c r="P375" i="6" s="1"/>
  <c r="AP374" i="6"/>
  <c r="AO374" i="6"/>
  <c r="AL374" i="6"/>
  <c r="AK374" i="6"/>
  <c r="AJ374" i="6"/>
  <c r="AI374" i="6"/>
  <c r="AH374" i="6"/>
  <c r="AG374" i="6"/>
  <c r="AF374" i="6"/>
  <c r="O374" i="6"/>
  <c r="P374" i="6" s="1"/>
  <c r="AP373" i="6"/>
  <c r="AO373" i="6"/>
  <c r="AL373" i="6"/>
  <c r="AK373" i="6"/>
  <c r="AJ373" i="6"/>
  <c r="AI373" i="6"/>
  <c r="AH373" i="6"/>
  <c r="AG373" i="6"/>
  <c r="AF373" i="6"/>
  <c r="O373" i="6"/>
  <c r="P373" i="6" s="1"/>
  <c r="AP372" i="6"/>
  <c r="AO372" i="6"/>
  <c r="AL372" i="6"/>
  <c r="AK372" i="6"/>
  <c r="AJ372" i="6"/>
  <c r="AI372" i="6"/>
  <c r="AH372" i="6"/>
  <c r="AG372" i="6"/>
  <c r="AF372" i="6"/>
  <c r="O372" i="6"/>
  <c r="P372" i="6" s="1"/>
  <c r="AP371" i="6"/>
  <c r="AO371" i="6"/>
  <c r="AL371" i="6"/>
  <c r="AK371" i="6"/>
  <c r="AJ371" i="6"/>
  <c r="AI371" i="6"/>
  <c r="AH371" i="6"/>
  <c r="AG371" i="6"/>
  <c r="AF371" i="6"/>
  <c r="O371" i="6"/>
  <c r="P371" i="6" s="1"/>
  <c r="AP370" i="6"/>
  <c r="AO370" i="6"/>
  <c r="AL370" i="6"/>
  <c r="AK370" i="6"/>
  <c r="AJ370" i="6"/>
  <c r="AI370" i="6"/>
  <c r="AH370" i="6"/>
  <c r="AG370" i="6"/>
  <c r="AF370" i="6"/>
  <c r="O370" i="6"/>
  <c r="P370" i="6" s="1"/>
  <c r="AP369" i="6"/>
  <c r="AO369" i="6"/>
  <c r="AL369" i="6"/>
  <c r="AK369" i="6"/>
  <c r="AJ369" i="6"/>
  <c r="AI369" i="6"/>
  <c r="AH369" i="6"/>
  <c r="AG369" i="6"/>
  <c r="AF369" i="6"/>
  <c r="O369" i="6"/>
  <c r="P369" i="6" s="1"/>
  <c r="AP368" i="6"/>
  <c r="AO368" i="6"/>
  <c r="AL368" i="6"/>
  <c r="AK368" i="6"/>
  <c r="AJ368" i="6"/>
  <c r="AI368" i="6"/>
  <c r="AH368" i="6"/>
  <c r="AG368" i="6"/>
  <c r="AF368" i="6"/>
  <c r="O368" i="6"/>
  <c r="P368" i="6" s="1"/>
  <c r="AP367" i="6"/>
  <c r="AO367" i="6"/>
  <c r="AL367" i="6"/>
  <c r="AK367" i="6"/>
  <c r="AJ367" i="6"/>
  <c r="AI367" i="6"/>
  <c r="AH367" i="6"/>
  <c r="AG367" i="6"/>
  <c r="AF367" i="6"/>
  <c r="O367" i="6"/>
  <c r="P367" i="6" s="1"/>
  <c r="AP366" i="6"/>
  <c r="AO366" i="6"/>
  <c r="AL366" i="6"/>
  <c r="AK366" i="6"/>
  <c r="AJ366" i="6"/>
  <c r="AI366" i="6"/>
  <c r="AH366" i="6"/>
  <c r="AG366" i="6"/>
  <c r="AF366" i="6"/>
  <c r="O366" i="6"/>
  <c r="P366" i="6" s="1"/>
  <c r="AP365" i="6"/>
  <c r="AO365" i="6"/>
  <c r="AL365" i="6"/>
  <c r="AK365" i="6"/>
  <c r="AJ365" i="6"/>
  <c r="AI365" i="6"/>
  <c r="AH365" i="6"/>
  <c r="AG365" i="6"/>
  <c r="AF365" i="6"/>
  <c r="O365" i="6"/>
  <c r="P365" i="6" s="1"/>
  <c r="AP364" i="6"/>
  <c r="AO364" i="6"/>
  <c r="AL364" i="6"/>
  <c r="AK364" i="6"/>
  <c r="AJ364" i="6"/>
  <c r="AI364" i="6"/>
  <c r="AH364" i="6"/>
  <c r="AG364" i="6"/>
  <c r="AF364" i="6"/>
  <c r="O364" i="6"/>
  <c r="P364" i="6" s="1"/>
  <c r="AP363" i="6"/>
  <c r="AO363" i="6"/>
  <c r="AL363" i="6"/>
  <c r="AK363" i="6"/>
  <c r="AJ363" i="6"/>
  <c r="AI363" i="6"/>
  <c r="AH363" i="6"/>
  <c r="AG363" i="6"/>
  <c r="AF363" i="6"/>
  <c r="O363" i="6"/>
  <c r="P363" i="6" s="1"/>
  <c r="AP362" i="6"/>
  <c r="AO362" i="6"/>
  <c r="AL362" i="6"/>
  <c r="AK362" i="6"/>
  <c r="AJ362" i="6"/>
  <c r="AI362" i="6"/>
  <c r="AH362" i="6"/>
  <c r="AG362" i="6"/>
  <c r="AF362" i="6"/>
  <c r="O362" i="6"/>
  <c r="P362" i="6" s="1"/>
  <c r="AP361" i="6"/>
  <c r="AO361" i="6"/>
  <c r="AL361" i="6"/>
  <c r="AK361" i="6"/>
  <c r="AJ361" i="6"/>
  <c r="AI361" i="6"/>
  <c r="AH361" i="6"/>
  <c r="AG361" i="6"/>
  <c r="AF361" i="6"/>
  <c r="O361" i="6"/>
  <c r="P361" i="6" s="1"/>
  <c r="AP360" i="6"/>
  <c r="AO360" i="6"/>
  <c r="AL360" i="6"/>
  <c r="AK360" i="6"/>
  <c r="AJ360" i="6"/>
  <c r="AI360" i="6"/>
  <c r="AH360" i="6"/>
  <c r="AG360" i="6"/>
  <c r="AF360" i="6"/>
  <c r="O360" i="6"/>
  <c r="P360" i="6" s="1"/>
  <c r="AP359" i="6"/>
  <c r="AO359" i="6"/>
  <c r="AL359" i="6"/>
  <c r="AK359" i="6"/>
  <c r="AJ359" i="6"/>
  <c r="AI359" i="6"/>
  <c r="AH359" i="6"/>
  <c r="AG359" i="6"/>
  <c r="AF359" i="6"/>
  <c r="O359" i="6"/>
  <c r="P359" i="6" s="1"/>
  <c r="AP358" i="6"/>
  <c r="AO358" i="6"/>
  <c r="AL358" i="6"/>
  <c r="AK358" i="6"/>
  <c r="AJ358" i="6"/>
  <c r="AI358" i="6"/>
  <c r="AH358" i="6"/>
  <c r="AG358" i="6"/>
  <c r="AF358" i="6"/>
  <c r="O358" i="6"/>
  <c r="P358" i="6" s="1"/>
  <c r="AP357" i="6"/>
  <c r="AO357" i="6"/>
  <c r="AL357" i="6"/>
  <c r="AK357" i="6"/>
  <c r="AJ357" i="6"/>
  <c r="AI357" i="6"/>
  <c r="AH357" i="6"/>
  <c r="AG357" i="6"/>
  <c r="AF357" i="6"/>
  <c r="O357" i="6"/>
  <c r="P357" i="6" s="1"/>
  <c r="AP356" i="6"/>
  <c r="AO356" i="6"/>
  <c r="AL356" i="6"/>
  <c r="AK356" i="6"/>
  <c r="AJ356" i="6"/>
  <c r="AI356" i="6"/>
  <c r="AH356" i="6"/>
  <c r="AG356" i="6"/>
  <c r="AF356" i="6"/>
  <c r="O356" i="6"/>
  <c r="P356" i="6" s="1"/>
  <c r="AP355" i="6"/>
  <c r="AO355" i="6"/>
  <c r="AL355" i="6"/>
  <c r="AK355" i="6"/>
  <c r="AJ355" i="6"/>
  <c r="AI355" i="6"/>
  <c r="AH355" i="6"/>
  <c r="AG355" i="6"/>
  <c r="AF355" i="6"/>
  <c r="O355" i="6"/>
  <c r="P355" i="6" s="1"/>
  <c r="AP354" i="6"/>
  <c r="AO354" i="6"/>
  <c r="AL354" i="6"/>
  <c r="AK354" i="6"/>
  <c r="AJ354" i="6"/>
  <c r="AI354" i="6"/>
  <c r="AH354" i="6"/>
  <c r="AG354" i="6"/>
  <c r="AF354" i="6"/>
  <c r="O354" i="6"/>
  <c r="P354" i="6" s="1"/>
  <c r="AP353" i="6"/>
  <c r="AO353" i="6"/>
  <c r="AL353" i="6"/>
  <c r="AK353" i="6"/>
  <c r="AJ353" i="6"/>
  <c r="AI353" i="6"/>
  <c r="AH353" i="6"/>
  <c r="AG353" i="6"/>
  <c r="AF353" i="6"/>
  <c r="O353" i="6"/>
  <c r="P353" i="6" s="1"/>
  <c r="AP352" i="6"/>
  <c r="AO352" i="6"/>
  <c r="AL352" i="6"/>
  <c r="AK352" i="6"/>
  <c r="AJ352" i="6"/>
  <c r="AI352" i="6"/>
  <c r="AH352" i="6"/>
  <c r="AG352" i="6"/>
  <c r="AF352" i="6"/>
  <c r="O352" i="6"/>
  <c r="P352" i="6" s="1"/>
  <c r="AP351" i="6"/>
  <c r="AO351" i="6"/>
  <c r="AL351" i="6"/>
  <c r="AK351" i="6"/>
  <c r="AJ351" i="6"/>
  <c r="AI351" i="6"/>
  <c r="AH351" i="6"/>
  <c r="AG351" i="6"/>
  <c r="AF351" i="6"/>
  <c r="O351" i="6"/>
  <c r="P351" i="6" s="1"/>
  <c r="AP350" i="6"/>
  <c r="AO350" i="6"/>
  <c r="AL350" i="6"/>
  <c r="AK350" i="6"/>
  <c r="AJ350" i="6"/>
  <c r="AI350" i="6"/>
  <c r="AH350" i="6"/>
  <c r="AG350" i="6"/>
  <c r="AF350" i="6"/>
  <c r="O350" i="6"/>
  <c r="P350" i="6" s="1"/>
  <c r="AP349" i="6"/>
  <c r="AO349" i="6"/>
  <c r="AL349" i="6"/>
  <c r="AK349" i="6"/>
  <c r="AJ349" i="6"/>
  <c r="AI349" i="6"/>
  <c r="AH349" i="6"/>
  <c r="AG349" i="6"/>
  <c r="AF349" i="6"/>
  <c r="O349" i="6"/>
  <c r="P349" i="6" s="1"/>
  <c r="AP348" i="6"/>
  <c r="AO348" i="6"/>
  <c r="AL348" i="6"/>
  <c r="AK348" i="6"/>
  <c r="AJ348" i="6"/>
  <c r="AI348" i="6"/>
  <c r="AH348" i="6"/>
  <c r="AG348" i="6"/>
  <c r="AF348" i="6"/>
  <c r="O348" i="6"/>
  <c r="P348" i="6" s="1"/>
  <c r="AP347" i="6"/>
  <c r="AO347" i="6"/>
  <c r="AL347" i="6"/>
  <c r="AK347" i="6"/>
  <c r="AJ347" i="6"/>
  <c r="AI347" i="6"/>
  <c r="AH347" i="6"/>
  <c r="AG347" i="6"/>
  <c r="AF347" i="6"/>
  <c r="O347" i="6"/>
  <c r="P347" i="6" s="1"/>
  <c r="AP346" i="6"/>
  <c r="AO346" i="6"/>
  <c r="AL346" i="6"/>
  <c r="AK346" i="6"/>
  <c r="AJ346" i="6"/>
  <c r="AI346" i="6"/>
  <c r="AH346" i="6"/>
  <c r="AG346" i="6"/>
  <c r="AF346" i="6"/>
  <c r="O346" i="6"/>
  <c r="P346" i="6" s="1"/>
  <c r="AP345" i="6"/>
  <c r="AO345" i="6"/>
  <c r="AL345" i="6"/>
  <c r="AK345" i="6"/>
  <c r="AJ345" i="6"/>
  <c r="AI345" i="6"/>
  <c r="AH345" i="6"/>
  <c r="AG345" i="6"/>
  <c r="AF345" i="6"/>
  <c r="O345" i="6"/>
  <c r="P345" i="6" s="1"/>
  <c r="AP344" i="6"/>
  <c r="AO344" i="6"/>
  <c r="AL344" i="6"/>
  <c r="AK344" i="6"/>
  <c r="AJ344" i="6"/>
  <c r="AI344" i="6"/>
  <c r="AH344" i="6"/>
  <c r="AG344" i="6"/>
  <c r="AF344" i="6"/>
  <c r="O344" i="6"/>
  <c r="P344" i="6" s="1"/>
  <c r="AP343" i="6"/>
  <c r="AO343" i="6"/>
  <c r="AL343" i="6"/>
  <c r="AK343" i="6"/>
  <c r="AJ343" i="6"/>
  <c r="AI343" i="6"/>
  <c r="AH343" i="6"/>
  <c r="AG343" i="6"/>
  <c r="AF343" i="6"/>
  <c r="O343" i="6"/>
  <c r="P343" i="6" s="1"/>
  <c r="AP342" i="6"/>
  <c r="AO342" i="6"/>
  <c r="AL342" i="6"/>
  <c r="AK342" i="6"/>
  <c r="AJ342" i="6"/>
  <c r="AI342" i="6"/>
  <c r="AH342" i="6"/>
  <c r="AG342" i="6"/>
  <c r="AF342" i="6"/>
  <c r="O342" i="6"/>
  <c r="P342" i="6" s="1"/>
  <c r="AP341" i="6"/>
  <c r="AO341" i="6"/>
  <c r="AL341" i="6"/>
  <c r="AK341" i="6"/>
  <c r="AJ341" i="6"/>
  <c r="AI341" i="6"/>
  <c r="AH341" i="6"/>
  <c r="AG341" i="6"/>
  <c r="AF341" i="6"/>
  <c r="O341" i="6"/>
  <c r="P341" i="6" s="1"/>
  <c r="AP340" i="6"/>
  <c r="AO340" i="6"/>
  <c r="AL340" i="6"/>
  <c r="AK340" i="6"/>
  <c r="AJ340" i="6"/>
  <c r="AI340" i="6"/>
  <c r="AH340" i="6"/>
  <c r="AG340" i="6"/>
  <c r="AF340" i="6"/>
  <c r="O340" i="6"/>
  <c r="P340" i="6" s="1"/>
  <c r="AP339" i="6"/>
  <c r="AO339" i="6"/>
  <c r="AL339" i="6"/>
  <c r="AK339" i="6"/>
  <c r="AJ339" i="6"/>
  <c r="AI339" i="6"/>
  <c r="AH339" i="6"/>
  <c r="AG339" i="6"/>
  <c r="AF339" i="6"/>
  <c r="O339" i="6"/>
  <c r="P339" i="6" s="1"/>
  <c r="AP338" i="6"/>
  <c r="AO338" i="6"/>
  <c r="AL338" i="6"/>
  <c r="AK338" i="6"/>
  <c r="AJ338" i="6"/>
  <c r="AI338" i="6"/>
  <c r="AH338" i="6"/>
  <c r="AG338" i="6"/>
  <c r="AF338" i="6"/>
  <c r="O338" i="6"/>
  <c r="P338" i="6" s="1"/>
  <c r="AP337" i="6"/>
  <c r="AO337" i="6"/>
  <c r="AL337" i="6"/>
  <c r="AK337" i="6"/>
  <c r="AJ337" i="6"/>
  <c r="AI337" i="6"/>
  <c r="AH337" i="6"/>
  <c r="AG337" i="6"/>
  <c r="AF337" i="6"/>
  <c r="O337" i="6"/>
  <c r="P337" i="6" s="1"/>
  <c r="AP336" i="6"/>
  <c r="AO336" i="6"/>
  <c r="AL336" i="6"/>
  <c r="AK336" i="6"/>
  <c r="AJ336" i="6"/>
  <c r="AI336" i="6"/>
  <c r="AH336" i="6"/>
  <c r="AG336" i="6"/>
  <c r="AF336" i="6"/>
  <c r="O336" i="6"/>
  <c r="P336" i="6" s="1"/>
  <c r="AP335" i="6"/>
  <c r="AO335" i="6"/>
  <c r="AL335" i="6"/>
  <c r="AK335" i="6"/>
  <c r="AJ335" i="6"/>
  <c r="AI335" i="6"/>
  <c r="AH335" i="6"/>
  <c r="AG335" i="6"/>
  <c r="AF335" i="6"/>
  <c r="O335" i="6"/>
  <c r="P335" i="6" s="1"/>
  <c r="AP334" i="6"/>
  <c r="AO334" i="6"/>
  <c r="AL334" i="6"/>
  <c r="AK334" i="6"/>
  <c r="AJ334" i="6"/>
  <c r="AI334" i="6"/>
  <c r="AH334" i="6"/>
  <c r="AG334" i="6"/>
  <c r="AF334" i="6"/>
  <c r="O334" i="6"/>
  <c r="P334" i="6" s="1"/>
  <c r="AP333" i="6"/>
  <c r="AO333" i="6"/>
  <c r="AL333" i="6"/>
  <c r="AK333" i="6"/>
  <c r="AJ333" i="6"/>
  <c r="AI333" i="6"/>
  <c r="AH333" i="6"/>
  <c r="AG333" i="6"/>
  <c r="AF333" i="6"/>
  <c r="O333" i="6"/>
  <c r="P333" i="6" s="1"/>
  <c r="AP332" i="6"/>
  <c r="AO332" i="6"/>
  <c r="AL332" i="6"/>
  <c r="AK332" i="6"/>
  <c r="AJ332" i="6"/>
  <c r="AI332" i="6"/>
  <c r="AH332" i="6"/>
  <c r="AG332" i="6"/>
  <c r="AF332" i="6"/>
  <c r="O332" i="6"/>
  <c r="P332" i="6" s="1"/>
  <c r="AP331" i="6"/>
  <c r="AO331" i="6"/>
  <c r="AL331" i="6"/>
  <c r="AK331" i="6"/>
  <c r="AJ331" i="6"/>
  <c r="AI331" i="6"/>
  <c r="AH331" i="6"/>
  <c r="AG331" i="6"/>
  <c r="AF331" i="6"/>
  <c r="O331" i="6"/>
  <c r="P331" i="6" s="1"/>
  <c r="AP330" i="6"/>
  <c r="AO330" i="6"/>
  <c r="AL330" i="6"/>
  <c r="AK330" i="6"/>
  <c r="AJ330" i="6"/>
  <c r="AI330" i="6"/>
  <c r="AH330" i="6"/>
  <c r="AG330" i="6"/>
  <c r="AF330" i="6"/>
  <c r="O330" i="6"/>
  <c r="P330" i="6" s="1"/>
  <c r="AP329" i="6"/>
  <c r="AO329" i="6"/>
  <c r="AL329" i="6"/>
  <c r="AK329" i="6"/>
  <c r="AJ329" i="6"/>
  <c r="AI329" i="6"/>
  <c r="AH329" i="6"/>
  <c r="AG329" i="6"/>
  <c r="AF329" i="6"/>
  <c r="O329" i="6"/>
  <c r="P329" i="6" s="1"/>
  <c r="AP328" i="6"/>
  <c r="AO328" i="6"/>
  <c r="AL328" i="6"/>
  <c r="AK328" i="6"/>
  <c r="AJ328" i="6"/>
  <c r="AI328" i="6"/>
  <c r="AH328" i="6"/>
  <c r="AG328" i="6"/>
  <c r="AF328" i="6"/>
  <c r="O328" i="6"/>
  <c r="P328" i="6" s="1"/>
  <c r="AP327" i="6"/>
  <c r="AO327" i="6"/>
  <c r="AL327" i="6"/>
  <c r="AK327" i="6"/>
  <c r="AJ327" i="6"/>
  <c r="AI327" i="6"/>
  <c r="AH327" i="6"/>
  <c r="AG327" i="6"/>
  <c r="AF327" i="6"/>
  <c r="O327" i="6"/>
  <c r="P327" i="6" s="1"/>
  <c r="AP326" i="6"/>
  <c r="AO326" i="6"/>
  <c r="AL326" i="6"/>
  <c r="AK326" i="6"/>
  <c r="AJ326" i="6"/>
  <c r="AI326" i="6"/>
  <c r="AH326" i="6"/>
  <c r="AG326" i="6"/>
  <c r="AF326" i="6"/>
  <c r="O326" i="6"/>
  <c r="P326" i="6" s="1"/>
  <c r="AP325" i="6"/>
  <c r="AO325" i="6"/>
  <c r="AL325" i="6"/>
  <c r="AK325" i="6"/>
  <c r="AJ325" i="6"/>
  <c r="AI325" i="6"/>
  <c r="AH325" i="6"/>
  <c r="AG325" i="6"/>
  <c r="AF325" i="6"/>
  <c r="O325" i="6"/>
  <c r="P325" i="6" s="1"/>
  <c r="AP324" i="6"/>
  <c r="AO324" i="6"/>
  <c r="AL324" i="6"/>
  <c r="AK324" i="6"/>
  <c r="AJ324" i="6"/>
  <c r="AI324" i="6"/>
  <c r="AH324" i="6"/>
  <c r="AG324" i="6"/>
  <c r="AF324" i="6"/>
  <c r="O324" i="6"/>
  <c r="P324" i="6" s="1"/>
  <c r="AP323" i="6"/>
  <c r="AO323" i="6"/>
  <c r="AL323" i="6"/>
  <c r="AK323" i="6"/>
  <c r="AJ323" i="6"/>
  <c r="AI323" i="6"/>
  <c r="AH323" i="6"/>
  <c r="AG323" i="6"/>
  <c r="AF323" i="6"/>
  <c r="O323" i="6"/>
  <c r="P323" i="6" s="1"/>
  <c r="AP322" i="6"/>
  <c r="AO322" i="6"/>
  <c r="AL322" i="6"/>
  <c r="AK322" i="6"/>
  <c r="AJ322" i="6"/>
  <c r="AI322" i="6"/>
  <c r="AH322" i="6"/>
  <c r="AG322" i="6"/>
  <c r="AF322" i="6"/>
  <c r="O322" i="6"/>
  <c r="P322" i="6" s="1"/>
  <c r="AP321" i="6"/>
  <c r="AO321" i="6"/>
  <c r="AL321" i="6"/>
  <c r="AK321" i="6"/>
  <c r="AJ321" i="6"/>
  <c r="AI321" i="6"/>
  <c r="AH321" i="6"/>
  <c r="AG321" i="6"/>
  <c r="AF321" i="6"/>
  <c r="O321" i="6"/>
  <c r="P321" i="6" s="1"/>
  <c r="AP320" i="6"/>
  <c r="AO320" i="6"/>
  <c r="AL320" i="6"/>
  <c r="AK320" i="6"/>
  <c r="AJ320" i="6"/>
  <c r="AI320" i="6"/>
  <c r="AH320" i="6"/>
  <c r="AG320" i="6"/>
  <c r="AF320" i="6"/>
  <c r="O320" i="6"/>
  <c r="P320" i="6" s="1"/>
  <c r="AP319" i="6"/>
  <c r="AO319" i="6"/>
  <c r="AL319" i="6"/>
  <c r="AK319" i="6"/>
  <c r="AJ319" i="6"/>
  <c r="AI319" i="6"/>
  <c r="AH319" i="6"/>
  <c r="AG319" i="6"/>
  <c r="AF319" i="6"/>
  <c r="O319" i="6"/>
  <c r="P319" i="6" s="1"/>
  <c r="AP318" i="6"/>
  <c r="AO318" i="6"/>
  <c r="AL318" i="6"/>
  <c r="AK318" i="6"/>
  <c r="AJ318" i="6"/>
  <c r="AI318" i="6"/>
  <c r="AH318" i="6"/>
  <c r="AG318" i="6"/>
  <c r="AF318" i="6"/>
  <c r="O318" i="6"/>
  <c r="P318" i="6" s="1"/>
  <c r="AP317" i="6"/>
  <c r="AO317" i="6"/>
  <c r="AL317" i="6"/>
  <c r="AK317" i="6"/>
  <c r="AJ317" i="6"/>
  <c r="AI317" i="6"/>
  <c r="AH317" i="6"/>
  <c r="AG317" i="6"/>
  <c r="AF317" i="6"/>
  <c r="O317" i="6"/>
  <c r="P317" i="6" s="1"/>
  <c r="AP316" i="6"/>
  <c r="AO316" i="6"/>
  <c r="AL316" i="6"/>
  <c r="AK316" i="6"/>
  <c r="AJ316" i="6"/>
  <c r="AI316" i="6"/>
  <c r="AH316" i="6"/>
  <c r="AG316" i="6"/>
  <c r="AF316" i="6"/>
  <c r="O316" i="6"/>
  <c r="P316" i="6" s="1"/>
  <c r="AP315" i="6"/>
  <c r="AO315" i="6"/>
  <c r="AL315" i="6"/>
  <c r="AK315" i="6"/>
  <c r="AJ315" i="6"/>
  <c r="AI315" i="6"/>
  <c r="AH315" i="6"/>
  <c r="AG315" i="6"/>
  <c r="AF315" i="6"/>
  <c r="O315" i="6"/>
  <c r="P315" i="6" s="1"/>
  <c r="AP314" i="6"/>
  <c r="AO314" i="6"/>
  <c r="AL314" i="6"/>
  <c r="AK314" i="6"/>
  <c r="AJ314" i="6"/>
  <c r="AI314" i="6"/>
  <c r="AH314" i="6"/>
  <c r="AG314" i="6"/>
  <c r="AF314" i="6"/>
  <c r="O314" i="6"/>
  <c r="P314" i="6" s="1"/>
  <c r="AP313" i="6"/>
  <c r="AO313" i="6"/>
  <c r="AL313" i="6"/>
  <c r="AK313" i="6"/>
  <c r="AJ313" i="6"/>
  <c r="AI313" i="6"/>
  <c r="AH313" i="6"/>
  <c r="AG313" i="6"/>
  <c r="AF313" i="6"/>
  <c r="O313" i="6"/>
  <c r="P313" i="6" s="1"/>
  <c r="AP312" i="6"/>
  <c r="AO312" i="6"/>
  <c r="AL312" i="6"/>
  <c r="AK312" i="6"/>
  <c r="AJ312" i="6"/>
  <c r="AI312" i="6"/>
  <c r="AH312" i="6"/>
  <c r="AG312" i="6"/>
  <c r="AF312" i="6"/>
  <c r="O312" i="6"/>
  <c r="P312" i="6" s="1"/>
  <c r="AP311" i="6"/>
  <c r="AO311" i="6"/>
  <c r="AL311" i="6"/>
  <c r="AK311" i="6"/>
  <c r="AJ311" i="6"/>
  <c r="AI311" i="6"/>
  <c r="AH311" i="6"/>
  <c r="AG311" i="6"/>
  <c r="AF311" i="6"/>
  <c r="O311" i="6"/>
  <c r="P311" i="6" s="1"/>
  <c r="AP310" i="6"/>
  <c r="AO310" i="6"/>
  <c r="AL310" i="6"/>
  <c r="AK310" i="6"/>
  <c r="AJ310" i="6"/>
  <c r="AI310" i="6"/>
  <c r="AH310" i="6"/>
  <c r="AG310" i="6"/>
  <c r="AF310" i="6"/>
  <c r="O310" i="6"/>
  <c r="P310" i="6" s="1"/>
  <c r="AP309" i="6"/>
  <c r="AO309" i="6"/>
  <c r="AL309" i="6"/>
  <c r="AK309" i="6"/>
  <c r="AJ309" i="6"/>
  <c r="AI309" i="6"/>
  <c r="AH309" i="6"/>
  <c r="AG309" i="6"/>
  <c r="AF309" i="6"/>
  <c r="O309" i="6"/>
  <c r="P309" i="6" s="1"/>
  <c r="AP308" i="6"/>
  <c r="AO308" i="6"/>
  <c r="AL308" i="6"/>
  <c r="AK308" i="6"/>
  <c r="AJ308" i="6"/>
  <c r="AI308" i="6"/>
  <c r="AH308" i="6"/>
  <c r="AG308" i="6"/>
  <c r="AF308" i="6"/>
  <c r="O308" i="6"/>
  <c r="P308" i="6" s="1"/>
  <c r="AP307" i="6"/>
  <c r="AO307" i="6"/>
  <c r="AL307" i="6"/>
  <c r="AK307" i="6"/>
  <c r="AJ307" i="6"/>
  <c r="AI307" i="6"/>
  <c r="AH307" i="6"/>
  <c r="AG307" i="6"/>
  <c r="AF307" i="6"/>
  <c r="O307" i="6"/>
  <c r="P307" i="6" s="1"/>
  <c r="AP306" i="6"/>
  <c r="AO306" i="6"/>
  <c r="AL306" i="6"/>
  <c r="AK306" i="6"/>
  <c r="AJ306" i="6"/>
  <c r="AI306" i="6"/>
  <c r="AH306" i="6"/>
  <c r="AG306" i="6"/>
  <c r="AF306" i="6"/>
  <c r="O306" i="6"/>
  <c r="P306" i="6" s="1"/>
  <c r="AP305" i="6"/>
  <c r="AO305" i="6"/>
  <c r="AL305" i="6"/>
  <c r="AK305" i="6"/>
  <c r="AJ305" i="6"/>
  <c r="AI305" i="6"/>
  <c r="AH305" i="6"/>
  <c r="AG305" i="6"/>
  <c r="AF305" i="6"/>
  <c r="O305" i="6"/>
  <c r="P305" i="6" s="1"/>
  <c r="AP304" i="6"/>
  <c r="AO304" i="6"/>
  <c r="AL304" i="6"/>
  <c r="AK304" i="6"/>
  <c r="AJ304" i="6"/>
  <c r="AI304" i="6"/>
  <c r="AH304" i="6"/>
  <c r="AG304" i="6"/>
  <c r="AF304" i="6"/>
  <c r="O304" i="6"/>
  <c r="P304" i="6" s="1"/>
  <c r="AP303" i="6"/>
  <c r="AO303" i="6"/>
  <c r="AL303" i="6"/>
  <c r="AK303" i="6"/>
  <c r="AJ303" i="6"/>
  <c r="AI303" i="6"/>
  <c r="AH303" i="6"/>
  <c r="AG303" i="6"/>
  <c r="AF303" i="6"/>
  <c r="O303" i="6"/>
  <c r="P303" i="6" s="1"/>
  <c r="AP302" i="6"/>
  <c r="AO302" i="6"/>
  <c r="AL302" i="6"/>
  <c r="AK302" i="6"/>
  <c r="AJ302" i="6"/>
  <c r="AI302" i="6"/>
  <c r="AH302" i="6"/>
  <c r="AG302" i="6"/>
  <c r="AF302" i="6"/>
  <c r="O302" i="6"/>
  <c r="P302" i="6" s="1"/>
  <c r="AP301" i="6"/>
  <c r="AO301" i="6"/>
  <c r="AL301" i="6"/>
  <c r="AK301" i="6"/>
  <c r="AJ301" i="6"/>
  <c r="AI301" i="6"/>
  <c r="AH301" i="6"/>
  <c r="AG301" i="6"/>
  <c r="AF301" i="6"/>
  <c r="O301" i="6"/>
  <c r="P301" i="6" s="1"/>
  <c r="AP300" i="6"/>
  <c r="AO300" i="6"/>
  <c r="AL300" i="6"/>
  <c r="AK300" i="6"/>
  <c r="AJ300" i="6"/>
  <c r="AI300" i="6"/>
  <c r="AH300" i="6"/>
  <c r="AG300" i="6"/>
  <c r="AF300" i="6"/>
  <c r="O300" i="6"/>
  <c r="P300" i="6" s="1"/>
  <c r="AP299" i="6"/>
  <c r="AO299" i="6"/>
  <c r="AL299" i="6"/>
  <c r="AK299" i="6"/>
  <c r="AJ299" i="6"/>
  <c r="AI299" i="6"/>
  <c r="AH299" i="6"/>
  <c r="AG299" i="6"/>
  <c r="AF299" i="6"/>
  <c r="O299" i="6"/>
  <c r="P299" i="6" s="1"/>
  <c r="AP298" i="6"/>
  <c r="AO298" i="6"/>
  <c r="AL298" i="6"/>
  <c r="AK298" i="6"/>
  <c r="AJ298" i="6"/>
  <c r="AI298" i="6"/>
  <c r="AH298" i="6"/>
  <c r="AG298" i="6"/>
  <c r="AF298" i="6"/>
  <c r="O298" i="6"/>
  <c r="P298" i="6" s="1"/>
  <c r="AP297" i="6"/>
  <c r="AO297" i="6"/>
  <c r="AL297" i="6"/>
  <c r="AK297" i="6"/>
  <c r="AJ297" i="6"/>
  <c r="AI297" i="6"/>
  <c r="AH297" i="6"/>
  <c r="AG297" i="6"/>
  <c r="AF297" i="6"/>
  <c r="O297" i="6"/>
  <c r="P297" i="6" s="1"/>
  <c r="AP296" i="6"/>
  <c r="AO296" i="6"/>
  <c r="AL296" i="6"/>
  <c r="AK296" i="6"/>
  <c r="AJ296" i="6"/>
  <c r="AI296" i="6"/>
  <c r="AH296" i="6"/>
  <c r="AG296" i="6"/>
  <c r="AF296" i="6"/>
  <c r="O296" i="6"/>
  <c r="P296" i="6" s="1"/>
  <c r="AP295" i="6"/>
  <c r="AO295" i="6"/>
  <c r="AL295" i="6"/>
  <c r="AK295" i="6"/>
  <c r="AJ295" i="6"/>
  <c r="AI295" i="6"/>
  <c r="AH295" i="6"/>
  <c r="AG295" i="6"/>
  <c r="AF295" i="6"/>
  <c r="O295" i="6"/>
  <c r="P295" i="6" s="1"/>
  <c r="AP294" i="6"/>
  <c r="AO294" i="6"/>
  <c r="AL294" i="6"/>
  <c r="AK294" i="6"/>
  <c r="AJ294" i="6"/>
  <c r="AI294" i="6"/>
  <c r="AH294" i="6"/>
  <c r="AG294" i="6"/>
  <c r="AF294" i="6"/>
  <c r="O294" i="6"/>
  <c r="P294" i="6" s="1"/>
  <c r="AP293" i="6"/>
  <c r="AO293" i="6"/>
  <c r="AL293" i="6"/>
  <c r="AK293" i="6"/>
  <c r="AJ293" i="6"/>
  <c r="AI293" i="6"/>
  <c r="AH293" i="6"/>
  <c r="AG293" i="6"/>
  <c r="AF293" i="6"/>
  <c r="O293" i="6"/>
  <c r="P293" i="6" s="1"/>
  <c r="AP292" i="6"/>
  <c r="AO292" i="6"/>
  <c r="AL292" i="6"/>
  <c r="AK292" i="6"/>
  <c r="AJ292" i="6"/>
  <c r="AI292" i="6"/>
  <c r="AH292" i="6"/>
  <c r="AG292" i="6"/>
  <c r="AF292" i="6"/>
  <c r="O292" i="6"/>
  <c r="P292" i="6" s="1"/>
  <c r="AP291" i="6"/>
  <c r="AO291" i="6"/>
  <c r="AL291" i="6"/>
  <c r="AK291" i="6"/>
  <c r="AJ291" i="6"/>
  <c r="AI291" i="6"/>
  <c r="AH291" i="6"/>
  <c r="AG291" i="6"/>
  <c r="AF291" i="6"/>
  <c r="O291" i="6"/>
  <c r="P291" i="6" s="1"/>
  <c r="AP290" i="6"/>
  <c r="AO290" i="6"/>
  <c r="AL290" i="6"/>
  <c r="AK290" i="6"/>
  <c r="AJ290" i="6"/>
  <c r="AI290" i="6"/>
  <c r="AH290" i="6"/>
  <c r="AG290" i="6"/>
  <c r="AF290" i="6"/>
  <c r="O290" i="6"/>
  <c r="P290" i="6" s="1"/>
  <c r="AP289" i="6"/>
  <c r="AO289" i="6"/>
  <c r="AL289" i="6"/>
  <c r="AK289" i="6"/>
  <c r="AJ289" i="6"/>
  <c r="AI289" i="6"/>
  <c r="AH289" i="6"/>
  <c r="AG289" i="6"/>
  <c r="AF289" i="6"/>
  <c r="O289" i="6"/>
  <c r="P289" i="6" s="1"/>
  <c r="AP288" i="6"/>
  <c r="AO288" i="6"/>
  <c r="AL288" i="6"/>
  <c r="AK288" i="6"/>
  <c r="AJ288" i="6"/>
  <c r="AI288" i="6"/>
  <c r="AH288" i="6"/>
  <c r="AG288" i="6"/>
  <c r="AF288" i="6"/>
  <c r="O288" i="6"/>
  <c r="P288" i="6" s="1"/>
  <c r="AP287" i="6"/>
  <c r="AO287" i="6"/>
  <c r="AL287" i="6"/>
  <c r="AK287" i="6"/>
  <c r="AJ287" i="6"/>
  <c r="AI287" i="6"/>
  <c r="AH287" i="6"/>
  <c r="AG287" i="6"/>
  <c r="AF287" i="6"/>
  <c r="O287" i="6"/>
  <c r="P287" i="6" s="1"/>
  <c r="AP286" i="6"/>
  <c r="AO286" i="6"/>
  <c r="AL286" i="6"/>
  <c r="AK286" i="6"/>
  <c r="AJ286" i="6"/>
  <c r="AI286" i="6"/>
  <c r="AH286" i="6"/>
  <c r="AG286" i="6"/>
  <c r="AF286" i="6"/>
  <c r="O286" i="6"/>
  <c r="P286" i="6" s="1"/>
  <c r="AP285" i="6"/>
  <c r="AO285" i="6"/>
  <c r="AL285" i="6"/>
  <c r="AK285" i="6"/>
  <c r="AJ285" i="6"/>
  <c r="AI285" i="6"/>
  <c r="AH285" i="6"/>
  <c r="AG285" i="6"/>
  <c r="AF285" i="6"/>
  <c r="O285" i="6"/>
  <c r="P285" i="6" s="1"/>
  <c r="AP284" i="6"/>
  <c r="AO284" i="6"/>
  <c r="AL284" i="6"/>
  <c r="AK284" i="6"/>
  <c r="AJ284" i="6"/>
  <c r="AI284" i="6"/>
  <c r="AH284" i="6"/>
  <c r="AG284" i="6"/>
  <c r="AF284" i="6"/>
  <c r="O284" i="6"/>
  <c r="P284" i="6" s="1"/>
  <c r="AP283" i="6"/>
  <c r="AO283" i="6"/>
  <c r="AL283" i="6"/>
  <c r="AK283" i="6"/>
  <c r="AJ283" i="6"/>
  <c r="AI283" i="6"/>
  <c r="AH283" i="6"/>
  <c r="AG283" i="6"/>
  <c r="AF283" i="6"/>
  <c r="O283" i="6"/>
  <c r="P283" i="6" s="1"/>
  <c r="AP282" i="6"/>
  <c r="AO282" i="6"/>
  <c r="AL282" i="6"/>
  <c r="AK282" i="6"/>
  <c r="AJ282" i="6"/>
  <c r="AI282" i="6"/>
  <c r="AH282" i="6"/>
  <c r="AG282" i="6"/>
  <c r="AF282" i="6"/>
  <c r="O282" i="6"/>
  <c r="P282" i="6" s="1"/>
  <c r="AP281" i="6"/>
  <c r="AO281" i="6"/>
  <c r="AL281" i="6"/>
  <c r="AK281" i="6"/>
  <c r="AJ281" i="6"/>
  <c r="AI281" i="6"/>
  <c r="AH281" i="6"/>
  <c r="AG281" i="6"/>
  <c r="AF281" i="6"/>
  <c r="O281" i="6"/>
  <c r="P281" i="6" s="1"/>
  <c r="AP280" i="6"/>
  <c r="AO280" i="6"/>
  <c r="AL280" i="6"/>
  <c r="AK280" i="6"/>
  <c r="AJ280" i="6"/>
  <c r="AI280" i="6"/>
  <c r="AH280" i="6"/>
  <c r="AG280" i="6"/>
  <c r="AF280" i="6"/>
  <c r="O280" i="6"/>
  <c r="P280" i="6" s="1"/>
  <c r="AP279" i="6"/>
  <c r="AO279" i="6"/>
  <c r="AL279" i="6"/>
  <c r="AK279" i="6"/>
  <c r="AJ279" i="6"/>
  <c r="AI279" i="6"/>
  <c r="AH279" i="6"/>
  <c r="AG279" i="6"/>
  <c r="AF279" i="6"/>
  <c r="O279" i="6"/>
  <c r="P279" i="6" s="1"/>
  <c r="AP278" i="6"/>
  <c r="AO278" i="6"/>
  <c r="AL278" i="6"/>
  <c r="AK278" i="6"/>
  <c r="AJ278" i="6"/>
  <c r="AI278" i="6"/>
  <c r="AH278" i="6"/>
  <c r="AG278" i="6"/>
  <c r="AF278" i="6"/>
  <c r="O278" i="6"/>
  <c r="P278" i="6" s="1"/>
  <c r="AP277" i="6"/>
  <c r="AO277" i="6"/>
  <c r="AL277" i="6"/>
  <c r="AK277" i="6"/>
  <c r="AJ277" i="6"/>
  <c r="AI277" i="6"/>
  <c r="AH277" i="6"/>
  <c r="AG277" i="6"/>
  <c r="AF277" i="6"/>
  <c r="O277" i="6"/>
  <c r="P277" i="6" s="1"/>
  <c r="AP276" i="6"/>
  <c r="AO276" i="6"/>
  <c r="AL276" i="6"/>
  <c r="AK276" i="6"/>
  <c r="AJ276" i="6"/>
  <c r="AI276" i="6"/>
  <c r="AH276" i="6"/>
  <c r="AG276" i="6"/>
  <c r="AF276" i="6"/>
  <c r="O276" i="6"/>
  <c r="P276" i="6" s="1"/>
  <c r="AP275" i="6"/>
  <c r="AO275" i="6"/>
  <c r="AL275" i="6"/>
  <c r="AK275" i="6"/>
  <c r="AJ275" i="6"/>
  <c r="AI275" i="6"/>
  <c r="AH275" i="6"/>
  <c r="AG275" i="6"/>
  <c r="AF275" i="6"/>
  <c r="O275" i="6"/>
  <c r="P275" i="6" s="1"/>
  <c r="AP274" i="6"/>
  <c r="AO274" i="6"/>
  <c r="AL274" i="6"/>
  <c r="AK274" i="6"/>
  <c r="AJ274" i="6"/>
  <c r="AI274" i="6"/>
  <c r="AH274" i="6"/>
  <c r="AG274" i="6"/>
  <c r="AF274" i="6"/>
  <c r="O274" i="6"/>
  <c r="P274" i="6" s="1"/>
  <c r="AP273" i="6"/>
  <c r="AO273" i="6"/>
  <c r="AL273" i="6"/>
  <c r="AK273" i="6"/>
  <c r="AJ273" i="6"/>
  <c r="AI273" i="6"/>
  <c r="AH273" i="6"/>
  <c r="AG273" i="6"/>
  <c r="AF273" i="6"/>
  <c r="O273" i="6"/>
  <c r="P273" i="6" s="1"/>
  <c r="AP272" i="6"/>
  <c r="AO272" i="6"/>
  <c r="AL272" i="6"/>
  <c r="AK272" i="6"/>
  <c r="AJ272" i="6"/>
  <c r="AI272" i="6"/>
  <c r="AH272" i="6"/>
  <c r="AG272" i="6"/>
  <c r="AF272" i="6"/>
  <c r="O272" i="6"/>
  <c r="P272" i="6" s="1"/>
  <c r="AP271" i="6"/>
  <c r="AO271" i="6"/>
  <c r="AL271" i="6"/>
  <c r="AK271" i="6"/>
  <c r="AJ271" i="6"/>
  <c r="AI271" i="6"/>
  <c r="AH271" i="6"/>
  <c r="AG271" i="6"/>
  <c r="AF271" i="6"/>
  <c r="O271" i="6"/>
  <c r="P271" i="6" s="1"/>
  <c r="AP270" i="6"/>
  <c r="AO270" i="6"/>
  <c r="AL270" i="6"/>
  <c r="AK270" i="6"/>
  <c r="AJ270" i="6"/>
  <c r="AI270" i="6"/>
  <c r="AH270" i="6"/>
  <c r="AG270" i="6"/>
  <c r="AF270" i="6"/>
  <c r="O270" i="6"/>
  <c r="P270" i="6" s="1"/>
  <c r="AP269" i="6"/>
  <c r="AO269" i="6"/>
  <c r="AL269" i="6"/>
  <c r="AK269" i="6"/>
  <c r="AJ269" i="6"/>
  <c r="AI269" i="6"/>
  <c r="AH269" i="6"/>
  <c r="AG269" i="6"/>
  <c r="AF269" i="6"/>
  <c r="O269" i="6"/>
  <c r="P269" i="6" s="1"/>
  <c r="AP268" i="6"/>
  <c r="AO268" i="6"/>
  <c r="AL268" i="6"/>
  <c r="AK268" i="6"/>
  <c r="AJ268" i="6"/>
  <c r="AI268" i="6"/>
  <c r="AH268" i="6"/>
  <c r="AG268" i="6"/>
  <c r="AF268" i="6"/>
  <c r="O268" i="6"/>
  <c r="P268" i="6" s="1"/>
  <c r="AP267" i="6"/>
  <c r="AO267" i="6"/>
  <c r="AL267" i="6"/>
  <c r="AK267" i="6"/>
  <c r="AJ267" i="6"/>
  <c r="AI267" i="6"/>
  <c r="AH267" i="6"/>
  <c r="AG267" i="6"/>
  <c r="AF267" i="6"/>
  <c r="O267" i="6"/>
  <c r="P267" i="6" s="1"/>
  <c r="AP266" i="6"/>
  <c r="AO266" i="6"/>
  <c r="AL266" i="6"/>
  <c r="AK266" i="6"/>
  <c r="AJ266" i="6"/>
  <c r="AI266" i="6"/>
  <c r="AH266" i="6"/>
  <c r="AG266" i="6"/>
  <c r="AF266" i="6"/>
  <c r="O266" i="6"/>
  <c r="P266" i="6" s="1"/>
  <c r="AP265" i="6"/>
  <c r="AO265" i="6"/>
  <c r="AL265" i="6"/>
  <c r="AK265" i="6"/>
  <c r="AJ265" i="6"/>
  <c r="AI265" i="6"/>
  <c r="AH265" i="6"/>
  <c r="AG265" i="6"/>
  <c r="AF265" i="6"/>
  <c r="O265" i="6"/>
  <c r="P265" i="6" s="1"/>
  <c r="AP264" i="6"/>
  <c r="AO264" i="6"/>
  <c r="AL264" i="6"/>
  <c r="AK264" i="6"/>
  <c r="AJ264" i="6"/>
  <c r="AI264" i="6"/>
  <c r="AH264" i="6"/>
  <c r="AG264" i="6"/>
  <c r="AF264" i="6"/>
  <c r="O264" i="6"/>
  <c r="P264" i="6" s="1"/>
  <c r="AP263" i="6"/>
  <c r="AO263" i="6"/>
  <c r="AL263" i="6"/>
  <c r="AK263" i="6"/>
  <c r="AJ263" i="6"/>
  <c r="AI263" i="6"/>
  <c r="AH263" i="6"/>
  <c r="AG263" i="6"/>
  <c r="AF263" i="6"/>
  <c r="O263" i="6"/>
  <c r="P263" i="6" s="1"/>
  <c r="AP262" i="6"/>
  <c r="AO262" i="6"/>
  <c r="AL262" i="6"/>
  <c r="AK262" i="6"/>
  <c r="AJ262" i="6"/>
  <c r="AI262" i="6"/>
  <c r="AH262" i="6"/>
  <c r="AG262" i="6"/>
  <c r="AF262" i="6"/>
  <c r="O262" i="6"/>
  <c r="P262" i="6" s="1"/>
  <c r="AP261" i="6"/>
  <c r="AO261" i="6"/>
  <c r="AL261" i="6"/>
  <c r="AK261" i="6"/>
  <c r="AJ261" i="6"/>
  <c r="AI261" i="6"/>
  <c r="AH261" i="6"/>
  <c r="AG261" i="6"/>
  <c r="AF261" i="6"/>
  <c r="O261" i="6"/>
  <c r="P261" i="6" s="1"/>
  <c r="AP260" i="6"/>
  <c r="AO260" i="6"/>
  <c r="AL260" i="6"/>
  <c r="AK260" i="6"/>
  <c r="AJ260" i="6"/>
  <c r="AI260" i="6"/>
  <c r="AH260" i="6"/>
  <c r="AG260" i="6"/>
  <c r="AF260" i="6"/>
  <c r="O260" i="6"/>
  <c r="P260" i="6" s="1"/>
  <c r="AP259" i="6"/>
  <c r="AO259" i="6"/>
  <c r="AL259" i="6"/>
  <c r="AK259" i="6"/>
  <c r="AJ259" i="6"/>
  <c r="AI259" i="6"/>
  <c r="AH259" i="6"/>
  <c r="AG259" i="6"/>
  <c r="AF259" i="6"/>
  <c r="O259" i="6"/>
  <c r="P259" i="6" s="1"/>
  <c r="AP258" i="6"/>
  <c r="AO258" i="6"/>
  <c r="AL258" i="6"/>
  <c r="AK258" i="6"/>
  <c r="AJ258" i="6"/>
  <c r="AI258" i="6"/>
  <c r="AH258" i="6"/>
  <c r="AG258" i="6"/>
  <c r="AF258" i="6"/>
  <c r="O258" i="6"/>
  <c r="P258" i="6" s="1"/>
  <c r="AP257" i="6"/>
  <c r="AO257" i="6"/>
  <c r="AL257" i="6"/>
  <c r="AK257" i="6"/>
  <c r="AJ257" i="6"/>
  <c r="AI257" i="6"/>
  <c r="AH257" i="6"/>
  <c r="AG257" i="6"/>
  <c r="AF257" i="6"/>
  <c r="O257" i="6"/>
  <c r="P257" i="6" s="1"/>
  <c r="AP256" i="6"/>
  <c r="AO256" i="6"/>
  <c r="AL256" i="6"/>
  <c r="AK256" i="6"/>
  <c r="AJ256" i="6"/>
  <c r="AI256" i="6"/>
  <c r="AH256" i="6"/>
  <c r="AG256" i="6"/>
  <c r="AF256" i="6"/>
  <c r="O256" i="6"/>
  <c r="P256" i="6" s="1"/>
  <c r="AP255" i="6"/>
  <c r="AO255" i="6"/>
  <c r="AL255" i="6"/>
  <c r="AK255" i="6"/>
  <c r="AJ255" i="6"/>
  <c r="AI255" i="6"/>
  <c r="AH255" i="6"/>
  <c r="AG255" i="6"/>
  <c r="AF255" i="6"/>
  <c r="O255" i="6"/>
  <c r="P255" i="6" s="1"/>
  <c r="AP254" i="6"/>
  <c r="AO254" i="6"/>
  <c r="AL254" i="6"/>
  <c r="AK254" i="6"/>
  <c r="AJ254" i="6"/>
  <c r="AI254" i="6"/>
  <c r="AH254" i="6"/>
  <c r="AG254" i="6"/>
  <c r="AF254" i="6"/>
  <c r="O254" i="6"/>
  <c r="P254" i="6" s="1"/>
  <c r="AP253" i="6"/>
  <c r="AO253" i="6"/>
  <c r="AL253" i="6"/>
  <c r="AK253" i="6"/>
  <c r="AJ253" i="6"/>
  <c r="AI253" i="6"/>
  <c r="AH253" i="6"/>
  <c r="AG253" i="6"/>
  <c r="AF253" i="6"/>
  <c r="O253" i="6"/>
  <c r="P253" i="6" s="1"/>
  <c r="AP252" i="6"/>
  <c r="AO252" i="6"/>
  <c r="AL252" i="6"/>
  <c r="AK252" i="6"/>
  <c r="AJ252" i="6"/>
  <c r="AI252" i="6"/>
  <c r="AH252" i="6"/>
  <c r="AG252" i="6"/>
  <c r="AF252" i="6"/>
  <c r="O252" i="6"/>
  <c r="P252" i="6" s="1"/>
  <c r="AP251" i="6"/>
  <c r="AO251" i="6"/>
  <c r="AL251" i="6"/>
  <c r="AK251" i="6"/>
  <c r="AJ251" i="6"/>
  <c r="AI251" i="6"/>
  <c r="AH251" i="6"/>
  <c r="AG251" i="6"/>
  <c r="AF251" i="6"/>
  <c r="O251" i="6"/>
  <c r="P251" i="6" s="1"/>
  <c r="AP250" i="6"/>
  <c r="AO250" i="6"/>
  <c r="AL250" i="6"/>
  <c r="AK250" i="6"/>
  <c r="AJ250" i="6"/>
  <c r="AI250" i="6"/>
  <c r="AH250" i="6"/>
  <c r="AG250" i="6"/>
  <c r="AF250" i="6"/>
  <c r="O250" i="6"/>
  <c r="P250" i="6" s="1"/>
  <c r="AP249" i="6"/>
  <c r="AO249" i="6"/>
  <c r="AL249" i="6"/>
  <c r="AK249" i="6"/>
  <c r="AJ249" i="6"/>
  <c r="AI249" i="6"/>
  <c r="AH249" i="6"/>
  <c r="AG249" i="6"/>
  <c r="AF249" i="6"/>
  <c r="O249" i="6"/>
  <c r="P249" i="6" s="1"/>
  <c r="AP248" i="6"/>
  <c r="AO248" i="6"/>
  <c r="AL248" i="6"/>
  <c r="AK248" i="6"/>
  <c r="AJ248" i="6"/>
  <c r="AI248" i="6"/>
  <c r="AH248" i="6"/>
  <c r="AG248" i="6"/>
  <c r="AF248" i="6"/>
  <c r="O248" i="6"/>
  <c r="P248" i="6" s="1"/>
  <c r="AP247" i="6"/>
  <c r="AO247" i="6"/>
  <c r="AL247" i="6"/>
  <c r="AK247" i="6"/>
  <c r="AJ247" i="6"/>
  <c r="AI247" i="6"/>
  <c r="AH247" i="6"/>
  <c r="AG247" i="6"/>
  <c r="AF247" i="6"/>
  <c r="O247" i="6"/>
  <c r="P247" i="6" s="1"/>
  <c r="AP246" i="6"/>
  <c r="AO246" i="6"/>
  <c r="AL246" i="6"/>
  <c r="AK246" i="6"/>
  <c r="AJ246" i="6"/>
  <c r="AI246" i="6"/>
  <c r="AH246" i="6"/>
  <c r="AG246" i="6"/>
  <c r="AF246" i="6"/>
  <c r="O246" i="6"/>
  <c r="P246" i="6" s="1"/>
  <c r="AP245" i="6"/>
  <c r="AO245" i="6"/>
  <c r="AL245" i="6"/>
  <c r="AK245" i="6"/>
  <c r="AJ245" i="6"/>
  <c r="AI245" i="6"/>
  <c r="AH245" i="6"/>
  <c r="AG245" i="6"/>
  <c r="AF245" i="6"/>
  <c r="O245" i="6"/>
  <c r="P245" i="6" s="1"/>
  <c r="AP244" i="6"/>
  <c r="AO244" i="6"/>
  <c r="AL244" i="6"/>
  <c r="AK244" i="6"/>
  <c r="AJ244" i="6"/>
  <c r="AI244" i="6"/>
  <c r="AH244" i="6"/>
  <c r="AG244" i="6"/>
  <c r="AF244" i="6"/>
  <c r="O244" i="6"/>
  <c r="P244" i="6" s="1"/>
  <c r="AP243" i="6"/>
  <c r="AO243" i="6"/>
  <c r="AL243" i="6"/>
  <c r="AK243" i="6"/>
  <c r="AJ243" i="6"/>
  <c r="AI243" i="6"/>
  <c r="AH243" i="6"/>
  <c r="AG243" i="6"/>
  <c r="AF243" i="6"/>
  <c r="O243" i="6"/>
  <c r="P243" i="6" s="1"/>
  <c r="AP242" i="6"/>
  <c r="AO242" i="6"/>
  <c r="AL242" i="6"/>
  <c r="AK242" i="6"/>
  <c r="AJ242" i="6"/>
  <c r="AI242" i="6"/>
  <c r="AH242" i="6"/>
  <c r="AG242" i="6"/>
  <c r="AF242" i="6"/>
  <c r="O242" i="6"/>
  <c r="P242" i="6" s="1"/>
  <c r="AP241" i="6"/>
  <c r="AO241" i="6"/>
  <c r="AL241" i="6"/>
  <c r="AK241" i="6"/>
  <c r="AJ241" i="6"/>
  <c r="AI241" i="6"/>
  <c r="AH241" i="6"/>
  <c r="AG241" i="6"/>
  <c r="AF241" i="6"/>
  <c r="O241" i="6"/>
  <c r="P241" i="6" s="1"/>
  <c r="AP240" i="6"/>
  <c r="AO240" i="6"/>
  <c r="AL240" i="6"/>
  <c r="AK240" i="6"/>
  <c r="AJ240" i="6"/>
  <c r="AI240" i="6"/>
  <c r="AH240" i="6"/>
  <c r="AG240" i="6"/>
  <c r="AF240" i="6"/>
  <c r="O240" i="6"/>
  <c r="P240" i="6" s="1"/>
  <c r="AP239" i="6"/>
  <c r="AO239" i="6"/>
  <c r="AL239" i="6"/>
  <c r="AK239" i="6"/>
  <c r="AJ239" i="6"/>
  <c r="AI239" i="6"/>
  <c r="AH239" i="6"/>
  <c r="AG239" i="6"/>
  <c r="AF239" i="6"/>
  <c r="O239" i="6"/>
  <c r="P239" i="6" s="1"/>
  <c r="AP238" i="6"/>
  <c r="AO238" i="6"/>
  <c r="AL238" i="6"/>
  <c r="AK238" i="6"/>
  <c r="AJ238" i="6"/>
  <c r="AI238" i="6"/>
  <c r="AH238" i="6"/>
  <c r="AG238" i="6"/>
  <c r="AF238" i="6"/>
  <c r="O238" i="6"/>
  <c r="P238" i="6" s="1"/>
  <c r="AP237" i="6"/>
  <c r="AO237" i="6"/>
  <c r="AL237" i="6"/>
  <c r="AK237" i="6"/>
  <c r="AJ237" i="6"/>
  <c r="AI237" i="6"/>
  <c r="AH237" i="6"/>
  <c r="AG237" i="6"/>
  <c r="AF237" i="6"/>
  <c r="O237" i="6"/>
  <c r="P237" i="6" s="1"/>
  <c r="AP236" i="6"/>
  <c r="AO236" i="6"/>
  <c r="AL236" i="6"/>
  <c r="AK236" i="6"/>
  <c r="AJ236" i="6"/>
  <c r="AI236" i="6"/>
  <c r="AH236" i="6"/>
  <c r="AG236" i="6"/>
  <c r="AF236" i="6"/>
  <c r="O236" i="6"/>
  <c r="P236" i="6" s="1"/>
  <c r="AP235" i="6"/>
  <c r="AO235" i="6"/>
  <c r="AL235" i="6"/>
  <c r="AK235" i="6"/>
  <c r="AJ235" i="6"/>
  <c r="AI235" i="6"/>
  <c r="AH235" i="6"/>
  <c r="AG235" i="6"/>
  <c r="AF235" i="6"/>
  <c r="O235" i="6"/>
  <c r="P235" i="6" s="1"/>
  <c r="AP234" i="6"/>
  <c r="AO234" i="6"/>
  <c r="AL234" i="6"/>
  <c r="AK234" i="6"/>
  <c r="AJ234" i="6"/>
  <c r="AI234" i="6"/>
  <c r="AH234" i="6"/>
  <c r="AG234" i="6"/>
  <c r="AF234" i="6"/>
  <c r="O234" i="6"/>
  <c r="P234" i="6" s="1"/>
  <c r="AP233" i="6"/>
  <c r="AO233" i="6"/>
  <c r="AL233" i="6"/>
  <c r="AK233" i="6"/>
  <c r="AJ233" i="6"/>
  <c r="AI233" i="6"/>
  <c r="AH233" i="6"/>
  <c r="AG233" i="6"/>
  <c r="AF233" i="6"/>
  <c r="O233" i="6"/>
  <c r="P233" i="6" s="1"/>
  <c r="AP232" i="6"/>
  <c r="AO232" i="6"/>
  <c r="AL232" i="6"/>
  <c r="AK232" i="6"/>
  <c r="AJ232" i="6"/>
  <c r="AI232" i="6"/>
  <c r="AH232" i="6"/>
  <c r="AG232" i="6"/>
  <c r="AF232" i="6"/>
  <c r="O232" i="6"/>
  <c r="P232" i="6" s="1"/>
  <c r="AP231" i="6"/>
  <c r="AO231" i="6"/>
  <c r="AL231" i="6"/>
  <c r="AK231" i="6"/>
  <c r="AJ231" i="6"/>
  <c r="AI231" i="6"/>
  <c r="AH231" i="6"/>
  <c r="AG231" i="6"/>
  <c r="AF231" i="6"/>
  <c r="O231" i="6"/>
  <c r="P231" i="6" s="1"/>
  <c r="AP230" i="6"/>
  <c r="AO230" i="6"/>
  <c r="AL230" i="6"/>
  <c r="AK230" i="6"/>
  <c r="AJ230" i="6"/>
  <c r="AI230" i="6"/>
  <c r="AH230" i="6"/>
  <c r="AG230" i="6"/>
  <c r="AF230" i="6"/>
  <c r="O230" i="6"/>
  <c r="P230" i="6" s="1"/>
  <c r="AP229" i="6"/>
  <c r="AO229" i="6"/>
  <c r="AL229" i="6"/>
  <c r="AK229" i="6"/>
  <c r="AJ229" i="6"/>
  <c r="AI229" i="6"/>
  <c r="AH229" i="6"/>
  <c r="AG229" i="6"/>
  <c r="AF229" i="6"/>
  <c r="O229" i="6"/>
  <c r="P229" i="6" s="1"/>
  <c r="AP228" i="6"/>
  <c r="AO228" i="6"/>
  <c r="AL228" i="6"/>
  <c r="AK228" i="6"/>
  <c r="AJ228" i="6"/>
  <c r="AI228" i="6"/>
  <c r="AH228" i="6"/>
  <c r="AG228" i="6"/>
  <c r="AF228" i="6"/>
  <c r="O228" i="6"/>
  <c r="P228" i="6" s="1"/>
  <c r="AP227" i="6"/>
  <c r="AO227" i="6"/>
  <c r="AL227" i="6"/>
  <c r="AK227" i="6"/>
  <c r="AJ227" i="6"/>
  <c r="AI227" i="6"/>
  <c r="AH227" i="6"/>
  <c r="AG227" i="6"/>
  <c r="AF227" i="6"/>
  <c r="O227" i="6"/>
  <c r="P227" i="6" s="1"/>
  <c r="AP226" i="6"/>
  <c r="AO226" i="6"/>
  <c r="AL226" i="6"/>
  <c r="AK226" i="6"/>
  <c r="AJ226" i="6"/>
  <c r="AI226" i="6"/>
  <c r="AH226" i="6"/>
  <c r="AG226" i="6"/>
  <c r="AF226" i="6"/>
  <c r="O226" i="6"/>
  <c r="P226" i="6" s="1"/>
  <c r="AP225" i="6"/>
  <c r="AO225" i="6"/>
  <c r="AL225" i="6"/>
  <c r="AK225" i="6"/>
  <c r="AJ225" i="6"/>
  <c r="AI225" i="6"/>
  <c r="AH225" i="6"/>
  <c r="AG225" i="6"/>
  <c r="AF225" i="6"/>
  <c r="O225" i="6"/>
  <c r="P225" i="6" s="1"/>
  <c r="AP224" i="6"/>
  <c r="AO224" i="6"/>
  <c r="AL224" i="6"/>
  <c r="AK224" i="6"/>
  <c r="AJ224" i="6"/>
  <c r="AI224" i="6"/>
  <c r="AH224" i="6"/>
  <c r="AG224" i="6"/>
  <c r="AF224" i="6"/>
  <c r="O224" i="6"/>
  <c r="P224" i="6" s="1"/>
  <c r="AP223" i="6"/>
  <c r="AO223" i="6"/>
  <c r="AL223" i="6"/>
  <c r="AK223" i="6"/>
  <c r="AJ223" i="6"/>
  <c r="AI223" i="6"/>
  <c r="AH223" i="6"/>
  <c r="AG223" i="6"/>
  <c r="AF223" i="6"/>
  <c r="O223" i="6"/>
  <c r="P223" i="6" s="1"/>
  <c r="AP222" i="6"/>
  <c r="AO222" i="6"/>
  <c r="AL222" i="6"/>
  <c r="AK222" i="6"/>
  <c r="AJ222" i="6"/>
  <c r="AI222" i="6"/>
  <c r="AH222" i="6"/>
  <c r="AG222" i="6"/>
  <c r="AF222" i="6"/>
  <c r="O222" i="6"/>
  <c r="P222" i="6" s="1"/>
  <c r="AP221" i="6"/>
  <c r="AO221" i="6"/>
  <c r="AL221" i="6"/>
  <c r="AK221" i="6"/>
  <c r="AJ221" i="6"/>
  <c r="AI221" i="6"/>
  <c r="AH221" i="6"/>
  <c r="AG221" i="6"/>
  <c r="AF221" i="6"/>
  <c r="O221" i="6"/>
  <c r="P221" i="6" s="1"/>
  <c r="AP220" i="6"/>
  <c r="AO220" i="6"/>
  <c r="AL220" i="6"/>
  <c r="AK220" i="6"/>
  <c r="AJ220" i="6"/>
  <c r="AI220" i="6"/>
  <c r="AH220" i="6"/>
  <c r="AG220" i="6"/>
  <c r="AF220" i="6"/>
  <c r="O220" i="6"/>
  <c r="P220" i="6" s="1"/>
  <c r="AP219" i="6"/>
  <c r="AO219" i="6"/>
  <c r="AL219" i="6"/>
  <c r="AK219" i="6"/>
  <c r="AJ219" i="6"/>
  <c r="AI219" i="6"/>
  <c r="AH219" i="6"/>
  <c r="AG219" i="6"/>
  <c r="AF219" i="6"/>
  <c r="O219" i="6"/>
  <c r="P219" i="6" s="1"/>
  <c r="AP218" i="6"/>
  <c r="AO218" i="6"/>
  <c r="AL218" i="6"/>
  <c r="AK218" i="6"/>
  <c r="AJ218" i="6"/>
  <c r="AI218" i="6"/>
  <c r="AH218" i="6"/>
  <c r="AG218" i="6"/>
  <c r="AF218" i="6"/>
  <c r="O218" i="6"/>
  <c r="P218" i="6" s="1"/>
  <c r="AP217" i="6"/>
  <c r="AO217" i="6"/>
  <c r="AL217" i="6"/>
  <c r="AK217" i="6"/>
  <c r="AJ217" i="6"/>
  <c r="AI217" i="6"/>
  <c r="AH217" i="6"/>
  <c r="AG217" i="6"/>
  <c r="AF217" i="6"/>
  <c r="O217" i="6"/>
  <c r="P217" i="6" s="1"/>
  <c r="AP216" i="6"/>
  <c r="AO216" i="6"/>
  <c r="AL216" i="6"/>
  <c r="AK216" i="6"/>
  <c r="AJ216" i="6"/>
  <c r="AI216" i="6"/>
  <c r="AH216" i="6"/>
  <c r="AG216" i="6"/>
  <c r="AF216" i="6"/>
  <c r="O216" i="6"/>
  <c r="P216" i="6" s="1"/>
  <c r="AP215" i="6"/>
  <c r="AO215" i="6"/>
  <c r="AL215" i="6"/>
  <c r="AK215" i="6"/>
  <c r="AJ215" i="6"/>
  <c r="AI215" i="6"/>
  <c r="AH215" i="6"/>
  <c r="AG215" i="6"/>
  <c r="AF215" i="6"/>
  <c r="O215" i="6"/>
  <c r="P215" i="6" s="1"/>
  <c r="AP214" i="6"/>
  <c r="AO214" i="6"/>
  <c r="AL214" i="6"/>
  <c r="AK214" i="6"/>
  <c r="AJ214" i="6"/>
  <c r="AI214" i="6"/>
  <c r="AH214" i="6"/>
  <c r="AG214" i="6"/>
  <c r="AF214" i="6"/>
  <c r="O214" i="6"/>
  <c r="P214" i="6" s="1"/>
  <c r="AP213" i="6"/>
  <c r="AO213" i="6"/>
  <c r="AL213" i="6"/>
  <c r="AK213" i="6"/>
  <c r="AJ213" i="6"/>
  <c r="AI213" i="6"/>
  <c r="AH213" i="6"/>
  <c r="AG213" i="6"/>
  <c r="AF213" i="6"/>
  <c r="O213" i="6"/>
  <c r="P213" i="6" s="1"/>
  <c r="AP212" i="6"/>
  <c r="AO212" i="6"/>
  <c r="AL212" i="6"/>
  <c r="AK212" i="6"/>
  <c r="AJ212" i="6"/>
  <c r="AI212" i="6"/>
  <c r="AH212" i="6"/>
  <c r="AG212" i="6"/>
  <c r="AF212" i="6"/>
  <c r="O212" i="6"/>
  <c r="P212" i="6" s="1"/>
  <c r="AP211" i="6"/>
  <c r="AO211" i="6"/>
  <c r="AL211" i="6"/>
  <c r="AK211" i="6"/>
  <c r="AJ211" i="6"/>
  <c r="AI211" i="6"/>
  <c r="AH211" i="6"/>
  <c r="AG211" i="6"/>
  <c r="AF211" i="6"/>
  <c r="O211" i="6"/>
  <c r="P211" i="6" s="1"/>
  <c r="AP210" i="6"/>
  <c r="AO210" i="6"/>
  <c r="AL210" i="6"/>
  <c r="AK210" i="6"/>
  <c r="AJ210" i="6"/>
  <c r="AI210" i="6"/>
  <c r="AH210" i="6"/>
  <c r="AG210" i="6"/>
  <c r="AF210" i="6"/>
  <c r="O210" i="6"/>
  <c r="P210" i="6" s="1"/>
  <c r="AP209" i="6"/>
  <c r="AO209" i="6"/>
  <c r="AL209" i="6"/>
  <c r="AK209" i="6"/>
  <c r="AJ209" i="6"/>
  <c r="AI209" i="6"/>
  <c r="AH209" i="6"/>
  <c r="AG209" i="6"/>
  <c r="AF209" i="6"/>
  <c r="O209" i="6"/>
  <c r="P209" i="6" s="1"/>
  <c r="AP208" i="6"/>
  <c r="AO208" i="6"/>
  <c r="AL208" i="6"/>
  <c r="AK208" i="6"/>
  <c r="AJ208" i="6"/>
  <c r="AI208" i="6"/>
  <c r="AH208" i="6"/>
  <c r="AG208" i="6"/>
  <c r="AF208" i="6"/>
  <c r="O208" i="6"/>
  <c r="P208" i="6" s="1"/>
  <c r="AP207" i="6"/>
  <c r="AO207" i="6"/>
  <c r="AL207" i="6"/>
  <c r="AK207" i="6"/>
  <c r="AJ207" i="6"/>
  <c r="AI207" i="6"/>
  <c r="AH207" i="6"/>
  <c r="AG207" i="6"/>
  <c r="AF207" i="6"/>
  <c r="O207" i="6"/>
  <c r="P207" i="6" s="1"/>
  <c r="AP206" i="6"/>
  <c r="AO206" i="6"/>
  <c r="AL206" i="6"/>
  <c r="AK206" i="6"/>
  <c r="AJ206" i="6"/>
  <c r="AI206" i="6"/>
  <c r="AH206" i="6"/>
  <c r="AG206" i="6"/>
  <c r="AF206" i="6"/>
  <c r="O206" i="6"/>
  <c r="P206" i="6" s="1"/>
  <c r="AP205" i="6"/>
  <c r="AO205" i="6"/>
  <c r="AL205" i="6"/>
  <c r="AK205" i="6"/>
  <c r="AJ205" i="6"/>
  <c r="AI205" i="6"/>
  <c r="AH205" i="6"/>
  <c r="AG205" i="6"/>
  <c r="AF205" i="6"/>
  <c r="O205" i="6"/>
  <c r="P205" i="6" s="1"/>
  <c r="AP204" i="6"/>
  <c r="AO204" i="6"/>
  <c r="AL204" i="6"/>
  <c r="AK204" i="6"/>
  <c r="AJ204" i="6"/>
  <c r="AI204" i="6"/>
  <c r="AH204" i="6"/>
  <c r="AG204" i="6"/>
  <c r="AF204" i="6"/>
  <c r="O204" i="6"/>
  <c r="P204" i="6" s="1"/>
  <c r="AP203" i="6"/>
  <c r="AO203" i="6"/>
  <c r="AL203" i="6"/>
  <c r="AK203" i="6"/>
  <c r="AJ203" i="6"/>
  <c r="AI203" i="6"/>
  <c r="AH203" i="6"/>
  <c r="AG203" i="6"/>
  <c r="AF203" i="6"/>
  <c r="O203" i="6"/>
  <c r="P203" i="6" s="1"/>
  <c r="AP202" i="6"/>
  <c r="AO202" i="6"/>
  <c r="AL202" i="6"/>
  <c r="AK202" i="6"/>
  <c r="AJ202" i="6"/>
  <c r="AI202" i="6"/>
  <c r="AH202" i="6"/>
  <c r="AG202" i="6"/>
  <c r="AF202" i="6"/>
  <c r="O202" i="6"/>
  <c r="P202" i="6" s="1"/>
  <c r="AP201" i="6"/>
  <c r="AO201" i="6"/>
  <c r="AL201" i="6"/>
  <c r="AK201" i="6"/>
  <c r="AJ201" i="6"/>
  <c r="AI201" i="6"/>
  <c r="AH201" i="6"/>
  <c r="AG201" i="6"/>
  <c r="AF201" i="6"/>
  <c r="O201" i="6"/>
  <c r="P201" i="6" s="1"/>
  <c r="AP200" i="6"/>
  <c r="AO200" i="6"/>
  <c r="AL200" i="6"/>
  <c r="AK200" i="6"/>
  <c r="AJ200" i="6"/>
  <c r="AI200" i="6"/>
  <c r="AH200" i="6"/>
  <c r="AG200" i="6"/>
  <c r="AF200" i="6"/>
  <c r="O200" i="6"/>
  <c r="P200" i="6" s="1"/>
  <c r="AP199" i="6"/>
  <c r="AO199" i="6"/>
  <c r="AL199" i="6"/>
  <c r="AK199" i="6"/>
  <c r="AJ199" i="6"/>
  <c r="AI199" i="6"/>
  <c r="AH199" i="6"/>
  <c r="AG199" i="6"/>
  <c r="AF199" i="6"/>
  <c r="O199" i="6"/>
  <c r="P199" i="6" s="1"/>
  <c r="AP198" i="6"/>
  <c r="AO198" i="6"/>
  <c r="AL198" i="6"/>
  <c r="AK198" i="6"/>
  <c r="AJ198" i="6"/>
  <c r="AI198" i="6"/>
  <c r="AH198" i="6"/>
  <c r="AG198" i="6"/>
  <c r="AF198" i="6"/>
  <c r="O198" i="6"/>
  <c r="P198" i="6" s="1"/>
  <c r="AP197" i="6"/>
  <c r="AO197" i="6"/>
  <c r="AL197" i="6"/>
  <c r="AK197" i="6"/>
  <c r="AJ197" i="6"/>
  <c r="AI197" i="6"/>
  <c r="AH197" i="6"/>
  <c r="AG197" i="6"/>
  <c r="AF197" i="6"/>
  <c r="O197" i="6"/>
  <c r="P197" i="6" s="1"/>
  <c r="AP196" i="6"/>
  <c r="AO196" i="6"/>
  <c r="AL196" i="6"/>
  <c r="AK196" i="6"/>
  <c r="AJ196" i="6"/>
  <c r="AI196" i="6"/>
  <c r="AH196" i="6"/>
  <c r="AG196" i="6"/>
  <c r="AF196" i="6"/>
  <c r="O196" i="6"/>
  <c r="P196" i="6" s="1"/>
  <c r="AP195" i="6"/>
  <c r="AO195" i="6"/>
  <c r="AL195" i="6"/>
  <c r="AK195" i="6"/>
  <c r="AJ195" i="6"/>
  <c r="AI195" i="6"/>
  <c r="AH195" i="6"/>
  <c r="AG195" i="6"/>
  <c r="AF195" i="6"/>
  <c r="O195" i="6"/>
  <c r="P195" i="6" s="1"/>
  <c r="AP194" i="6"/>
  <c r="AO194" i="6"/>
  <c r="AL194" i="6"/>
  <c r="AK194" i="6"/>
  <c r="AJ194" i="6"/>
  <c r="AI194" i="6"/>
  <c r="AH194" i="6"/>
  <c r="AG194" i="6"/>
  <c r="AF194" i="6"/>
  <c r="O194" i="6"/>
  <c r="P194" i="6" s="1"/>
  <c r="AP193" i="6"/>
  <c r="AO193" i="6"/>
  <c r="AL193" i="6"/>
  <c r="AK193" i="6"/>
  <c r="AJ193" i="6"/>
  <c r="AI193" i="6"/>
  <c r="AH193" i="6"/>
  <c r="AG193" i="6"/>
  <c r="AF193" i="6"/>
  <c r="O193" i="6"/>
  <c r="P193" i="6" s="1"/>
  <c r="AP192" i="6"/>
  <c r="AO192" i="6"/>
  <c r="AL192" i="6"/>
  <c r="AK192" i="6"/>
  <c r="AJ192" i="6"/>
  <c r="AI192" i="6"/>
  <c r="AH192" i="6"/>
  <c r="AG192" i="6"/>
  <c r="AF192" i="6"/>
  <c r="O192" i="6"/>
  <c r="P192" i="6" s="1"/>
  <c r="AP191" i="6"/>
  <c r="AO191" i="6"/>
  <c r="AL191" i="6"/>
  <c r="AK191" i="6"/>
  <c r="AJ191" i="6"/>
  <c r="AI191" i="6"/>
  <c r="AH191" i="6"/>
  <c r="AG191" i="6"/>
  <c r="AF191" i="6"/>
  <c r="O191" i="6"/>
  <c r="P191" i="6" s="1"/>
  <c r="AP190" i="6"/>
  <c r="AO190" i="6"/>
  <c r="AL190" i="6"/>
  <c r="AK190" i="6"/>
  <c r="AJ190" i="6"/>
  <c r="AI190" i="6"/>
  <c r="AH190" i="6"/>
  <c r="AG190" i="6"/>
  <c r="AF190" i="6"/>
  <c r="O190" i="6"/>
  <c r="P190" i="6" s="1"/>
  <c r="AP189" i="6"/>
  <c r="AO189" i="6"/>
  <c r="AL189" i="6"/>
  <c r="AK189" i="6"/>
  <c r="AJ189" i="6"/>
  <c r="AI189" i="6"/>
  <c r="AH189" i="6"/>
  <c r="AG189" i="6"/>
  <c r="AF189" i="6"/>
  <c r="O189" i="6"/>
  <c r="P189" i="6" s="1"/>
  <c r="AP188" i="6"/>
  <c r="AO188" i="6"/>
  <c r="AL188" i="6"/>
  <c r="AK188" i="6"/>
  <c r="AJ188" i="6"/>
  <c r="AI188" i="6"/>
  <c r="AH188" i="6"/>
  <c r="AG188" i="6"/>
  <c r="AF188" i="6"/>
  <c r="O188" i="6"/>
  <c r="P188" i="6" s="1"/>
  <c r="AP187" i="6"/>
  <c r="AO187" i="6"/>
  <c r="AL187" i="6"/>
  <c r="AK187" i="6"/>
  <c r="AJ187" i="6"/>
  <c r="AI187" i="6"/>
  <c r="AH187" i="6"/>
  <c r="AG187" i="6"/>
  <c r="AF187" i="6"/>
  <c r="O187" i="6"/>
  <c r="P187" i="6" s="1"/>
  <c r="AP186" i="6"/>
  <c r="AO186" i="6"/>
  <c r="AL186" i="6"/>
  <c r="AK186" i="6"/>
  <c r="AJ186" i="6"/>
  <c r="AI186" i="6"/>
  <c r="AH186" i="6"/>
  <c r="AG186" i="6"/>
  <c r="AF186" i="6"/>
  <c r="O186" i="6"/>
  <c r="P186" i="6" s="1"/>
  <c r="AP185" i="6"/>
  <c r="AO185" i="6"/>
  <c r="AL185" i="6"/>
  <c r="AK185" i="6"/>
  <c r="AJ185" i="6"/>
  <c r="AI185" i="6"/>
  <c r="AH185" i="6"/>
  <c r="AG185" i="6"/>
  <c r="AF185" i="6"/>
  <c r="O185" i="6"/>
  <c r="P185" i="6" s="1"/>
  <c r="AP184" i="6"/>
  <c r="AO184" i="6"/>
  <c r="AL184" i="6"/>
  <c r="AK184" i="6"/>
  <c r="AJ184" i="6"/>
  <c r="AI184" i="6"/>
  <c r="AH184" i="6"/>
  <c r="AG184" i="6"/>
  <c r="AF184" i="6"/>
  <c r="O184" i="6"/>
  <c r="P184" i="6" s="1"/>
  <c r="AP183" i="6"/>
  <c r="AO183" i="6"/>
  <c r="AL183" i="6"/>
  <c r="AK183" i="6"/>
  <c r="AJ183" i="6"/>
  <c r="AI183" i="6"/>
  <c r="AH183" i="6"/>
  <c r="AG183" i="6"/>
  <c r="AF183" i="6"/>
  <c r="O183" i="6"/>
  <c r="P183" i="6" s="1"/>
  <c r="AP182" i="6"/>
  <c r="AO182" i="6"/>
  <c r="AL182" i="6"/>
  <c r="AK182" i="6"/>
  <c r="AJ182" i="6"/>
  <c r="AI182" i="6"/>
  <c r="AH182" i="6"/>
  <c r="AG182" i="6"/>
  <c r="AF182" i="6"/>
  <c r="O182" i="6"/>
  <c r="P182" i="6" s="1"/>
  <c r="AP181" i="6"/>
  <c r="AO181" i="6"/>
  <c r="AL181" i="6"/>
  <c r="AK181" i="6"/>
  <c r="AJ181" i="6"/>
  <c r="AI181" i="6"/>
  <c r="AH181" i="6"/>
  <c r="AG181" i="6"/>
  <c r="AF181" i="6"/>
  <c r="O181" i="6"/>
  <c r="P181" i="6" s="1"/>
  <c r="AP180" i="6"/>
  <c r="AO180" i="6"/>
  <c r="AL180" i="6"/>
  <c r="AK180" i="6"/>
  <c r="AJ180" i="6"/>
  <c r="AI180" i="6"/>
  <c r="AH180" i="6"/>
  <c r="AG180" i="6"/>
  <c r="AF180" i="6"/>
  <c r="O180" i="6"/>
  <c r="P180" i="6" s="1"/>
  <c r="AP179" i="6"/>
  <c r="AO179" i="6"/>
  <c r="AL179" i="6"/>
  <c r="AK179" i="6"/>
  <c r="AJ179" i="6"/>
  <c r="AI179" i="6"/>
  <c r="AH179" i="6"/>
  <c r="AG179" i="6"/>
  <c r="AF179" i="6"/>
  <c r="O179" i="6"/>
  <c r="P179" i="6" s="1"/>
  <c r="AP178" i="6"/>
  <c r="AO178" i="6"/>
  <c r="AL178" i="6"/>
  <c r="AK178" i="6"/>
  <c r="AJ178" i="6"/>
  <c r="AI178" i="6"/>
  <c r="AH178" i="6"/>
  <c r="AG178" i="6"/>
  <c r="AF178" i="6"/>
  <c r="O178" i="6"/>
  <c r="P178" i="6" s="1"/>
  <c r="AP177" i="6"/>
  <c r="AO177" i="6"/>
  <c r="AL177" i="6"/>
  <c r="AK177" i="6"/>
  <c r="AJ177" i="6"/>
  <c r="AI177" i="6"/>
  <c r="AH177" i="6"/>
  <c r="AG177" i="6"/>
  <c r="AF177" i="6"/>
  <c r="O177" i="6"/>
  <c r="P177" i="6" s="1"/>
  <c r="AP176" i="6"/>
  <c r="AO176" i="6"/>
  <c r="AL176" i="6"/>
  <c r="AK176" i="6"/>
  <c r="AJ176" i="6"/>
  <c r="AI176" i="6"/>
  <c r="AH176" i="6"/>
  <c r="AG176" i="6"/>
  <c r="AF176" i="6"/>
  <c r="O176" i="6"/>
  <c r="P176" i="6" s="1"/>
  <c r="AP175" i="6"/>
  <c r="AO175" i="6"/>
  <c r="AL175" i="6"/>
  <c r="AK175" i="6"/>
  <c r="AJ175" i="6"/>
  <c r="AI175" i="6"/>
  <c r="AH175" i="6"/>
  <c r="AG175" i="6"/>
  <c r="AF175" i="6"/>
  <c r="O175" i="6"/>
  <c r="P175" i="6" s="1"/>
  <c r="AP174" i="6"/>
  <c r="AO174" i="6"/>
  <c r="AL174" i="6"/>
  <c r="AK174" i="6"/>
  <c r="AJ174" i="6"/>
  <c r="AI174" i="6"/>
  <c r="AH174" i="6"/>
  <c r="AG174" i="6"/>
  <c r="AF174" i="6"/>
  <c r="O174" i="6"/>
  <c r="P174" i="6" s="1"/>
  <c r="AP173" i="6"/>
  <c r="AO173" i="6"/>
  <c r="AL173" i="6"/>
  <c r="AK173" i="6"/>
  <c r="AJ173" i="6"/>
  <c r="AI173" i="6"/>
  <c r="AH173" i="6"/>
  <c r="AG173" i="6"/>
  <c r="AF173" i="6"/>
  <c r="O173" i="6"/>
  <c r="P173" i="6" s="1"/>
  <c r="AP172" i="6"/>
  <c r="AO172" i="6"/>
  <c r="AL172" i="6"/>
  <c r="AK172" i="6"/>
  <c r="AJ172" i="6"/>
  <c r="AI172" i="6"/>
  <c r="AH172" i="6"/>
  <c r="AG172" i="6"/>
  <c r="AF172" i="6"/>
  <c r="O172" i="6"/>
  <c r="P172" i="6" s="1"/>
  <c r="AP171" i="6"/>
  <c r="AO171" i="6"/>
  <c r="AL171" i="6"/>
  <c r="AK171" i="6"/>
  <c r="AJ171" i="6"/>
  <c r="AI171" i="6"/>
  <c r="AH171" i="6"/>
  <c r="AG171" i="6"/>
  <c r="AF171" i="6"/>
  <c r="O171" i="6"/>
  <c r="P171" i="6" s="1"/>
  <c r="AP170" i="6"/>
  <c r="AO170" i="6"/>
  <c r="AL170" i="6"/>
  <c r="AK170" i="6"/>
  <c r="AJ170" i="6"/>
  <c r="AI170" i="6"/>
  <c r="AH170" i="6"/>
  <c r="AG170" i="6"/>
  <c r="AF170" i="6"/>
  <c r="O170" i="6"/>
  <c r="P170" i="6" s="1"/>
  <c r="AP169" i="6"/>
  <c r="AO169" i="6"/>
  <c r="AL169" i="6"/>
  <c r="AK169" i="6"/>
  <c r="AJ169" i="6"/>
  <c r="AI169" i="6"/>
  <c r="AH169" i="6"/>
  <c r="AG169" i="6"/>
  <c r="AF169" i="6"/>
  <c r="O169" i="6"/>
  <c r="P169" i="6" s="1"/>
  <c r="AP168" i="6"/>
  <c r="AO168" i="6"/>
  <c r="AL168" i="6"/>
  <c r="AK168" i="6"/>
  <c r="AJ168" i="6"/>
  <c r="AI168" i="6"/>
  <c r="AH168" i="6"/>
  <c r="AG168" i="6"/>
  <c r="AF168" i="6"/>
  <c r="O168" i="6"/>
  <c r="P168" i="6" s="1"/>
  <c r="AP167" i="6"/>
  <c r="AO167" i="6"/>
  <c r="AL167" i="6"/>
  <c r="AK167" i="6"/>
  <c r="AJ167" i="6"/>
  <c r="AI167" i="6"/>
  <c r="AH167" i="6"/>
  <c r="AG167" i="6"/>
  <c r="AF167" i="6"/>
  <c r="O167" i="6"/>
  <c r="P167" i="6" s="1"/>
  <c r="AP166" i="6"/>
  <c r="AO166" i="6"/>
  <c r="AL166" i="6"/>
  <c r="AK166" i="6"/>
  <c r="AJ166" i="6"/>
  <c r="AI166" i="6"/>
  <c r="AH166" i="6"/>
  <c r="AG166" i="6"/>
  <c r="AF166" i="6"/>
  <c r="O166" i="6"/>
  <c r="P166" i="6" s="1"/>
  <c r="AP165" i="6"/>
  <c r="AO165" i="6"/>
  <c r="AL165" i="6"/>
  <c r="AK165" i="6"/>
  <c r="AJ165" i="6"/>
  <c r="AI165" i="6"/>
  <c r="AH165" i="6"/>
  <c r="AG165" i="6"/>
  <c r="AF165" i="6"/>
  <c r="O165" i="6"/>
  <c r="P165" i="6" s="1"/>
  <c r="AP164" i="6"/>
  <c r="AO164" i="6"/>
  <c r="AL164" i="6"/>
  <c r="AK164" i="6"/>
  <c r="AJ164" i="6"/>
  <c r="AI164" i="6"/>
  <c r="AH164" i="6"/>
  <c r="AG164" i="6"/>
  <c r="AF164" i="6"/>
  <c r="O164" i="6"/>
  <c r="P164" i="6" s="1"/>
  <c r="AP163" i="6"/>
  <c r="AO163" i="6"/>
  <c r="AL163" i="6"/>
  <c r="AK163" i="6"/>
  <c r="AJ163" i="6"/>
  <c r="AI163" i="6"/>
  <c r="AH163" i="6"/>
  <c r="AG163" i="6"/>
  <c r="AF163" i="6"/>
  <c r="O163" i="6"/>
  <c r="P163" i="6" s="1"/>
  <c r="AP162" i="6"/>
  <c r="AO162" i="6"/>
  <c r="AL162" i="6"/>
  <c r="AK162" i="6"/>
  <c r="AJ162" i="6"/>
  <c r="AI162" i="6"/>
  <c r="AH162" i="6"/>
  <c r="AG162" i="6"/>
  <c r="AF162" i="6"/>
  <c r="O162" i="6"/>
  <c r="P162" i="6" s="1"/>
  <c r="AP161" i="6"/>
  <c r="AO161" i="6"/>
  <c r="AL161" i="6"/>
  <c r="AK161" i="6"/>
  <c r="AJ161" i="6"/>
  <c r="AI161" i="6"/>
  <c r="AH161" i="6"/>
  <c r="AG161" i="6"/>
  <c r="AF161" i="6"/>
  <c r="O161" i="6"/>
  <c r="P161" i="6" s="1"/>
  <c r="AP160" i="6"/>
  <c r="AO160" i="6"/>
  <c r="AL160" i="6"/>
  <c r="AK160" i="6"/>
  <c r="AJ160" i="6"/>
  <c r="AI160" i="6"/>
  <c r="AH160" i="6"/>
  <c r="AG160" i="6"/>
  <c r="AF160" i="6"/>
  <c r="O160" i="6"/>
  <c r="P160" i="6" s="1"/>
  <c r="AP159" i="6"/>
  <c r="AO159" i="6"/>
  <c r="AL159" i="6"/>
  <c r="AK159" i="6"/>
  <c r="AJ159" i="6"/>
  <c r="AI159" i="6"/>
  <c r="AH159" i="6"/>
  <c r="AG159" i="6"/>
  <c r="AF159" i="6"/>
  <c r="O159" i="6"/>
  <c r="P159" i="6" s="1"/>
  <c r="AP158" i="6"/>
  <c r="AO158" i="6"/>
  <c r="AL158" i="6"/>
  <c r="AK158" i="6"/>
  <c r="AJ158" i="6"/>
  <c r="AI158" i="6"/>
  <c r="AH158" i="6"/>
  <c r="AG158" i="6"/>
  <c r="AF158" i="6"/>
  <c r="O158" i="6"/>
  <c r="P158" i="6" s="1"/>
  <c r="AP157" i="6"/>
  <c r="AO157" i="6"/>
  <c r="AL157" i="6"/>
  <c r="AK157" i="6"/>
  <c r="AJ157" i="6"/>
  <c r="AI157" i="6"/>
  <c r="AH157" i="6"/>
  <c r="AG157" i="6"/>
  <c r="AF157" i="6"/>
  <c r="O157" i="6"/>
  <c r="P157" i="6" s="1"/>
  <c r="AP156" i="6"/>
  <c r="AO156" i="6"/>
  <c r="AL156" i="6"/>
  <c r="AK156" i="6"/>
  <c r="AJ156" i="6"/>
  <c r="AI156" i="6"/>
  <c r="AH156" i="6"/>
  <c r="AG156" i="6"/>
  <c r="AF156" i="6"/>
  <c r="O156" i="6"/>
  <c r="P156" i="6" s="1"/>
  <c r="AP155" i="6"/>
  <c r="AO155" i="6"/>
  <c r="AL155" i="6"/>
  <c r="AK155" i="6"/>
  <c r="AJ155" i="6"/>
  <c r="AI155" i="6"/>
  <c r="AH155" i="6"/>
  <c r="AG155" i="6"/>
  <c r="AF155" i="6"/>
  <c r="O155" i="6"/>
  <c r="P155" i="6" s="1"/>
  <c r="AP154" i="6"/>
  <c r="AO154" i="6"/>
  <c r="AL154" i="6"/>
  <c r="AK154" i="6"/>
  <c r="AJ154" i="6"/>
  <c r="AI154" i="6"/>
  <c r="AH154" i="6"/>
  <c r="AG154" i="6"/>
  <c r="AF154" i="6"/>
  <c r="O154" i="6"/>
  <c r="P154" i="6" s="1"/>
  <c r="AP153" i="6"/>
  <c r="AO153" i="6"/>
  <c r="AL153" i="6"/>
  <c r="AK153" i="6"/>
  <c r="AJ153" i="6"/>
  <c r="AI153" i="6"/>
  <c r="AH153" i="6"/>
  <c r="AG153" i="6"/>
  <c r="AF153" i="6"/>
  <c r="O153" i="6"/>
  <c r="P153" i="6" s="1"/>
  <c r="AP152" i="6"/>
  <c r="AO152" i="6"/>
  <c r="AL152" i="6"/>
  <c r="AK152" i="6"/>
  <c r="AJ152" i="6"/>
  <c r="AI152" i="6"/>
  <c r="AH152" i="6"/>
  <c r="AG152" i="6"/>
  <c r="AF152" i="6"/>
  <c r="O152" i="6"/>
  <c r="P152" i="6" s="1"/>
  <c r="AP151" i="6"/>
  <c r="AO151" i="6"/>
  <c r="AL151" i="6"/>
  <c r="AK151" i="6"/>
  <c r="AJ151" i="6"/>
  <c r="AI151" i="6"/>
  <c r="AH151" i="6"/>
  <c r="AG151" i="6"/>
  <c r="AF151" i="6"/>
  <c r="O151" i="6"/>
  <c r="P151" i="6" s="1"/>
  <c r="AP150" i="6"/>
  <c r="AO150" i="6"/>
  <c r="AL150" i="6"/>
  <c r="AK150" i="6"/>
  <c r="AJ150" i="6"/>
  <c r="AI150" i="6"/>
  <c r="AH150" i="6"/>
  <c r="AG150" i="6"/>
  <c r="AF150" i="6"/>
  <c r="O150" i="6"/>
  <c r="P150" i="6" s="1"/>
  <c r="AP149" i="6"/>
  <c r="AO149" i="6"/>
  <c r="AL149" i="6"/>
  <c r="AK149" i="6"/>
  <c r="AJ149" i="6"/>
  <c r="AI149" i="6"/>
  <c r="AH149" i="6"/>
  <c r="AG149" i="6"/>
  <c r="AF149" i="6"/>
  <c r="O149" i="6"/>
  <c r="P149" i="6" s="1"/>
  <c r="AP148" i="6"/>
  <c r="AO148" i="6"/>
  <c r="AL148" i="6"/>
  <c r="AK148" i="6"/>
  <c r="AJ148" i="6"/>
  <c r="AI148" i="6"/>
  <c r="AH148" i="6"/>
  <c r="AG148" i="6"/>
  <c r="AF148" i="6"/>
  <c r="O148" i="6"/>
  <c r="P148" i="6" s="1"/>
  <c r="AP147" i="6"/>
  <c r="AO147" i="6"/>
  <c r="AL147" i="6"/>
  <c r="AK147" i="6"/>
  <c r="AJ147" i="6"/>
  <c r="AI147" i="6"/>
  <c r="AH147" i="6"/>
  <c r="AG147" i="6"/>
  <c r="AF147" i="6"/>
  <c r="O147" i="6"/>
  <c r="P147" i="6" s="1"/>
  <c r="AP146" i="6"/>
  <c r="AO146" i="6"/>
  <c r="AL146" i="6"/>
  <c r="AK146" i="6"/>
  <c r="AJ146" i="6"/>
  <c r="AI146" i="6"/>
  <c r="AH146" i="6"/>
  <c r="AG146" i="6"/>
  <c r="AF146" i="6"/>
  <c r="O146" i="6"/>
  <c r="P146" i="6" s="1"/>
  <c r="AP145" i="6"/>
  <c r="AO145" i="6"/>
  <c r="AL145" i="6"/>
  <c r="AK145" i="6"/>
  <c r="AJ145" i="6"/>
  <c r="AI145" i="6"/>
  <c r="AH145" i="6"/>
  <c r="AG145" i="6"/>
  <c r="AF145" i="6"/>
  <c r="O145" i="6"/>
  <c r="P145" i="6" s="1"/>
  <c r="AP144" i="6"/>
  <c r="AO144" i="6"/>
  <c r="AL144" i="6"/>
  <c r="AK144" i="6"/>
  <c r="AJ144" i="6"/>
  <c r="AI144" i="6"/>
  <c r="AH144" i="6"/>
  <c r="AG144" i="6"/>
  <c r="AF144" i="6"/>
  <c r="O144" i="6"/>
  <c r="P144" i="6" s="1"/>
  <c r="AP143" i="6"/>
  <c r="AO143" i="6"/>
  <c r="AL143" i="6"/>
  <c r="AK143" i="6"/>
  <c r="AJ143" i="6"/>
  <c r="AI143" i="6"/>
  <c r="AH143" i="6"/>
  <c r="AG143" i="6"/>
  <c r="AF143" i="6"/>
  <c r="O143" i="6"/>
  <c r="P143" i="6" s="1"/>
  <c r="AP142" i="6"/>
  <c r="AO142" i="6"/>
  <c r="AL142" i="6"/>
  <c r="AK142" i="6"/>
  <c r="AJ142" i="6"/>
  <c r="AI142" i="6"/>
  <c r="AH142" i="6"/>
  <c r="AG142" i="6"/>
  <c r="AF142" i="6"/>
  <c r="O142" i="6"/>
  <c r="P142" i="6" s="1"/>
  <c r="AP141" i="6"/>
  <c r="AO141" i="6"/>
  <c r="AL141" i="6"/>
  <c r="AK141" i="6"/>
  <c r="AJ141" i="6"/>
  <c r="AI141" i="6"/>
  <c r="AH141" i="6"/>
  <c r="AG141" i="6"/>
  <c r="AF141" i="6"/>
  <c r="O141" i="6"/>
  <c r="P141" i="6" s="1"/>
  <c r="AP140" i="6"/>
  <c r="AO140" i="6"/>
  <c r="AL140" i="6"/>
  <c r="AK140" i="6"/>
  <c r="AJ140" i="6"/>
  <c r="AI140" i="6"/>
  <c r="AH140" i="6"/>
  <c r="AG140" i="6"/>
  <c r="AF140" i="6"/>
  <c r="O140" i="6"/>
  <c r="P140" i="6" s="1"/>
  <c r="AP139" i="6"/>
  <c r="AO139" i="6"/>
  <c r="AL139" i="6"/>
  <c r="AK139" i="6"/>
  <c r="AJ139" i="6"/>
  <c r="AI139" i="6"/>
  <c r="AH139" i="6"/>
  <c r="AG139" i="6"/>
  <c r="AF139" i="6"/>
  <c r="O139" i="6"/>
  <c r="P139" i="6" s="1"/>
  <c r="AP138" i="6"/>
  <c r="AO138" i="6"/>
  <c r="AL138" i="6"/>
  <c r="AK138" i="6"/>
  <c r="AJ138" i="6"/>
  <c r="AI138" i="6"/>
  <c r="AH138" i="6"/>
  <c r="AG138" i="6"/>
  <c r="AF138" i="6"/>
  <c r="O138" i="6"/>
  <c r="P138" i="6" s="1"/>
  <c r="AP137" i="6"/>
  <c r="AO137" i="6"/>
  <c r="AL137" i="6"/>
  <c r="AK137" i="6"/>
  <c r="AJ137" i="6"/>
  <c r="AI137" i="6"/>
  <c r="AH137" i="6"/>
  <c r="AG137" i="6"/>
  <c r="AF137" i="6"/>
  <c r="O137" i="6"/>
  <c r="P137" i="6" s="1"/>
  <c r="AP136" i="6"/>
  <c r="AO136" i="6"/>
  <c r="AL136" i="6"/>
  <c r="AK136" i="6"/>
  <c r="AJ136" i="6"/>
  <c r="AI136" i="6"/>
  <c r="AH136" i="6"/>
  <c r="AG136" i="6"/>
  <c r="AF136" i="6"/>
  <c r="O136" i="6"/>
  <c r="P136" i="6" s="1"/>
  <c r="AP135" i="6"/>
  <c r="AO135" i="6"/>
  <c r="AL135" i="6"/>
  <c r="AK135" i="6"/>
  <c r="AJ135" i="6"/>
  <c r="AI135" i="6"/>
  <c r="AH135" i="6"/>
  <c r="AG135" i="6"/>
  <c r="AF135" i="6"/>
  <c r="O135" i="6"/>
  <c r="P135" i="6" s="1"/>
  <c r="AP134" i="6"/>
  <c r="AO134" i="6"/>
  <c r="AL134" i="6"/>
  <c r="AK134" i="6"/>
  <c r="AJ134" i="6"/>
  <c r="AI134" i="6"/>
  <c r="AH134" i="6"/>
  <c r="AG134" i="6"/>
  <c r="AF134" i="6"/>
  <c r="O134" i="6"/>
  <c r="P134" i="6" s="1"/>
  <c r="AP133" i="6"/>
  <c r="AO133" i="6"/>
  <c r="AL133" i="6"/>
  <c r="AK133" i="6"/>
  <c r="AJ133" i="6"/>
  <c r="AI133" i="6"/>
  <c r="AH133" i="6"/>
  <c r="AG133" i="6"/>
  <c r="AF133" i="6"/>
  <c r="O133" i="6"/>
  <c r="P133" i="6" s="1"/>
  <c r="AP132" i="6"/>
  <c r="AO132" i="6"/>
  <c r="AL132" i="6"/>
  <c r="AK132" i="6"/>
  <c r="AJ132" i="6"/>
  <c r="AI132" i="6"/>
  <c r="AH132" i="6"/>
  <c r="AG132" i="6"/>
  <c r="AF132" i="6"/>
  <c r="O132" i="6"/>
  <c r="P132" i="6" s="1"/>
  <c r="AP131" i="6"/>
  <c r="AO131" i="6"/>
  <c r="AL131" i="6"/>
  <c r="AK131" i="6"/>
  <c r="AJ131" i="6"/>
  <c r="AI131" i="6"/>
  <c r="AH131" i="6"/>
  <c r="AG131" i="6"/>
  <c r="AF131" i="6"/>
  <c r="O131" i="6"/>
  <c r="P131" i="6" s="1"/>
  <c r="AP130" i="6"/>
  <c r="AO130" i="6"/>
  <c r="AL130" i="6"/>
  <c r="AK130" i="6"/>
  <c r="AJ130" i="6"/>
  <c r="AI130" i="6"/>
  <c r="AH130" i="6"/>
  <c r="AG130" i="6"/>
  <c r="AF130" i="6"/>
  <c r="O130" i="6"/>
  <c r="P130" i="6" s="1"/>
  <c r="AP129" i="6"/>
  <c r="AO129" i="6"/>
  <c r="AL129" i="6"/>
  <c r="AK129" i="6"/>
  <c r="AJ129" i="6"/>
  <c r="AI129" i="6"/>
  <c r="AH129" i="6"/>
  <c r="AG129" i="6"/>
  <c r="AF129" i="6"/>
  <c r="O129" i="6"/>
  <c r="P129" i="6" s="1"/>
  <c r="AP128" i="6"/>
  <c r="AO128" i="6"/>
  <c r="AL128" i="6"/>
  <c r="AK128" i="6"/>
  <c r="AJ128" i="6"/>
  <c r="AI128" i="6"/>
  <c r="AH128" i="6"/>
  <c r="AG128" i="6"/>
  <c r="AF128" i="6"/>
  <c r="O128" i="6"/>
  <c r="P128" i="6" s="1"/>
  <c r="AP127" i="6"/>
  <c r="AO127" i="6"/>
  <c r="AL127" i="6"/>
  <c r="AK127" i="6"/>
  <c r="AJ127" i="6"/>
  <c r="AI127" i="6"/>
  <c r="AH127" i="6"/>
  <c r="AG127" i="6"/>
  <c r="AF127" i="6"/>
  <c r="O127" i="6"/>
  <c r="P127" i="6" s="1"/>
  <c r="AP126" i="6"/>
  <c r="AO126" i="6"/>
  <c r="AL126" i="6"/>
  <c r="AK126" i="6"/>
  <c r="AJ126" i="6"/>
  <c r="AI126" i="6"/>
  <c r="AH126" i="6"/>
  <c r="AG126" i="6"/>
  <c r="AF126" i="6"/>
  <c r="O126" i="6"/>
  <c r="P126" i="6" s="1"/>
  <c r="AP125" i="6"/>
  <c r="AO125" i="6"/>
  <c r="AL125" i="6"/>
  <c r="AK125" i="6"/>
  <c r="AJ125" i="6"/>
  <c r="AI125" i="6"/>
  <c r="AH125" i="6"/>
  <c r="AG125" i="6"/>
  <c r="AF125" i="6"/>
  <c r="O125" i="6"/>
  <c r="P125" i="6" s="1"/>
  <c r="AP124" i="6"/>
  <c r="AO124" i="6"/>
  <c r="AL124" i="6"/>
  <c r="AK124" i="6"/>
  <c r="AJ124" i="6"/>
  <c r="AI124" i="6"/>
  <c r="AH124" i="6"/>
  <c r="AG124" i="6"/>
  <c r="AF124" i="6"/>
  <c r="O124" i="6"/>
  <c r="P124" i="6" s="1"/>
  <c r="AP123" i="6"/>
  <c r="AO123" i="6"/>
  <c r="AL123" i="6"/>
  <c r="AK123" i="6"/>
  <c r="AJ123" i="6"/>
  <c r="AI123" i="6"/>
  <c r="AH123" i="6"/>
  <c r="AG123" i="6"/>
  <c r="AF123" i="6"/>
  <c r="O123" i="6"/>
  <c r="P123" i="6" s="1"/>
  <c r="AP122" i="6"/>
  <c r="AO122" i="6"/>
  <c r="AL122" i="6"/>
  <c r="AK122" i="6"/>
  <c r="AJ122" i="6"/>
  <c r="AI122" i="6"/>
  <c r="AH122" i="6"/>
  <c r="AG122" i="6"/>
  <c r="AF122" i="6"/>
  <c r="O122" i="6"/>
  <c r="P122" i="6" s="1"/>
  <c r="AP121" i="6"/>
  <c r="AO121" i="6"/>
  <c r="AL121" i="6"/>
  <c r="AK121" i="6"/>
  <c r="AJ121" i="6"/>
  <c r="AI121" i="6"/>
  <c r="AH121" i="6"/>
  <c r="AG121" i="6"/>
  <c r="AF121" i="6"/>
  <c r="O121" i="6"/>
  <c r="P121" i="6" s="1"/>
  <c r="AP120" i="6"/>
  <c r="AO120" i="6"/>
  <c r="AL120" i="6"/>
  <c r="AK120" i="6"/>
  <c r="AJ120" i="6"/>
  <c r="AI120" i="6"/>
  <c r="AH120" i="6"/>
  <c r="AG120" i="6"/>
  <c r="AF120" i="6"/>
  <c r="O120" i="6"/>
  <c r="P120" i="6" s="1"/>
  <c r="AP119" i="6"/>
  <c r="AO119" i="6"/>
  <c r="AL119" i="6"/>
  <c r="AK119" i="6"/>
  <c r="AJ119" i="6"/>
  <c r="AI119" i="6"/>
  <c r="AH119" i="6"/>
  <c r="AG119" i="6"/>
  <c r="AF119" i="6"/>
  <c r="O119" i="6"/>
  <c r="P119" i="6" s="1"/>
  <c r="AP118" i="6"/>
  <c r="AO118" i="6"/>
  <c r="AL118" i="6"/>
  <c r="AK118" i="6"/>
  <c r="AJ118" i="6"/>
  <c r="AI118" i="6"/>
  <c r="AH118" i="6"/>
  <c r="AG118" i="6"/>
  <c r="AF118" i="6"/>
  <c r="O118" i="6"/>
  <c r="P118" i="6" s="1"/>
  <c r="AP117" i="6"/>
  <c r="AO117" i="6"/>
  <c r="AL117" i="6"/>
  <c r="AK117" i="6"/>
  <c r="AJ117" i="6"/>
  <c r="AI117" i="6"/>
  <c r="AH117" i="6"/>
  <c r="AG117" i="6"/>
  <c r="AF117" i="6"/>
  <c r="O117" i="6"/>
  <c r="P117" i="6" s="1"/>
  <c r="AP116" i="6"/>
  <c r="AO116" i="6"/>
  <c r="AL116" i="6"/>
  <c r="AK116" i="6"/>
  <c r="AJ116" i="6"/>
  <c r="AI116" i="6"/>
  <c r="AH116" i="6"/>
  <c r="AG116" i="6"/>
  <c r="AF116" i="6"/>
  <c r="O116" i="6"/>
  <c r="P116" i="6" s="1"/>
  <c r="AP115" i="6"/>
  <c r="AO115" i="6"/>
  <c r="AL115" i="6"/>
  <c r="AK115" i="6"/>
  <c r="AJ115" i="6"/>
  <c r="AI115" i="6"/>
  <c r="AH115" i="6"/>
  <c r="AG115" i="6"/>
  <c r="AF115" i="6"/>
  <c r="O115" i="6"/>
  <c r="P115" i="6" s="1"/>
  <c r="AP114" i="6"/>
  <c r="AO114" i="6"/>
  <c r="AL114" i="6"/>
  <c r="AK114" i="6"/>
  <c r="AJ114" i="6"/>
  <c r="AI114" i="6"/>
  <c r="AH114" i="6"/>
  <c r="AG114" i="6"/>
  <c r="AF114" i="6"/>
  <c r="O114" i="6"/>
  <c r="P114" i="6" s="1"/>
  <c r="AP113" i="6"/>
  <c r="AO113" i="6"/>
  <c r="AL113" i="6"/>
  <c r="AK113" i="6"/>
  <c r="AJ113" i="6"/>
  <c r="AI113" i="6"/>
  <c r="AH113" i="6"/>
  <c r="AG113" i="6"/>
  <c r="AF113" i="6"/>
  <c r="O113" i="6"/>
  <c r="P113" i="6" s="1"/>
  <c r="AP112" i="6"/>
  <c r="AO112" i="6"/>
  <c r="AL112" i="6"/>
  <c r="AK112" i="6"/>
  <c r="AJ112" i="6"/>
  <c r="AI112" i="6"/>
  <c r="AH112" i="6"/>
  <c r="AG112" i="6"/>
  <c r="AF112" i="6"/>
  <c r="O112" i="6"/>
  <c r="P112" i="6" s="1"/>
  <c r="AP111" i="6"/>
  <c r="AO111" i="6"/>
  <c r="AL111" i="6"/>
  <c r="AK111" i="6"/>
  <c r="AJ111" i="6"/>
  <c r="AI111" i="6"/>
  <c r="AH111" i="6"/>
  <c r="AG111" i="6"/>
  <c r="AF111" i="6"/>
  <c r="O111" i="6"/>
  <c r="P111" i="6" s="1"/>
  <c r="AP110" i="6"/>
  <c r="AO110" i="6"/>
  <c r="AL110" i="6"/>
  <c r="AK110" i="6"/>
  <c r="AJ110" i="6"/>
  <c r="AI110" i="6"/>
  <c r="AH110" i="6"/>
  <c r="AG110" i="6"/>
  <c r="AF110" i="6"/>
  <c r="O110" i="6"/>
  <c r="P110" i="6" s="1"/>
  <c r="AP109" i="6"/>
  <c r="AO109" i="6"/>
  <c r="AL109" i="6"/>
  <c r="AK109" i="6"/>
  <c r="AJ109" i="6"/>
  <c r="AI109" i="6"/>
  <c r="AH109" i="6"/>
  <c r="AG109" i="6"/>
  <c r="AF109" i="6"/>
  <c r="O109" i="6"/>
  <c r="P109" i="6" s="1"/>
  <c r="AP108" i="6"/>
  <c r="AO108" i="6"/>
  <c r="AL108" i="6"/>
  <c r="AK108" i="6"/>
  <c r="AJ108" i="6"/>
  <c r="AI108" i="6"/>
  <c r="AH108" i="6"/>
  <c r="AG108" i="6"/>
  <c r="AF108" i="6"/>
  <c r="O108" i="6"/>
  <c r="P108" i="6" s="1"/>
  <c r="AP107" i="6"/>
  <c r="AO107" i="6"/>
  <c r="AL107" i="6"/>
  <c r="AK107" i="6"/>
  <c r="AJ107" i="6"/>
  <c r="AI107" i="6"/>
  <c r="AH107" i="6"/>
  <c r="AG107" i="6"/>
  <c r="AF107" i="6"/>
  <c r="O107" i="6"/>
  <c r="P107" i="6" s="1"/>
  <c r="AP106" i="6"/>
  <c r="AO106" i="6"/>
  <c r="AL106" i="6"/>
  <c r="AK106" i="6"/>
  <c r="AJ106" i="6"/>
  <c r="AI106" i="6"/>
  <c r="AH106" i="6"/>
  <c r="AG106" i="6"/>
  <c r="AF106" i="6"/>
  <c r="O106" i="6"/>
  <c r="P106" i="6" s="1"/>
  <c r="AP105" i="6"/>
  <c r="AO105" i="6"/>
  <c r="AL105" i="6"/>
  <c r="AK105" i="6"/>
  <c r="AJ105" i="6"/>
  <c r="AI105" i="6"/>
  <c r="AH105" i="6"/>
  <c r="AG105" i="6"/>
  <c r="AF105" i="6"/>
  <c r="O105" i="6"/>
  <c r="P105" i="6" s="1"/>
  <c r="AP104" i="6"/>
  <c r="AO104" i="6"/>
  <c r="AL104" i="6"/>
  <c r="AK104" i="6"/>
  <c r="AJ104" i="6"/>
  <c r="AI104" i="6"/>
  <c r="AH104" i="6"/>
  <c r="AG104" i="6"/>
  <c r="AF104" i="6"/>
  <c r="O104" i="6"/>
  <c r="P104" i="6" s="1"/>
  <c r="AP103" i="6"/>
  <c r="AO103" i="6"/>
  <c r="AL103" i="6"/>
  <c r="AK103" i="6"/>
  <c r="AJ103" i="6"/>
  <c r="AI103" i="6"/>
  <c r="AH103" i="6"/>
  <c r="AG103" i="6"/>
  <c r="AF103" i="6"/>
  <c r="O103" i="6"/>
  <c r="P103" i="6" s="1"/>
  <c r="AP102" i="6"/>
  <c r="AO102" i="6"/>
  <c r="AL102" i="6"/>
  <c r="AK102" i="6"/>
  <c r="AJ102" i="6"/>
  <c r="AI102" i="6"/>
  <c r="AH102" i="6"/>
  <c r="AG102" i="6"/>
  <c r="AF102" i="6"/>
  <c r="O102" i="6"/>
  <c r="P102" i="6" s="1"/>
  <c r="AP101" i="6"/>
  <c r="AO101" i="6"/>
  <c r="AL101" i="6"/>
  <c r="AK101" i="6"/>
  <c r="AJ101" i="6"/>
  <c r="AI101" i="6"/>
  <c r="AH101" i="6"/>
  <c r="AG101" i="6"/>
  <c r="AF101" i="6"/>
  <c r="O101" i="6"/>
  <c r="P101" i="6" s="1"/>
  <c r="AP100" i="6"/>
  <c r="AO100" i="6"/>
  <c r="AL100" i="6"/>
  <c r="AK100" i="6"/>
  <c r="AJ100" i="6"/>
  <c r="AI100" i="6"/>
  <c r="AH100" i="6"/>
  <c r="AG100" i="6"/>
  <c r="AF100" i="6"/>
  <c r="O100" i="6"/>
  <c r="P100" i="6" s="1"/>
  <c r="AP99" i="6"/>
  <c r="AO99" i="6"/>
  <c r="AL99" i="6"/>
  <c r="AK99" i="6"/>
  <c r="AJ99" i="6"/>
  <c r="AI99" i="6"/>
  <c r="AH99" i="6"/>
  <c r="AG99" i="6"/>
  <c r="AF99" i="6"/>
  <c r="O99" i="6"/>
  <c r="P99" i="6" s="1"/>
  <c r="AP98" i="6"/>
  <c r="AO98" i="6"/>
  <c r="AL98" i="6"/>
  <c r="AK98" i="6"/>
  <c r="AJ98" i="6"/>
  <c r="AI98" i="6"/>
  <c r="AH98" i="6"/>
  <c r="AG98" i="6"/>
  <c r="AF98" i="6"/>
  <c r="O98" i="6"/>
  <c r="P98" i="6" s="1"/>
  <c r="AP97" i="6"/>
  <c r="AO97" i="6"/>
  <c r="AL97" i="6"/>
  <c r="AK97" i="6"/>
  <c r="AJ97" i="6"/>
  <c r="AI97" i="6"/>
  <c r="AH97" i="6"/>
  <c r="AG97" i="6"/>
  <c r="AF97" i="6"/>
  <c r="O97" i="6"/>
  <c r="P97" i="6" s="1"/>
  <c r="AP96" i="6"/>
  <c r="AO96" i="6"/>
  <c r="AL96" i="6"/>
  <c r="AK96" i="6"/>
  <c r="AJ96" i="6"/>
  <c r="AI96" i="6"/>
  <c r="AH96" i="6"/>
  <c r="AG96" i="6"/>
  <c r="AF96" i="6"/>
  <c r="O96" i="6"/>
  <c r="P96" i="6" s="1"/>
  <c r="AP95" i="6"/>
  <c r="AO95" i="6"/>
  <c r="AL95" i="6"/>
  <c r="AK95" i="6"/>
  <c r="AJ95" i="6"/>
  <c r="AI95" i="6"/>
  <c r="AH95" i="6"/>
  <c r="AG95" i="6"/>
  <c r="AF95" i="6"/>
  <c r="O95" i="6"/>
  <c r="P95" i="6" s="1"/>
  <c r="AP94" i="6"/>
  <c r="AO94" i="6"/>
  <c r="AL94" i="6"/>
  <c r="AK94" i="6"/>
  <c r="AJ94" i="6"/>
  <c r="AI94" i="6"/>
  <c r="AH94" i="6"/>
  <c r="AG94" i="6"/>
  <c r="AF94" i="6"/>
  <c r="O94" i="6"/>
  <c r="P94" i="6" s="1"/>
  <c r="AP93" i="6"/>
  <c r="AO93" i="6"/>
  <c r="AL93" i="6"/>
  <c r="AK93" i="6"/>
  <c r="AJ93" i="6"/>
  <c r="AI93" i="6"/>
  <c r="AH93" i="6"/>
  <c r="AG93" i="6"/>
  <c r="AF93" i="6"/>
  <c r="O93" i="6"/>
  <c r="P93" i="6" s="1"/>
  <c r="AP92" i="6"/>
  <c r="AO92" i="6"/>
  <c r="AL92" i="6"/>
  <c r="AK92" i="6"/>
  <c r="AJ92" i="6"/>
  <c r="AI92" i="6"/>
  <c r="AH92" i="6"/>
  <c r="AG92" i="6"/>
  <c r="AF92" i="6"/>
  <c r="O92" i="6"/>
  <c r="P92" i="6" s="1"/>
  <c r="AP91" i="6"/>
  <c r="AO91" i="6"/>
  <c r="AL91" i="6"/>
  <c r="AK91" i="6"/>
  <c r="AJ91" i="6"/>
  <c r="AI91" i="6"/>
  <c r="AH91" i="6"/>
  <c r="AG91" i="6"/>
  <c r="AF91" i="6"/>
  <c r="O91" i="6"/>
  <c r="P91" i="6" s="1"/>
  <c r="AP90" i="6"/>
  <c r="AO90" i="6"/>
  <c r="AL90" i="6"/>
  <c r="AK90" i="6"/>
  <c r="AJ90" i="6"/>
  <c r="AI90" i="6"/>
  <c r="AH90" i="6"/>
  <c r="AG90" i="6"/>
  <c r="AF90" i="6"/>
  <c r="O90" i="6"/>
  <c r="P90" i="6" s="1"/>
  <c r="AP89" i="6"/>
  <c r="AO89" i="6"/>
  <c r="AL89" i="6"/>
  <c r="AK89" i="6"/>
  <c r="AJ89" i="6"/>
  <c r="AI89" i="6"/>
  <c r="AH89" i="6"/>
  <c r="AG89" i="6"/>
  <c r="AF89" i="6"/>
  <c r="O89" i="6"/>
  <c r="P89" i="6" s="1"/>
  <c r="AP88" i="6"/>
  <c r="AO88" i="6"/>
  <c r="AL88" i="6"/>
  <c r="AK88" i="6"/>
  <c r="AJ88" i="6"/>
  <c r="AI88" i="6"/>
  <c r="AH88" i="6"/>
  <c r="AG88" i="6"/>
  <c r="AF88" i="6"/>
  <c r="O88" i="6"/>
  <c r="P88" i="6" s="1"/>
  <c r="AP87" i="6"/>
  <c r="AO87" i="6"/>
  <c r="AL87" i="6"/>
  <c r="AK87" i="6"/>
  <c r="AJ87" i="6"/>
  <c r="AI87" i="6"/>
  <c r="AH87" i="6"/>
  <c r="AG87" i="6"/>
  <c r="AF87" i="6"/>
  <c r="O87" i="6"/>
  <c r="P87" i="6" s="1"/>
  <c r="AP86" i="6"/>
  <c r="AO86" i="6"/>
  <c r="AL86" i="6"/>
  <c r="AK86" i="6"/>
  <c r="AJ86" i="6"/>
  <c r="AI86" i="6"/>
  <c r="AH86" i="6"/>
  <c r="AG86" i="6"/>
  <c r="AF86" i="6"/>
  <c r="O86" i="6"/>
  <c r="P86" i="6" s="1"/>
  <c r="AP85" i="6"/>
  <c r="AO85" i="6"/>
  <c r="AL85" i="6"/>
  <c r="AK85" i="6"/>
  <c r="AJ85" i="6"/>
  <c r="AI85" i="6"/>
  <c r="AH85" i="6"/>
  <c r="AG85" i="6"/>
  <c r="AF85" i="6"/>
  <c r="O85" i="6"/>
  <c r="P85" i="6" s="1"/>
  <c r="AP84" i="6"/>
  <c r="AO84" i="6"/>
  <c r="AL84" i="6"/>
  <c r="AK84" i="6"/>
  <c r="AJ84" i="6"/>
  <c r="AI84" i="6"/>
  <c r="AH84" i="6"/>
  <c r="AG84" i="6"/>
  <c r="AF84" i="6"/>
  <c r="O84" i="6"/>
  <c r="P84" i="6" s="1"/>
  <c r="AP83" i="6"/>
  <c r="AO83" i="6"/>
  <c r="AL83" i="6"/>
  <c r="AK83" i="6"/>
  <c r="AJ83" i="6"/>
  <c r="AI83" i="6"/>
  <c r="AH83" i="6"/>
  <c r="AG83" i="6"/>
  <c r="AF83" i="6"/>
  <c r="O83" i="6"/>
  <c r="P83" i="6" s="1"/>
  <c r="AP82" i="6"/>
  <c r="AO82" i="6"/>
  <c r="AL82" i="6"/>
  <c r="AK82" i="6"/>
  <c r="AJ82" i="6"/>
  <c r="AI82" i="6"/>
  <c r="AH82" i="6"/>
  <c r="AG82" i="6"/>
  <c r="AF82" i="6"/>
  <c r="O82" i="6"/>
  <c r="P82" i="6" s="1"/>
  <c r="AP81" i="6"/>
  <c r="AO81" i="6"/>
  <c r="AL81" i="6"/>
  <c r="AK81" i="6"/>
  <c r="AJ81" i="6"/>
  <c r="AI81" i="6"/>
  <c r="AH81" i="6"/>
  <c r="AG81" i="6"/>
  <c r="AF81" i="6"/>
  <c r="O81" i="6"/>
  <c r="P81" i="6" s="1"/>
  <c r="AP80" i="6"/>
  <c r="AO80" i="6"/>
  <c r="AL80" i="6"/>
  <c r="AK80" i="6"/>
  <c r="AJ80" i="6"/>
  <c r="AI80" i="6"/>
  <c r="AH80" i="6"/>
  <c r="AG80" i="6"/>
  <c r="AF80" i="6"/>
  <c r="O80" i="6"/>
  <c r="P80" i="6" s="1"/>
  <c r="AP79" i="6"/>
  <c r="AO79" i="6"/>
  <c r="AL79" i="6"/>
  <c r="AK79" i="6"/>
  <c r="AJ79" i="6"/>
  <c r="AI79" i="6"/>
  <c r="AH79" i="6"/>
  <c r="AG79" i="6"/>
  <c r="AF79" i="6"/>
  <c r="O79" i="6"/>
  <c r="P79" i="6" s="1"/>
  <c r="AP78" i="6"/>
  <c r="AO78" i="6"/>
  <c r="AL78" i="6"/>
  <c r="AK78" i="6"/>
  <c r="AJ78" i="6"/>
  <c r="AI78" i="6"/>
  <c r="AH78" i="6"/>
  <c r="AG78" i="6"/>
  <c r="AF78" i="6"/>
  <c r="O78" i="6"/>
  <c r="P78" i="6" s="1"/>
  <c r="AP77" i="6"/>
  <c r="AO77" i="6"/>
  <c r="AL77" i="6"/>
  <c r="AK77" i="6"/>
  <c r="AJ77" i="6"/>
  <c r="AI77" i="6"/>
  <c r="AH77" i="6"/>
  <c r="AG77" i="6"/>
  <c r="AF77" i="6"/>
  <c r="O77" i="6"/>
  <c r="P77" i="6" s="1"/>
  <c r="AP76" i="6"/>
  <c r="AO76" i="6"/>
  <c r="AL76" i="6"/>
  <c r="AK76" i="6"/>
  <c r="AJ76" i="6"/>
  <c r="AI76" i="6"/>
  <c r="AH76" i="6"/>
  <c r="AG76" i="6"/>
  <c r="AF76" i="6"/>
  <c r="O76" i="6"/>
  <c r="P76" i="6" s="1"/>
  <c r="AP75" i="6"/>
  <c r="AO75" i="6"/>
  <c r="AL75" i="6"/>
  <c r="AK75" i="6"/>
  <c r="AJ75" i="6"/>
  <c r="AI75" i="6"/>
  <c r="AH75" i="6"/>
  <c r="AG75" i="6"/>
  <c r="AF75" i="6"/>
  <c r="O75" i="6"/>
  <c r="P75" i="6" s="1"/>
  <c r="AP74" i="6"/>
  <c r="AO74" i="6"/>
  <c r="AL74" i="6"/>
  <c r="AK74" i="6"/>
  <c r="AJ74" i="6"/>
  <c r="AI74" i="6"/>
  <c r="AH74" i="6"/>
  <c r="AG74" i="6"/>
  <c r="AF74" i="6"/>
  <c r="O74" i="6"/>
  <c r="P74" i="6" s="1"/>
  <c r="AP73" i="6"/>
  <c r="AO73" i="6"/>
  <c r="AL73" i="6"/>
  <c r="AK73" i="6"/>
  <c r="AJ73" i="6"/>
  <c r="AI73" i="6"/>
  <c r="AH73" i="6"/>
  <c r="AG73" i="6"/>
  <c r="AF73" i="6"/>
  <c r="O73" i="6"/>
  <c r="P73" i="6" s="1"/>
  <c r="AP72" i="6"/>
  <c r="AO72" i="6"/>
  <c r="AL72" i="6"/>
  <c r="AK72" i="6"/>
  <c r="AJ72" i="6"/>
  <c r="AI72" i="6"/>
  <c r="AH72" i="6"/>
  <c r="AG72" i="6"/>
  <c r="AF72" i="6"/>
  <c r="O72" i="6"/>
  <c r="P72" i="6" s="1"/>
  <c r="AP71" i="6"/>
  <c r="AO71" i="6"/>
  <c r="AL71" i="6"/>
  <c r="AK71" i="6"/>
  <c r="AJ71" i="6"/>
  <c r="AI71" i="6"/>
  <c r="AH71" i="6"/>
  <c r="AG71" i="6"/>
  <c r="AF71" i="6"/>
  <c r="O71" i="6"/>
  <c r="P71" i="6" s="1"/>
  <c r="AP70" i="6"/>
  <c r="AO70" i="6"/>
  <c r="AL70" i="6"/>
  <c r="AK70" i="6"/>
  <c r="AJ70" i="6"/>
  <c r="AI70" i="6"/>
  <c r="AH70" i="6"/>
  <c r="AG70" i="6"/>
  <c r="AF70" i="6"/>
  <c r="O70" i="6"/>
  <c r="P70" i="6" s="1"/>
  <c r="AP69" i="6"/>
  <c r="AO69" i="6"/>
  <c r="AL69" i="6"/>
  <c r="AK69" i="6"/>
  <c r="AJ69" i="6"/>
  <c r="AI69" i="6"/>
  <c r="AH69" i="6"/>
  <c r="AG69" i="6"/>
  <c r="AF69" i="6"/>
  <c r="O69" i="6"/>
  <c r="P69" i="6" s="1"/>
  <c r="AP68" i="6"/>
  <c r="AO68" i="6"/>
  <c r="AL68" i="6"/>
  <c r="AK68" i="6"/>
  <c r="AJ68" i="6"/>
  <c r="AI68" i="6"/>
  <c r="AH68" i="6"/>
  <c r="AG68" i="6"/>
  <c r="AF68" i="6"/>
  <c r="O68" i="6"/>
  <c r="P68" i="6" s="1"/>
  <c r="AP67" i="6"/>
  <c r="AO67" i="6"/>
  <c r="AL67" i="6"/>
  <c r="AK67" i="6"/>
  <c r="AJ67" i="6"/>
  <c r="AI67" i="6"/>
  <c r="AH67" i="6"/>
  <c r="AG67" i="6"/>
  <c r="AF67" i="6"/>
  <c r="O67" i="6"/>
  <c r="P67" i="6" s="1"/>
  <c r="AP66" i="6"/>
  <c r="AO66" i="6"/>
  <c r="AL66" i="6"/>
  <c r="AK66" i="6"/>
  <c r="AJ66" i="6"/>
  <c r="AI66" i="6"/>
  <c r="AH66" i="6"/>
  <c r="AG66" i="6"/>
  <c r="AF66" i="6"/>
  <c r="O66" i="6"/>
  <c r="P66" i="6" s="1"/>
  <c r="AP65" i="6"/>
  <c r="AO65" i="6"/>
  <c r="AL65" i="6"/>
  <c r="AK65" i="6"/>
  <c r="AJ65" i="6"/>
  <c r="AI65" i="6"/>
  <c r="AH65" i="6"/>
  <c r="AG65" i="6"/>
  <c r="AF65" i="6"/>
  <c r="O65" i="6"/>
  <c r="P65" i="6" s="1"/>
  <c r="AP64" i="6"/>
  <c r="AO64" i="6"/>
  <c r="AL64" i="6"/>
  <c r="AK64" i="6"/>
  <c r="AJ64" i="6"/>
  <c r="AI64" i="6"/>
  <c r="AH64" i="6"/>
  <c r="AG64" i="6"/>
  <c r="AF64" i="6"/>
  <c r="O64" i="6"/>
  <c r="P64" i="6" s="1"/>
  <c r="AP63" i="6"/>
  <c r="AO63" i="6"/>
  <c r="AL63" i="6"/>
  <c r="AK63" i="6"/>
  <c r="AJ63" i="6"/>
  <c r="AI63" i="6"/>
  <c r="AH63" i="6"/>
  <c r="AG63" i="6"/>
  <c r="AF63" i="6"/>
  <c r="O63" i="6"/>
  <c r="P63" i="6" s="1"/>
  <c r="AP62" i="6"/>
  <c r="AO62" i="6"/>
  <c r="AL62" i="6"/>
  <c r="AK62" i="6"/>
  <c r="AJ62" i="6"/>
  <c r="AI62" i="6"/>
  <c r="AH62" i="6"/>
  <c r="AG62" i="6"/>
  <c r="AF62" i="6"/>
  <c r="O62" i="6"/>
  <c r="P62" i="6" s="1"/>
  <c r="AP61" i="6"/>
  <c r="AO61" i="6"/>
  <c r="AL61" i="6"/>
  <c r="AK61" i="6"/>
  <c r="AJ61" i="6"/>
  <c r="AI61" i="6"/>
  <c r="AH61" i="6"/>
  <c r="AG61" i="6"/>
  <c r="AF61" i="6"/>
  <c r="O61" i="6"/>
  <c r="P61" i="6" s="1"/>
  <c r="AP60" i="6"/>
  <c r="AO60" i="6"/>
  <c r="AL60" i="6"/>
  <c r="AK60" i="6"/>
  <c r="AJ60" i="6"/>
  <c r="AI60" i="6"/>
  <c r="AH60" i="6"/>
  <c r="AG60" i="6"/>
  <c r="AF60" i="6"/>
  <c r="O60" i="6"/>
  <c r="P60" i="6" s="1"/>
  <c r="AP59" i="6"/>
  <c r="AO59" i="6"/>
  <c r="AL59" i="6"/>
  <c r="AK59" i="6"/>
  <c r="AJ59" i="6"/>
  <c r="AI59" i="6"/>
  <c r="AH59" i="6"/>
  <c r="AG59" i="6"/>
  <c r="AF59" i="6"/>
  <c r="O59" i="6"/>
  <c r="P59" i="6" s="1"/>
  <c r="AP58" i="6"/>
  <c r="AO58" i="6"/>
  <c r="AL58" i="6"/>
  <c r="AK58" i="6"/>
  <c r="AJ58" i="6"/>
  <c r="AI58" i="6"/>
  <c r="AH58" i="6"/>
  <c r="AG58" i="6"/>
  <c r="AF58" i="6"/>
  <c r="O58" i="6"/>
  <c r="P58" i="6" s="1"/>
  <c r="AP57" i="6"/>
  <c r="AO57" i="6"/>
  <c r="AL57" i="6"/>
  <c r="AK57" i="6"/>
  <c r="AJ57" i="6"/>
  <c r="AI57" i="6"/>
  <c r="AH57" i="6"/>
  <c r="AG57" i="6"/>
  <c r="AF57" i="6"/>
  <c r="O57" i="6"/>
  <c r="P57" i="6" s="1"/>
  <c r="AP56" i="6"/>
  <c r="AO56" i="6"/>
  <c r="AL56" i="6"/>
  <c r="AK56" i="6"/>
  <c r="AJ56" i="6"/>
  <c r="AI56" i="6"/>
  <c r="AH56" i="6"/>
  <c r="AG56" i="6"/>
  <c r="AF56" i="6"/>
  <c r="O56" i="6"/>
  <c r="P56" i="6" s="1"/>
  <c r="AP55" i="6"/>
  <c r="AO55" i="6"/>
  <c r="AL55" i="6"/>
  <c r="AK55" i="6"/>
  <c r="AJ55" i="6"/>
  <c r="AI55" i="6"/>
  <c r="AH55" i="6"/>
  <c r="AG55" i="6"/>
  <c r="AF55" i="6"/>
  <c r="O55" i="6"/>
  <c r="P55" i="6" s="1"/>
  <c r="AP54" i="6"/>
  <c r="AO54" i="6"/>
  <c r="AL54" i="6"/>
  <c r="AK54" i="6"/>
  <c r="AJ54" i="6"/>
  <c r="AI54" i="6"/>
  <c r="AH54" i="6"/>
  <c r="AG54" i="6"/>
  <c r="AF54" i="6"/>
  <c r="O54" i="6"/>
  <c r="P54" i="6" s="1"/>
  <c r="AP53" i="6"/>
  <c r="AO53" i="6"/>
  <c r="AL53" i="6"/>
  <c r="AK53" i="6"/>
  <c r="AJ53" i="6"/>
  <c r="AI53" i="6"/>
  <c r="AH53" i="6"/>
  <c r="AG53" i="6"/>
  <c r="AF53" i="6"/>
  <c r="O53" i="6"/>
  <c r="P53" i="6" s="1"/>
  <c r="AP52" i="6"/>
  <c r="AO52" i="6"/>
  <c r="AL52" i="6"/>
  <c r="AK52" i="6"/>
  <c r="AJ52" i="6"/>
  <c r="AI52" i="6"/>
  <c r="AH52" i="6"/>
  <c r="AG52" i="6"/>
  <c r="AF52" i="6"/>
  <c r="O52" i="6"/>
  <c r="P52" i="6" s="1"/>
  <c r="AP51" i="6"/>
  <c r="AO51" i="6"/>
  <c r="AL51" i="6"/>
  <c r="AK51" i="6"/>
  <c r="AJ51" i="6"/>
  <c r="AI51" i="6"/>
  <c r="AH51" i="6"/>
  <c r="AG51" i="6"/>
  <c r="AF51" i="6"/>
  <c r="O51" i="6"/>
  <c r="P51" i="6" s="1"/>
  <c r="AP50" i="6"/>
  <c r="AO50" i="6"/>
  <c r="AL50" i="6"/>
  <c r="AK50" i="6"/>
  <c r="AJ50" i="6"/>
  <c r="AI50" i="6"/>
  <c r="AH50" i="6"/>
  <c r="AG50" i="6"/>
  <c r="AF50" i="6"/>
  <c r="O50" i="6"/>
  <c r="P50" i="6" s="1"/>
  <c r="AP49" i="6"/>
  <c r="AO49" i="6"/>
  <c r="AL49" i="6"/>
  <c r="AK49" i="6"/>
  <c r="AJ49" i="6"/>
  <c r="AI49" i="6"/>
  <c r="AH49" i="6"/>
  <c r="AG49" i="6"/>
  <c r="AF49" i="6"/>
  <c r="O49" i="6"/>
  <c r="P49" i="6" s="1"/>
  <c r="AP48" i="6"/>
  <c r="AO48" i="6"/>
  <c r="AL48" i="6"/>
  <c r="AK48" i="6"/>
  <c r="AJ48" i="6"/>
  <c r="AI48" i="6"/>
  <c r="AH48" i="6"/>
  <c r="AG48" i="6"/>
  <c r="AF48" i="6"/>
  <c r="O48" i="6"/>
  <c r="P48" i="6" s="1"/>
  <c r="AP47" i="6"/>
  <c r="AO47" i="6"/>
  <c r="AL47" i="6"/>
  <c r="AK47" i="6"/>
  <c r="AJ47" i="6"/>
  <c r="AI47" i="6"/>
  <c r="AH47" i="6"/>
  <c r="AG47" i="6"/>
  <c r="AF47" i="6"/>
  <c r="O47" i="6"/>
  <c r="P47" i="6" s="1"/>
  <c r="AP46" i="6"/>
  <c r="AO46" i="6"/>
  <c r="AL46" i="6"/>
  <c r="AK46" i="6"/>
  <c r="AJ46" i="6"/>
  <c r="AI46" i="6"/>
  <c r="AH46" i="6"/>
  <c r="AG46" i="6"/>
  <c r="AF46" i="6"/>
  <c r="O46" i="6"/>
  <c r="P46" i="6" s="1"/>
  <c r="AP45" i="6"/>
  <c r="AO45" i="6"/>
  <c r="AL45" i="6"/>
  <c r="AK45" i="6"/>
  <c r="AJ45" i="6"/>
  <c r="AI45" i="6"/>
  <c r="AH45" i="6"/>
  <c r="AG45" i="6"/>
  <c r="AF45" i="6"/>
  <c r="O45" i="6"/>
  <c r="P45" i="6" s="1"/>
  <c r="AP44" i="6"/>
  <c r="AO44" i="6"/>
  <c r="AL44" i="6"/>
  <c r="AK44" i="6"/>
  <c r="AJ44" i="6"/>
  <c r="AI44" i="6"/>
  <c r="AH44" i="6"/>
  <c r="AG44" i="6"/>
  <c r="AF44" i="6"/>
  <c r="O44" i="6"/>
  <c r="P44" i="6" s="1"/>
  <c r="AP43" i="6"/>
  <c r="AO43" i="6"/>
  <c r="AL43" i="6"/>
  <c r="AK43" i="6"/>
  <c r="AJ43" i="6"/>
  <c r="AI43" i="6"/>
  <c r="AH43" i="6"/>
  <c r="AG43" i="6"/>
  <c r="AF43" i="6"/>
  <c r="O43" i="6"/>
  <c r="P43" i="6" s="1"/>
  <c r="AP42" i="6"/>
  <c r="AO42" i="6"/>
  <c r="AL42" i="6"/>
  <c r="AK42" i="6"/>
  <c r="AJ42" i="6"/>
  <c r="AI42" i="6"/>
  <c r="AH42" i="6"/>
  <c r="AG42" i="6"/>
  <c r="AF42" i="6"/>
  <c r="O42" i="6"/>
  <c r="P42" i="6" s="1"/>
  <c r="AP41" i="6"/>
  <c r="AO41" i="6"/>
  <c r="AL41" i="6"/>
  <c r="AK41" i="6"/>
  <c r="AJ41" i="6"/>
  <c r="AI41" i="6"/>
  <c r="AH41" i="6"/>
  <c r="AG41" i="6"/>
  <c r="AF41" i="6"/>
  <c r="O41" i="6"/>
  <c r="P41" i="6" s="1"/>
  <c r="AP40" i="6"/>
  <c r="AO40" i="6"/>
  <c r="AL40" i="6"/>
  <c r="AK40" i="6"/>
  <c r="AJ40" i="6"/>
  <c r="AI40" i="6"/>
  <c r="AH40" i="6"/>
  <c r="AG40" i="6"/>
  <c r="AF40" i="6"/>
  <c r="O40" i="6"/>
  <c r="P40" i="6" s="1"/>
  <c r="AP39" i="6"/>
  <c r="AO39" i="6"/>
  <c r="AL39" i="6"/>
  <c r="AK39" i="6"/>
  <c r="AJ39" i="6"/>
  <c r="AI39" i="6"/>
  <c r="AH39" i="6"/>
  <c r="AG39" i="6"/>
  <c r="AF39" i="6"/>
  <c r="O39" i="6"/>
  <c r="P39" i="6" s="1"/>
  <c r="AP38" i="6"/>
  <c r="AO38" i="6"/>
  <c r="AL38" i="6"/>
  <c r="AK38" i="6"/>
  <c r="AJ38" i="6"/>
  <c r="AI38" i="6"/>
  <c r="AH38" i="6"/>
  <c r="AG38" i="6"/>
  <c r="AF38" i="6"/>
  <c r="O38" i="6"/>
  <c r="P38" i="6" s="1"/>
  <c r="AP37" i="6"/>
  <c r="AO37" i="6"/>
  <c r="AL37" i="6"/>
  <c r="AK37" i="6"/>
  <c r="AJ37" i="6"/>
  <c r="AI37" i="6"/>
  <c r="AH37" i="6"/>
  <c r="AG37" i="6"/>
  <c r="AF37" i="6"/>
  <c r="O37" i="6"/>
  <c r="P37" i="6" s="1"/>
  <c r="AP36" i="6"/>
  <c r="AO36" i="6"/>
  <c r="AL36" i="6"/>
  <c r="AK36" i="6"/>
  <c r="AJ36" i="6"/>
  <c r="AI36" i="6"/>
  <c r="AH36" i="6"/>
  <c r="AG36" i="6"/>
  <c r="AF36" i="6"/>
  <c r="O36" i="6"/>
  <c r="P36" i="6" s="1"/>
  <c r="AP35" i="6"/>
  <c r="AO35" i="6"/>
  <c r="AL35" i="6"/>
  <c r="AK35" i="6"/>
  <c r="AJ35" i="6"/>
  <c r="AI35" i="6"/>
  <c r="AH35" i="6"/>
  <c r="AG35" i="6"/>
  <c r="AF35" i="6"/>
  <c r="O35" i="6"/>
  <c r="P35" i="6" s="1"/>
  <c r="AP34" i="6"/>
  <c r="AO34" i="6"/>
  <c r="AL34" i="6"/>
  <c r="AK34" i="6"/>
  <c r="AJ34" i="6"/>
  <c r="AI34" i="6"/>
  <c r="AH34" i="6"/>
  <c r="AG34" i="6"/>
  <c r="AF34" i="6"/>
  <c r="O34" i="6"/>
  <c r="P34" i="6" s="1"/>
  <c r="AP33" i="6"/>
  <c r="AO33" i="6"/>
  <c r="AL33" i="6"/>
  <c r="AK33" i="6"/>
  <c r="AJ33" i="6"/>
  <c r="AI33" i="6"/>
  <c r="AH33" i="6"/>
  <c r="AG33" i="6"/>
  <c r="AF33" i="6"/>
  <c r="O33" i="6"/>
  <c r="P33" i="6" s="1"/>
  <c r="AP32" i="6"/>
  <c r="AO32" i="6"/>
  <c r="AL32" i="6"/>
  <c r="AK32" i="6"/>
  <c r="AJ32" i="6"/>
  <c r="AI32" i="6"/>
  <c r="AH32" i="6"/>
  <c r="AG32" i="6"/>
  <c r="AF32" i="6"/>
  <c r="O32" i="6"/>
  <c r="P32" i="6" s="1"/>
  <c r="AP31" i="6"/>
  <c r="AO31" i="6"/>
  <c r="AL31" i="6"/>
  <c r="AK31" i="6"/>
  <c r="AJ31" i="6"/>
  <c r="AI31" i="6"/>
  <c r="AH31" i="6"/>
  <c r="AG31" i="6"/>
  <c r="AF31" i="6"/>
  <c r="O31" i="6"/>
  <c r="P31" i="6" s="1"/>
  <c r="AP30" i="6"/>
  <c r="AO30" i="6"/>
  <c r="AL30" i="6"/>
  <c r="AK30" i="6"/>
  <c r="AJ30" i="6"/>
  <c r="AI30" i="6"/>
  <c r="AH30" i="6"/>
  <c r="AG30" i="6"/>
  <c r="AF30" i="6"/>
  <c r="O30" i="6"/>
  <c r="P30" i="6" s="1"/>
  <c r="AP29" i="6"/>
  <c r="AO29" i="6"/>
  <c r="AL29" i="6"/>
  <c r="AK29" i="6"/>
  <c r="AJ29" i="6"/>
  <c r="AI29" i="6"/>
  <c r="AH29" i="6"/>
  <c r="AG29" i="6"/>
  <c r="AF29" i="6"/>
  <c r="O29" i="6"/>
  <c r="P29" i="6" s="1"/>
  <c r="AP28" i="6"/>
  <c r="AO28" i="6"/>
  <c r="AL28" i="6"/>
  <c r="AK28" i="6"/>
  <c r="AJ28" i="6"/>
  <c r="AI28" i="6"/>
  <c r="AH28" i="6"/>
  <c r="AG28" i="6"/>
  <c r="AF28" i="6"/>
  <c r="O28" i="6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D376" i="2"/>
  <c r="AD377" i="2"/>
  <c r="AD378" i="2"/>
  <c r="AD379" i="2"/>
  <c r="AD380" i="2"/>
  <c r="AD381" i="2"/>
  <c r="AD382" i="2"/>
  <c r="AD383" i="2"/>
  <c r="AD384" i="2"/>
  <c r="AD385" i="2"/>
  <c r="AD386" i="2"/>
  <c r="AD387" i="2"/>
  <c r="AD388" i="2"/>
  <c r="AD389" i="2"/>
  <c r="AD390" i="2"/>
  <c r="AD391" i="2"/>
  <c r="AD392" i="2"/>
  <c r="AD393" i="2"/>
  <c r="AD394" i="2"/>
  <c r="AD395" i="2"/>
  <c r="AD396" i="2"/>
  <c r="AD397" i="2"/>
  <c r="AD398" i="2"/>
  <c r="AD399" i="2"/>
  <c r="AD400" i="2"/>
  <c r="AD401" i="2"/>
  <c r="AD402" i="2"/>
  <c r="AD403" i="2"/>
  <c r="AD404" i="2"/>
  <c r="O27" i="6" l="1"/>
  <c r="AM28" i="6"/>
  <c r="AE28" i="6" s="1"/>
  <c r="AM107" i="6"/>
  <c r="AE107" i="6" s="1"/>
  <c r="AM186" i="6"/>
  <c r="AM272" i="6"/>
  <c r="AE272" i="6" s="1"/>
  <c r="AM325" i="6"/>
  <c r="AE325" i="6" s="1"/>
  <c r="AM102" i="6"/>
  <c r="AE102" i="6" s="1"/>
  <c r="AM169" i="6"/>
  <c r="AE169" i="6" s="1"/>
  <c r="AM374" i="6"/>
  <c r="AE374" i="6" s="1"/>
  <c r="AM386" i="6"/>
  <c r="AE386" i="6" s="1"/>
  <c r="AM106" i="6"/>
  <c r="AE106" i="6" s="1"/>
  <c r="AM91" i="6"/>
  <c r="AE91" i="6" s="1"/>
  <c r="AM172" i="6"/>
  <c r="AM362" i="6"/>
  <c r="AE362" i="6" s="1"/>
  <c r="AM74" i="6"/>
  <c r="AE74" i="6" s="1"/>
  <c r="AM246" i="6"/>
  <c r="AE246" i="6" s="1"/>
  <c r="AM320" i="6"/>
  <c r="AE320" i="6" s="1"/>
  <c r="AM340" i="6"/>
  <c r="AE340" i="6" s="1"/>
  <c r="AM401" i="6"/>
  <c r="AE401" i="6" s="1"/>
  <c r="AM241" i="6"/>
  <c r="AE241" i="6" s="1"/>
  <c r="AM311" i="6"/>
  <c r="AE311" i="6" s="1"/>
  <c r="AM238" i="6"/>
  <c r="AE238" i="6" s="1"/>
  <c r="AM294" i="6"/>
  <c r="AE294" i="6" s="1"/>
  <c r="AM277" i="6"/>
  <c r="AE277" i="6" s="1"/>
  <c r="AM127" i="6"/>
  <c r="AE127" i="6" s="1"/>
  <c r="AM187" i="6"/>
  <c r="AE187" i="6" s="1"/>
  <c r="AM394" i="6"/>
  <c r="AE394" i="6" s="1"/>
  <c r="AM76" i="6"/>
  <c r="AE76" i="6" s="1"/>
  <c r="AM86" i="6"/>
  <c r="AE86" i="6" s="1"/>
  <c r="AM92" i="6"/>
  <c r="AE92" i="6" s="1"/>
  <c r="AM168" i="6"/>
  <c r="AE168" i="6" s="1"/>
  <c r="AM185" i="6"/>
  <c r="AE185" i="6" s="1"/>
  <c r="AM231" i="6"/>
  <c r="AE231" i="6" s="1"/>
  <c r="AM233" i="6"/>
  <c r="AE233" i="6" s="1"/>
  <c r="AM259" i="6"/>
  <c r="AE259" i="6" s="1"/>
  <c r="AM263" i="6"/>
  <c r="AE263" i="6" s="1"/>
  <c r="AM306" i="6"/>
  <c r="AE306" i="6" s="1"/>
  <c r="AM310" i="6"/>
  <c r="AE310" i="6" s="1"/>
  <c r="AM358" i="6"/>
  <c r="AE358" i="6" s="1"/>
  <c r="AM367" i="6"/>
  <c r="AE367" i="6" s="1"/>
  <c r="AM402" i="6"/>
  <c r="AE402" i="6" s="1"/>
  <c r="AM354" i="6"/>
  <c r="AE354" i="6" s="1"/>
  <c r="AM123" i="6"/>
  <c r="AE123" i="6" s="1"/>
  <c r="AM188" i="6"/>
  <c r="AE188" i="6" s="1"/>
  <c r="AM201" i="6"/>
  <c r="AE201" i="6" s="1"/>
  <c r="AM210" i="6"/>
  <c r="AE210" i="6" s="1"/>
  <c r="AM222" i="6"/>
  <c r="AE222" i="6" s="1"/>
  <c r="AM249" i="6"/>
  <c r="AE249" i="6" s="1"/>
  <c r="AM293" i="6"/>
  <c r="AE293" i="6" s="1"/>
  <c r="AM89" i="6"/>
  <c r="AE89" i="6" s="1"/>
  <c r="AM184" i="6"/>
  <c r="AM221" i="6"/>
  <c r="AE221" i="6" s="1"/>
  <c r="AM282" i="6"/>
  <c r="AE282" i="6" s="1"/>
  <c r="AM284" i="6"/>
  <c r="AE284" i="6" s="1"/>
  <c r="AM299" i="6"/>
  <c r="AE299" i="6" s="1"/>
  <c r="AM70" i="6"/>
  <c r="AE70" i="6" s="1"/>
  <c r="AM108" i="6"/>
  <c r="AE108" i="6" s="1"/>
  <c r="AM152" i="6"/>
  <c r="AE152" i="6" s="1"/>
  <c r="AM202" i="6"/>
  <c r="AE202" i="6" s="1"/>
  <c r="AM204" i="6"/>
  <c r="AE204" i="6" s="1"/>
  <c r="AM212" i="6"/>
  <c r="AE212" i="6" s="1"/>
  <c r="AM226" i="6"/>
  <c r="AE226" i="6" s="1"/>
  <c r="AM279" i="6"/>
  <c r="AE279" i="6" s="1"/>
  <c r="AM304" i="6"/>
  <c r="AE304" i="6" s="1"/>
  <c r="AM348" i="6"/>
  <c r="AE348" i="6" s="1"/>
  <c r="AM378" i="6"/>
  <c r="AE378" i="6" s="1"/>
  <c r="AM383" i="6"/>
  <c r="AE383" i="6" s="1"/>
  <c r="AM87" i="6"/>
  <c r="AE87" i="6" s="1"/>
  <c r="AM75" i="6"/>
  <c r="AE75" i="6" s="1"/>
  <c r="AM288" i="6"/>
  <c r="AE288" i="6" s="1"/>
  <c r="AM90" i="6"/>
  <c r="AE90" i="6" s="1"/>
  <c r="AM170" i="6"/>
  <c r="AE170" i="6" s="1"/>
  <c r="AM200" i="6"/>
  <c r="AE200" i="6" s="1"/>
  <c r="AM243" i="6"/>
  <c r="AM256" i="6"/>
  <c r="AE256" i="6" s="1"/>
  <c r="AM261" i="6"/>
  <c r="AE261" i="6" s="1"/>
  <c r="AM324" i="6"/>
  <c r="AE324" i="6" s="1"/>
  <c r="AM326" i="6"/>
  <c r="AE326" i="6" s="1"/>
  <c r="AM382" i="6"/>
  <c r="AE382" i="6" s="1"/>
  <c r="AM398" i="6"/>
  <c r="AE398" i="6" s="1"/>
  <c r="AM262" i="6"/>
  <c r="AE262" i="6" s="1"/>
  <c r="AM271" i="6"/>
  <c r="AE271" i="6" s="1"/>
  <c r="AM309" i="6"/>
  <c r="AE309" i="6" s="1"/>
  <c r="AM31" i="6"/>
  <c r="AE31" i="6" s="1"/>
  <c r="AM119" i="6"/>
  <c r="AE119" i="6" s="1"/>
  <c r="AM171" i="6"/>
  <c r="AE171" i="6" s="1"/>
  <c r="AM203" i="6"/>
  <c r="AE203" i="6" s="1"/>
  <c r="AM278" i="6"/>
  <c r="AE278" i="6" s="1"/>
  <c r="AM295" i="6"/>
  <c r="AE295" i="6" s="1"/>
  <c r="AM313" i="6"/>
  <c r="AE313" i="6" s="1"/>
  <c r="AM317" i="6"/>
  <c r="AE317" i="6" s="1"/>
  <c r="AM338" i="6"/>
  <c r="AE338" i="6" s="1"/>
  <c r="AM390" i="6"/>
  <c r="AE390" i="6" s="1"/>
  <c r="AM346" i="6"/>
  <c r="AE346" i="6" s="1"/>
  <c r="AM29" i="6"/>
  <c r="AE29" i="6" s="1"/>
  <c r="AM32" i="6"/>
  <c r="AE32" i="6" s="1"/>
  <c r="AM36" i="6"/>
  <c r="AE36" i="6" s="1"/>
  <c r="AM40" i="6"/>
  <c r="AM44" i="6"/>
  <c r="AE44" i="6" s="1"/>
  <c r="AM48" i="6"/>
  <c r="AE48" i="6" s="1"/>
  <c r="AM52" i="6"/>
  <c r="AE52" i="6" s="1"/>
  <c r="AM56" i="6"/>
  <c r="AE56" i="6" s="1"/>
  <c r="AM60" i="6"/>
  <c r="AE60" i="6" s="1"/>
  <c r="AM63" i="6"/>
  <c r="AE63" i="6" s="1"/>
  <c r="AM64" i="6"/>
  <c r="AE64" i="6" s="1"/>
  <c r="AM67" i="6"/>
  <c r="AE67" i="6" s="1"/>
  <c r="AM68" i="6"/>
  <c r="AE68" i="6" s="1"/>
  <c r="AM95" i="6"/>
  <c r="AE95" i="6" s="1"/>
  <c r="AM96" i="6"/>
  <c r="AE96" i="6" s="1"/>
  <c r="AM99" i="6"/>
  <c r="AE99" i="6" s="1"/>
  <c r="AM100" i="6"/>
  <c r="AE100" i="6" s="1"/>
  <c r="AM122" i="6"/>
  <c r="AE122" i="6" s="1"/>
  <c r="AM133" i="6"/>
  <c r="AE133" i="6" s="1"/>
  <c r="AM142" i="6"/>
  <c r="AE142" i="6" s="1"/>
  <c r="AM145" i="6"/>
  <c r="AE145" i="6" s="1"/>
  <c r="AM158" i="6"/>
  <c r="AE158" i="6" s="1"/>
  <c r="AM161" i="6"/>
  <c r="AE161" i="6" s="1"/>
  <c r="AM217" i="6"/>
  <c r="AE217" i="6" s="1"/>
  <c r="AM229" i="6"/>
  <c r="AE229" i="6" s="1"/>
  <c r="AM232" i="6"/>
  <c r="AE232" i="6" s="1"/>
  <c r="AM248" i="6"/>
  <c r="AE248" i="6" s="1"/>
  <c r="AM254" i="6"/>
  <c r="AE254" i="6" s="1"/>
  <c r="AM264" i="6"/>
  <c r="AE264" i="6" s="1"/>
  <c r="AM273" i="6"/>
  <c r="AE273" i="6" s="1"/>
  <c r="AM281" i="6"/>
  <c r="AE281" i="6" s="1"/>
  <c r="AM285" i="6"/>
  <c r="AE285" i="6" s="1"/>
  <c r="AM290" i="6"/>
  <c r="AE290" i="6" s="1"/>
  <c r="AM292" i="6"/>
  <c r="AE292" i="6" s="1"/>
  <c r="AM307" i="6"/>
  <c r="AE307" i="6" s="1"/>
  <c r="AM314" i="6"/>
  <c r="AE314" i="6" s="1"/>
  <c r="AM315" i="6"/>
  <c r="AE315" i="6" s="1"/>
  <c r="AM322" i="6"/>
  <c r="AE322" i="6" s="1"/>
  <c r="AM341" i="6"/>
  <c r="AE341" i="6" s="1"/>
  <c r="AM345" i="6"/>
  <c r="AE345" i="6" s="1"/>
  <c r="AM359" i="6"/>
  <c r="AE359" i="6" s="1"/>
  <c r="AM379" i="6"/>
  <c r="AE379" i="6" s="1"/>
  <c r="AM35" i="6"/>
  <c r="AE35" i="6" s="1"/>
  <c r="AM39" i="6"/>
  <c r="AE39" i="6" s="1"/>
  <c r="AM43" i="6"/>
  <c r="AE43" i="6" s="1"/>
  <c r="AM47" i="6"/>
  <c r="AE47" i="6" s="1"/>
  <c r="AM51" i="6"/>
  <c r="AE51" i="6" s="1"/>
  <c r="AM55" i="6"/>
  <c r="AE55" i="6" s="1"/>
  <c r="AM59" i="6"/>
  <c r="AE59" i="6" s="1"/>
  <c r="AM62" i="6"/>
  <c r="AE62" i="6" s="1"/>
  <c r="AM66" i="6"/>
  <c r="AE66" i="6" s="1"/>
  <c r="AM94" i="6"/>
  <c r="AE94" i="6" s="1"/>
  <c r="AM98" i="6"/>
  <c r="AE98" i="6" s="1"/>
  <c r="AM121" i="6"/>
  <c r="AE121" i="6" s="1"/>
  <c r="AM126" i="6"/>
  <c r="AE126" i="6" s="1"/>
  <c r="AM129" i="6"/>
  <c r="AE129" i="6" s="1"/>
  <c r="AM132" i="6"/>
  <c r="AE132" i="6" s="1"/>
  <c r="AM136" i="6"/>
  <c r="AE136" i="6" s="1"/>
  <c r="AM146" i="6"/>
  <c r="AE146" i="6" s="1"/>
  <c r="AM162" i="6"/>
  <c r="AE162" i="6" s="1"/>
  <c r="AM179" i="6"/>
  <c r="AE179" i="6" s="1"/>
  <c r="AM195" i="6"/>
  <c r="AE195" i="6" s="1"/>
  <c r="AM208" i="6"/>
  <c r="AE208" i="6" s="1"/>
  <c r="AM213" i="6"/>
  <c r="AE213" i="6" s="1"/>
  <c r="AM260" i="6"/>
  <c r="AE260" i="6" s="1"/>
  <c r="AM270" i="6"/>
  <c r="AE270" i="6" s="1"/>
  <c r="AM289" i="6"/>
  <c r="AE289" i="6" s="1"/>
  <c r="AM297" i="6"/>
  <c r="AE297" i="6" s="1"/>
  <c r="AM301" i="6"/>
  <c r="AM308" i="6"/>
  <c r="AE308" i="6" s="1"/>
  <c r="AM316" i="6"/>
  <c r="AE316" i="6" s="1"/>
  <c r="AM331" i="6"/>
  <c r="AE331" i="6" s="1"/>
  <c r="AM335" i="6"/>
  <c r="AE335" i="6" s="1"/>
  <c r="AM349" i="6"/>
  <c r="AE349" i="6" s="1"/>
  <c r="AM353" i="6"/>
  <c r="AE353" i="6" s="1"/>
  <c r="AM364" i="6"/>
  <c r="AE364" i="6" s="1"/>
  <c r="AM377" i="6"/>
  <c r="AE377" i="6" s="1"/>
  <c r="AM393" i="6"/>
  <c r="AE393" i="6" s="1"/>
  <c r="AM72" i="6"/>
  <c r="AE72" i="6" s="1"/>
  <c r="AM130" i="6"/>
  <c r="AE130" i="6" s="1"/>
  <c r="AM141" i="6"/>
  <c r="AE141" i="6" s="1"/>
  <c r="AM147" i="6"/>
  <c r="AE147" i="6" s="1"/>
  <c r="AM151" i="6"/>
  <c r="AE151" i="6" s="1"/>
  <c r="AM157" i="6"/>
  <c r="AE157" i="6" s="1"/>
  <c r="AM163" i="6"/>
  <c r="AE163" i="6" s="1"/>
  <c r="AM167" i="6"/>
  <c r="AE167" i="6" s="1"/>
  <c r="AM175" i="6"/>
  <c r="AE175" i="6" s="1"/>
  <c r="AM176" i="6"/>
  <c r="AE176" i="6" s="1"/>
  <c r="AM183" i="6"/>
  <c r="AE183" i="6" s="1"/>
  <c r="AM191" i="6"/>
  <c r="AE191" i="6" s="1"/>
  <c r="AM192" i="6"/>
  <c r="AE192" i="6" s="1"/>
  <c r="AM199" i="6"/>
  <c r="AE199" i="6" s="1"/>
  <c r="AM205" i="6"/>
  <c r="AE205" i="6" s="1"/>
  <c r="AM218" i="6"/>
  <c r="AE218" i="6" s="1"/>
  <c r="AM235" i="6"/>
  <c r="AE235" i="6" s="1"/>
  <c r="AM240" i="6"/>
  <c r="AE240" i="6" s="1"/>
  <c r="AM247" i="6"/>
  <c r="AE247" i="6" s="1"/>
  <c r="AM253" i="6"/>
  <c r="AE253" i="6" s="1"/>
  <c r="AM258" i="6"/>
  <c r="AE258" i="6" s="1"/>
  <c r="AM280" i="6"/>
  <c r="AE280" i="6" s="1"/>
  <c r="AM298" i="6"/>
  <c r="AE298" i="6" s="1"/>
  <c r="AM300" i="6"/>
  <c r="AE300" i="6" s="1"/>
  <c r="AM321" i="6"/>
  <c r="AE321" i="6" s="1"/>
  <c r="AM330" i="6"/>
  <c r="AE330" i="6" s="1"/>
  <c r="AM334" i="6"/>
  <c r="AE334" i="6" s="1"/>
  <c r="AM376" i="6"/>
  <c r="AE376" i="6" s="1"/>
  <c r="AM34" i="6"/>
  <c r="AE34" i="6" s="1"/>
  <c r="AM38" i="6"/>
  <c r="AE38" i="6" s="1"/>
  <c r="AM42" i="6"/>
  <c r="AE42" i="6" s="1"/>
  <c r="AM46" i="6"/>
  <c r="AE46" i="6" s="1"/>
  <c r="AM50" i="6"/>
  <c r="AE50" i="6" s="1"/>
  <c r="AM54" i="6"/>
  <c r="AE54" i="6" s="1"/>
  <c r="AM58" i="6"/>
  <c r="AE58" i="6" s="1"/>
  <c r="AM79" i="6"/>
  <c r="AE79" i="6" s="1"/>
  <c r="AM80" i="6"/>
  <c r="AE80" i="6" s="1"/>
  <c r="AM83" i="6"/>
  <c r="AM84" i="6"/>
  <c r="AE84" i="6" s="1"/>
  <c r="AM104" i="6"/>
  <c r="AE104" i="6" s="1"/>
  <c r="AM135" i="6"/>
  <c r="AE135" i="6" s="1"/>
  <c r="AM150" i="6"/>
  <c r="AE150" i="6" s="1"/>
  <c r="AM153" i="6"/>
  <c r="AE153" i="6" s="1"/>
  <c r="AM166" i="6"/>
  <c r="AE166" i="6" s="1"/>
  <c r="AM173" i="6"/>
  <c r="AE173" i="6" s="1"/>
  <c r="AM189" i="6"/>
  <c r="AE189" i="6" s="1"/>
  <c r="AM206" i="6"/>
  <c r="AE206" i="6" s="1"/>
  <c r="AM219" i="6"/>
  <c r="AE219" i="6" s="1"/>
  <c r="AM252" i="6"/>
  <c r="AE252" i="6" s="1"/>
  <c r="AM267" i="6"/>
  <c r="AE267" i="6" s="1"/>
  <c r="AM275" i="6"/>
  <c r="AE275" i="6" s="1"/>
  <c r="AM287" i="6"/>
  <c r="AE287" i="6" s="1"/>
  <c r="AM305" i="6"/>
  <c r="AE305" i="6" s="1"/>
  <c r="AM312" i="6"/>
  <c r="AE312" i="6" s="1"/>
  <c r="AM343" i="6"/>
  <c r="AE343" i="6" s="1"/>
  <c r="AM357" i="6"/>
  <c r="AE357" i="6" s="1"/>
  <c r="AM361" i="6"/>
  <c r="AE361" i="6" s="1"/>
  <c r="AM366" i="6"/>
  <c r="AE366" i="6" s="1"/>
  <c r="AM370" i="6"/>
  <c r="AE370" i="6" s="1"/>
  <c r="AM381" i="6"/>
  <c r="AE381" i="6" s="1"/>
  <c r="AM385" i="6"/>
  <c r="AE385" i="6" s="1"/>
  <c r="AM71" i="6"/>
  <c r="AE71" i="6" s="1"/>
  <c r="AM73" i="6"/>
  <c r="AE73" i="6" s="1"/>
  <c r="AM111" i="6"/>
  <c r="AE111" i="6" s="1"/>
  <c r="AM112" i="6"/>
  <c r="AE112" i="6" s="1"/>
  <c r="AM115" i="6"/>
  <c r="AE115" i="6" s="1"/>
  <c r="AM116" i="6"/>
  <c r="AE116" i="6" s="1"/>
  <c r="AM125" i="6"/>
  <c r="AE125" i="6" s="1"/>
  <c r="AM134" i="6"/>
  <c r="AE134" i="6" s="1"/>
  <c r="AM137" i="6"/>
  <c r="AE137" i="6" s="1"/>
  <c r="AM144" i="6"/>
  <c r="AE144" i="6" s="1"/>
  <c r="AM160" i="6"/>
  <c r="AE160" i="6" s="1"/>
  <c r="AE172" i="6"/>
  <c r="AM182" i="6"/>
  <c r="AE182" i="6" s="1"/>
  <c r="AM198" i="6"/>
  <c r="AE198" i="6" s="1"/>
  <c r="AM244" i="6"/>
  <c r="AE244" i="6" s="1"/>
  <c r="AM245" i="6"/>
  <c r="AE245" i="6" s="1"/>
  <c r="AM257" i="6"/>
  <c r="AE257" i="6" s="1"/>
  <c r="AM265" i="6"/>
  <c r="AE265" i="6" s="1"/>
  <c r="AM269" i="6"/>
  <c r="AE269" i="6" s="1"/>
  <c r="AM286" i="6"/>
  <c r="AE286" i="6" s="1"/>
  <c r="AM296" i="6"/>
  <c r="AE296" i="6" s="1"/>
  <c r="AM319" i="6"/>
  <c r="AE319" i="6" s="1"/>
  <c r="AM342" i="6"/>
  <c r="AE342" i="6" s="1"/>
  <c r="AM380" i="6"/>
  <c r="AE380" i="6" s="1"/>
  <c r="AM397" i="6"/>
  <c r="AE397" i="6" s="1"/>
  <c r="AM33" i="6"/>
  <c r="AE33" i="6" s="1"/>
  <c r="AM37" i="6"/>
  <c r="AE37" i="6" s="1"/>
  <c r="AM41" i="6"/>
  <c r="AE41" i="6" s="1"/>
  <c r="AM45" i="6"/>
  <c r="AE45" i="6" s="1"/>
  <c r="AM49" i="6"/>
  <c r="AE49" i="6" s="1"/>
  <c r="AM53" i="6"/>
  <c r="AE53" i="6" s="1"/>
  <c r="AM57" i="6"/>
  <c r="AE57" i="6" s="1"/>
  <c r="AM78" i="6"/>
  <c r="AE78" i="6" s="1"/>
  <c r="AM82" i="6"/>
  <c r="AE82" i="6" s="1"/>
  <c r="AM103" i="6"/>
  <c r="AE103" i="6" s="1"/>
  <c r="AM105" i="6"/>
  <c r="AE105" i="6" s="1"/>
  <c r="AM120" i="6"/>
  <c r="AE120" i="6" s="1"/>
  <c r="AM138" i="6"/>
  <c r="AE138" i="6" s="1"/>
  <c r="AM154" i="6"/>
  <c r="AE154" i="6" s="1"/>
  <c r="AM181" i="6"/>
  <c r="AE181" i="6" s="1"/>
  <c r="AM197" i="6"/>
  <c r="AE197" i="6" s="1"/>
  <c r="AM209" i="6"/>
  <c r="AE209" i="6" s="1"/>
  <c r="AM224" i="6"/>
  <c r="AE224" i="6" s="1"/>
  <c r="AM239" i="6"/>
  <c r="AE239" i="6" s="1"/>
  <c r="AM266" i="6"/>
  <c r="AE266" i="6" s="1"/>
  <c r="AM268" i="6"/>
  <c r="AE268" i="6" s="1"/>
  <c r="AM274" i="6"/>
  <c r="AE274" i="6" s="1"/>
  <c r="AM276" i="6"/>
  <c r="AE276" i="6" s="1"/>
  <c r="AM291" i="6"/>
  <c r="AE291" i="6" s="1"/>
  <c r="AM303" i="6"/>
  <c r="AE303" i="6" s="1"/>
  <c r="AM318" i="6"/>
  <c r="AE318" i="6" s="1"/>
  <c r="AM329" i="6"/>
  <c r="AE329" i="6" s="1"/>
  <c r="AM333" i="6"/>
  <c r="AE333" i="6" s="1"/>
  <c r="AM337" i="6"/>
  <c r="AE337" i="6" s="1"/>
  <c r="AM351" i="6"/>
  <c r="AE351" i="6" s="1"/>
  <c r="AM30" i="6"/>
  <c r="AE30" i="6" s="1"/>
  <c r="AM88" i="6"/>
  <c r="AE88" i="6" s="1"/>
  <c r="AM110" i="6"/>
  <c r="AE110" i="6" s="1"/>
  <c r="AM114" i="6"/>
  <c r="AE114" i="6" s="1"/>
  <c r="AM118" i="6"/>
  <c r="AE118" i="6" s="1"/>
  <c r="AM128" i="6"/>
  <c r="AE128" i="6" s="1"/>
  <c r="AM139" i="6"/>
  <c r="AE139" i="6" s="1"/>
  <c r="AM143" i="6"/>
  <c r="AE143" i="6" s="1"/>
  <c r="AM149" i="6"/>
  <c r="AE149" i="6" s="1"/>
  <c r="AM155" i="6"/>
  <c r="AE155" i="6" s="1"/>
  <c r="AM159" i="6"/>
  <c r="AE159" i="6" s="1"/>
  <c r="AM165" i="6"/>
  <c r="AE165" i="6" s="1"/>
  <c r="AM177" i="6"/>
  <c r="AE177" i="6" s="1"/>
  <c r="AE186" i="6"/>
  <c r="AM193" i="6"/>
  <c r="AE193" i="6" s="1"/>
  <c r="AM214" i="6"/>
  <c r="AM223" i="6"/>
  <c r="AE223" i="6" s="1"/>
  <c r="AM225" i="6"/>
  <c r="AE225" i="6" s="1"/>
  <c r="AM236" i="6"/>
  <c r="AE236" i="6" s="1"/>
  <c r="AM237" i="6"/>
  <c r="AE237" i="6" s="1"/>
  <c r="AM251" i="6"/>
  <c r="AE251" i="6" s="1"/>
  <c r="AM255" i="6"/>
  <c r="AE255" i="6" s="1"/>
  <c r="AM283" i="6"/>
  <c r="AE283" i="6" s="1"/>
  <c r="AM302" i="6"/>
  <c r="AE302" i="6" s="1"/>
  <c r="AM323" i="6"/>
  <c r="AE323" i="6" s="1"/>
  <c r="AM328" i="6"/>
  <c r="AE328" i="6" s="1"/>
  <c r="AM350" i="6"/>
  <c r="AE350" i="6" s="1"/>
  <c r="AM356" i="6"/>
  <c r="AE356" i="6" s="1"/>
  <c r="AM365" i="6"/>
  <c r="AE365" i="6" s="1"/>
  <c r="AM369" i="6"/>
  <c r="AE369" i="6" s="1"/>
  <c r="AM389" i="6"/>
  <c r="AE389" i="6" s="1"/>
  <c r="AE40" i="6"/>
  <c r="AE83" i="6"/>
  <c r="AE214" i="6"/>
  <c r="AE301" i="6"/>
  <c r="AM61" i="6"/>
  <c r="AE61" i="6" s="1"/>
  <c r="AM77" i="6"/>
  <c r="AE77" i="6" s="1"/>
  <c r="AM93" i="6"/>
  <c r="AE93" i="6" s="1"/>
  <c r="AM109" i="6"/>
  <c r="AE109" i="6" s="1"/>
  <c r="AM140" i="6"/>
  <c r="AE140" i="6" s="1"/>
  <c r="AM148" i="6"/>
  <c r="AE148" i="6" s="1"/>
  <c r="AM156" i="6"/>
  <c r="AE156" i="6" s="1"/>
  <c r="AM164" i="6"/>
  <c r="AE164" i="6" s="1"/>
  <c r="AM180" i="6"/>
  <c r="AE180" i="6" s="1"/>
  <c r="AM196" i="6"/>
  <c r="AE196" i="6" s="1"/>
  <c r="AM207" i="6"/>
  <c r="AE207" i="6" s="1"/>
  <c r="AE184" i="6"/>
  <c r="P28" i="6"/>
  <c r="AM69" i="6"/>
  <c r="AE69" i="6" s="1"/>
  <c r="AM85" i="6"/>
  <c r="AE85" i="6" s="1"/>
  <c r="AM101" i="6"/>
  <c r="AE101" i="6" s="1"/>
  <c r="AM117" i="6"/>
  <c r="AE117" i="6" s="1"/>
  <c r="AM124" i="6"/>
  <c r="AE124" i="6" s="1"/>
  <c r="AM131" i="6"/>
  <c r="AE131" i="6" s="1"/>
  <c r="AM174" i="6"/>
  <c r="AE174" i="6" s="1"/>
  <c r="AM178" i="6"/>
  <c r="AE178" i="6" s="1"/>
  <c r="AM190" i="6"/>
  <c r="AE190" i="6" s="1"/>
  <c r="AM194" i="6"/>
  <c r="AE194" i="6" s="1"/>
  <c r="AM65" i="6"/>
  <c r="AE65" i="6" s="1"/>
  <c r="AM81" i="6"/>
  <c r="AE81" i="6" s="1"/>
  <c r="AM97" i="6"/>
  <c r="AE97" i="6" s="1"/>
  <c r="AM113" i="6"/>
  <c r="AE113" i="6" s="1"/>
  <c r="AM220" i="6"/>
  <c r="AE220" i="6" s="1"/>
  <c r="AM216" i="6"/>
  <c r="AE216" i="6" s="1"/>
  <c r="AM228" i="6"/>
  <c r="AE228" i="6" s="1"/>
  <c r="AM234" i="6"/>
  <c r="AE234" i="6" s="1"/>
  <c r="AM211" i="6"/>
  <c r="AE211" i="6" s="1"/>
  <c r="AM215" i="6"/>
  <c r="AE215" i="6" s="1"/>
  <c r="AM227" i="6"/>
  <c r="AE227" i="6" s="1"/>
  <c r="AM230" i="6"/>
  <c r="AE230" i="6" s="1"/>
  <c r="AM242" i="6"/>
  <c r="AE242" i="6" s="1"/>
  <c r="AE243" i="6"/>
  <c r="AM250" i="6"/>
  <c r="AE250" i="6" s="1"/>
  <c r="AM332" i="6"/>
  <c r="AE332" i="6" s="1"/>
  <c r="AM352" i="6"/>
  <c r="AE352" i="6" s="1"/>
  <c r="AM360" i="6"/>
  <c r="AE360" i="6" s="1"/>
  <c r="AM327" i="6"/>
  <c r="AE327" i="6" s="1"/>
  <c r="AM339" i="6"/>
  <c r="AE339" i="6" s="1"/>
  <c r="AM347" i="6"/>
  <c r="AE347" i="6" s="1"/>
  <c r="AM355" i="6"/>
  <c r="AE355" i="6" s="1"/>
  <c r="AM363" i="6"/>
  <c r="AE363" i="6" s="1"/>
  <c r="AM372" i="6"/>
  <c r="AE372" i="6" s="1"/>
  <c r="AM373" i="6"/>
  <c r="AE373" i="6" s="1"/>
  <c r="AM375" i="6"/>
  <c r="AE375" i="6" s="1"/>
  <c r="AM368" i="6"/>
  <c r="AE368" i="6" s="1"/>
  <c r="AM371" i="6"/>
  <c r="AE371" i="6" s="1"/>
  <c r="AM384" i="6"/>
  <c r="AE384" i="6" s="1"/>
  <c r="AM388" i="6"/>
  <c r="AE388" i="6" s="1"/>
  <c r="AM392" i="6"/>
  <c r="AE392" i="6" s="1"/>
  <c r="AM396" i="6"/>
  <c r="AE396" i="6" s="1"/>
  <c r="AM400" i="6"/>
  <c r="AE400" i="6" s="1"/>
  <c r="AM403" i="6"/>
  <c r="AE403" i="6" s="1"/>
  <c r="AM404" i="6"/>
  <c r="AE404" i="6" s="1"/>
  <c r="AM336" i="6"/>
  <c r="AE336" i="6" s="1"/>
  <c r="AM344" i="6"/>
  <c r="AE344" i="6" s="1"/>
  <c r="AM387" i="6"/>
  <c r="AE387" i="6" s="1"/>
  <c r="AM391" i="6"/>
  <c r="AE391" i="6" s="1"/>
  <c r="AM395" i="6"/>
  <c r="AE395" i="6" s="1"/>
  <c r="AM399" i="6"/>
  <c r="AE399" i="6" s="1"/>
  <c r="Z29" i="6" l="1"/>
  <c r="AB29" i="6" s="1"/>
  <c r="Z28" i="6"/>
  <c r="AB28" i="6" s="1"/>
  <c r="Z37" i="6"/>
  <c r="Z33" i="6"/>
  <c r="AB33" i="6" s="1"/>
  <c r="Z34" i="6"/>
  <c r="AB34" i="6" s="1"/>
  <c r="Z39" i="6"/>
  <c r="AB39" i="6" s="1"/>
  <c r="Z30" i="6"/>
  <c r="AB30" i="6" s="1"/>
  <c r="Z35" i="6"/>
  <c r="AB35" i="6" s="1"/>
  <c r="Z40" i="6"/>
  <c r="AB40" i="6" s="1"/>
  <c r="Z42" i="6"/>
  <c r="AB42" i="6" s="1"/>
  <c r="Z36" i="6"/>
  <c r="AB36" i="6" s="1"/>
  <c r="Z38" i="6"/>
  <c r="AB38" i="6" s="1"/>
  <c r="Z32" i="6"/>
  <c r="AB32" i="6" s="1"/>
  <c r="Z31" i="6"/>
  <c r="AB31" i="6" s="1"/>
  <c r="Z490" i="6"/>
  <c r="AB490" i="6" s="1"/>
  <c r="Z439" i="6"/>
  <c r="AB439" i="6" s="1"/>
  <c r="Z514" i="6"/>
  <c r="AB514" i="6" s="1"/>
  <c r="Z474" i="6"/>
  <c r="AB474" i="6" s="1"/>
  <c r="Z499" i="6"/>
  <c r="AB499" i="6" s="1"/>
  <c r="Z473" i="6"/>
  <c r="AB473" i="6" s="1"/>
  <c r="Z509" i="6"/>
  <c r="AB509" i="6" s="1"/>
  <c r="Z424" i="6"/>
  <c r="AB424" i="6" s="1"/>
  <c r="Z452" i="6"/>
  <c r="AB452" i="6" s="1"/>
  <c r="Z507" i="6"/>
  <c r="AB507" i="6" s="1"/>
  <c r="Z444" i="6"/>
  <c r="AB444" i="6" s="1"/>
  <c r="Z468" i="6"/>
  <c r="AB468" i="6" s="1"/>
  <c r="Z445" i="6"/>
  <c r="AB445" i="6" s="1"/>
  <c r="Z520" i="6"/>
  <c r="AB520" i="6" s="1"/>
  <c r="Z443" i="6"/>
  <c r="AB443" i="6" s="1"/>
  <c r="Z518" i="6"/>
  <c r="AB518" i="6" s="1"/>
  <c r="Z405" i="6"/>
  <c r="AB405" i="6" s="1"/>
  <c r="Z433" i="6"/>
  <c r="AB433" i="6" s="1"/>
  <c r="Z431" i="6"/>
  <c r="AB431" i="6" s="1"/>
  <c r="Z430" i="6"/>
  <c r="AB430" i="6" s="1"/>
  <c r="Z420" i="6"/>
  <c r="AB420" i="6" s="1"/>
  <c r="Z423" i="6"/>
  <c r="AB423" i="6" s="1"/>
  <c r="Z458" i="6"/>
  <c r="AB458" i="6" s="1"/>
  <c r="Z453" i="6"/>
  <c r="AB453" i="6" s="1"/>
  <c r="Z408" i="6"/>
  <c r="AB408" i="6" s="1"/>
  <c r="Z495" i="6"/>
  <c r="AB495" i="6" s="1"/>
  <c r="Z454" i="6"/>
  <c r="AB454" i="6" s="1"/>
  <c r="Z478" i="6"/>
  <c r="AB478" i="6" s="1"/>
  <c r="Z523" i="6"/>
  <c r="AB523" i="6" s="1"/>
  <c r="Z470" i="6"/>
  <c r="AB470" i="6" s="1"/>
  <c r="Z521" i="6"/>
  <c r="AB521" i="6" s="1"/>
  <c r="Z425" i="6"/>
  <c r="AB425" i="6" s="1"/>
  <c r="Z429" i="6"/>
  <c r="AB429" i="6" s="1"/>
  <c r="Z469" i="6"/>
  <c r="AB469" i="6" s="1"/>
  <c r="Z427" i="6"/>
  <c r="AB427" i="6" s="1"/>
  <c r="Z496" i="6"/>
  <c r="AB496" i="6" s="1"/>
  <c r="Z481" i="6"/>
  <c r="AB481" i="6" s="1"/>
  <c r="Z489" i="6"/>
  <c r="AB489" i="6" s="1"/>
  <c r="Z510" i="6"/>
  <c r="AB510" i="6" s="1"/>
  <c r="Z456" i="6"/>
  <c r="AB456" i="6" s="1"/>
  <c r="Z463" i="6"/>
  <c r="AB463" i="6" s="1"/>
  <c r="Z519" i="6"/>
  <c r="AB519" i="6" s="1"/>
  <c r="Z422" i="6"/>
  <c r="AB422" i="6" s="1"/>
  <c r="Z416" i="6"/>
  <c r="AB416" i="6" s="1"/>
  <c r="Z441" i="6"/>
  <c r="AB441" i="6" s="1"/>
  <c r="Z434" i="6"/>
  <c r="AB434" i="6" s="1"/>
  <c r="Z426" i="6"/>
  <c r="AB426" i="6" s="1"/>
  <c r="Z440" i="6"/>
  <c r="AB440" i="6" s="1"/>
  <c r="Z432" i="6"/>
  <c r="AB432" i="6" s="1"/>
  <c r="Z414" i="6"/>
  <c r="AB414" i="6" s="1"/>
  <c r="Z407" i="6"/>
  <c r="AB407" i="6" s="1"/>
  <c r="Z457" i="6"/>
  <c r="AB457" i="6" s="1"/>
  <c r="Z437" i="6"/>
  <c r="AB437" i="6" s="1"/>
  <c r="Z512" i="6"/>
  <c r="AB512" i="6" s="1"/>
  <c r="Z464" i="6"/>
  <c r="AB464" i="6" s="1"/>
  <c r="Z467" i="6"/>
  <c r="AB467" i="6" s="1"/>
  <c r="Z508" i="6"/>
  <c r="AB508" i="6" s="1"/>
  <c r="Z493" i="6"/>
  <c r="AB493" i="6" s="1"/>
  <c r="Z500" i="6"/>
  <c r="AB500" i="6" s="1"/>
  <c r="Z477" i="6"/>
  <c r="AB477" i="6" s="1"/>
  <c r="Z516" i="6"/>
  <c r="AB516" i="6" s="1"/>
  <c r="Z413" i="6"/>
  <c r="AB413" i="6" s="1"/>
  <c r="Z418" i="6"/>
  <c r="AB418" i="6" s="1"/>
  <c r="Z411" i="6"/>
  <c r="AB411" i="6" s="1"/>
  <c r="Z410" i="6"/>
  <c r="AB410" i="6" s="1"/>
  <c r="Z513" i="6"/>
  <c r="AB513" i="6" s="1"/>
  <c r="Z435" i="6"/>
  <c r="AB435" i="6" s="1"/>
  <c r="Z466" i="6"/>
  <c r="AB466" i="6" s="1"/>
  <c r="Z505" i="6"/>
  <c r="AB505" i="6" s="1"/>
  <c r="Z497" i="6"/>
  <c r="AB497" i="6" s="1"/>
  <c r="Z471" i="6"/>
  <c r="AB471" i="6" s="1"/>
  <c r="Z502" i="6"/>
  <c r="AB502" i="6" s="1"/>
  <c r="Z412" i="6"/>
  <c r="AB412" i="6" s="1"/>
  <c r="Z515" i="6"/>
  <c r="AB515" i="6" s="1"/>
  <c r="Z421" i="6"/>
  <c r="AB421" i="6" s="1"/>
  <c r="Z450" i="6"/>
  <c r="AB450" i="6" s="1"/>
  <c r="Z451" i="6"/>
  <c r="AB451" i="6" s="1"/>
  <c r="Z526" i="6"/>
  <c r="AB526" i="6" s="1"/>
  <c r="Z487" i="6"/>
  <c r="AB487" i="6" s="1"/>
  <c r="Z446" i="6"/>
  <c r="AB446" i="6" s="1"/>
  <c r="Z479" i="6"/>
  <c r="AB479" i="6" s="1"/>
  <c r="Z438" i="6"/>
  <c r="AB438" i="6" s="1"/>
  <c r="Z491" i="6"/>
  <c r="AB491" i="6" s="1"/>
  <c r="Z436" i="6"/>
  <c r="AB436" i="6" s="1"/>
  <c r="Z483" i="6"/>
  <c r="AB483" i="6" s="1"/>
  <c r="Z428" i="6"/>
  <c r="AB428" i="6" s="1"/>
  <c r="Z488" i="6"/>
  <c r="AB488" i="6" s="1"/>
  <c r="Z448" i="6"/>
  <c r="AB448" i="6" s="1"/>
  <c r="Z517" i="6"/>
  <c r="AB517" i="6" s="1"/>
  <c r="Z475" i="6"/>
  <c r="AB475" i="6" s="1"/>
  <c r="Z501" i="6"/>
  <c r="AB501" i="6" s="1"/>
  <c r="Z485" i="6"/>
  <c r="AB485" i="6" s="1"/>
  <c r="Z506" i="6"/>
  <c r="AB506" i="6" s="1"/>
  <c r="Z455" i="6"/>
  <c r="AB455" i="6" s="1"/>
  <c r="Z498" i="6"/>
  <c r="AB498" i="6" s="1"/>
  <c r="Z462" i="6"/>
  <c r="AB462" i="6" s="1"/>
  <c r="Z486" i="6"/>
  <c r="AB486" i="6" s="1"/>
  <c r="Z525" i="6"/>
  <c r="AB525" i="6" s="1"/>
  <c r="Z417" i="6"/>
  <c r="AB417" i="6" s="1"/>
  <c r="Z415" i="6"/>
  <c r="AB415" i="6" s="1"/>
  <c r="Z461" i="6"/>
  <c r="AB461" i="6" s="1"/>
  <c r="Z459" i="6"/>
  <c r="AB459" i="6" s="1"/>
  <c r="Z503" i="6"/>
  <c r="AB503" i="6" s="1"/>
  <c r="Z472" i="6"/>
  <c r="AB472" i="6" s="1"/>
  <c r="Z494" i="6"/>
  <c r="AB494" i="6" s="1"/>
  <c r="Z527" i="6"/>
  <c r="AB527" i="6" s="1"/>
  <c r="Z409" i="6"/>
  <c r="AB409" i="6" s="1"/>
  <c r="Z419" i="6"/>
  <c r="AB419" i="6" s="1"/>
  <c r="Z442" i="6"/>
  <c r="AB442" i="6" s="1"/>
  <c r="Z449" i="6"/>
  <c r="AB449" i="6" s="1"/>
  <c r="Z524" i="6"/>
  <c r="AB524" i="6" s="1"/>
  <c r="Z447" i="6"/>
  <c r="AB447" i="6" s="1"/>
  <c r="Z522" i="6"/>
  <c r="AB522" i="6" s="1"/>
  <c r="Z492" i="6"/>
  <c r="AB492" i="6" s="1"/>
  <c r="Z465" i="6"/>
  <c r="AB465" i="6" s="1"/>
  <c r="Z484" i="6"/>
  <c r="AB484" i="6" s="1"/>
  <c r="Z504" i="6"/>
  <c r="AB504" i="6" s="1"/>
  <c r="Z482" i="6"/>
  <c r="AB482" i="6" s="1"/>
  <c r="Z406" i="6"/>
  <c r="AB406" i="6" s="1"/>
  <c r="Z476" i="6"/>
  <c r="AB476" i="6" s="1"/>
  <c r="Z511" i="6"/>
  <c r="AB511" i="6" s="1"/>
  <c r="Z480" i="6"/>
  <c r="AB480" i="6" s="1"/>
  <c r="Z460" i="6"/>
  <c r="AB460" i="6" s="1"/>
  <c r="AB37" i="6"/>
  <c r="Z45" i="6"/>
  <c r="AB45" i="6" s="1"/>
  <c r="Z53" i="6"/>
  <c r="AB53" i="6" s="1"/>
  <c r="Z61" i="6"/>
  <c r="AB61" i="6" s="1"/>
  <c r="Z69" i="6"/>
  <c r="AB69" i="6" s="1"/>
  <c r="Z77" i="6"/>
  <c r="AB77" i="6" s="1"/>
  <c r="Z85" i="6"/>
  <c r="AB85" i="6" s="1"/>
  <c r="Z93" i="6"/>
  <c r="AB93" i="6" s="1"/>
  <c r="Z101" i="6"/>
  <c r="AB101" i="6" s="1"/>
  <c r="Z109" i="6"/>
  <c r="AB109" i="6" s="1"/>
  <c r="Z117" i="6"/>
  <c r="AB117" i="6" s="1"/>
  <c r="Z125" i="6"/>
  <c r="AB125" i="6" s="1"/>
  <c r="Z133" i="6"/>
  <c r="AB133" i="6" s="1"/>
  <c r="Z141" i="6"/>
  <c r="AB141" i="6" s="1"/>
  <c r="Z149" i="6"/>
  <c r="AB149" i="6" s="1"/>
  <c r="Z157" i="6"/>
  <c r="AB157" i="6" s="1"/>
  <c r="Z165" i="6"/>
  <c r="AB165" i="6" s="1"/>
  <c r="Z173" i="6"/>
  <c r="AB173" i="6" s="1"/>
  <c r="Z181" i="6"/>
  <c r="AB181" i="6" s="1"/>
  <c r="Z189" i="6"/>
  <c r="AB189" i="6" s="1"/>
  <c r="Z197" i="6"/>
  <c r="AB197" i="6" s="1"/>
  <c r="Z205" i="6"/>
  <c r="AB205" i="6" s="1"/>
  <c r="Z213" i="6"/>
  <c r="AB213" i="6" s="1"/>
  <c r="Z221" i="6"/>
  <c r="AB221" i="6" s="1"/>
  <c r="Z229" i="6"/>
  <c r="AB229" i="6" s="1"/>
  <c r="Z237" i="6"/>
  <c r="AB237" i="6" s="1"/>
  <c r="Z245" i="6"/>
  <c r="AB245" i="6" s="1"/>
  <c r="Z253" i="6"/>
  <c r="AB253" i="6" s="1"/>
  <c r="Z261" i="6"/>
  <c r="AB261" i="6" s="1"/>
  <c r="Z269" i="6"/>
  <c r="AB269" i="6" s="1"/>
  <c r="Z277" i="6"/>
  <c r="AB277" i="6" s="1"/>
  <c r="Z285" i="6"/>
  <c r="AB285" i="6" s="1"/>
  <c r="Z293" i="6"/>
  <c r="AB293" i="6" s="1"/>
  <c r="Z301" i="6"/>
  <c r="AB301" i="6" s="1"/>
  <c r="Z309" i="6"/>
  <c r="AB309" i="6" s="1"/>
  <c r="Z317" i="6"/>
  <c r="AB317" i="6" s="1"/>
  <c r="Z325" i="6"/>
  <c r="AB325" i="6" s="1"/>
  <c r="Z333" i="6"/>
  <c r="AB333" i="6" s="1"/>
  <c r="Z341" i="6"/>
  <c r="AB341" i="6" s="1"/>
  <c r="Z349" i="6"/>
  <c r="AB349" i="6" s="1"/>
  <c r="Z357" i="6"/>
  <c r="AB357" i="6" s="1"/>
  <c r="Z365" i="6"/>
  <c r="AB365" i="6" s="1"/>
  <c r="Z373" i="6"/>
  <c r="AB373" i="6" s="1"/>
  <c r="Z381" i="6"/>
  <c r="AB381" i="6" s="1"/>
  <c r="Z389" i="6"/>
  <c r="AB389" i="6" s="1"/>
  <c r="Z397" i="6"/>
  <c r="AB397" i="6" s="1"/>
  <c r="Z297" i="6"/>
  <c r="AB297" i="6" s="1"/>
  <c r="Z329" i="6"/>
  <c r="AB329" i="6" s="1"/>
  <c r="Z361" i="6"/>
  <c r="AB361" i="6" s="1"/>
  <c r="Z98" i="6"/>
  <c r="AB98" i="6" s="1"/>
  <c r="Z146" i="6"/>
  <c r="AB146" i="6" s="1"/>
  <c r="Z178" i="6"/>
  <c r="AB178" i="6" s="1"/>
  <c r="Z218" i="6"/>
  <c r="AB218" i="6" s="1"/>
  <c r="Z258" i="6"/>
  <c r="AB258" i="6" s="1"/>
  <c r="Z298" i="6"/>
  <c r="AB298" i="6" s="1"/>
  <c r="Z346" i="6"/>
  <c r="AB346" i="6" s="1"/>
  <c r="Z378" i="6"/>
  <c r="AB378" i="6" s="1"/>
  <c r="Z43" i="6"/>
  <c r="AB43" i="6" s="1"/>
  <c r="Z107" i="6"/>
  <c r="AB107" i="6" s="1"/>
  <c r="Z139" i="6"/>
  <c r="AB139" i="6" s="1"/>
  <c r="Z179" i="6"/>
  <c r="AB179" i="6" s="1"/>
  <c r="Z219" i="6"/>
  <c r="AB219" i="6" s="1"/>
  <c r="Z259" i="6"/>
  <c r="AB259" i="6" s="1"/>
  <c r="Z299" i="6"/>
  <c r="AB299" i="6" s="1"/>
  <c r="Z339" i="6"/>
  <c r="AB339" i="6" s="1"/>
  <c r="Z387" i="6"/>
  <c r="AB387" i="6" s="1"/>
  <c r="Z52" i="6"/>
  <c r="AB52" i="6" s="1"/>
  <c r="Z76" i="6"/>
  <c r="AB76" i="6" s="1"/>
  <c r="Z124" i="6"/>
  <c r="AB124" i="6" s="1"/>
  <c r="Z164" i="6"/>
  <c r="AB164" i="6" s="1"/>
  <c r="Z188" i="6"/>
  <c r="AB188" i="6" s="1"/>
  <c r="Z228" i="6"/>
  <c r="AB228" i="6" s="1"/>
  <c r="Z260" i="6"/>
  <c r="AB260" i="6" s="1"/>
  <c r="Z308" i="6"/>
  <c r="AB308" i="6" s="1"/>
  <c r="Z348" i="6"/>
  <c r="AB348" i="6" s="1"/>
  <c r="Z388" i="6"/>
  <c r="AB388" i="6" s="1"/>
  <c r="Z46" i="6"/>
  <c r="AB46" i="6" s="1"/>
  <c r="Z54" i="6"/>
  <c r="AB54" i="6" s="1"/>
  <c r="Z62" i="6"/>
  <c r="AB62" i="6" s="1"/>
  <c r="Z70" i="6"/>
  <c r="AB70" i="6" s="1"/>
  <c r="Z78" i="6"/>
  <c r="AB78" i="6" s="1"/>
  <c r="Z86" i="6"/>
  <c r="AB86" i="6" s="1"/>
  <c r="Z94" i="6"/>
  <c r="AB94" i="6" s="1"/>
  <c r="Z102" i="6"/>
  <c r="AB102" i="6" s="1"/>
  <c r="Z110" i="6"/>
  <c r="AB110" i="6" s="1"/>
  <c r="Z118" i="6"/>
  <c r="AB118" i="6" s="1"/>
  <c r="Z126" i="6"/>
  <c r="AB126" i="6" s="1"/>
  <c r="Z134" i="6"/>
  <c r="AB134" i="6" s="1"/>
  <c r="Z142" i="6"/>
  <c r="AB142" i="6" s="1"/>
  <c r="Z150" i="6"/>
  <c r="AB150" i="6" s="1"/>
  <c r="Z158" i="6"/>
  <c r="AB158" i="6" s="1"/>
  <c r="Z166" i="6"/>
  <c r="AB166" i="6" s="1"/>
  <c r="Z174" i="6"/>
  <c r="AB174" i="6" s="1"/>
  <c r="Z182" i="6"/>
  <c r="AB182" i="6" s="1"/>
  <c r="Z190" i="6"/>
  <c r="AB190" i="6" s="1"/>
  <c r="Z198" i="6"/>
  <c r="AB198" i="6" s="1"/>
  <c r="Z206" i="6"/>
  <c r="AB206" i="6" s="1"/>
  <c r="Z214" i="6"/>
  <c r="AB214" i="6" s="1"/>
  <c r="Z222" i="6"/>
  <c r="AB222" i="6" s="1"/>
  <c r="Z230" i="6"/>
  <c r="AB230" i="6" s="1"/>
  <c r="Z238" i="6"/>
  <c r="AB238" i="6" s="1"/>
  <c r="Z246" i="6"/>
  <c r="AB246" i="6" s="1"/>
  <c r="Z254" i="6"/>
  <c r="AB254" i="6" s="1"/>
  <c r="Z262" i="6"/>
  <c r="AB262" i="6" s="1"/>
  <c r="Z270" i="6"/>
  <c r="AB270" i="6" s="1"/>
  <c r="Z278" i="6"/>
  <c r="AB278" i="6" s="1"/>
  <c r="Z286" i="6"/>
  <c r="AB286" i="6" s="1"/>
  <c r="Z294" i="6"/>
  <c r="AB294" i="6" s="1"/>
  <c r="Z302" i="6"/>
  <c r="AB302" i="6" s="1"/>
  <c r="Z310" i="6"/>
  <c r="AB310" i="6" s="1"/>
  <c r="Z318" i="6"/>
  <c r="AB318" i="6" s="1"/>
  <c r="Z326" i="6"/>
  <c r="AB326" i="6" s="1"/>
  <c r="Z334" i="6"/>
  <c r="AB334" i="6" s="1"/>
  <c r="Z342" i="6"/>
  <c r="AB342" i="6" s="1"/>
  <c r="Z350" i="6"/>
  <c r="AB350" i="6" s="1"/>
  <c r="Z358" i="6"/>
  <c r="AB358" i="6" s="1"/>
  <c r="Z366" i="6"/>
  <c r="AB366" i="6" s="1"/>
  <c r="Z374" i="6"/>
  <c r="AB374" i="6" s="1"/>
  <c r="Z382" i="6"/>
  <c r="AB382" i="6" s="1"/>
  <c r="Z390" i="6"/>
  <c r="AB390" i="6" s="1"/>
  <c r="Z398" i="6"/>
  <c r="AB398" i="6" s="1"/>
  <c r="Z281" i="6"/>
  <c r="AB281" i="6" s="1"/>
  <c r="Z321" i="6"/>
  <c r="AB321" i="6" s="1"/>
  <c r="Z353" i="6"/>
  <c r="AB353" i="6" s="1"/>
  <c r="Z393" i="6"/>
  <c r="AB393" i="6" s="1"/>
  <c r="Z50" i="6"/>
  <c r="AB50" i="6" s="1"/>
  <c r="Z82" i="6"/>
  <c r="AB82" i="6" s="1"/>
  <c r="Z114" i="6"/>
  <c r="AB114" i="6" s="1"/>
  <c r="Z162" i="6"/>
  <c r="AB162" i="6" s="1"/>
  <c r="Z202" i="6"/>
  <c r="AB202" i="6" s="1"/>
  <c r="Z234" i="6"/>
  <c r="AB234" i="6" s="1"/>
  <c r="Z290" i="6"/>
  <c r="AB290" i="6" s="1"/>
  <c r="Z338" i="6"/>
  <c r="AB338" i="6" s="1"/>
  <c r="Z402" i="6"/>
  <c r="AB402" i="6" s="1"/>
  <c r="Z59" i="6"/>
  <c r="AB59" i="6" s="1"/>
  <c r="Z131" i="6"/>
  <c r="AB131" i="6" s="1"/>
  <c r="Z195" i="6"/>
  <c r="AB195" i="6" s="1"/>
  <c r="Z235" i="6"/>
  <c r="AB235" i="6" s="1"/>
  <c r="Z275" i="6"/>
  <c r="AB275" i="6" s="1"/>
  <c r="Z323" i="6"/>
  <c r="AB323" i="6" s="1"/>
  <c r="Z355" i="6"/>
  <c r="AB355" i="6" s="1"/>
  <c r="Z395" i="6"/>
  <c r="AB395" i="6" s="1"/>
  <c r="Z60" i="6"/>
  <c r="AB60" i="6" s="1"/>
  <c r="Z108" i="6"/>
  <c r="AB108" i="6" s="1"/>
  <c r="Z148" i="6"/>
  <c r="AB148" i="6" s="1"/>
  <c r="Z204" i="6"/>
  <c r="AB204" i="6" s="1"/>
  <c r="Z244" i="6"/>
  <c r="AB244" i="6" s="1"/>
  <c r="Z300" i="6"/>
  <c r="AB300" i="6" s="1"/>
  <c r="Z364" i="6"/>
  <c r="AB364" i="6" s="1"/>
  <c r="Z47" i="6"/>
  <c r="AB47" i="6" s="1"/>
  <c r="Z55" i="6"/>
  <c r="AB55" i="6" s="1"/>
  <c r="Z63" i="6"/>
  <c r="AB63" i="6" s="1"/>
  <c r="Z71" i="6"/>
  <c r="AB71" i="6" s="1"/>
  <c r="Z79" i="6"/>
  <c r="AB79" i="6" s="1"/>
  <c r="Z87" i="6"/>
  <c r="AB87" i="6" s="1"/>
  <c r="Z95" i="6"/>
  <c r="AB95" i="6" s="1"/>
  <c r="Z103" i="6"/>
  <c r="AB103" i="6" s="1"/>
  <c r="Z111" i="6"/>
  <c r="AB111" i="6" s="1"/>
  <c r="Z119" i="6"/>
  <c r="AB119" i="6" s="1"/>
  <c r="Z127" i="6"/>
  <c r="AB127" i="6" s="1"/>
  <c r="Z135" i="6"/>
  <c r="AB135" i="6" s="1"/>
  <c r="Z143" i="6"/>
  <c r="AB143" i="6" s="1"/>
  <c r="Z151" i="6"/>
  <c r="AB151" i="6" s="1"/>
  <c r="Z159" i="6"/>
  <c r="AB159" i="6" s="1"/>
  <c r="Z167" i="6"/>
  <c r="AB167" i="6" s="1"/>
  <c r="Z175" i="6"/>
  <c r="AB175" i="6" s="1"/>
  <c r="Z183" i="6"/>
  <c r="AB183" i="6" s="1"/>
  <c r="Z191" i="6"/>
  <c r="AB191" i="6" s="1"/>
  <c r="Z199" i="6"/>
  <c r="AB199" i="6" s="1"/>
  <c r="Z207" i="6"/>
  <c r="AB207" i="6" s="1"/>
  <c r="Z215" i="6"/>
  <c r="AB215" i="6" s="1"/>
  <c r="Z223" i="6"/>
  <c r="AB223" i="6" s="1"/>
  <c r="Z231" i="6"/>
  <c r="AB231" i="6" s="1"/>
  <c r="Z239" i="6"/>
  <c r="AB239" i="6" s="1"/>
  <c r="Z247" i="6"/>
  <c r="AB247" i="6" s="1"/>
  <c r="Z255" i="6"/>
  <c r="AB255" i="6" s="1"/>
  <c r="Z263" i="6"/>
  <c r="AB263" i="6" s="1"/>
  <c r="Z271" i="6"/>
  <c r="AB271" i="6" s="1"/>
  <c r="Z279" i="6"/>
  <c r="AB279" i="6" s="1"/>
  <c r="Z287" i="6"/>
  <c r="AB287" i="6" s="1"/>
  <c r="Z295" i="6"/>
  <c r="AB295" i="6" s="1"/>
  <c r="Z303" i="6"/>
  <c r="AB303" i="6" s="1"/>
  <c r="Z311" i="6"/>
  <c r="AB311" i="6" s="1"/>
  <c r="Z319" i="6"/>
  <c r="AB319" i="6" s="1"/>
  <c r="Z327" i="6"/>
  <c r="AB327" i="6" s="1"/>
  <c r="Z335" i="6"/>
  <c r="AB335" i="6" s="1"/>
  <c r="Z343" i="6"/>
  <c r="AB343" i="6" s="1"/>
  <c r="Z351" i="6"/>
  <c r="AB351" i="6" s="1"/>
  <c r="Z359" i="6"/>
  <c r="AB359" i="6" s="1"/>
  <c r="Z367" i="6"/>
  <c r="AB367" i="6" s="1"/>
  <c r="Z375" i="6"/>
  <c r="AB375" i="6" s="1"/>
  <c r="Z383" i="6"/>
  <c r="AB383" i="6" s="1"/>
  <c r="Z391" i="6"/>
  <c r="AB391" i="6" s="1"/>
  <c r="Z399" i="6"/>
  <c r="AB399" i="6" s="1"/>
  <c r="Z289" i="6"/>
  <c r="AB289" i="6" s="1"/>
  <c r="Z313" i="6"/>
  <c r="AB313" i="6" s="1"/>
  <c r="Z345" i="6"/>
  <c r="AB345" i="6" s="1"/>
  <c r="Z377" i="6"/>
  <c r="AB377" i="6" s="1"/>
  <c r="Z74" i="6"/>
  <c r="AB74" i="6" s="1"/>
  <c r="Z106" i="6"/>
  <c r="AB106" i="6" s="1"/>
  <c r="Z130" i="6"/>
  <c r="AB130" i="6" s="1"/>
  <c r="Z154" i="6"/>
  <c r="AB154" i="6" s="1"/>
  <c r="Z186" i="6"/>
  <c r="AB186" i="6" s="1"/>
  <c r="Z210" i="6"/>
  <c r="AB210" i="6" s="1"/>
  <c r="Z250" i="6"/>
  <c r="AB250" i="6" s="1"/>
  <c r="Z274" i="6"/>
  <c r="AB274" i="6" s="1"/>
  <c r="Z306" i="6"/>
  <c r="AB306" i="6" s="1"/>
  <c r="Z330" i="6"/>
  <c r="AB330" i="6" s="1"/>
  <c r="Z362" i="6"/>
  <c r="AB362" i="6" s="1"/>
  <c r="Z394" i="6"/>
  <c r="AB394" i="6" s="1"/>
  <c r="Z67" i="6"/>
  <c r="AB67" i="6" s="1"/>
  <c r="Z123" i="6"/>
  <c r="AB123" i="6" s="1"/>
  <c r="Z163" i="6"/>
  <c r="AB163" i="6" s="1"/>
  <c r="Z211" i="6"/>
  <c r="AB211" i="6" s="1"/>
  <c r="Z251" i="6"/>
  <c r="AB251" i="6" s="1"/>
  <c r="Z291" i="6"/>
  <c r="AB291" i="6" s="1"/>
  <c r="Z315" i="6"/>
  <c r="AB315" i="6" s="1"/>
  <c r="Z363" i="6"/>
  <c r="AB363" i="6" s="1"/>
  <c r="Z403" i="6"/>
  <c r="AB403" i="6" s="1"/>
  <c r="Z68" i="6"/>
  <c r="AB68" i="6" s="1"/>
  <c r="Z100" i="6"/>
  <c r="AB100" i="6" s="1"/>
  <c r="Z140" i="6"/>
  <c r="AB140" i="6" s="1"/>
  <c r="Z180" i="6"/>
  <c r="AB180" i="6" s="1"/>
  <c r="Z220" i="6"/>
  <c r="AB220" i="6" s="1"/>
  <c r="Z268" i="6"/>
  <c r="AB268" i="6" s="1"/>
  <c r="Z284" i="6"/>
  <c r="AB284" i="6" s="1"/>
  <c r="Z332" i="6"/>
  <c r="AB332" i="6" s="1"/>
  <c r="Z372" i="6"/>
  <c r="AB372" i="6" s="1"/>
  <c r="Z404" i="6"/>
  <c r="AB404" i="6" s="1"/>
  <c r="Z48" i="6"/>
  <c r="AB48" i="6" s="1"/>
  <c r="Z56" i="6"/>
  <c r="AB56" i="6" s="1"/>
  <c r="Z64" i="6"/>
  <c r="AB64" i="6" s="1"/>
  <c r="Z72" i="6"/>
  <c r="AB72" i="6" s="1"/>
  <c r="Z80" i="6"/>
  <c r="AB80" i="6" s="1"/>
  <c r="Z88" i="6"/>
  <c r="AB88" i="6" s="1"/>
  <c r="Z96" i="6"/>
  <c r="AB96" i="6" s="1"/>
  <c r="Z104" i="6"/>
  <c r="AB104" i="6" s="1"/>
  <c r="Z112" i="6"/>
  <c r="AB112" i="6" s="1"/>
  <c r="Z120" i="6"/>
  <c r="AB120" i="6" s="1"/>
  <c r="Z128" i="6"/>
  <c r="AB128" i="6" s="1"/>
  <c r="Z136" i="6"/>
  <c r="AB136" i="6" s="1"/>
  <c r="Z144" i="6"/>
  <c r="AB144" i="6" s="1"/>
  <c r="Z152" i="6"/>
  <c r="AB152" i="6" s="1"/>
  <c r="Z160" i="6"/>
  <c r="AB160" i="6" s="1"/>
  <c r="Z168" i="6"/>
  <c r="AB168" i="6" s="1"/>
  <c r="Z176" i="6"/>
  <c r="AB176" i="6" s="1"/>
  <c r="Z184" i="6"/>
  <c r="AB184" i="6" s="1"/>
  <c r="Z192" i="6"/>
  <c r="AB192" i="6" s="1"/>
  <c r="Z200" i="6"/>
  <c r="AB200" i="6" s="1"/>
  <c r="Z208" i="6"/>
  <c r="AB208" i="6" s="1"/>
  <c r="Z216" i="6"/>
  <c r="AB216" i="6" s="1"/>
  <c r="Z224" i="6"/>
  <c r="AB224" i="6" s="1"/>
  <c r="Z232" i="6"/>
  <c r="AB232" i="6" s="1"/>
  <c r="Z240" i="6"/>
  <c r="AB240" i="6" s="1"/>
  <c r="Z248" i="6"/>
  <c r="AB248" i="6" s="1"/>
  <c r="Z256" i="6"/>
  <c r="AB256" i="6" s="1"/>
  <c r="Z264" i="6"/>
  <c r="AB264" i="6" s="1"/>
  <c r="Z272" i="6"/>
  <c r="AB272" i="6" s="1"/>
  <c r="Z280" i="6"/>
  <c r="AB280" i="6" s="1"/>
  <c r="Z288" i="6"/>
  <c r="AB288" i="6" s="1"/>
  <c r="Z296" i="6"/>
  <c r="AB296" i="6" s="1"/>
  <c r="Z304" i="6"/>
  <c r="AB304" i="6" s="1"/>
  <c r="Z312" i="6"/>
  <c r="AB312" i="6" s="1"/>
  <c r="Z320" i="6"/>
  <c r="AB320" i="6" s="1"/>
  <c r="Z328" i="6"/>
  <c r="AB328" i="6" s="1"/>
  <c r="Z336" i="6"/>
  <c r="AB336" i="6" s="1"/>
  <c r="Z344" i="6"/>
  <c r="AB344" i="6" s="1"/>
  <c r="Z352" i="6"/>
  <c r="AB352" i="6" s="1"/>
  <c r="Z360" i="6"/>
  <c r="AB360" i="6" s="1"/>
  <c r="Z368" i="6"/>
  <c r="AB368" i="6" s="1"/>
  <c r="Z376" i="6"/>
  <c r="AB376" i="6" s="1"/>
  <c r="Z384" i="6"/>
  <c r="AB384" i="6" s="1"/>
  <c r="Z392" i="6"/>
  <c r="AB392" i="6" s="1"/>
  <c r="Z400" i="6"/>
  <c r="AB400" i="6" s="1"/>
  <c r="Z273" i="6"/>
  <c r="AB273" i="6" s="1"/>
  <c r="Z305" i="6"/>
  <c r="AB305" i="6" s="1"/>
  <c r="Z337" i="6"/>
  <c r="AB337" i="6" s="1"/>
  <c r="Z369" i="6"/>
  <c r="AB369" i="6" s="1"/>
  <c r="Z401" i="6"/>
  <c r="AB401" i="6" s="1"/>
  <c r="Z58" i="6"/>
  <c r="AB58" i="6" s="1"/>
  <c r="Z90" i="6"/>
  <c r="AB90" i="6" s="1"/>
  <c r="Z122" i="6"/>
  <c r="AB122" i="6" s="1"/>
  <c r="Z170" i="6"/>
  <c r="AB170" i="6" s="1"/>
  <c r="Z226" i="6"/>
  <c r="AB226" i="6" s="1"/>
  <c r="Z266" i="6"/>
  <c r="AB266" i="6" s="1"/>
  <c r="Z314" i="6"/>
  <c r="AB314" i="6" s="1"/>
  <c r="Z354" i="6"/>
  <c r="AB354" i="6" s="1"/>
  <c r="Z386" i="6"/>
  <c r="AB386" i="6" s="1"/>
  <c r="Z51" i="6"/>
  <c r="AB51" i="6" s="1"/>
  <c r="Z99" i="6"/>
  <c r="AB99" i="6" s="1"/>
  <c r="Z147" i="6"/>
  <c r="AB147" i="6" s="1"/>
  <c r="Z171" i="6"/>
  <c r="AB171" i="6" s="1"/>
  <c r="Z203" i="6"/>
  <c r="AB203" i="6" s="1"/>
  <c r="Z243" i="6"/>
  <c r="AB243" i="6" s="1"/>
  <c r="Z283" i="6"/>
  <c r="AB283" i="6" s="1"/>
  <c r="Z331" i="6"/>
  <c r="AB331" i="6" s="1"/>
  <c r="Z371" i="6"/>
  <c r="AB371" i="6" s="1"/>
  <c r="Z44" i="6"/>
  <c r="AB44" i="6" s="1"/>
  <c r="Z84" i="6"/>
  <c r="AB84" i="6" s="1"/>
  <c r="Z132" i="6"/>
  <c r="AB132" i="6" s="1"/>
  <c r="Z172" i="6"/>
  <c r="AB172" i="6" s="1"/>
  <c r="Z212" i="6"/>
  <c r="AB212" i="6" s="1"/>
  <c r="Z252" i="6"/>
  <c r="AB252" i="6" s="1"/>
  <c r="Z316" i="6"/>
  <c r="AB316" i="6" s="1"/>
  <c r="Z356" i="6"/>
  <c r="AB356" i="6" s="1"/>
  <c r="Z396" i="6"/>
  <c r="AB396" i="6" s="1"/>
  <c r="Z41" i="6"/>
  <c r="AB41" i="6" s="1"/>
  <c r="Z49" i="6"/>
  <c r="AB49" i="6" s="1"/>
  <c r="Z57" i="6"/>
  <c r="AB57" i="6" s="1"/>
  <c r="Z65" i="6"/>
  <c r="AB65" i="6" s="1"/>
  <c r="Z73" i="6"/>
  <c r="AB73" i="6" s="1"/>
  <c r="Z81" i="6"/>
  <c r="AB81" i="6" s="1"/>
  <c r="Z89" i="6"/>
  <c r="AB89" i="6" s="1"/>
  <c r="Z97" i="6"/>
  <c r="AB97" i="6" s="1"/>
  <c r="Z105" i="6"/>
  <c r="AB105" i="6" s="1"/>
  <c r="Z113" i="6"/>
  <c r="AB113" i="6" s="1"/>
  <c r="Z121" i="6"/>
  <c r="AB121" i="6" s="1"/>
  <c r="Z129" i="6"/>
  <c r="AB129" i="6" s="1"/>
  <c r="Z137" i="6"/>
  <c r="AB137" i="6" s="1"/>
  <c r="Z145" i="6"/>
  <c r="AB145" i="6" s="1"/>
  <c r="Z153" i="6"/>
  <c r="AB153" i="6" s="1"/>
  <c r="Z161" i="6"/>
  <c r="AB161" i="6" s="1"/>
  <c r="Z169" i="6"/>
  <c r="AB169" i="6" s="1"/>
  <c r="Z177" i="6"/>
  <c r="AB177" i="6" s="1"/>
  <c r="Z185" i="6"/>
  <c r="AB185" i="6" s="1"/>
  <c r="Z193" i="6"/>
  <c r="AB193" i="6" s="1"/>
  <c r="Z201" i="6"/>
  <c r="AB201" i="6" s="1"/>
  <c r="Z209" i="6"/>
  <c r="AB209" i="6" s="1"/>
  <c r="Z217" i="6"/>
  <c r="AB217" i="6" s="1"/>
  <c r="Z225" i="6"/>
  <c r="AB225" i="6" s="1"/>
  <c r="Z233" i="6"/>
  <c r="AB233" i="6" s="1"/>
  <c r="Z241" i="6"/>
  <c r="AB241" i="6" s="1"/>
  <c r="Z249" i="6"/>
  <c r="AB249" i="6" s="1"/>
  <c r="Z257" i="6"/>
  <c r="AB257" i="6" s="1"/>
  <c r="Z265" i="6"/>
  <c r="AB265" i="6" s="1"/>
  <c r="Z385" i="6"/>
  <c r="AB385" i="6" s="1"/>
  <c r="Z66" i="6"/>
  <c r="AB66" i="6" s="1"/>
  <c r="Z138" i="6"/>
  <c r="AB138" i="6" s="1"/>
  <c r="Z194" i="6"/>
  <c r="AB194" i="6" s="1"/>
  <c r="Z242" i="6"/>
  <c r="AB242" i="6" s="1"/>
  <c r="Z282" i="6"/>
  <c r="AB282" i="6" s="1"/>
  <c r="Z322" i="6"/>
  <c r="AB322" i="6" s="1"/>
  <c r="Z370" i="6"/>
  <c r="AB370" i="6" s="1"/>
  <c r="Z75" i="6"/>
  <c r="AB75" i="6" s="1"/>
  <c r="Z83" i="6"/>
  <c r="AB83" i="6" s="1"/>
  <c r="Z91" i="6"/>
  <c r="AB91" i="6" s="1"/>
  <c r="Z115" i="6"/>
  <c r="AB115" i="6" s="1"/>
  <c r="Z155" i="6"/>
  <c r="AB155" i="6" s="1"/>
  <c r="Z187" i="6"/>
  <c r="AB187" i="6" s="1"/>
  <c r="Z227" i="6"/>
  <c r="AB227" i="6" s="1"/>
  <c r="Z267" i="6"/>
  <c r="AB267" i="6" s="1"/>
  <c r="Z307" i="6"/>
  <c r="AB307" i="6" s="1"/>
  <c r="Z347" i="6"/>
  <c r="AB347" i="6" s="1"/>
  <c r="Z379" i="6"/>
  <c r="AB379" i="6" s="1"/>
  <c r="Z92" i="6"/>
  <c r="AB92" i="6" s="1"/>
  <c r="Z116" i="6"/>
  <c r="AB116" i="6" s="1"/>
  <c r="Z156" i="6"/>
  <c r="AB156" i="6" s="1"/>
  <c r="Z196" i="6"/>
  <c r="AB196" i="6" s="1"/>
  <c r="Z236" i="6"/>
  <c r="AB236" i="6" s="1"/>
  <c r="Z276" i="6"/>
  <c r="AB276" i="6" s="1"/>
  <c r="Z292" i="6"/>
  <c r="AB292" i="6" s="1"/>
  <c r="Z324" i="6"/>
  <c r="AB324" i="6" s="1"/>
  <c r="Z340" i="6"/>
  <c r="AB340" i="6" s="1"/>
  <c r="Z380" i="6"/>
  <c r="AB380" i="6" s="1"/>
  <c r="BA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45" i="2"/>
  <c r="BB46" i="2"/>
  <c r="BB47" i="2"/>
  <c r="BB48" i="2"/>
  <c r="BB49" i="2"/>
  <c r="BB50" i="2"/>
  <c r="BB51" i="2"/>
  <c r="BB52" i="2"/>
  <c r="BB53" i="2"/>
  <c r="BB54" i="2"/>
  <c r="BB55" i="2"/>
  <c r="BB56" i="2"/>
  <c r="BB57" i="2"/>
  <c r="BB5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B83" i="2"/>
  <c r="BB84" i="2"/>
  <c r="BB85" i="2"/>
  <c r="BB86" i="2"/>
  <c r="BB87" i="2"/>
  <c r="BB88" i="2"/>
  <c r="BB89" i="2"/>
  <c r="BB90" i="2"/>
  <c r="BB91" i="2"/>
  <c r="BB92" i="2"/>
  <c r="BB93" i="2"/>
  <c r="BB94" i="2"/>
  <c r="BB95" i="2"/>
  <c r="BB96" i="2"/>
  <c r="BB97" i="2"/>
  <c r="BB98" i="2"/>
  <c r="BB99" i="2"/>
  <c r="BB100" i="2"/>
  <c r="BB101" i="2"/>
  <c r="BB102" i="2"/>
  <c r="BB103" i="2"/>
  <c r="BB104" i="2"/>
  <c r="BB105" i="2"/>
  <c r="BB106" i="2"/>
  <c r="BB107" i="2"/>
  <c r="BB108" i="2"/>
  <c r="BB109" i="2"/>
  <c r="BB110" i="2"/>
  <c r="BB111" i="2"/>
  <c r="BB112" i="2"/>
  <c r="BB113" i="2"/>
  <c r="BB114" i="2"/>
  <c r="BB115" i="2"/>
  <c r="BB116" i="2"/>
  <c r="BB117" i="2"/>
  <c r="BB118" i="2"/>
  <c r="BB119" i="2"/>
  <c r="BB120" i="2"/>
  <c r="BB121" i="2"/>
  <c r="BB122" i="2"/>
  <c r="BB123" i="2"/>
  <c r="BB124" i="2"/>
  <c r="BB125" i="2"/>
  <c r="BB126" i="2"/>
  <c r="BB127" i="2"/>
  <c r="BB128" i="2"/>
  <c r="BB129" i="2"/>
  <c r="BB130" i="2"/>
  <c r="BB131" i="2"/>
  <c r="BB132" i="2"/>
  <c r="BB133" i="2"/>
  <c r="BB134" i="2"/>
  <c r="BB135" i="2"/>
  <c r="BB136" i="2"/>
  <c r="BB137" i="2"/>
  <c r="BB138" i="2"/>
  <c r="BB139" i="2"/>
  <c r="BB140" i="2"/>
  <c r="BB141" i="2"/>
  <c r="BB142" i="2"/>
  <c r="BB143" i="2"/>
  <c r="BB144" i="2"/>
  <c r="BB145" i="2"/>
  <c r="BB146" i="2"/>
  <c r="BB147" i="2"/>
  <c r="BB148" i="2"/>
  <c r="BB149" i="2"/>
  <c r="BB150" i="2"/>
  <c r="BB151" i="2"/>
  <c r="BB152" i="2"/>
  <c r="BB153" i="2"/>
  <c r="BB154" i="2"/>
  <c r="BB155" i="2"/>
  <c r="BB156" i="2"/>
  <c r="BB157" i="2"/>
  <c r="BB158" i="2"/>
  <c r="BB159" i="2"/>
  <c r="BB160" i="2"/>
  <c r="BB161" i="2"/>
  <c r="BB162" i="2"/>
  <c r="BB163" i="2"/>
  <c r="BB164" i="2"/>
  <c r="BB165" i="2"/>
  <c r="BB166" i="2"/>
  <c r="BB167" i="2"/>
  <c r="BB168" i="2"/>
  <c r="BB169" i="2"/>
  <c r="BB170" i="2"/>
  <c r="BB171" i="2"/>
  <c r="BB172" i="2"/>
  <c r="BB173" i="2"/>
  <c r="BB174" i="2"/>
  <c r="BB175" i="2"/>
  <c r="BB176" i="2"/>
  <c r="BB177" i="2"/>
  <c r="BB178" i="2"/>
  <c r="BB179" i="2"/>
  <c r="BB180" i="2"/>
  <c r="BB181" i="2"/>
  <c r="BB182" i="2"/>
  <c r="BB183" i="2"/>
  <c r="BB184" i="2"/>
  <c r="BB185" i="2"/>
  <c r="BB186" i="2"/>
  <c r="BB187" i="2"/>
  <c r="BB188" i="2"/>
  <c r="BB189" i="2"/>
  <c r="BB190" i="2"/>
  <c r="BB191" i="2"/>
  <c r="BB192" i="2"/>
  <c r="BB193" i="2"/>
  <c r="BB194" i="2"/>
  <c r="BB195" i="2"/>
  <c r="BB196" i="2"/>
  <c r="BB197" i="2"/>
  <c r="BB198" i="2"/>
  <c r="BB199" i="2"/>
  <c r="BB200" i="2"/>
  <c r="BB201" i="2"/>
  <c r="BB202" i="2"/>
  <c r="BB203" i="2"/>
  <c r="BB204" i="2"/>
  <c r="BB205" i="2"/>
  <c r="BB206" i="2"/>
  <c r="BB207" i="2"/>
  <c r="BB208" i="2"/>
  <c r="BB209" i="2"/>
  <c r="BB210" i="2"/>
  <c r="BB211" i="2"/>
  <c r="BB212" i="2"/>
  <c r="BB213" i="2"/>
  <c r="BB214" i="2"/>
  <c r="BB215" i="2"/>
  <c r="BB216" i="2"/>
  <c r="BB217" i="2"/>
  <c r="BB218" i="2"/>
  <c r="BB219" i="2"/>
  <c r="BB220" i="2"/>
  <c r="BB221" i="2"/>
  <c r="BB222" i="2"/>
  <c r="BB223" i="2"/>
  <c r="BB224" i="2"/>
  <c r="BB225" i="2"/>
  <c r="BB226" i="2"/>
  <c r="BB227" i="2"/>
  <c r="BB228" i="2"/>
  <c r="BB229" i="2"/>
  <c r="BB230" i="2"/>
  <c r="BB231" i="2"/>
  <c r="BB232" i="2"/>
  <c r="BB233" i="2"/>
  <c r="BB234" i="2"/>
  <c r="BB235" i="2"/>
  <c r="BB236" i="2"/>
  <c r="BB237" i="2"/>
  <c r="BB238" i="2"/>
  <c r="BB239" i="2"/>
  <c r="BB240" i="2"/>
  <c r="BB241" i="2"/>
  <c r="BB242" i="2"/>
  <c r="BB243" i="2"/>
  <c r="BB244" i="2"/>
  <c r="BB245" i="2"/>
  <c r="BB246" i="2"/>
  <c r="BB247" i="2"/>
  <c r="BB248" i="2"/>
  <c r="BB249" i="2"/>
  <c r="BB250" i="2"/>
  <c r="BB251" i="2"/>
  <c r="BB252" i="2"/>
  <c r="BB253" i="2"/>
  <c r="BB254" i="2"/>
  <c r="BB255" i="2"/>
  <c r="BB256" i="2"/>
  <c r="BB257" i="2"/>
  <c r="BB258" i="2"/>
  <c r="BB259" i="2"/>
  <c r="BB260" i="2"/>
  <c r="BB261" i="2"/>
  <c r="BB262" i="2"/>
  <c r="BB263" i="2"/>
  <c r="BB264" i="2"/>
  <c r="BB265" i="2"/>
  <c r="BB266" i="2"/>
  <c r="BB267" i="2"/>
  <c r="BB268" i="2"/>
  <c r="BB269" i="2"/>
  <c r="BB270" i="2"/>
  <c r="BB271" i="2"/>
  <c r="BB272" i="2"/>
  <c r="BB273" i="2"/>
  <c r="BB274" i="2"/>
  <c r="BB275" i="2"/>
  <c r="BB276" i="2"/>
  <c r="BB277" i="2"/>
  <c r="BB278" i="2"/>
  <c r="BB279" i="2"/>
  <c r="BB280" i="2"/>
  <c r="BB281" i="2"/>
  <c r="BB282" i="2"/>
  <c r="BB283" i="2"/>
  <c r="BB284" i="2"/>
  <c r="BB285" i="2"/>
  <c r="BB286" i="2"/>
  <c r="BB287" i="2"/>
  <c r="BB288" i="2"/>
  <c r="BB289" i="2"/>
  <c r="BB290" i="2"/>
  <c r="BB291" i="2"/>
  <c r="BB292" i="2"/>
  <c r="BB293" i="2"/>
  <c r="BB294" i="2"/>
  <c r="BB295" i="2"/>
  <c r="BB296" i="2"/>
  <c r="BB297" i="2"/>
  <c r="BB298" i="2"/>
  <c r="BB299" i="2"/>
  <c r="BB300" i="2"/>
  <c r="BB301" i="2"/>
  <c r="BB302" i="2"/>
  <c r="BB303" i="2"/>
  <c r="BB304" i="2"/>
  <c r="BB305" i="2"/>
  <c r="BB306" i="2"/>
  <c r="BB307" i="2"/>
  <c r="BB308" i="2"/>
  <c r="BB309" i="2"/>
  <c r="BB310" i="2"/>
  <c r="BB311" i="2"/>
  <c r="BB312" i="2"/>
  <c r="BB313" i="2"/>
  <c r="BB314" i="2"/>
  <c r="BB315" i="2"/>
  <c r="BB316" i="2"/>
  <c r="BB317" i="2"/>
  <c r="BB318" i="2"/>
  <c r="BB319" i="2"/>
  <c r="BB320" i="2"/>
  <c r="BB321" i="2"/>
  <c r="BB322" i="2"/>
  <c r="BB323" i="2"/>
  <c r="BB324" i="2"/>
  <c r="BB325" i="2"/>
  <c r="BB326" i="2"/>
  <c r="BB327" i="2"/>
  <c r="BB328" i="2"/>
  <c r="BB329" i="2"/>
  <c r="BB330" i="2"/>
  <c r="BB331" i="2"/>
  <c r="BB332" i="2"/>
  <c r="BB333" i="2"/>
  <c r="BB334" i="2"/>
  <c r="BB335" i="2"/>
  <c r="BB336" i="2"/>
  <c r="BB337" i="2"/>
  <c r="BB338" i="2"/>
  <c r="BB339" i="2"/>
  <c r="BB340" i="2"/>
  <c r="BB341" i="2"/>
  <c r="BB342" i="2"/>
  <c r="BB343" i="2"/>
  <c r="BB344" i="2"/>
  <c r="BB345" i="2"/>
  <c r="BB346" i="2"/>
  <c r="BB347" i="2"/>
  <c r="BB348" i="2"/>
  <c r="BB349" i="2"/>
  <c r="BB350" i="2"/>
  <c r="BB351" i="2"/>
  <c r="BB352" i="2"/>
  <c r="BB353" i="2"/>
  <c r="BB354" i="2"/>
  <c r="BB355" i="2"/>
  <c r="BB356" i="2"/>
  <c r="BB357" i="2"/>
  <c r="BB358" i="2"/>
  <c r="BB359" i="2"/>
  <c r="BB360" i="2"/>
  <c r="BB361" i="2"/>
  <c r="BB362" i="2"/>
  <c r="BB363" i="2"/>
  <c r="BB364" i="2"/>
  <c r="BB365" i="2"/>
  <c r="BB366" i="2"/>
  <c r="BB367" i="2"/>
  <c r="BB368" i="2"/>
  <c r="BB369" i="2"/>
  <c r="BB370" i="2"/>
  <c r="BB371" i="2"/>
  <c r="BB372" i="2"/>
  <c r="BB373" i="2"/>
  <c r="BB374" i="2"/>
  <c r="BB375" i="2"/>
  <c r="BB376" i="2"/>
  <c r="BB377" i="2"/>
  <c r="BB378" i="2"/>
  <c r="BB379" i="2"/>
  <c r="BB380" i="2"/>
  <c r="BB381" i="2"/>
  <c r="BB382" i="2"/>
  <c r="BB383" i="2"/>
  <c r="BB384" i="2"/>
  <c r="BB385" i="2"/>
  <c r="BB386" i="2"/>
  <c r="BB387" i="2"/>
  <c r="BB388" i="2"/>
  <c r="BB389" i="2"/>
  <c r="BB390" i="2"/>
  <c r="BB391" i="2"/>
  <c r="BB392" i="2"/>
  <c r="BB393" i="2"/>
  <c r="BB394" i="2"/>
  <c r="BB395" i="2"/>
  <c r="BB396" i="2"/>
  <c r="BB397" i="2"/>
  <c r="BB398" i="2"/>
  <c r="BB399" i="2"/>
  <c r="BB400" i="2"/>
  <c r="BB401" i="2"/>
  <c r="BB402" i="2"/>
  <c r="BB403" i="2"/>
  <c r="BB404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51" i="2"/>
  <c r="BA52" i="2"/>
  <c r="BA53" i="2"/>
  <c r="BA54" i="2"/>
  <c r="BA55" i="2"/>
  <c r="BA56" i="2"/>
  <c r="BA57" i="2"/>
  <c r="BA58" i="2"/>
  <c r="BA59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4" i="2"/>
  <c r="BA75" i="2"/>
  <c r="BA76" i="2"/>
  <c r="BA77" i="2"/>
  <c r="BA78" i="2"/>
  <c r="BA79" i="2"/>
  <c r="BA80" i="2"/>
  <c r="BA81" i="2"/>
  <c r="BA82" i="2"/>
  <c r="BA83" i="2"/>
  <c r="BA84" i="2"/>
  <c r="BA85" i="2"/>
  <c r="BA86" i="2"/>
  <c r="BA87" i="2"/>
  <c r="BA88" i="2"/>
  <c r="BA89" i="2"/>
  <c r="BA90" i="2"/>
  <c r="BA91" i="2"/>
  <c r="BA92" i="2"/>
  <c r="BA93" i="2"/>
  <c r="BA94" i="2"/>
  <c r="BA95" i="2"/>
  <c r="BA96" i="2"/>
  <c r="BA97" i="2"/>
  <c r="BA98" i="2"/>
  <c r="BA99" i="2"/>
  <c r="BA100" i="2"/>
  <c r="BA101" i="2"/>
  <c r="BA102" i="2"/>
  <c r="BA103" i="2"/>
  <c r="BA104" i="2"/>
  <c r="BA105" i="2"/>
  <c r="BA106" i="2"/>
  <c r="BA107" i="2"/>
  <c r="BA108" i="2"/>
  <c r="BA109" i="2"/>
  <c r="BA110" i="2"/>
  <c r="BA111" i="2"/>
  <c r="BA112" i="2"/>
  <c r="BA113" i="2"/>
  <c r="BA114" i="2"/>
  <c r="BA115" i="2"/>
  <c r="BA116" i="2"/>
  <c r="BA117" i="2"/>
  <c r="BA118" i="2"/>
  <c r="BA119" i="2"/>
  <c r="BA120" i="2"/>
  <c r="BA121" i="2"/>
  <c r="BA122" i="2"/>
  <c r="BA123" i="2"/>
  <c r="BA124" i="2"/>
  <c r="BA125" i="2"/>
  <c r="BA126" i="2"/>
  <c r="BA127" i="2"/>
  <c r="BA128" i="2"/>
  <c r="BA129" i="2"/>
  <c r="BA130" i="2"/>
  <c r="BA131" i="2"/>
  <c r="BA132" i="2"/>
  <c r="BA133" i="2"/>
  <c r="BA134" i="2"/>
  <c r="BA135" i="2"/>
  <c r="BA136" i="2"/>
  <c r="BA137" i="2"/>
  <c r="BA138" i="2"/>
  <c r="BA139" i="2"/>
  <c r="BA140" i="2"/>
  <c r="BA141" i="2"/>
  <c r="BA142" i="2"/>
  <c r="BA143" i="2"/>
  <c r="BA144" i="2"/>
  <c r="BA145" i="2"/>
  <c r="BA146" i="2"/>
  <c r="BA147" i="2"/>
  <c r="BA148" i="2"/>
  <c r="BA149" i="2"/>
  <c r="BA150" i="2"/>
  <c r="BA151" i="2"/>
  <c r="BA152" i="2"/>
  <c r="BA153" i="2"/>
  <c r="BA154" i="2"/>
  <c r="BA155" i="2"/>
  <c r="BA156" i="2"/>
  <c r="BA157" i="2"/>
  <c r="BA158" i="2"/>
  <c r="BA159" i="2"/>
  <c r="BA160" i="2"/>
  <c r="BA161" i="2"/>
  <c r="BA162" i="2"/>
  <c r="BA163" i="2"/>
  <c r="BA164" i="2"/>
  <c r="BA165" i="2"/>
  <c r="BA166" i="2"/>
  <c r="BA167" i="2"/>
  <c r="BA168" i="2"/>
  <c r="BA169" i="2"/>
  <c r="BA170" i="2"/>
  <c r="BA171" i="2"/>
  <c r="BA172" i="2"/>
  <c r="BA173" i="2"/>
  <c r="BA174" i="2"/>
  <c r="BA175" i="2"/>
  <c r="BA176" i="2"/>
  <c r="BA177" i="2"/>
  <c r="BA178" i="2"/>
  <c r="BA179" i="2"/>
  <c r="BA180" i="2"/>
  <c r="BA181" i="2"/>
  <c r="BA182" i="2"/>
  <c r="BA183" i="2"/>
  <c r="BA184" i="2"/>
  <c r="BA185" i="2"/>
  <c r="BA186" i="2"/>
  <c r="BA187" i="2"/>
  <c r="BA188" i="2"/>
  <c r="BA189" i="2"/>
  <c r="BA190" i="2"/>
  <c r="BA191" i="2"/>
  <c r="BA192" i="2"/>
  <c r="BA193" i="2"/>
  <c r="BA194" i="2"/>
  <c r="BA195" i="2"/>
  <c r="BA196" i="2"/>
  <c r="BA197" i="2"/>
  <c r="BA198" i="2"/>
  <c r="BA199" i="2"/>
  <c r="BA200" i="2"/>
  <c r="BA201" i="2"/>
  <c r="BA202" i="2"/>
  <c r="BA203" i="2"/>
  <c r="BA204" i="2"/>
  <c r="BA205" i="2"/>
  <c r="BA206" i="2"/>
  <c r="BA207" i="2"/>
  <c r="BA208" i="2"/>
  <c r="BA209" i="2"/>
  <c r="BA210" i="2"/>
  <c r="BA211" i="2"/>
  <c r="BA212" i="2"/>
  <c r="BA213" i="2"/>
  <c r="BA214" i="2"/>
  <c r="BA215" i="2"/>
  <c r="BA216" i="2"/>
  <c r="BA217" i="2"/>
  <c r="BA218" i="2"/>
  <c r="BA219" i="2"/>
  <c r="BA220" i="2"/>
  <c r="BA221" i="2"/>
  <c r="BA222" i="2"/>
  <c r="BA223" i="2"/>
  <c r="BA224" i="2"/>
  <c r="BA225" i="2"/>
  <c r="BA226" i="2"/>
  <c r="BA227" i="2"/>
  <c r="BA228" i="2"/>
  <c r="BA229" i="2"/>
  <c r="BA230" i="2"/>
  <c r="BA231" i="2"/>
  <c r="BA232" i="2"/>
  <c r="BA233" i="2"/>
  <c r="BA234" i="2"/>
  <c r="BA235" i="2"/>
  <c r="BA236" i="2"/>
  <c r="BA237" i="2"/>
  <c r="BA238" i="2"/>
  <c r="BA239" i="2"/>
  <c r="BA240" i="2"/>
  <c r="BA241" i="2"/>
  <c r="BA242" i="2"/>
  <c r="BA243" i="2"/>
  <c r="BA244" i="2"/>
  <c r="BA245" i="2"/>
  <c r="BA246" i="2"/>
  <c r="BA247" i="2"/>
  <c r="BA248" i="2"/>
  <c r="BA249" i="2"/>
  <c r="BA250" i="2"/>
  <c r="BA251" i="2"/>
  <c r="BA252" i="2"/>
  <c r="BA253" i="2"/>
  <c r="BA254" i="2"/>
  <c r="BA255" i="2"/>
  <c r="BA256" i="2"/>
  <c r="BA257" i="2"/>
  <c r="BA258" i="2"/>
  <c r="BA259" i="2"/>
  <c r="BA260" i="2"/>
  <c r="BA261" i="2"/>
  <c r="BA262" i="2"/>
  <c r="BA263" i="2"/>
  <c r="BA264" i="2"/>
  <c r="BA265" i="2"/>
  <c r="BA266" i="2"/>
  <c r="BA267" i="2"/>
  <c r="BA268" i="2"/>
  <c r="BA269" i="2"/>
  <c r="BA270" i="2"/>
  <c r="BA271" i="2"/>
  <c r="BA272" i="2"/>
  <c r="BA273" i="2"/>
  <c r="BA274" i="2"/>
  <c r="BA275" i="2"/>
  <c r="BA276" i="2"/>
  <c r="BA277" i="2"/>
  <c r="BA278" i="2"/>
  <c r="BA279" i="2"/>
  <c r="BA280" i="2"/>
  <c r="BA281" i="2"/>
  <c r="BA282" i="2"/>
  <c r="BA283" i="2"/>
  <c r="BA284" i="2"/>
  <c r="BA285" i="2"/>
  <c r="BA286" i="2"/>
  <c r="BA287" i="2"/>
  <c r="BA288" i="2"/>
  <c r="BA289" i="2"/>
  <c r="BA290" i="2"/>
  <c r="BA291" i="2"/>
  <c r="BA292" i="2"/>
  <c r="BA293" i="2"/>
  <c r="BA294" i="2"/>
  <c r="BA295" i="2"/>
  <c r="BA296" i="2"/>
  <c r="BA297" i="2"/>
  <c r="BA298" i="2"/>
  <c r="BA299" i="2"/>
  <c r="BA300" i="2"/>
  <c r="BA301" i="2"/>
  <c r="BA302" i="2"/>
  <c r="BA303" i="2"/>
  <c r="BA304" i="2"/>
  <c r="BA305" i="2"/>
  <c r="BA306" i="2"/>
  <c r="BA307" i="2"/>
  <c r="BA308" i="2"/>
  <c r="BA309" i="2"/>
  <c r="BA310" i="2"/>
  <c r="BA311" i="2"/>
  <c r="BA312" i="2"/>
  <c r="BA313" i="2"/>
  <c r="BA314" i="2"/>
  <c r="BA315" i="2"/>
  <c r="BA316" i="2"/>
  <c r="BA317" i="2"/>
  <c r="BA318" i="2"/>
  <c r="BA319" i="2"/>
  <c r="BA320" i="2"/>
  <c r="BA321" i="2"/>
  <c r="BA322" i="2"/>
  <c r="BA323" i="2"/>
  <c r="BA324" i="2"/>
  <c r="BA325" i="2"/>
  <c r="BA326" i="2"/>
  <c r="BA327" i="2"/>
  <c r="BA328" i="2"/>
  <c r="BA329" i="2"/>
  <c r="BA330" i="2"/>
  <c r="BA331" i="2"/>
  <c r="BA332" i="2"/>
  <c r="BA333" i="2"/>
  <c r="BA334" i="2"/>
  <c r="BA335" i="2"/>
  <c r="BA336" i="2"/>
  <c r="BA337" i="2"/>
  <c r="BA338" i="2"/>
  <c r="BA339" i="2"/>
  <c r="BA340" i="2"/>
  <c r="BA341" i="2"/>
  <c r="BA342" i="2"/>
  <c r="BA343" i="2"/>
  <c r="BA344" i="2"/>
  <c r="BA345" i="2"/>
  <c r="BA346" i="2"/>
  <c r="BA347" i="2"/>
  <c r="BA348" i="2"/>
  <c r="BA349" i="2"/>
  <c r="BA350" i="2"/>
  <c r="BA351" i="2"/>
  <c r="BA352" i="2"/>
  <c r="BA353" i="2"/>
  <c r="BA354" i="2"/>
  <c r="BA355" i="2"/>
  <c r="BA356" i="2"/>
  <c r="BA357" i="2"/>
  <c r="BA358" i="2"/>
  <c r="BA359" i="2"/>
  <c r="BA360" i="2"/>
  <c r="BA361" i="2"/>
  <c r="BA362" i="2"/>
  <c r="BA363" i="2"/>
  <c r="BA364" i="2"/>
  <c r="BA365" i="2"/>
  <c r="BA366" i="2"/>
  <c r="BA367" i="2"/>
  <c r="BA368" i="2"/>
  <c r="BA369" i="2"/>
  <c r="BA370" i="2"/>
  <c r="BA371" i="2"/>
  <c r="BA372" i="2"/>
  <c r="BA373" i="2"/>
  <c r="BA374" i="2"/>
  <c r="BA375" i="2"/>
  <c r="BA376" i="2"/>
  <c r="BA377" i="2"/>
  <c r="BA378" i="2"/>
  <c r="BA379" i="2"/>
  <c r="BA380" i="2"/>
  <c r="BA381" i="2"/>
  <c r="BA382" i="2"/>
  <c r="BA383" i="2"/>
  <c r="BA384" i="2"/>
  <c r="BA385" i="2"/>
  <c r="BA386" i="2"/>
  <c r="BA387" i="2"/>
  <c r="BA388" i="2"/>
  <c r="BA389" i="2"/>
  <c r="BA390" i="2"/>
  <c r="BA391" i="2"/>
  <c r="BA392" i="2"/>
  <c r="BA393" i="2"/>
  <c r="BA394" i="2"/>
  <c r="BA395" i="2"/>
  <c r="BA396" i="2"/>
  <c r="BA397" i="2"/>
  <c r="BA398" i="2"/>
  <c r="BA399" i="2"/>
  <c r="BA400" i="2"/>
  <c r="BA401" i="2"/>
  <c r="BA402" i="2"/>
  <c r="BA403" i="2"/>
  <c r="BA404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W88" i="2"/>
  <c r="AW89" i="2"/>
  <c r="AW90" i="2"/>
  <c r="AW91" i="2"/>
  <c r="AW92" i="2"/>
  <c r="AW93" i="2"/>
  <c r="AW94" i="2"/>
  <c r="AW95" i="2"/>
  <c r="AW96" i="2"/>
  <c r="AW97" i="2"/>
  <c r="AW98" i="2"/>
  <c r="AW99" i="2"/>
  <c r="AW100" i="2"/>
  <c r="AW101" i="2"/>
  <c r="AW102" i="2"/>
  <c r="AW103" i="2"/>
  <c r="AW104" i="2"/>
  <c r="AW105" i="2"/>
  <c r="AW106" i="2"/>
  <c r="AW107" i="2"/>
  <c r="AW108" i="2"/>
  <c r="AW109" i="2"/>
  <c r="AW110" i="2"/>
  <c r="AW111" i="2"/>
  <c r="AW112" i="2"/>
  <c r="AW113" i="2"/>
  <c r="AW114" i="2"/>
  <c r="AW115" i="2"/>
  <c r="AW116" i="2"/>
  <c r="AW117" i="2"/>
  <c r="AW118" i="2"/>
  <c r="AW119" i="2"/>
  <c r="AW120" i="2"/>
  <c r="AW121" i="2"/>
  <c r="AW122" i="2"/>
  <c r="AW123" i="2"/>
  <c r="AW124" i="2"/>
  <c r="AW125" i="2"/>
  <c r="AW126" i="2"/>
  <c r="AW127" i="2"/>
  <c r="AW128" i="2"/>
  <c r="AW129" i="2"/>
  <c r="AW130" i="2"/>
  <c r="AW131" i="2"/>
  <c r="AW132" i="2"/>
  <c r="AW133" i="2"/>
  <c r="AW134" i="2"/>
  <c r="AW135" i="2"/>
  <c r="AW136" i="2"/>
  <c r="AW137" i="2"/>
  <c r="AW138" i="2"/>
  <c r="AW139" i="2"/>
  <c r="AW140" i="2"/>
  <c r="AW141" i="2"/>
  <c r="AW142" i="2"/>
  <c r="AW143" i="2"/>
  <c r="AW144" i="2"/>
  <c r="AW145" i="2"/>
  <c r="AW146" i="2"/>
  <c r="AW147" i="2"/>
  <c r="AW148" i="2"/>
  <c r="AW149" i="2"/>
  <c r="AW150" i="2"/>
  <c r="AW151" i="2"/>
  <c r="AW152" i="2"/>
  <c r="AW153" i="2"/>
  <c r="AW154" i="2"/>
  <c r="AW155" i="2"/>
  <c r="AW156" i="2"/>
  <c r="AW157" i="2"/>
  <c r="AW158" i="2"/>
  <c r="AW159" i="2"/>
  <c r="AW160" i="2"/>
  <c r="AW161" i="2"/>
  <c r="AW162" i="2"/>
  <c r="AW163" i="2"/>
  <c r="AW164" i="2"/>
  <c r="AW165" i="2"/>
  <c r="AW166" i="2"/>
  <c r="AW167" i="2"/>
  <c r="AW168" i="2"/>
  <c r="AW169" i="2"/>
  <c r="AW170" i="2"/>
  <c r="AW171" i="2"/>
  <c r="AW172" i="2"/>
  <c r="AW173" i="2"/>
  <c r="AW174" i="2"/>
  <c r="AW175" i="2"/>
  <c r="AW176" i="2"/>
  <c r="AW177" i="2"/>
  <c r="AW178" i="2"/>
  <c r="AW179" i="2"/>
  <c r="AW180" i="2"/>
  <c r="AW181" i="2"/>
  <c r="AW182" i="2"/>
  <c r="AW183" i="2"/>
  <c r="AW184" i="2"/>
  <c r="AW185" i="2"/>
  <c r="AW186" i="2"/>
  <c r="AW187" i="2"/>
  <c r="AW188" i="2"/>
  <c r="AW189" i="2"/>
  <c r="AW190" i="2"/>
  <c r="AW191" i="2"/>
  <c r="AW192" i="2"/>
  <c r="AW193" i="2"/>
  <c r="AW194" i="2"/>
  <c r="AW195" i="2"/>
  <c r="AW196" i="2"/>
  <c r="AW197" i="2"/>
  <c r="AW198" i="2"/>
  <c r="AW199" i="2"/>
  <c r="AW200" i="2"/>
  <c r="AW201" i="2"/>
  <c r="AW202" i="2"/>
  <c r="AW203" i="2"/>
  <c r="AW204" i="2"/>
  <c r="AW205" i="2"/>
  <c r="AW206" i="2"/>
  <c r="AW207" i="2"/>
  <c r="AW208" i="2"/>
  <c r="AW209" i="2"/>
  <c r="AW210" i="2"/>
  <c r="AW211" i="2"/>
  <c r="AW212" i="2"/>
  <c r="AW213" i="2"/>
  <c r="AW214" i="2"/>
  <c r="AW215" i="2"/>
  <c r="AW216" i="2"/>
  <c r="AW217" i="2"/>
  <c r="AW218" i="2"/>
  <c r="AW219" i="2"/>
  <c r="AW220" i="2"/>
  <c r="AW221" i="2"/>
  <c r="AW222" i="2"/>
  <c r="AW223" i="2"/>
  <c r="AW224" i="2"/>
  <c r="AW225" i="2"/>
  <c r="AW226" i="2"/>
  <c r="AW227" i="2"/>
  <c r="AW228" i="2"/>
  <c r="AW229" i="2"/>
  <c r="AW230" i="2"/>
  <c r="AW231" i="2"/>
  <c r="AW232" i="2"/>
  <c r="AW233" i="2"/>
  <c r="AW234" i="2"/>
  <c r="AW235" i="2"/>
  <c r="AW236" i="2"/>
  <c r="AW237" i="2"/>
  <c r="AW238" i="2"/>
  <c r="AW239" i="2"/>
  <c r="AW240" i="2"/>
  <c r="AW241" i="2"/>
  <c r="AW242" i="2"/>
  <c r="AW243" i="2"/>
  <c r="AW244" i="2"/>
  <c r="AW245" i="2"/>
  <c r="AW246" i="2"/>
  <c r="AW247" i="2"/>
  <c r="AW248" i="2"/>
  <c r="AW249" i="2"/>
  <c r="AW250" i="2"/>
  <c r="AW251" i="2"/>
  <c r="AW252" i="2"/>
  <c r="AW253" i="2"/>
  <c r="AW254" i="2"/>
  <c r="AW255" i="2"/>
  <c r="AW256" i="2"/>
  <c r="AW257" i="2"/>
  <c r="AW258" i="2"/>
  <c r="AW259" i="2"/>
  <c r="AW260" i="2"/>
  <c r="AW261" i="2"/>
  <c r="AW262" i="2"/>
  <c r="AW263" i="2"/>
  <c r="AW264" i="2"/>
  <c r="AW265" i="2"/>
  <c r="AW266" i="2"/>
  <c r="AW267" i="2"/>
  <c r="AW268" i="2"/>
  <c r="AW269" i="2"/>
  <c r="AW270" i="2"/>
  <c r="AW271" i="2"/>
  <c r="AW272" i="2"/>
  <c r="AW273" i="2"/>
  <c r="AW274" i="2"/>
  <c r="AW275" i="2"/>
  <c r="AW276" i="2"/>
  <c r="AW277" i="2"/>
  <c r="AW278" i="2"/>
  <c r="AW279" i="2"/>
  <c r="AW280" i="2"/>
  <c r="AW281" i="2"/>
  <c r="AW282" i="2"/>
  <c r="AW283" i="2"/>
  <c r="AW284" i="2"/>
  <c r="AW285" i="2"/>
  <c r="AW286" i="2"/>
  <c r="AW287" i="2"/>
  <c r="AW288" i="2"/>
  <c r="AW289" i="2"/>
  <c r="AW290" i="2"/>
  <c r="AW291" i="2"/>
  <c r="AW292" i="2"/>
  <c r="AW293" i="2"/>
  <c r="AW294" i="2"/>
  <c r="AW295" i="2"/>
  <c r="AW296" i="2"/>
  <c r="AW297" i="2"/>
  <c r="AW298" i="2"/>
  <c r="AW299" i="2"/>
  <c r="AW300" i="2"/>
  <c r="AW301" i="2"/>
  <c r="AW302" i="2"/>
  <c r="AW303" i="2"/>
  <c r="AW304" i="2"/>
  <c r="AW305" i="2"/>
  <c r="AW306" i="2"/>
  <c r="AW307" i="2"/>
  <c r="AW308" i="2"/>
  <c r="AW309" i="2"/>
  <c r="AW310" i="2"/>
  <c r="AW311" i="2"/>
  <c r="AW312" i="2"/>
  <c r="AW313" i="2"/>
  <c r="AW314" i="2"/>
  <c r="AW315" i="2"/>
  <c r="AW316" i="2"/>
  <c r="AW317" i="2"/>
  <c r="AW318" i="2"/>
  <c r="AW319" i="2"/>
  <c r="AW320" i="2"/>
  <c r="AW321" i="2"/>
  <c r="AW322" i="2"/>
  <c r="AW323" i="2"/>
  <c r="AW324" i="2"/>
  <c r="AW325" i="2"/>
  <c r="AW326" i="2"/>
  <c r="AW327" i="2"/>
  <c r="AW328" i="2"/>
  <c r="AW329" i="2"/>
  <c r="AW330" i="2"/>
  <c r="AW331" i="2"/>
  <c r="AW332" i="2"/>
  <c r="AW333" i="2"/>
  <c r="AW334" i="2"/>
  <c r="AW335" i="2"/>
  <c r="AW336" i="2"/>
  <c r="AW337" i="2"/>
  <c r="AW338" i="2"/>
  <c r="AW339" i="2"/>
  <c r="AW340" i="2"/>
  <c r="AW341" i="2"/>
  <c r="AW342" i="2"/>
  <c r="AW343" i="2"/>
  <c r="AW344" i="2"/>
  <c r="AW345" i="2"/>
  <c r="AW346" i="2"/>
  <c r="AW347" i="2"/>
  <c r="AW348" i="2"/>
  <c r="AW349" i="2"/>
  <c r="AW350" i="2"/>
  <c r="AW351" i="2"/>
  <c r="AW352" i="2"/>
  <c r="AW353" i="2"/>
  <c r="AW354" i="2"/>
  <c r="AW355" i="2"/>
  <c r="AW356" i="2"/>
  <c r="AW357" i="2"/>
  <c r="AW358" i="2"/>
  <c r="AW359" i="2"/>
  <c r="AW360" i="2"/>
  <c r="AW361" i="2"/>
  <c r="AW362" i="2"/>
  <c r="AW363" i="2"/>
  <c r="AW364" i="2"/>
  <c r="AW365" i="2"/>
  <c r="AW366" i="2"/>
  <c r="AW367" i="2"/>
  <c r="AW368" i="2"/>
  <c r="AW369" i="2"/>
  <c r="AW370" i="2"/>
  <c r="AW371" i="2"/>
  <c r="AW372" i="2"/>
  <c r="AW373" i="2"/>
  <c r="AW374" i="2"/>
  <c r="AW375" i="2"/>
  <c r="AW376" i="2"/>
  <c r="AW377" i="2"/>
  <c r="AW378" i="2"/>
  <c r="AW379" i="2"/>
  <c r="AW380" i="2"/>
  <c r="AW381" i="2"/>
  <c r="AW382" i="2"/>
  <c r="AW383" i="2"/>
  <c r="AW384" i="2"/>
  <c r="AW385" i="2"/>
  <c r="AW386" i="2"/>
  <c r="AW387" i="2"/>
  <c r="AW388" i="2"/>
  <c r="AW389" i="2"/>
  <c r="AW390" i="2"/>
  <c r="AW391" i="2"/>
  <c r="AW392" i="2"/>
  <c r="AW393" i="2"/>
  <c r="AW394" i="2"/>
  <c r="AW395" i="2"/>
  <c r="AW396" i="2"/>
  <c r="AW397" i="2"/>
  <c r="AW398" i="2"/>
  <c r="AW399" i="2"/>
  <c r="AW400" i="2"/>
  <c r="AW401" i="2"/>
  <c r="AW402" i="2"/>
  <c r="AW403" i="2"/>
  <c r="AW404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U88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U101" i="2"/>
  <c r="AU102" i="2"/>
  <c r="AU103" i="2"/>
  <c r="AU104" i="2"/>
  <c r="AU105" i="2"/>
  <c r="AU106" i="2"/>
  <c r="AU107" i="2"/>
  <c r="AU108" i="2"/>
  <c r="AU109" i="2"/>
  <c r="AU110" i="2"/>
  <c r="AU111" i="2"/>
  <c r="AU112" i="2"/>
  <c r="AU113" i="2"/>
  <c r="AU114" i="2"/>
  <c r="AU115" i="2"/>
  <c r="AU116" i="2"/>
  <c r="AU117" i="2"/>
  <c r="AU118" i="2"/>
  <c r="AU119" i="2"/>
  <c r="AU120" i="2"/>
  <c r="AU121" i="2"/>
  <c r="AU122" i="2"/>
  <c r="AU123" i="2"/>
  <c r="AU124" i="2"/>
  <c r="AU125" i="2"/>
  <c r="AU126" i="2"/>
  <c r="AU127" i="2"/>
  <c r="AU128" i="2"/>
  <c r="AU129" i="2"/>
  <c r="AU130" i="2"/>
  <c r="AU131" i="2"/>
  <c r="AU132" i="2"/>
  <c r="AU133" i="2"/>
  <c r="AU134" i="2"/>
  <c r="AU135" i="2"/>
  <c r="AU136" i="2"/>
  <c r="AU137" i="2"/>
  <c r="AU138" i="2"/>
  <c r="AU139" i="2"/>
  <c r="AU140" i="2"/>
  <c r="AU141" i="2"/>
  <c r="AU142" i="2"/>
  <c r="AU143" i="2"/>
  <c r="AU144" i="2"/>
  <c r="AU145" i="2"/>
  <c r="AU146" i="2"/>
  <c r="AU147" i="2"/>
  <c r="AU148" i="2"/>
  <c r="AU149" i="2"/>
  <c r="AU150" i="2"/>
  <c r="AU151" i="2"/>
  <c r="AU152" i="2"/>
  <c r="AU153" i="2"/>
  <c r="AU154" i="2"/>
  <c r="AU155" i="2"/>
  <c r="AU156" i="2"/>
  <c r="AU157" i="2"/>
  <c r="AU158" i="2"/>
  <c r="AU159" i="2"/>
  <c r="AU160" i="2"/>
  <c r="AU161" i="2"/>
  <c r="AU162" i="2"/>
  <c r="AU163" i="2"/>
  <c r="AU164" i="2"/>
  <c r="AU165" i="2"/>
  <c r="AU166" i="2"/>
  <c r="AU167" i="2"/>
  <c r="AU168" i="2"/>
  <c r="AU169" i="2"/>
  <c r="AU170" i="2"/>
  <c r="AU171" i="2"/>
  <c r="AU172" i="2"/>
  <c r="AU173" i="2"/>
  <c r="AU174" i="2"/>
  <c r="AU175" i="2"/>
  <c r="AU176" i="2"/>
  <c r="AU177" i="2"/>
  <c r="AU178" i="2"/>
  <c r="AU179" i="2"/>
  <c r="AU180" i="2"/>
  <c r="AU181" i="2"/>
  <c r="AU182" i="2"/>
  <c r="AU183" i="2"/>
  <c r="AU184" i="2"/>
  <c r="AU185" i="2"/>
  <c r="AU186" i="2"/>
  <c r="AU187" i="2"/>
  <c r="AU188" i="2"/>
  <c r="AU189" i="2"/>
  <c r="AU190" i="2"/>
  <c r="AU191" i="2"/>
  <c r="AU192" i="2"/>
  <c r="AU193" i="2"/>
  <c r="AU194" i="2"/>
  <c r="AU195" i="2"/>
  <c r="AU196" i="2"/>
  <c r="AU197" i="2"/>
  <c r="AU198" i="2"/>
  <c r="AU199" i="2"/>
  <c r="AU200" i="2"/>
  <c r="AU201" i="2"/>
  <c r="AU202" i="2"/>
  <c r="AU203" i="2"/>
  <c r="AU204" i="2"/>
  <c r="AU205" i="2"/>
  <c r="AU206" i="2"/>
  <c r="AU207" i="2"/>
  <c r="AU208" i="2"/>
  <c r="AU209" i="2"/>
  <c r="AU210" i="2"/>
  <c r="AU211" i="2"/>
  <c r="AU212" i="2"/>
  <c r="AU213" i="2"/>
  <c r="AU214" i="2"/>
  <c r="AU215" i="2"/>
  <c r="AU216" i="2"/>
  <c r="AU217" i="2"/>
  <c r="AU218" i="2"/>
  <c r="AU219" i="2"/>
  <c r="AU220" i="2"/>
  <c r="AU221" i="2"/>
  <c r="AU222" i="2"/>
  <c r="AU223" i="2"/>
  <c r="AU224" i="2"/>
  <c r="AU225" i="2"/>
  <c r="AU226" i="2"/>
  <c r="AU227" i="2"/>
  <c r="AU228" i="2"/>
  <c r="AU229" i="2"/>
  <c r="AU230" i="2"/>
  <c r="AU231" i="2"/>
  <c r="AU232" i="2"/>
  <c r="AU233" i="2"/>
  <c r="AU234" i="2"/>
  <c r="AU235" i="2"/>
  <c r="AU236" i="2"/>
  <c r="AU237" i="2"/>
  <c r="AU238" i="2"/>
  <c r="AU239" i="2"/>
  <c r="AU240" i="2"/>
  <c r="AU241" i="2"/>
  <c r="AU242" i="2"/>
  <c r="AU243" i="2"/>
  <c r="AU244" i="2"/>
  <c r="AU245" i="2"/>
  <c r="AU246" i="2"/>
  <c r="AU247" i="2"/>
  <c r="AU248" i="2"/>
  <c r="AU249" i="2"/>
  <c r="AU250" i="2"/>
  <c r="AU251" i="2"/>
  <c r="AU252" i="2"/>
  <c r="AU253" i="2"/>
  <c r="AU254" i="2"/>
  <c r="AU255" i="2"/>
  <c r="AU256" i="2"/>
  <c r="AU257" i="2"/>
  <c r="AU258" i="2"/>
  <c r="AU259" i="2"/>
  <c r="AU260" i="2"/>
  <c r="AU261" i="2"/>
  <c r="AU262" i="2"/>
  <c r="AU263" i="2"/>
  <c r="AU264" i="2"/>
  <c r="AU265" i="2"/>
  <c r="AU266" i="2"/>
  <c r="AU267" i="2"/>
  <c r="AU268" i="2"/>
  <c r="AU269" i="2"/>
  <c r="AU270" i="2"/>
  <c r="AU271" i="2"/>
  <c r="AU272" i="2"/>
  <c r="AU273" i="2"/>
  <c r="AU274" i="2"/>
  <c r="AU275" i="2"/>
  <c r="AU276" i="2"/>
  <c r="AU277" i="2"/>
  <c r="AU278" i="2"/>
  <c r="AU279" i="2"/>
  <c r="AU280" i="2"/>
  <c r="AU281" i="2"/>
  <c r="AU282" i="2"/>
  <c r="AU283" i="2"/>
  <c r="AU284" i="2"/>
  <c r="AU285" i="2"/>
  <c r="AU286" i="2"/>
  <c r="AU287" i="2"/>
  <c r="AU288" i="2"/>
  <c r="AU289" i="2"/>
  <c r="AU290" i="2"/>
  <c r="AU291" i="2"/>
  <c r="AU292" i="2"/>
  <c r="AU293" i="2"/>
  <c r="AU294" i="2"/>
  <c r="AU295" i="2"/>
  <c r="AU296" i="2"/>
  <c r="AU297" i="2"/>
  <c r="AU298" i="2"/>
  <c r="AU299" i="2"/>
  <c r="AU300" i="2"/>
  <c r="AU301" i="2"/>
  <c r="AU302" i="2"/>
  <c r="AU303" i="2"/>
  <c r="AU304" i="2"/>
  <c r="AU305" i="2"/>
  <c r="AU306" i="2"/>
  <c r="AU307" i="2"/>
  <c r="AU308" i="2"/>
  <c r="AU309" i="2"/>
  <c r="AU310" i="2"/>
  <c r="AU311" i="2"/>
  <c r="AU312" i="2"/>
  <c r="AU313" i="2"/>
  <c r="AU314" i="2"/>
  <c r="AU315" i="2"/>
  <c r="AU316" i="2"/>
  <c r="AU317" i="2"/>
  <c r="AU318" i="2"/>
  <c r="AU319" i="2"/>
  <c r="AU320" i="2"/>
  <c r="AU321" i="2"/>
  <c r="AU322" i="2"/>
  <c r="AU323" i="2"/>
  <c r="AU324" i="2"/>
  <c r="AU325" i="2"/>
  <c r="AU326" i="2"/>
  <c r="AU327" i="2"/>
  <c r="AU328" i="2"/>
  <c r="AU329" i="2"/>
  <c r="AU330" i="2"/>
  <c r="AU331" i="2"/>
  <c r="AU332" i="2"/>
  <c r="AU333" i="2"/>
  <c r="AU334" i="2"/>
  <c r="AU335" i="2"/>
  <c r="AU336" i="2"/>
  <c r="AU337" i="2"/>
  <c r="AU338" i="2"/>
  <c r="AU339" i="2"/>
  <c r="AU340" i="2"/>
  <c r="AU341" i="2"/>
  <c r="AU342" i="2"/>
  <c r="AU343" i="2"/>
  <c r="AU344" i="2"/>
  <c r="AU345" i="2"/>
  <c r="AU346" i="2"/>
  <c r="AU347" i="2"/>
  <c r="AU348" i="2"/>
  <c r="AU349" i="2"/>
  <c r="AU350" i="2"/>
  <c r="AU351" i="2"/>
  <c r="AU352" i="2"/>
  <c r="AU353" i="2"/>
  <c r="AU354" i="2"/>
  <c r="AU355" i="2"/>
  <c r="AU356" i="2"/>
  <c r="AU357" i="2"/>
  <c r="AU358" i="2"/>
  <c r="AU359" i="2"/>
  <c r="AU360" i="2"/>
  <c r="AU361" i="2"/>
  <c r="AU362" i="2"/>
  <c r="AU363" i="2"/>
  <c r="AU364" i="2"/>
  <c r="AU365" i="2"/>
  <c r="AU366" i="2"/>
  <c r="AU367" i="2"/>
  <c r="AU368" i="2"/>
  <c r="AU369" i="2"/>
  <c r="AU370" i="2"/>
  <c r="AU371" i="2"/>
  <c r="AU372" i="2"/>
  <c r="AU373" i="2"/>
  <c r="AU374" i="2"/>
  <c r="AU375" i="2"/>
  <c r="AU376" i="2"/>
  <c r="AU377" i="2"/>
  <c r="AU378" i="2"/>
  <c r="AU379" i="2"/>
  <c r="AU380" i="2"/>
  <c r="AU381" i="2"/>
  <c r="AU382" i="2"/>
  <c r="AU383" i="2"/>
  <c r="AU384" i="2"/>
  <c r="AU385" i="2"/>
  <c r="AU386" i="2"/>
  <c r="AU387" i="2"/>
  <c r="AU388" i="2"/>
  <c r="AU389" i="2"/>
  <c r="AU390" i="2"/>
  <c r="AU391" i="2"/>
  <c r="AU392" i="2"/>
  <c r="AU393" i="2"/>
  <c r="AU394" i="2"/>
  <c r="AU395" i="2"/>
  <c r="AU396" i="2"/>
  <c r="AU397" i="2"/>
  <c r="AU398" i="2"/>
  <c r="AU399" i="2"/>
  <c r="AU400" i="2"/>
  <c r="AU401" i="2"/>
  <c r="AU402" i="2"/>
  <c r="AU403" i="2"/>
  <c r="AU404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T88" i="2"/>
  <c r="AT89" i="2"/>
  <c r="AT90" i="2"/>
  <c r="AT91" i="2"/>
  <c r="AT92" i="2"/>
  <c r="AT93" i="2"/>
  <c r="AT94" i="2"/>
  <c r="AT95" i="2"/>
  <c r="AT96" i="2"/>
  <c r="AT97" i="2"/>
  <c r="AT98" i="2"/>
  <c r="AT99" i="2"/>
  <c r="AT100" i="2"/>
  <c r="AT101" i="2"/>
  <c r="AT102" i="2"/>
  <c r="AT103" i="2"/>
  <c r="AT104" i="2"/>
  <c r="AT105" i="2"/>
  <c r="AT106" i="2"/>
  <c r="AT107" i="2"/>
  <c r="AT108" i="2"/>
  <c r="AT109" i="2"/>
  <c r="AT110" i="2"/>
  <c r="AT111" i="2"/>
  <c r="AT112" i="2"/>
  <c r="AT113" i="2"/>
  <c r="AT114" i="2"/>
  <c r="AT115" i="2"/>
  <c r="AT116" i="2"/>
  <c r="AT117" i="2"/>
  <c r="AT118" i="2"/>
  <c r="AT119" i="2"/>
  <c r="AT120" i="2"/>
  <c r="AT121" i="2"/>
  <c r="AT122" i="2"/>
  <c r="AT123" i="2"/>
  <c r="AT124" i="2"/>
  <c r="AT125" i="2"/>
  <c r="AT126" i="2"/>
  <c r="AT127" i="2"/>
  <c r="AT128" i="2"/>
  <c r="AT129" i="2"/>
  <c r="AT130" i="2"/>
  <c r="AT131" i="2"/>
  <c r="AT132" i="2"/>
  <c r="AT133" i="2"/>
  <c r="AT134" i="2"/>
  <c r="AT135" i="2"/>
  <c r="AT136" i="2"/>
  <c r="AT137" i="2"/>
  <c r="AT138" i="2"/>
  <c r="AT139" i="2"/>
  <c r="AT140" i="2"/>
  <c r="AT141" i="2"/>
  <c r="AT142" i="2"/>
  <c r="AT143" i="2"/>
  <c r="AT144" i="2"/>
  <c r="AT145" i="2"/>
  <c r="AT146" i="2"/>
  <c r="AT147" i="2"/>
  <c r="AT148" i="2"/>
  <c r="AT149" i="2"/>
  <c r="AT150" i="2"/>
  <c r="AT151" i="2"/>
  <c r="AT152" i="2"/>
  <c r="AT153" i="2"/>
  <c r="AT154" i="2"/>
  <c r="AT155" i="2"/>
  <c r="AT156" i="2"/>
  <c r="AT157" i="2"/>
  <c r="AT158" i="2"/>
  <c r="AT159" i="2"/>
  <c r="AT160" i="2"/>
  <c r="AT161" i="2"/>
  <c r="AT162" i="2"/>
  <c r="AT163" i="2"/>
  <c r="AT164" i="2"/>
  <c r="AT165" i="2"/>
  <c r="AT166" i="2"/>
  <c r="AT167" i="2"/>
  <c r="AT168" i="2"/>
  <c r="AT169" i="2"/>
  <c r="AT170" i="2"/>
  <c r="AT171" i="2"/>
  <c r="AT172" i="2"/>
  <c r="AT173" i="2"/>
  <c r="AT174" i="2"/>
  <c r="AT175" i="2"/>
  <c r="AT176" i="2"/>
  <c r="AT177" i="2"/>
  <c r="AT178" i="2"/>
  <c r="AT179" i="2"/>
  <c r="AT180" i="2"/>
  <c r="AT181" i="2"/>
  <c r="AT182" i="2"/>
  <c r="AT183" i="2"/>
  <c r="AT184" i="2"/>
  <c r="AT185" i="2"/>
  <c r="AT186" i="2"/>
  <c r="AT187" i="2"/>
  <c r="AT188" i="2"/>
  <c r="AT189" i="2"/>
  <c r="AT190" i="2"/>
  <c r="AT191" i="2"/>
  <c r="AT192" i="2"/>
  <c r="AT193" i="2"/>
  <c r="AT194" i="2"/>
  <c r="AT195" i="2"/>
  <c r="AT196" i="2"/>
  <c r="AT197" i="2"/>
  <c r="AT198" i="2"/>
  <c r="AT199" i="2"/>
  <c r="AT200" i="2"/>
  <c r="AT201" i="2"/>
  <c r="AT202" i="2"/>
  <c r="AT203" i="2"/>
  <c r="AT204" i="2"/>
  <c r="AT205" i="2"/>
  <c r="AT206" i="2"/>
  <c r="AT207" i="2"/>
  <c r="AT208" i="2"/>
  <c r="AT209" i="2"/>
  <c r="AT210" i="2"/>
  <c r="AT211" i="2"/>
  <c r="AT212" i="2"/>
  <c r="AT213" i="2"/>
  <c r="AT214" i="2"/>
  <c r="AT215" i="2"/>
  <c r="AT216" i="2"/>
  <c r="AT217" i="2"/>
  <c r="AT218" i="2"/>
  <c r="AT219" i="2"/>
  <c r="AT220" i="2"/>
  <c r="AT221" i="2"/>
  <c r="AT222" i="2"/>
  <c r="AT223" i="2"/>
  <c r="AT224" i="2"/>
  <c r="AT225" i="2"/>
  <c r="AT226" i="2"/>
  <c r="AT227" i="2"/>
  <c r="AT228" i="2"/>
  <c r="AT229" i="2"/>
  <c r="AT230" i="2"/>
  <c r="AT231" i="2"/>
  <c r="AT232" i="2"/>
  <c r="AT233" i="2"/>
  <c r="AT234" i="2"/>
  <c r="AT235" i="2"/>
  <c r="AT236" i="2"/>
  <c r="AT237" i="2"/>
  <c r="AT238" i="2"/>
  <c r="AT239" i="2"/>
  <c r="AT240" i="2"/>
  <c r="AT241" i="2"/>
  <c r="AT242" i="2"/>
  <c r="AT243" i="2"/>
  <c r="AT244" i="2"/>
  <c r="AT245" i="2"/>
  <c r="AT246" i="2"/>
  <c r="AT247" i="2"/>
  <c r="AT248" i="2"/>
  <c r="AT249" i="2"/>
  <c r="AT250" i="2"/>
  <c r="AT251" i="2"/>
  <c r="AT252" i="2"/>
  <c r="AT253" i="2"/>
  <c r="AT254" i="2"/>
  <c r="AT255" i="2"/>
  <c r="AT256" i="2"/>
  <c r="AT257" i="2"/>
  <c r="AT258" i="2"/>
  <c r="AT259" i="2"/>
  <c r="AT260" i="2"/>
  <c r="AT261" i="2"/>
  <c r="AT262" i="2"/>
  <c r="AT263" i="2"/>
  <c r="AT264" i="2"/>
  <c r="AT265" i="2"/>
  <c r="AT266" i="2"/>
  <c r="AT267" i="2"/>
  <c r="AT268" i="2"/>
  <c r="AT269" i="2"/>
  <c r="AT270" i="2"/>
  <c r="AT271" i="2"/>
  <c r="AT272" i="2"/>
  <c r="AT273" i="2"/>
  <c r="AT274" i="2"/>
  <c r="AT275" i="2"/>
  <c r="AT276" i="2"/>
  <c r="AT277" i="2"/>
  <c r="AT278" i="2"/>
  <c r="AT279" i="2"/>
  <c r="AT280" i="2"/>
  <c r="AT281" i="2"/>
  <c r="AT282" i="2"/>
  <c r="AT283" i="2"/>
  <c r="AT284" i="2"/>
  <c r="AT285" i="2"/>
  <c r="AT286" i="2"/>
  <c r="AT287" i="2"/>
  <c r="AT288" i="2"/>
  <c r="AT289" i="2"/>
  <c r="AT290" i="2"/>
  <c r="AT291" i="2"/>
  <c r="AT292" i="2"/>
  <c r="AT293" i="2"/>
  <c r="AT294" i="2"/>
  <c r="AT295" i="2"/>
  <c r="AT296" i="2"/>
  <c r="AT297" i="2"/>
  <c r="AT298" i="2"/>
  <c r="AT299" i="2"/>
  <c r="AT300" i="2"/>
  <c r="AT301" i="2"/>
  <c r="AT302" i="2"/>
  <c r="AT303" i="2"/>
  <c r="AT304" i="2"/>
  <c r="AT305" i="2"/>
  <c r="AT306" i="2"/>
  <c r="AT307" i="2"/>
  <c r="AT308" i="2"/>
  <c r="AT309" i="2"/>
  <c r="AT310" i="2"/>
  <c r="AT311" i="2"/>
  <c r="AT312" i="2"/>
  <c r="AT313" i="2"/>
  <c r="AT314" i="2"/>
  <c r="AT315" i="2"/>
  <c r="AT316" i="2"/>
  <c r="AT317" i="2"/>
  <c r="AT318" i="2"/>
  <c r="AT319" i="2"/>
  <c r="AT320" i="2"/>
  <c r="AT321" i="2"/>
  <c r="AT322" i="2"/>
  <c r="AT323" i="2"/>
  <c r="AT324" i="2"/>
  <c r="AT325" i="2"/>
  <c r="AT326" i="2"/>
  <c r="AT327" i="2"/>
  <c r="AT328" i="2"/>
  <c r="AT329" i="2"/>
  <c r="AT330" i="2"/>
  <c r="AT331" i="2"/>
  <c r="AT332" i="2"/>
  <c r="AT333" i="2"/>
  <c r="AT334" i="2"/>
  <c r="AT335" i="2"/>
  <c r="AT336" i="2"/>
  <c r="AT337" i="2"/>
  <c r="AT338" i="2"/>
  <c r="AT339" i="2"/>
  <c r="AT340" i="2"/>
  <c r="AT341" i="2"/>
  <c r="AT342" i="2"/>
  <c r="AT343" i="2"/>
  <c r="AT344" i="2"/>
  <c r="AT345" i="2"/>
  <c r="AT346" i="2"/>
  <c r="AT347" i="2"/>
  <c r="AT348" i="2"/>
  <c r="AT349" i="2"/>
  <c r="AT350" i="2"/>
  <c r="AT351" i="2"/>
  <c r="AT352" i="2"/>
  <c r="AT353" i="2"/>
  <c r="AT354" i="2"/>
  <c r="AT355" i="2"/>
  <c r="AT356" i="2"/>
  <c r="AT357" i="2"/>
  <c r="AT358" i="2"/>
  <c r="AT359" i="2"/>
  <c r="AT360" i="2"/>
  <c r="AT361" i="2"/>
  <c r="AT362" i="2"/>
  <c r="AT363" i="2"/>
  <c r="AT364" i="2"/>
  <c r="AT365" i="2"/>
  <c r="AT366" i="2"/>
  <c r="AT367" i="2"/>
  <c r="AT368" i="2"/>
  <c r="AT369" i="2"/>
  <c r="AT370" i="2"/>
  <c r="AT371" i="2"/>
  <c r="AT372" i="2"/>
  <c r="AT373" i="2"/>
  <c r="AT374" i="2"/>
  <c r="AT375" i="2"/>
  <c r="AT376" i="2"/>
  <c r="AT377" i="2"/>
  <c r="AT378" i="2"/>
  <c r="AT379" i="2"/>
  <c r="AT380" i="2"/>
  <c r="AT381" i="2"/>
  <c r="AT382" i="2"/>
  <c r="AT383" i="2"/>
  <c r="AT384" i="2"/>
  <c r="AT385" i="2"/>
  <c r="AT386" i="2"/>
  <c r="AT387" i="2"/>
  <c r="AT388" i="2"/>
  <c r="AT389" i="2"/>
  <c r="AT390" i="2"/>
  <c r="AT391" i="2"/>
  <c r="AT392" i="2"/>
  <c r="AT393" i="2"/>
  <c r="AT394" i="2"/>
  <c r="AT395" i="2"/>
  <c r="AT396" i="2"/>
  <c r="AT397" i="2"/>
  <c r="AT398" i="2"/>
  <c r="AT399" i="2"/>
  <c r="AT400" i="2"/>
  <c r="AT401" i="2"/>
  <c r="AT402" i="2"/>
  <c r="AT403" i="2"/>
  <c r="AT404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2" i="2"/>
  <c r="AS93" i="2"/>
  <c r="AS94" i="2"/>
  <c r="AS95" i="2"/>
  <c r="AS96" i="2"/>
  <c r="AS97" i="2"/>
  <c r="AS98" i="2"/>
  <c r="AS99" i="2"/>
  <c r="AS100" i="2"/>
  <c r="AS101" i="2"/>
  <c r="AS102" i="2"/>
  <c r="AS103" i="2"/>
  <c r="AS104" i="2"/>
  <c r="AS105" i="2"/>
  <c r="AS106" i="2"/>
  <c r="AS107" i="2"/>
  <c r="AS108" i="2"/>
  <c r="AS109" i="2"/>
  <c r="AS110" i="2"/>
  <c r="AS111" i="2"/>
  <c r="AS112" i="2"/>
  <c r="AS113" i="2"/>
  <c r="AS114" i="2"/>
  <c r="AS115" i="2"/>
  <c r="AS116" i="2"/>
  <c r="AS117" i="2"/>
  <c r="AS118" i="2"/>
  <c r="AS119" i="2"/>
  <c r="AS120" i="2"/>
  <c r="AS121" i="2"/>
  <c r="AS122" i="2"/>
  <c r="AS123" i="2"/>
  <c r="AS124" i="2"/>
  <c r="AS125" i="2"/>
  <c r="AS126" i="2"/>
  <c r="AS127" i="2"/>
  <c r="AS128" i="2"/>
  <c r="AS129" i="2"/>
  <c r="AS130" i="2"/>
  <c r="AS131" i="2"/>
  <c r="AS132" i="2"/>
  <c r="AS133" i="2"/>
  <c r="AS134" i="2"/>
  <c r="AS135" i="2"/>
  <c r="AS136" i="2"/>
  <c r="AS137" i="2"/>
  <c r="AS138" i="2"/>
  <c r="AS139" i="2"/>
  <c r="AS140" i="2"/>
  <c r="AS141" i="2"/>
  <c r="AS142" i="2"/>
  <c r="AS143" i="2"/>
  <c r="AS144" i="2"/>
  <c r="AS145" i="2"/>
  <c r="AS146" i="2"/>
  <c r="AS147" i="2"/>
  <c r="AS148" i="2"/>
  <c r="AS149" i="2"/>
  <c r="AS150" i="2"/>
  <c r="AS151" i="2"/>
  <c r="AS152" i="2"/>
  <c r="AS153" i="2"/>
  <c r="AS154" i="2"/>
  <c r="AS155" i="2"/>
  <c r="AS156" i="2"/>
  <c r="AS157" i="2"/>
  <c r="AS158" i="2"/>
  <c r="AS159" i="2"/>
  <c r="AS160" i="2"/>
  <c r="AS161" i="2"/>
  <c r="AS162" i="2"/>
  <c r="AS163" i="2"/>
  <c r="AS164" i="2"/>
  <c r="AS165" i="2"/>
  <c r="AS166" i="2"/>
  <c r="AS167" i="2"/>
  <c r="AS168" i="2"/>
  <c r="AS169" i="2"/>
  <c r="AS170" i="2"/>
  <c r="AS171" i="2"/>
  <c r="AS172" i="2"/>
  <c r="AS173" i="2"/>
  <c r="AS174" i="2"/>
  <c r="AS175" i="2"/>
  <c r="AS176" i="2"/>
  <c r="AS177" i="2"/>
  <c r="AS178" i="2"/>
  <c r="AS179" i="2"/>
  <c r="AS180" i="2"/>
  <c r="AS181" i="2"/>
  <c r="AS182" i="2"/>
  <c r="AS183" i="2"/>
  <c r="AS184" i="2"/>
  <c r="AS185" i="2"/>
  <c r="AS186" i="2"/>
  <c r="AS187" i="2"/>
  <c r="AS188" i="2"/>
  <c r="AS189" i="2"/>
  <c r="AS190" i="2"/>
  <c r="AS191" i="2"/>
  <c r="AS192" i="2"/>
  <c r="AS193" i="2"/>
  <c r="AS194" i="2"/>
  <c r="AS195" i="2"/>
  <c r="AS196" i="2"/>
  <c r="AS197" i="2"/>
  <c r="AS198" i="2"/>
  <c r="AS199" i="2"/>
  <c r="AS200" i="2"/>
  <c r="AS201" i="2"/>
  <c r="AS202" i="2"/>
  <c r="AS203" i="2"/>
  <c r="AS204" i="2"/>
  <c r="AS205" i="2"/>
  <c r="AS206" i="2"/>
  <c r="AS207" i="2"/>
  <c r="AS208" i="2"/>
  <c r="AS209" i="2"/>
  <c r="AS210" i="2"/>
  <c r="AS211" i="2"/>
  <c r="AS212" i="2"/>
  <c r="AS213" i="2"/>
  <c r="AS214" i="2"/>
  <c r="AS215" i="2"/>
  <c r="AS216" i="2"/>
  <c r="AS217" i="2"/>
  <c r="AS218" i="2"/>
  <c r="AS219" i="2"/>
  <c r="AS220" i="2"/>
  <c r="AS221" i="2"/>
  <c r="AS222" i="2"/>
  <c r="AS223" i="2"/>
  <c r="AS224" i="2"/>
  <c r="AS225" i="2"/>
  <c r="AS226" i="2"/>
  <c r="AS227" i="2"/>
  <c r="AS228" i="2"/>
  <c r="AS229" i="2"/>
  <c r="AS230" i="2"/>
  <c r="AS231" i="2"/>
  <c r="AS232" i="2"/>
  <c r="AS233" i="2"/>
  <c r="AS234" i="2"/>
  <c r="AS235" i="2"/>
  <c r="AS236" i="2"/>
  <c r="AS237" i="2"/>
  <c r="AS238" i="2"/>
  <c r="AS239" i="2"/>
  <c r="AS240" i="2"/>
  <c r="AS241" i="2"/>
  <c r="AS242" i="2"/>
  <c r="AS243" i="2"/>
  <c r="AS244" i="2"/>
  <c r="AS245" i="2"/>
  <c r="AS246" i="2"/>
  <c r="AS247" i="2"/>
  <c r="AS248" i="2"/>
  <c r="AS249" i="2"/>
  <c r="AS250" i="2"/>
  <c r="AS251" i="2"/>
  <c r="AS252" i="2"/>
  <c r="AS253" i="2"/>
  <c r="AS254" i="2"/>
  <c r="AS255" i="2"/>
  <c r="AS256" i="2"/>
  <c r="AS257" i="2"/>
  <c r="AS258" i="2"/>
  <c r="AS259" i="2"/>
  <c r="AS260" i="2"/>
  <c r="AS261" i="2"/>
  <c r="AS262" i="2"/>
  <c r="AS263" i="2"/>
  <c r="AS264" i="2"/>
  <c r="AS265" i="2"/>
  <c r="AS266" i="2"/>
  <c r="AS267" i="2"/>
  <c r="AS268" i="2"/>
  <c r="AS269" i="2"/>
  <c r="AS270" i="2"/>
  <c r="AS271" i="2"/>
  <c r="AS272" i="2"/>
  <c r="AS273" i="2"/>
  <c r="AS274" i="2"/>
  <c r="AS275" i="2"/>
  <c r="AS276" i="2"/>
  <c r="AS277" i="2"/>
  <c r="AS278" i="2"/>
  <c r="AS279" i="2"/>
  <c r="AS280" i="2"/>
  <c r="AS281" i="2"/>
  <c r="AS282" i="2"/>
  <c r="AS283" i="2"/>
  <c r="AS284" i="2"/>
  <c r="AS285" i="2"/>
  <c r="AS286" i="2"/>
  <c r="AS287" i="2"/>
  <c r="AS288" i="2"/>
  <c r="AS289" i="2"/>
  <c r="AS290" i="2"/>
  <c r="AS291" i="2"/>
  <c r="AS292" i="2"/>
  <c r="AS293" i="2"/>
  <c r="AS294" i="2"/>
  <c r="AS295" i="2"/>
  <c r="AS296" i="2"/>
  <c r="AS297" i="2"/>
  <c r="AS298" i="2"/>
  <c r="AS299" i="2"/>
  <c r="AS300" i="2"/>
  <c r="AS301" i="2"/>
  <c r="AS302" i="2"/>
  <c r="AS303" i="2"/>
  <c r="AS304" i="2"/>
  <c r="AS305" i="2"/>
  <c r="AS306" i="2"/>
  <c r="AS307" i="2"/>
  <c r="AS308" i="2"/>
  <c r="AS309" i="2"/>
  <c r="AS310" i="2"/>
  <c r="AS311" i="2"/>
  <c r="AS312" i="2"/>
  <c r="AS313" i="2"/>
  <c r="AS314" i="2"/>
  <c r="AS315" i="2"/>
  <c r="AS316" i="2"/>
  <c r="AS317" i="2"/>
  <c r="AS318" i="2"/>
  <c r="AS319" i="2"/>
  <c r="AS320" i="2"/>
  <c r="AS321" i="2"/>
  <c r="AS322" i="2"/>
  <c r="AS323" i="2"/>
  <c r="AS324" i="2"/>
  <c r="AS325" i="2"/>
  <c r="AS326" i="2"/>
  <c r="AS327" i="2"/>
  <c r="AS328" i="2"/>
  <c r="AS329" i="2"/>
  <c r="AS330" i="2"/>
  <c r="AS331" i="2"/>
  <c r="AS332" i="2"/>
  <c r="AS333" i="2"/>
  <c r="AS334" i="2"/>
  <c r="AS335" i="2"/>
  <c r="AS336" i="2"/>
  <c r="AS337" i="2"/>
  <c r="AS338" i="2"/>
  <c r="AS339" i="2"/>
  <c r="AS340" i="2"/>
  <c r="AS341" i="2"/>
  <c r="AS342" i="2"/>
  <c r="AS343" i="2"/>
  <c r="AS344" i="2"/>
  <c r="AS345" i="2"/>
  <c r="AS346" i="2"/>
  <c r="AS347" i="2"/>
  <c r="AS348" i="2"/>
  <c r="AS349" i="2"/>
  <c r="AS350" i="2"/>
  <c r="AS351" i="2"/>
  <c r="AS352" i="2"/>
  <c r="AS353" i="2"/>
  <c r="AS354" i="2"/>
  <c r="AS355" i="2"/>
  <c r="AS356" i="2"/>
  <c r="AS357" i="2"/>
  <c r="AS358" i="2"/>
  <c r="AS359" i="2"/>
  <c r="AS360" i="2"/>
  <c r="AS361" i="2"/>
  <c r="AS362" i="2"/>
  <c r="AS363" i="2"/>
  <c r="AS364" i="2"/>
  <c r="AS365" i="2"/>
  <c r="AS366" i="2"/>
  <c r="AS367" i="2"/>
  <c r="AS368" i="2"/>
  <c r="AS369" i="2"/>
  <c r="AS370" i="2"/>
  <c r="AS371" i="2"/>
  <c r="AS372" i="2"/>
  <c r="AS373" i="2"/>
  <c r="AS374" i="2"/>
  <c r="AS375" i="2"/>
  <c r="AS376" i="2"/>
  <c r="AS377" i="2"/>
  <c r="AS378" i="2"/>
  <c r="AS379" i="2"/>
  <c r="AS380" i="2"/>
  <c r="AS381" i="2"/>
  <c r="AS382" i="2"/>
  <c r="AS383" i="2"/>
  <c r="AS384" i="2"/>
  <c r="AS385" i="2"/>
  <c r="AS386" i="2"/>
  <c r="AS387" i="2"/>
  <c r="AS388" i="2"/>
  <c r="AS389" i="2"/>
  <c r="AS390" i="2"/>
  <c r="AS391" i="2"/>
  <c r="AS392" i="2"/>
  <c r="AS393" i="2"/>
  <c r="AS394" i="2"/>
  <c r="AS395" i="2"/>
  <c r="AS396" i="2"/>
  <c r="AS397" i="2"/>
  <c r="AS398" i="2"/>
  <c r="AS399" i="2"/>
  <c r="AS400" i="2"/>
  <c r="AS401" i="2"/>
  <c r="AS402" i="2"/>
  <c r="AS403" i="2"/>
  <c r="AS404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R92" i="2"/>
  <c r="AR93" i="2"/>
  <c r="AR94" i="2"/>
  <c r="AR95" i="2"/>
  <c r="AR96" i="2"/>
  <c r="AR97" i="2"/>
  <c r="AR98" i="2"/>
  <c r="AR99" i="2"/>
  <c r="AR100" i="2"/>
  <c r="AR101" i="2"/>
  <c r="AR102" i="2"/>
  <c r="AR103" i="2"/>
  <c r="AR104" i="2"/>
  <c r="AR105" i="2"/>
  <c r="AR106" i="2"/>
  <c r="AR107" i="2"/>
  <c r="AR108" i="2"/>
  <c r="AR109" i="2"/>
  <c r="AR110" i="2"/>
  <c r="AR111" i="2"/>
  <c r="AR112" i="2"/>
  <c r="AR113" i="2"/>
  <c r="AR114" i="2"/>
  <c r="AR115" i="2"/>
  <c r="AR116" i="2"/>
  <c r="AR117" i="2"/>
  <c r="AR118" i="2"/>
  <c r="AR119" i="2"/>
  <c r="AR120" i="2"/>
  <c r="AR121" i="2"/>
  <c r="AR122" i="2"/>
  <c r="AR123" i="2"/>
  <c r="AR124" i="2"/>
  <c r="AR125" i="2"/>
  <c r="AR126" i="2"/>
  <c r="AR127" i="2"/>
  <c r="AR128" i="2"/>
  <c r="AR129" i="2"/>
  <c r="AR130" i="2"/>
  <c r="AR131" i="2"/>
  <c r="AR132" i="2"/>
  <c r="AR133" i="2"/>
  <c r="AR134" i="2"/>
  <c r="AR135" i="2"/>
  <c r="AR136" i="2"/>
  <c r="AR137" i="2"/>
  <c r="AR138" i="2"/>
  <c r="AR139" i="2"/>
  <c r="AR140" i="2"/>
  <c r="AR141" i="2"/>
  <c r="AR142" i="2"/>
  <c r="AR143" i="2"/>
  <c r="AR144" i="2"/>
  <c r="AR145" i="2"/>
  <c r="AR146" i="2"/>
  <c r="AR147" i="2"/>
  <c r="AR148" i="2"/>
  <c r="AR149" i="2"/>
  <c r="AR150" i="2"/>
  <c r="AR151" i="2"/>
  <c r="AR152" i="2"/>
  <c r="AR153" i="2"/>
  <c r="AR154" i="2"/>
  <c r="AR155" i="2"/>
  <c r="AR156" i="2"/>
  <c r="AR157" i="2"/>
  <c r="AR158" i="2"/>
  <c r="AR159" i="2"/>
  <c r="AR160" i="2"/>
  <c r="AR161" i="2"/>
  <c r="AR162" i="2"/>
  <c r="AR163" i="2"/>
  <c r="AR164" i="2"/>
  <c r="AR165" i="2"/>
  <c r="AR166" i="2"/>
  <c r="AR167" i="2"/>
  <c r="AR168" i="2"/>
  <c r="AR169" i="2"/>
  <c r="AR170" i="2"/>
  <c r="AR171" i="2"/>
  <c r="AR172" i="2"/>
  <c r="AR173" i="2"/>
  <c r="AR174" i="2"/>
  <c r="AR175" i="2"/>
  <c r="AR176" i="2"/>
  <c r="AR177" i="2"/>
  <c r="AR178" i="2"/>
  <c r="AR179" i="2"/>
  <c r="AR180" i="2"/>
  <c r="AR181" i="2"/>
  <c r="AR182" i="2"/>
  <c r="AR183" i="2"/>
  <c r="AR184" i="2"/>
  <c r="AR185" i="2"/>
  <c r="AR186" i="2"/>
  <c r="AR187" i="2"/>
  <c r="AR188" i="2"/>
  <c r="AR189" i="2"/>
  <c r="AR190" i="2"/>
  <c r="AR191" i="2"/>
  <c r="AR192" i="2"/>
  <c r="AR193" i="2"/>
  <c r="AR194" i="2"/>
  <c r="AR195" i="2"/>
  <c r="AR196" i="2"/>
  <c r="AR197" i="2"/>
  <c r="AR198" i="2"/>
  <c r="AR199" i="2"/>
  <c r="AR200" i="2"/>
  <c r="AR201" i="2"/>
  <c r="AR202" i="2"/>
  <c r="AR203" i="2"/>
  <c r="AR204" i="2"/>
  <c r="AR205" i="2"/>
  <c r="AR206" i="2"/>
  <c r="AR207" i="2"/>
  <c r="AR208" i="2"/>
  <c r="AR209" i="2"/>
  <c r="AR210" i="2"/>
  <c r="AR211" i="2"/>
  <c r="AR212" i="2"/>
  <c r="AR213" i="2"/>
  <c r="AR214" i="2"/>
  <c r="AR215" i="2"/>
  <c r="AR216" i="2"/>
  <c r="AR217" i="2"/>
  <c r="AR218" i="2"/>
  <c r="AR219" i="2"/>
  <c r="AR220" i="2"/>
  <c r="AR221" i="2"/>
  <c r="AR222" i="2"/>
  <c r="AR223" i="2"/>
  <c r="AR224" i="2"/>
  <c r="AR225" i="2"/>
  <c r="AR226" i="2"/>
  <c r="AR227" i="2"/>
  <c r="AR228" i="2"/>
  <c r="AR229" i="2"/>
  <c r="AR230" i="2"/>
  <c r="AR231" i="2"/>
  <c r="AR232" i="2"/>
  <c r="AR233" i="2"/>
  <c r="AR234" i="2"/>
  <c r="AR235" i="2"/>
  <c r="AR236" i="2"/>
  <c r="AR237" i="2"/>
  <c r="AR238" i="2"/>
  <c r="AR239" i="2"/>
  <c r="AR240" i="2"/>
  <c r="AR241" i="2"/>
  <c r="AR242" i="2"/>
  <c r="AR243" i="2"/>
  <c r="AR244" i="2"/>
  <c r="AR245" i="2"/>
  <c r="AR246" i="2"/>
  <c r="AR247" i="2"/>
  <c r="AR248" i="2"/>
  <c r="AR249" i="2"/>
  <c r="AR250" i="2"/>
  <c r="AR251" i="2"/>
  <c r="AR252" i="2"/>
  <c r="AR253" i="2"/>
  <c r="AR254" i="2"/>
  <c r="AR255" i="2"/>
  <c r="AR256" i="2"/>
  <c r="AR257" i="2"/>
  <c r="AR258" i="2"/>
  <c r="AR259" i="2"/>
  <c r="AR260" i="2"/>
  <c r="AR261" i="2"/>
  <c r="AR262" i="2"/>
  <c r="AR263" i="2"/>
  <c r="AR264" i="2"/>
  <c r="AR265" i="2"/>
  <c r="AR266" i="2"/>
  <c r="AR267" i="2"/>
  <c r="AR268" i="2"/>
  <c r="AR269" i="2"/>
  <c r="AR270" i="2"/>
  <c r="AR271" i="2"/>
  <c r="AR272" i="2"/>
  <c r="AR273" i="2"/>
  <c r="AR274" i="2"/>
  <c r="AR275" i="2"/>
  <c r="AR276" i="2"/>
  <c r="AR277" i="2"/>
  <c r="AR278" i="2"/>
  <c r="AR279" i="2"/>
  <c r="AR280" i="2"/>
  <c r="AR281" i="2"/>
  <c r="AR282" i="2"/>
  <c r="AR283" i="2"/>
  <c r="AR284" i="2"/>
  <c r="AR285" i="2"/>
  <c r="AR286" i="2"/>
  <c r="AR287" i="2"/>
  <c r="AR288" i="2"/>
  <c r="AR289" i="2"/>
  <c r="AR290" i="2"/>
  <c r="AR291" i="2"/>
  <c r="AR292" i="2"/>
  <c r="AR293" i="2"/>
  <c r="AR294" i="2"/>
  <c r="AR295" i="2"/>
  <c r="AR296" i="2"/>
  <c r="AR297" i="2"/>
  <c r="AR298" i="2"/>
  <c r="AR299" i="2"/>
  <c r="AR300" i="2"/>
  <c r="AR301" i="2"/>
  <c r="AR302" i="2"/>
  <c r="AR303" i="2"/>
  <c r="AR304" i="2"/>
  <c r="AR305" i="2"/>
  <c r="AR306" i="2"/>
  <c r="AR307" i="2"/>
  <c r="AR308" i="2"/>
  <c r="AR309" i="2"/>
  <c r="AR310" i="2"/>
  <c r="AR311" i="2"/>
  <c r="AR312" i="2"/>
  <c r="AR313" i="2"/>
  <c r="AR314" i="2"/>
  <c r="AR315" i="2"/>
  <c r="AR316" i="2"/>
  <c r="AR317" i="2"/>
  <c r="AR318" i="2"/>
  <c r="AR319" i="2"/>
  <c r="AR320" i="2"/>
  <c r="AR321" i="2"/>
  <c r="AR322" i="2"/>
  <c r="AR323" i="2"/>
  <c r="AR324" i="2"/>
  <c r="AR325" i="2"/>
  <c r="AR326" i="2"/>
  <c r="AR327" i="2"/>
  <c r="AR328" i="2"/>
  <c r="AR329" i="2"/>
  <c r="AR330" i="2"/>
  <c r="AR331" i="2"/>
  <c r="AR332" i="2"/>
  <c r="AR333" i="2"/>
  <c r="AR334" i="2"/>
  <c r="AR335" i="2"/>
  <c r="AR336" i="2"/>
  <c r="AR337" i="2"/>
  <c r="AR338" i="2"/>
  <c r="AR339" i="2"/>
  <c r="AR340" i="2"/>
  <c r="AR341" i="2"/>
  <c r="AR342" i="2"/>
  <c r="AR343" i="2"/>
  <c r="AR344" i="2"/>
  <c r="AR345" i="2"/>
  <c r="AR346" i="2"/>
  <c r="AR347" i="2"/>
  <c r="AR348" i="2"/>
  <c r="AR349" i="2"/>
  <c r="AR350" i="2"/>
  <c r="AR351" i="2"/>
  <c r="AR352" i="2"/>
  <c r="AR353" i="2"/>
  <c r="AR354" i="2"/>
  <c r="AR355" i="2"/>
  <c r="AR356" i="2"/>
  <c r="AR357" i="2"/>
  <c r="AR358" i="2"/>
  <c r="AR359" i="2"/>
  <c r="AR360" i="2"/>
  <c r="AR361" i="2"/>
  <c r="AR362" i="2"/>
  <c r="AR363" i="2"/>
  <c r="AR364" i="2"/>
  <c r="AR365" i="2"/>
  <c r="AR366" i="2"/>
  <c r="AR367" i="2"/>
  <c r="AR368" i="2"/>
  <c r="AR369" i="2"/>
  <c r="AR370" i="2"/>
  <c r="AR371" i="2"/>
  <c r="AR372" i="2"/>
  <c r="AR373" i="2"/>
  <c r="AR374" i="2"/>
  <c r="AR375" i="2"/>
  <c r="AR376" i="2"/>
  <c r="AR377" i="2"/>
  <c r="AR378" i="2"/>
  <c r="AR379" i="2"/>
  <c r="AR380" i="2"/>
  <c r="AR381" i="2"/>
  <c r="AR382" i="2"/>
  <c r="AR383" i="2"/>
  <c r="AR384" i="2"/>
  <c r="AR385" i="2"/>
  <c r="AR386" i="2"/>
  <c r="AR387" i="2"/>
  <c r="AR388" i="2"/>
  <c r="AR389" i="2"/>
  <c r="AR390" i="2"/>
  <c r="AR391" i="2"/>
  <c r="AR392" i="2"/>
  <c r="AR393" i="2"/>
  <c r="AR394" i="2"/>
  <c r="AR395" i="2"/>
  <c r="AR396" i="2"/>
  <c r="AR397" i="2"/>
  <c r="AR398" i="2"/>
  <c r="AR399" i="2"/>
  <c r="AR400" i="2"/>
  <c r="AR401" i="2"/>
  <c r="AR402" i="2"/>
  <c r="AR403" i="2"/>
  <c r="AR404" i="2"/>
  <c r="BB28" i="2"/>
  <c r="AX28" i="2"/>
  <c r="AW28" i="2"/>
  <c r="AV28" i="2"/>
  <c r="AU28" i="2"/>
  <c r="AT28" i="2"/>
  <c r="AS28" i="2"/>
  <c r="AR28" i="2"/>
  <c r="AB27" i="6" l="1"/>
  <c r="Z27" i="6"/>
  <c r="AY231" i="2"/>
  <c r="AL231" i="2" s="1"/>
  <c r="AY371" i="2"/>
  <c r="AL371" i="2" s="1"/>
  <c r="AY28" i="2"/>
  <c r="AL28" i="2" s="1"/>
  <c r="AY259" i="2"/>
  <c r="AL259" i="2" s="1"/>
  <c r="AY315" i="2"/>
  <c r="AL315" i="2" s="1"/>
  <c r="AY399" i="2"/>
  <c r="AL399" i="2" s="1"/>
  <c r="AY391" i="2"/>
  <c r="AL391" i="2" s="1"/>
  <c r="AY383" i="2"/>
  <c r="AL383" i="2" s="1"/>
  <c r="AY375" i="2"/>
  <c r="AL375" i="2" s="1"/>
  <c r="AY367" i="2"/>
  <c r="AL367" i="2" s="1"/>
  <c r="AY359" i="2"/>
  <c r="AL359" i="2" s="1"/>
  <c r="AY351" i="2"/>
  <c r="AL351" i="2" s="1"/>
  <c r="AY343" i="2"/>
  <c r="AL343" i="2" s="1"/>
  <c r="AY335" i="2"/>
  <c r="AL335" i="2" s="1"/>
  <c r="AY327" i="2"/>
  <c r="AL327" i="2" s="1"/>
  <c r="AY319" i="2"/>
  <c r="AL319" i="2" s="1"/>
  <c r="AY311" i="2"/>
  <c r="AL311" i="2" s="1"/>
  <c r="AY303" i="2"/>
  <c r="AL303" i="2" s="1"/>
  <c r="AY295" i="2"/>
  <c r="AL295" i="2" s="1"/>
  <c r="AY287" i="2"/>
  <c r="AL287" i="2" s="1"/>
  <c r="AY279" i="2"/>
  <c r="AL279" i="2" s="1"/>
  <c r="AY271" i="2"/>
  <c r="AL271" i="2" s="1"/>
  <c r="AY263" i="2"/>
  <c r="AL263" i="2" s="1"/>
  <c r="AY255" i="2"/>
  <c r="AL255" i="2" s="1"/>
  <c r="AY247" i="2"/>
  <c r="AL247" i="2" s="1"/>
  <c r="AY239" i="2"/>
  <c r="AL239" i="2" s="1"/>
  <c r="AY223" i="2"/>
  <c r="AL223" i="2" s="1"/>
  <c r="AY215" i="2"/>
  <c r="AL215" i="2" s="1"/>
  <c r="AY207" i="2"/>
  <c r="AL207" i="2" s="1"/>
  <c r="AY199" i="2"/>
  <c r="AL199" i="2" s="1"/>
  <c r="AY191" i="2"/>
  <c r="AL191" i="2" s="1"/>
  <c r="AY183" i="2"/>
  <c r="AL183" i="2" s="1"/>
  <c r="AY175" i="2"/>
  <c r="AL175" i="2" s="1"/>
  <c r="AY167" i="2"/>
  <c r="AL167" i="2" s="1"/>
  <c r="AY159" i="2"/>
  <c r="AL159" i="2" s="1"/>
  <c r="AY151" i="2"/>
  <c r="AL151" i="2" s="1"/>
  <c r="AY143" i="2"/>
  <c r="AL143" i="2" s="1"/>
  <c r="AY135" i="2"/>
  <c r="AL135" i="2" s="1"/>
  <c r="AY127" i="2"/>
  <c r="AL127" i="2" s="1"/>
  <c r="AY119" i="2"/>
  <c r="AL119" i="2" s="1"/>
  <c r="AY111" i="2"/>
  <c r="AL111" i="2" s="1"/>
  <c r="AY103" i="2"/>
  <c r="AL103" i="2" s="1"/>
  <c r="AY95" i="2"/>
  <c r="AL95" i="2" s="1"/>
  <c r="AY87" i="2"/>
  <c r="AL87" i="2" s="1"/>
  <c r="AY79" i="2"/>
  <c r="AL79" i="2" s="1"/>
  <c r="AY71" i="2"/>
  <c r="AL71" i="2" s="1"/>
  <c r="AY63" i="2"/>
  <c r="AL63" i="2" s="1"/>
  <c r="AY55" i="2"/>
  <c r="AL55" i="2" s="1"/>
  <c r="AY47" i="2"/>
  <c r="AL47" i="2" s="1"/>
  <c r="AY39" i="2"/>
  <c r="AL39" i="2" s="1"/>
  <c r="AY31" i="2"/>
  <c r="AL31" i="2" s="1"/>
  <c r="AY202" i="2"/>
  <c r="AL202" i="2" s="1"/>
  <c r="AY115" i="2"/>
  <c r="AL115" i="2" s="1"/>
  <c r="AY59" i="2"/>
  <c r="AL59" i="2" s="1"/>
  <c r="AY397" i="2"/>
  <c r="AL397" i="2" s="1"/>
  <c r="AY389" i="2"/>
  <c r="AL389" i="2" s="1"/>
  <c r="AY381" i="2"/>
  <c r="AL381" i="2" s="1"/>
  <c r="AY373" i="2"/>
  <c r="AL373" i="2" s="1"/>
  <c r="AY365" i="2"/>
  <c r="AL365" i="2" s="1"/>
  <c r="AY357" i="2"/>
  <c r="AL357" i="2" s="1"/>
  <c r="AY349" i="2"/>
  <c r="AL349" i="2" s="1"/>
  <c r="AY341" i="2"/>
  <c r="AL341" i="2" s="1"/>
  <c r="AY333" i="2"/>
  <c r="AL333" i="2" s="1"/>
  <c r="AY325" i="2"/>
  <c r="AL325" i="2" s="1"/>
  <c r="AY317" i="2"/>
  <c r="AL317" i="2" s="1"/>
  <c r="AY403" i="2"/>
  <c r="AL403" i="2" s="1"/>
  <c r="AY395" i="2"/>
  <c r="AL395" i="2" s="1"/>
  <c r="AY387" i="2"/>
  <c r="AL387" i="2" s="1"/>
  <c r="AY379" i="2"/>
  <c r="AL379" i="2" s="1"/>
  <c r="AY363" i="2"/>
  <c r="AL363" i="2" s="1"/>
  <c r="AY355" i="2"/>
  <c r="AL355" i="2" s="1"/>
  <c r="AY347" i="2"/>
  <c r="AL347" i="2" s="1"/>
  <c r="AY339" i="2"/>
  <c r="AL339" i="2" s="1"/>
  <c r="AY331" i="2"/>
  <c r="AL331" i="2" s="1"/>
  <c r="AY323" i="2"/>
  <c r="AL323" i="2" s="1"/>
  <c r="AY307" i="2"/>
  <c r="AL307" i="2" s="1"/>
  <c r="AY299" i="2"/>
  <c r="AL299" i="2" s="1"/>
  <c r="AY291" i="2"/>
  <c r="AL291" i="2" s="1"/>
  <c r="AY283" i="2"/>
  <c r="AL283" i="2" s="1"/>
  <c r="AY275" i="2"/>
  <c r="AL275" i="2" s="1"/>
  <c r="AY267" i="2"/>
  <c r="AL267" i="2" s="1"/>
  <c r="AY251" i="2"/>
  <c r="AL251" i="2" s="1"/>
  <c r="AY243" i="2"/>
  <c r="AL243" i="2" s="1"/>
  <c r="AY235" i="2"/>
  <c r="AL235" i="2" s="1"/>
  <c r="AY227" i="2"/>
  <c r="AL227" i="2" s="1"/>
  <c r="AY219" i="2"/>
  <c r="AL219" i="2" s="1"/>
  <c r="AY211" i="2"/>
  <c r="AL211" i="2" s="1"/>
  <c r="AY203" i="2"/>
  <c r="AL203" i="2" s="1"/>
  <c r="AY195" i="2"/>
  <c r="AL195" i="2" s="1"/>
  <c r="AY187" i="2"/>
  <c r="AL187" i="2" s="1"/>
  <c r="AY179" i="2"/>
  <c r="AL179" i="2" s="1"/>
  <c r="AY171" i="2"/>
  <c r="AL171" i="2" s="1"/>
  <c r="AY163" i="2"/>
  <c r="AL163" i="2" s="1"/>
  <c r="AY155" i="2"/>
  <c r="AL155" i="2" s="1"/>
  <c r="AY147" i="2"/>
  <c r="AL147" i="2" s="1"/>
  <c r="AY139" i="2"/>
  <c r="AL139" i="2" s="1"/>
  <c r="AY131" i="2"/>
  <c r="AL131" i="2" s="1"/>
  <c r="AY123" i="2"/>
  <c r="AL123" i="2" s="1"/>
  <c r="AY107" i="2"/>
  <c r="AL107" i="2" s="1"/>
  <c r="AY99" i="2"/>
  <c r="AL99" i="2" s="1"/>
  <c r="AY91" i="2"/>
  <c r="AL91" i="2" s="1"/>
  <c r="AY83" i="2"/>
  <c r="AL83" i="2" s="1"/>
  <c r="AY75" i="2"/>
  <c r="AL75" i="2" s="1"/>
  <c r="AY67" i="2"/>
  <c r="AL67" i="2" s="1"/>
  <c r="AY51" i="2"/>
  <c r="AL51" i="2" s="1"/>
  <c r="AY43" i="2"/>
  <c r="AL43" i="2" s="1"/>
  <c r="AY35" i="2"/>
  <c r="AL35" i="2" s="1"/>
  <c r="AY394" i="2"/>
  <c r="AL394" i="2" s="1"/>
  <c r="AY370" i="2"/>
  <c r="AL370" i="2" s="1"/>
  <c r="AY330" i="2"/>
  <c r="AL330" i="2" s="1"/>
  <c r="AY306" i="2"/>
  <c r="AL306" i="2" s="1"/>
  <c r="AY266" i="2"/>
  <c r="AL266" i="2" s="1"/>
  <c r="AY242" i="2"/>
  <c r="AL242" i="2" s="1"/>
  <c r="AY178" i="2"/>
  <c r="AL178" i="2" s="1"/>
  <c r="AY138" i="2"/>
  <c r="AL138" i="2" s="1"/>
  <c r="AY114" i="2"/>
  <c r="AL114" i="2" s="1"/>
  <c r="AY74" i="2"/>
  <c r="AL74" i="2" s="1"/>
  <c r="AY50" i="2"/>
  <c r="AL50" i="2" s="1"/>
  <c r="AY402" i="2"/>
  <c r="AL402" i="2" s="1"/>
  <c r="AY386" i="2"/>
  <c r="AL386" i="2" s="1"/>
  <c r="AY378" i="2"/>
  <c r="AL378" i="2" s="1"/>
  <c r="AY362" i="2"/>
  <c r="AL362" i="2" s="1"/>
  <c r="AY354" i="2"/>
  <c r="AL354" i="2" s="1"/>
  <c r="AY346" i="2"/>
  <c r="AL346" i="2" s="1"/>
  <c r="AY338" i="2"/>
  <c r="AL338" i="2" s="1"/>
  <c r="AY322" i="2"/>
  <c r="AL322" i="2" s="1"/>
  <c r="AY314" i="2"/>
  <c r="AL314" i="2" s="1"/>
  <c r="AY298" i="2"/>
  <c r="AL298" i="2" s="1"/>
  <c r="AY290" i="2"/>
  <c r="AL290" i="2" s="1"/>
  <c r="AY282" i="2"/>
  <c r="AL282" i="2" s="1"/>
  <c r="AY274" i="2"/>
  <c r="AL274" i="2" s="1"/>
  <c r="AY258" i="2"/>
  <c r="AL258" i="2" s="1"/>
  <c r="AY250" i="2"/>
  <c r="AL250" i="2" s="1"/>
  <c r="AY234" i="2"/>
  <c r="AL234" i="2" s="1"/>
  <c r="AY226" i="2"/>
  <c r="AL226" i="2" s="1"/>
  <c r="AY218" i="2"/>
  <c r="AL218" i="2" s="1"/>
  <c r="AY210" i="2"/>
  <c r="AL210" i="2" s="1"/>
  <c r="AY194" i="2"/>
  <c r="AL194" i="2" s="1"/>
  <c r="AY186" i="2"/>
  <c r="AL186" i="2" s="1"/>
  <c r="AY170" i="2"/>
  <c r="AL170" i="2" s="1"/>
  <c r="AY162" i="2"/>
  <c r="AL162" i="2" s="1"/>
  <c r="AY154" i="2"/>
  <c r="AL154" i="2" s="1"/>
  <c r="AY146" i="2"/>
  <c r="AL146" i="2" s="1"/>
  <c r="AY130" i="2"/>
  <c r="AL130" i="2" s="1"/>
  <c r="AY122" i="2"/>
  <c r="AL122" i="2" s="1"/>
  <c r="AY106" i="2"/>
  <c r="AL106" i="2" s="1"/>
  <c r="AY98" i="2"/>
  <c r="AL98" i="2" s="1"/>
  <c r="AY90" i="2"/>
  <c r="AL90" i="2" s="1"/>
  <c r="AY82" i="2"/>
  <c r="AL82" i="2" s="1"/>
  <c r="AY66" i="2"/>
  <c r="AL66" i="2" s="1"/>
  <c r="AY58" i="2"/>
  <c r="AL58" i="2" s="1"/>
  <c r="AY42" i="2"/>
  <c r="AL42" i="2" s="1"/>
  <c r="AY34" i="2"/>
  <c r="AL34" i="2" s="1"/>
  <c r="AY401" i="2"/>
  <c r="AL401" i="2" s="1"/>
  <c r="AY393" i="2"/>
  <c r="AL393" i="2" s="1"/>
  <c r="AY385" i="2"/>
  <c r="AL385" i="2" s="1"/>
  <c r="AY377" i="2"/>
  <c r="AL377" i="2" s="1"/>
  <c r="AY369" i="2"/>
  <c r="AL369" i="2" s="1"/>
  <c r="AY361" i="2"/>
  <c r="AL361" i="2" s="1"/>
  <c r="AY353" i="2"/>
  <c r="AL353" i="2" s="1"/>
  <c r="AY345" i="2"/>
  <c r="AL345" i="2" s="1"/>
  <c r="AY337" i="2"/>
  <c r="AL337" i="2" s="1"/>
  <c r="AY329" i="2"/>
  <c r="AL329" i="2" s="1"/>
  <c r="AY321" i="2"/>
  <c r="AL321" i="2" s="1"/>
  <c r="AY313" i="2"/>
  <c r="AL313" i="2" s="1"/>
  <c r="AY305" i="2"/>
  <c r="AL305" i="2" s="1"/>
  <c r="AY297" i="2"/>
  <c r="AL297" i="2" s="1"/>
  <c r="AY289" i="2"/>
  <c r="AL289" i="2" s="1"/>
  <c r="AY281" i="2"/>
  <c r="AL281" i="2" s="1"/>
  <c r="AY273" i="2"/>
  <c r="AL273" i="2" s="1"/>
  <c r="AY265" i="2"/>
  <c r="AL265" i="2" s="1"/>
  <c r="AY257" i="2"/>
  <c r="AL257" i="2" s="1"/>
  <c r="AY249" i="2"/>
  <c r="AL249" i="2" s="1"/>
  <c r="AY241" i="2"/>
  <c r="AL241" i="2" s="1"/>
  <c r="AY233" i="2"/>
  <c r="AL233" i="2" s="1"/>
  <c r="AY225" i="2"/>
  <c r="AL225" i="2" s="1"/>
  <c r="AY217" i="2"/>
  <c r="AL217" i="2" s="1"/>
  <c r="AY209" i="2"/>
  <c r="AL209" i="2" s="1"/>
  <c r="AY201" i="2"/>
  <c r="AY193" i="2"/>
  <c r="AL193" i="2" s="1"/>
  <c r="AY185" i="2"/>
  <c r="AL185" i="2" s="1"/>
  <c r="AY177" i="2"/>
  <c r="AL177" i="2" s="1"/>
  <c r="AY169" i="2"/>
  <c r="AL169" i="2" s="1"/>
  <c r="AY161" i="2"/>
  <c r="AL161" i="2" s="1"/>
  <c r="AY153" i="2"/>
  <c r="AL153" i="2" s="1"/>
  <c r="AY145" i="2"/>
  <c r="AL145" i="2" s="1"/>
  <c r="AY137" i="2"/>
  <c r="AL137" i="2" s="1"/>
  <c r="AY129" i="2"/>
  <c r="AL129" i="2" s="1"/>
  <c r="AY121" i="2"/>
  <c r="AL121" i="2" s="1"/>
  <c r="AY113" i="2"/>
  <c r="AL113" i="2" s="1"/>
  <c r="AY105" i="2"/>
  <c r="AL105" i="2" s="1"/>
  <c r="AY97" i="2"/>
  <c r="AL97" i="2" s="1"/>
  <c r="AY89" i="2"/>
  <c r="AL89" i="2" s="1"/>
  <c r="AY81" i="2"/>
  <c r="AL81" i="2" s="1"/>
  <c r="AY73" i="2"/>
  <c r="AL73" i="2" s="1"/>
  <c r="AY65" i="2"/>
  <c r="AL65" i="2" s="1"/>
  <c r="AY57" i="2"/>
  <c r="AL57" i="2" s="1"/>
  <c r="AY49" i="2"/>
  <c r="AL49" i="2" s="1"/>
  <c r="AY41" i="2"/>
  <c r="AL41" i="2" s="1"/>
  <c r="AY33" i="2"/>
  <c r="AL33" i="2" s="1"/>
  <c r="AY400" i="2"/>
  <c r="AL400" i="2" s="1"/>
  <c r="AY392" i="2"/>
  <c r="AL392" i="2" s="1"/>
  <c r="AY384" i="2"/>
  <c r="AL384" i="2" s="1"/>
  <c r="AY376" i="2"/>
  <c r="AL376" i="2" s="1"/>
  <c r="AY368" i="2"/>
  <c r="AL368" i="2" s="1"/>
  <c r="AY360" i="2"/>
  <c r="AL360" i="2" s="1"/>
  <c r="AY352" i="2"/>
  <c r="AL352" i="2" s="1"/>
  <c r="AY344" i="2"/>
  <c r="AL344" i="2" s="1"/>
  <c r="AY336" i="2"/>
  <c r="AL336" i="2" s="1"/>
  <c r="AY328" i="2"/>
  <c r="AL328" i="2" s="1"/>
  <c r="AY320" i="2"/>
  <c r="AL320" i="2" s="1"/>
  <c r="AY312" i="2"/>
  <c r="AL312" i="2" s="1"/>
  <c r="AY304" i="2"/>
  <c r="AL304" i="2" s="1"/>
  <c r="AY296" i="2"/>
  <c r="AL296" i="2" s="1"/>
  <c r="AY288" i="2"/>
  <c r="AL288" i="2" s="1"/>
  <c r="AY280" i="2"/>
  <c r="AL280" i="2" s="1"/>
  <c r="AY272" i="2"/>
  <c r="AL272" i="2" s="1"/>
  <c r="AY264" i="2"/>
  <c r="AL264" i="2" s="1"/>
  <c r="AY256" i="2"/>
  <c r="AL256" i="2" s="1"/>
  <c r="AY248" i="2"/>
  <c r="AL248" i="2" s="1"/>
  <c r="AY240" i="2"/>
  <c r="AL240" i="2" s="1"/>
  <c r="AY232" i="2"/>
  <c r="AL232" i="2" s="1"/>
  <c r="AY224" i="2"/>
  <c r="AL224" i="2" s="1"/>
  <c r="AY216" i="2"/>
  <c r="AL216" i="2" s="1"/>
  <c r="AY208" i="2"/>
  <c r="AL208" i="2" s="1"/>
  <c r="AY200" i="2"/>
  <c r="AL200" i="2" s="1"/>
  <c r="AY192" i="2"/>
  <c r="AL192" i="2" s="1"/>
  <c r="AY184" i="2"/>
  <c r="AL184" i="2" s="1"/>
  <c r="AY176" i="2"/>
  <c r="AL176" i="2" s="1"/>
  <c r="AY168" i="2"/>
  <c r="AL168" i="2" s="1"/>
  <c r="AY160" i="2"/>
  <c r="AL160" i="2" s="1"/>
  <c r="AY152" i="2"/>
  <c r="AL152" i="2" s="1"/>
  <c r="AY144" i="2"/>
  <c r="AL144" i="2" s="1"/>
  <c r="AY136" i="2"/>
  <c r="AL136" i="2" s="1"/>
  <c r="AY128" i="2"/>
  <c r="AL128" i="2" s="1"/>
  <c r="AY120" i="2"/>
  <c r="AL120" i="2" s="1"/>
  <c r="AY112" i="2"/>
  <c r="AL112" i="2" s="1"/>
  <c r="AY104" i="2"/>
  <c r="AL104" i="2" s="1"/>
  <c r="AY96" i="2"/>
  <c r="AL96" i="2" s="1"/>
  <c r="AY88" i="2"/>
  <c r="AL88" i="2" s="1"/>
  <c r="AY80" i="2"/>
  <c r="AL80" i="2" s="1"/>
  <c r="AY72" i="2"/>
  <c r="AL72" i="2" s="1"/>
  <c r="AY64" i="2"/>
  <c r="AL64" i="2" s="1"/>
  <c r="AY56" i="2"/>
  <c r="AL56" i="2" s="1"/>
  <c r="AY48" i="2"/>
  <c r="AL48" i="2" s="1"/>
  <c r="AY40" i="2"/>
  <c r="AL40" i="2" s="1"/>
  <c r="AY32" i="2"/>
  <c r="AL32" i="2" s="1"/>
  <c r="AY398" i="2"/>
  <c r="AL398" i="2" s="1"/>
  <c r="AY390" i="2"/>
  <c r="AL390" i="2" s="1"/>
  <c r="AY382" i="2"/>
  <c r="AL382" i="2" s="1"/>
  <c r="AY374" i="2"/>
  <c r="AL374" i="2" s="1"/>
  <c r="AY366" i="2"/>
  <c r="AL366" i="2" s="1"/>
  <c r="AY358" i="2"/>
  <c r="AL358" i="2" s="1"/>
  <c r="AY350" i="2"/>
  <c r="AL350" i="2" s="1"/>
  <c r="AY342" i="2"/>
  <c r="AL342" i="2" s="1"/>
  <c r="AY334" i="2"/>
  <c r="AL334" i="2" s="1"/>
  <c r="AY326" i="2"/>
  <c r="AL326" i="2" s="1"/>
  <c r="AY318" i="2"/>
  <c r="AL318" i="2" s="1"/>
  <c r="AY310" i="2"/>
  <c r="AL310" i="2" s="1"/>
  <c r="AY302" i="2"/>
  <c r="AL302" i="2" s="1"/>
  <c r="AY294" i="2"/>
  <c r="AL294" i="2" s="1"/>
  <c r="AY286" i="2"/>
  <c r="AL286" i="2" s="1"/>
  <c r="AY278" i="2"/>
  <c r="AL278" i="2" s="1"/>
  <c r="AY270" i="2"/>
  <c r="AL270" i="2" s="1"/>
  <c r="AY262" i="2"/>
  <c r="AL262" i="2" s="1"/>
  <c r="AY254" i="2"/>
  <c r="AL254" i="2" s="1"/>
  <c r="AY246" i="2"/>
  <c r="AL246" i="2" s="1"/>
  <c r="AY238" i="2"/>
  <c r="AL238" i="2" s="1"/>
  <c r="AY230" i="2"/>
  <c r="AL230" i="2" s="1"/>
  <c r="AY222" i="2"/>
  <c r="AL222" i="2" s="1"/>
  <c r="AY214" i="2"/>
  <c r="AL214" i="2" s="1"/>
  <c r="AY206" i="2"/>
  <c r="AL206" i="2" s="1"/>
  <c r="AY198" i="2"/>
  <c r="AL198" i="2" s="1"/>
  <c r="AY190" i="2"/>
  <c r="AL190" i="2" s="1"/>
  <c r="AY182" i="2"/>
  <c r="AL182" i="2" s="1"/>
  <c r="AY174" i="2"/>
  <c r="AL174" i="2" s="1"/>
  <c r="AY166" i="2"/>
  <c r="AL166" i="2" s="1"/>
  <c r="AY158" i="2"/>
  <c r="AL158" i="2" s="1"/>
  <c r="AY150" i="2"/>
  <c r="AL150" i="2" s="1"/>
  <c r="AY142" i="2"/>
  <c r="AL142" i="2" s="1"/>
  <c r="AY134" i="2"/>
  <c r="AL134" i="2" s="1"/>
  <c r="AY126" i="2"/>
  <c r="AL126" i="2" s="1"/>
  <c r="AY118" i="2"/>
  <c r="AL118" i="2" s="1"/>
  <c r="AY110" i="2"/>
  <c r="AL110" i="2" s="1"/>
  <c r="AY102" i="2"/>
  <c r="AL102" i="2" s="1"/>
  <c r="AY94" i="2"/>
  <c r="AL94" i="2" s="1"/>
  <c r="AY86" i="2"/>
  <c r="AL86" i="2" s="1"/>
  <c r="AY78" i="2"/>
  <c r="AL78" i="2" s="1"/>
  <c r="AY70" i="2"/>
  <c r="AL70" i="2" s="1"/>
  <c r="AY62" i="2"/>
  <c r="AL62" i="2" s="1"/>
  <c r="AY54" i="2"/>
  <c r="AL54" i="2" s="1"/>
  <c r="AY46" i="2"/>
  <c r="AL46" i="2" s="1"/>
  <c r="AY38" i="2"/>
  <c r="AL38" i="2" s="1"/>
  <c r="AY30" i="2"/>
  <c r="AL30" i="2" s="1"/>
  <c r="AY309" i="2"/>
  <c r="AL309" i="2" s="1"/>
  <c r="AY301" i="2"/>
  <c r="AL301" i="2" s="1"/>
  <c r="AY293" i="2"/>
  <c r="AL293" i="2" s="1"/>
  <c r="AY285" i="2"/>
  <c r="AL285" i="2" s="1"/>
  <c r="AY277" i="2"/>
  <c r="AL277" i="2" s="1"/>
  <c r="AY269" i="2"/>
  <c r="AL269" i="2" s="1"/>
  <c r="AY261" i="2"/>
  <c r="AL261" i="2" s="1"/>
  <c r="AY253" i="2"/>
  <c r="AL253" i="2" s="1"/>
  <c r="AY245" i="2"/>
  <c r="AL245" i="2" s="1"/>
  <c r="AY237" i="2"/>
  <c r="AL237" i="2" s="1"/>
  <c r="AY229" i="2"/>
  <c r="AL229" i="2" s="1"/>
  <c r="AY221" i="2"/>
  <c r="AL221" i="2" s="1"/>
  <c r="AY213" i="2"/>
  <c r="AL213" i="2" s="1"/>
  <c r="AY205" i="2"/>
  <c r="AL205" i="2" s="1"/>
  <c r="AY197" i="2"/>
  <c r="AL197" i="2" s="1"/>
  <c r="AY189" i="2"/>
  <c r="AL189" i="2" s="1"/>
  <c r="AY181" i="2"/>
  <c r="AL181" i="2" s="1"/>
  <c r="AY173" i="2"/>
  <c r="AL173" i="2" s="1"/>
  <c r="AY165" i="2"/>
  <c r="AL165" i="2" s="1"/>
  <c r="AY157" i="2"/>
  <c r="AL157" i="2" s="1"/>
  <c r="AY149" i="2"/>
  <c r="AL149" i="2" s="1"/>
  <c r="AY141" i="2"/>
  <c r="AL141" i="2" s="1"/>
  <c r="AY133" i="2"/>
  <c r="AL133" i="2" s="1"/>
  <c r="AY125" i="2"/>
  <c r="AL125" i="2" s="1"/>
  <c r="AY117" i="2"/>
  <c r="AL117" i="2" s="1"/>
  <c r="AY109" i="2"/>
  <c r="AL109" i="2" s="1"/>
  <c r="AY101" i="2"/>
  <c r="AL101" i="2" s="1"/>
  <c r="AY93" i="2"/>
  <c r="AL93" i="2" s="1"/>
  <c r="AY85" i="2"/>
  <c r="AL85" i="2" s="1"/>
  <c r="AY77" i="2"/>
  <c r="AL77" i="2" s="1"/>
  <c r="AY69" i="2"/>
  <c r="AL69" i="2" s="1"/>
  <c r="AY61" i="2"/>
  <c r="AL61" i="2" s="1"/>
  <c r="AY53" i="2"/>
  <c r="AL53" i="2" s="1"/>
  <c r="AY45" i="2"/>
  <c r="AL45" i="2" s="1"/>
  <c r="AY37" i="2"/>
  <c r="AL37" i="2" s="1"/>
  <c r="AY29" i="2"/>
  <c r="AL29" i="2" s="1"/>
  <c r="AY404" i="2"/>
  <c r="AL404" i="2" s="1"/>
  <c r="AY396" i="2"/>
  <c r="AL396" i="2" s="1"/>
  <c r="AY388" i="2"/>
  <c r="AL388" i="2" s="1"/>
  <c r="AY380" i="2"/>
  <c r="AL380" i="2" s="1"/>
  <c r="AY372" i="2"/>
  <c r="AL372" i="2" s="1"/>
  <c r="AY364" i="2"/>
  <c r="AL364" i="2" s="1"/>
  <c r="AY356" i="2"/>
  <c r="AL356" i="2" s="1"/>
  <c r="AY348" i="2"/>
  <c r="AL348" i="2" s="1"/>
  <c r="AY340" i="2"/>
  <c r="AL340" i="2" s="1"/>
  <c r="AY332" i="2"/>
  <c r="AL332" i="2" s="1"/>
  <c r="AY324" i="2"/>
  <c r="AL324" i="2" s="1"/>
  <c r="AY316" i="2"/>
  <c r="AL316" i="2" s="1"/>
  <c r="AY308" i="2"/>
  <c r="AL308" i="2" s="1"/>
  <c r="AY300" i="2"/>
  <c r="AL300" i="2" s="1"/>
  <c r="AY292" i="2"/>
  <c r="AL292" i="2" s="1"/>
  <c r="AY284" i="2"/>
  <c r="AL284" i="2" s="1"/>
  <c r="AY276" i="2"/>
  <c r="AL276" i="2" s="1"/>
  <c r="AY268" i="2"/>
  <c r="AL268" i="2" s="1"/>
  <c r="AY260" i="2"/>
  <c r="AL260" i="2" s="1"/>
  <c r="AY252" i="2"/>
  <c r="AL252" i="2" s="1"/>
  <c r="AY244" i="2"/>
  <c r="AL244" i="2" s="1"/>
  <c r="AY236" i="2"/>
  <c r="AL236" i="2" s="1"/>
  <c r="AY228" i="2"/>
  <c r="AL228" i="2" s="1"/>
  <c r="AY220" i="2"/>
  <c r="AL220" i="2" s="1"/>
  <c r="AY212" i="2"/>
  <c r="AL212" i="2" s="1"/>
  <c r="AY204" i="2"/>
  <c r="AL204" i="2" s="1"/>
  <c r="AY196" i="2"/>
  <c r="AL196" i="2" s="1"/>
  <c r="AY188" i="2"/>
  <c r="AL188" i="2" s="1"/>
  <c r="AY180" i="2"/>
  <c r="AL180" i="2" s="1"/>
  <c r="AY172" i="2"/>
  <c r="AL172" i="2" s="1"/>
  <c r="AY164" i="2"/>
  <c r="AL164" i="2" s="1"/>
  <c r="AY156" i="2"/>
  <c r="AL156" i="2" s="1"/>
  <c r="AY148" i="2"/>
  <c r="AL148" i="2" s="1"/>
  <c r="AY140" i="2"/>
  <c r="AL140" i="2" s="1"/>
  <c r="AY132" i="2"/>
  <c r="AL132" i="2" s="1"/>
  <c r="AY124" i="2"/>
  <c r="AL124" i="2" s="1"/>
  <c r="AY116" i="2"/>
  <c r="AL116" i="2" s="1"/>
  <c r="AY108" i="2"/>
  <c r="AL108" i="2" s="1"/>
  <c r="AY100" i="2"/>
  <c r="AL100" i="2" s="1"/>
  <c r="AY92" i="2"/>
  <c r="AL92" i="2" s="1"/>
  <c r="AY84" i="2"/>
  <c r="AL84" i="2" s="1"/>
  <c r="AY76" i="2"/>
  <c r="AL76" i="2" s="1"/>
  <c r="AY68" i="2"/>
  <c r="AL68" i="2" s="1"/>
  <c r="AY60" i="2"/>
  <c r="AL60" i="2" s="1"/>
  <c r="AY52" i="2"/>
  <c r="AL52" i="2" s="1"/>
  <c r="AY44" i="2"/>
  <c r="AL44" i="2" s="1"/>
  <c r="AY36" i="2"/>
  <c r="AL36" i="2" s="1"/>
  <c r="AL201" i="2"/>
  <c r="AM28" i="2" l="1"/>
  <c r="AF28" i="2" s="1"/>
  <c r="AF27" i="2" s="1"/>
  <c r="Q404" i="2"/>
  <c r="R404" i="2" s="1"/>
  <c r="Q30" i="2"/>
  <c r="Q31" i="2"/>
  <c r="R31" i="2" s="1"/>
  <c r="Q32" i="2"/>
  <c r="R32" i="2" s="1"/>
  <c r="Q33" i="2"/>
  <c r="Q34" i="2"/>
  <c r="R34" i="2" s="1"/>
  <c r="Q35" i="2"/>
  <c r="R35" i="2" s="1"/>
  <c r="Q36" i="2"/>
  <c r="R36" i="2" s="1"/>
  <c r="Q37" i="2"/>
  <c r="R37" i="2" s="1"/>
  <c r="Q38" i="2"/>
  <c r="Q39" i="2"/>
  <c r="R39" i="2" s="1"/>
  <c r="Q40" i="2"/>
  <c r="R40" i="2" s="1"/>
  <c r="Q41" i="2"/>
  <c r="R41" i="2" s="1"/>
  <c r="Q42" i="2"/>
  <c r="R42" i="2" s="1"/>
  <c r="Q43" i="2"/>
  <c r="Q44" i="2"/>
  <c r="R44" i="2" s="1"/>
  <c r="Q45" i="2"/>
  <c r="R45" i="2" s="1"/>
  <c r="Q46" i="2"/>
  <c r="R46" i="2" s="1"/>
  <c r="Q47" i="2"/>
  <c r="R47" i="2" s="1"/>
  <c r="Q48" i="2"/>
  <c r="R48" i="2" s="1"/>
  <c r="Q49" i="2"/>
  <c r="R49" i="2" s="1"/>
  <c r="Q50" i="2"/>
  <c r="R50" i="2" s="1"/>
  <c r="Q51" i="2"/>
  <c r="R51" i="2" s="1"/>
  <c r="Q52" i="2"/>
  <c r="R52" i="2" s="1"/>
  <c r="Q53" i="2"/>
  <c r="R53" i="2" s="1"/>
  <c r="Q54" i="2"/>
  <c r="R54" i="2" s="1"/>
  <c r="Q55" i="2"/>
  <c r="R55" i="2" s="1"/>
  <c r="Q56" i="2"/>
  <c r="R56" i="2" s="1"/>
  <c r="Q57" i="2"/>
  <c r="R57" i="2" s="1"/>
  <c r="Q58" i="2"/>
  <c r="R58" i="2" s="1"/>
  <c r="Q59" i="2"/>
  <c r="R59" i="2" s="1"/>
  <c r="Q60" i="2"/>
  <c r="R60" i="2" s="1"/>
  <c r="Q61" i="2"/>
  <c r="R61" i="2" s="1"/>
  <c r="Q62" i="2"/>
  <c r="R62" i="2" s="1"/>
  <c r="Q63" i="2"/>
  <c r="R63" i="2" s="1"/>
  <c r="Q64" i="2"/>
  <c r="R64" i="2" s="1"/>
  <c r="Q65" i="2"/>
  <c r="R65" i="2" s="1"/>
  <c r="Q66" i="2"/>
  <c r="R66" i="2" s="1"/>
  <c r="Q67" i="2"/>
  <c r="R67" i="2" s="1"/>
  <c r="Q68" i="2"/>
  <c r="R68" i="2" s="1"/>
  <c r="Q69" i="2"/>
  <c r="R69" i="2" s="1"/>
  <c r="Q70" i="2"/>
  <c r="R70" i="2" s="1"/>
  <c r="Q71" i="2"/>
  <c r="R71" i="2" s="1"/>
  <c r="Q72" i="2"/>
  <c r="R72" i="2" s="1"/>
  <c r="Q73" i="2"/>
  <c r="R73" i="2" s="1"/>
  <c r="Q74" i="2"/>
  <c r="R74" i="2" s="1"/>
  <c r="Q75" i="2"/>
  <c r="R75" i="2" s="1"/>
  <c r="Q76" i="2"/>
  <c r="R76" i="2" s="1"/>
  <c r="Q77" i="2"/>
  <c r="R77" i="2" s="1"/>
  <c r="Q78" i="2"/>
  <c r="R78" i="2" s="1"/>
  <c r="Q79" i="2"/>
  <c r="R79" i="2" s="1"/>
  <c r="Q80" i="2"/>
  <c r="R80" i="2" s="1"/>
  <c r="Q81" i="2"/>
  <c r="R81" i="2" s="1"/>
  <c r="Q82" i="2"/>
  <c r="R82" i="2" s="1"/>
  <c r="Q83" i="2"/>
  <c r="R83" i="2" s="1"/>
  <c r="Q84" i="2"/>
  <c r="R84" i="2" s="1"/>
  <c r="Q85" i="2"/>
  <c r="R85" i="2" s="1"/>
  <c r="Q86" i="2"/>
  <c r="R86" i="2" s="1"/>
  <c r="Q87" i="2"/>
  <c r="R87" i="2" s="1"/>
  <c r="Q88" i="2"/>
  <c r="R88" i="2" s="1"/>
  <c r="Q89" i="2"/>
  <c r="R89" i="2" s="1"/>
  <c r="Q90" i="2"/>
  <c r="R90" i="2" s="1"/>
  <c r="Q91" i="2"/>
  <c r="R91" i="2" s="1"/>
  <c r="Q92" i="2"/>
  <c r="R92" i="2" s="1"/>
  <c r="Q93" i="2"/>
  <c r="R93" i="2" s="1"/>
  <c r="Q94" i="2"/>
  <c r="R94" i="2" s="1"/>
  <c r="Q95" i="2"/>
  <c r="R95" i="2" s="1"/>
  <c r="Q96" i="2"/>
  <c r="R96" i="2" s="1"/>
  <c r="Q97" i="2"/>
  <c r="R97" i="2" s="1"/>
  <c r="Q98" i="2"/>
  <c r="R98" i="2" s="1"/>
  <c r="Q99" i="2"/>
  <c r="R99" i="2" s="1"/>
  <c r="Q100" i="2"/>
  <c r="R100" i="2" s="1"/>
  <c r="Q101" i="2"/>
  <c r="R101" i="2" s="1"/>
  <c r="Q102" i="2"/>
  <c r="R102" i="2" s="1"/>
  <c r="Q103" i="2"/>
  <c r="R103" i="2" s="1"/>
  <c r="Q104" i="2"/>
  <c r="R104" i="2" s="1"/>
  <c r="Q105" i="2"/>
  <c r="R105" i="2" s="1"/>
  <c r="Q106" i="2"/>
  <c r="R106" i="2" s="1"/>
  <c r="Q107" i="2"/>
  <c r="R107" i="2" s="1"/>
  <c r="Q108" i="2"/>
  <c r="R108" i="2" s="1"/>
  <c r="Q109" i="2"/>
  <c r="R109" i="2" s="1"/>
  <c r="Q110" i="2"/>
  <c r="R110" i="2" s="1"/>
  <c r="Q111" i="2"/>
  <c r="R111" i="2" s="1"/>
  <c r="Q112" i="2"/>
  <c r="R112" i="2" s="1"/>
  <c r="Q113" i="2"/>
  <c r="R113" i="2" s="1"/>
  <c r="Q114" i="2"/>
  <c r="R114" i="2" s="1"/>
  <c r="Q115" i="2"/>
  <c r="R115" i="2" s="1"/>
  <c r="Q116" i="2"/>
  <c r="R116" i="2" s="1"/>
  <c r="Q117" i="2"/>
  <c r="R117" i="2" s="1"/>
  <c r="Q118" i="2"/>
  <c r="R118" i="2" s="1"/>
  <c r="Q119" i="2"/>
  <c r="R119" i="2" s="1"/>
  <c r="Q120" i="2"/>
  <c r="R120" i="2" s="1"/>
  <c r="Q121" i="2"/>
  <c r="R121" i="2" s="1"/>
  <c r="Q122" i="2"/>
  <c r="R122" i="2" s="1"/>
  <c r="Q123" i="2"/>
  <c r="R123" i="2" s="1"/>
  <c r="Q124" i="2"/>
  <c r="R124" i="2" s="1"/>
  <c r="Q125" i="2"/>
  <c r="R125" i="2" s="1"/>
  <c r="Q126" i="2"/>
  <c r="R126" i="2" s="1"/>
  <c r="Q127" i="2"/>
  <c r="R127" i="2" s="1"/>
  <c r="Q128" i="2"/>
  <c r="R128" i="2" s="1"/>
  <c r="Q129" i="2"/>
  <c r="R129" i="2" s="1"/>
  <c r="Q130" i="2"/>
  <c r="R130" i="2" s="1"/>
  <c r="Q131" i="2"/>
  <c r="R131" i="2" s="1"/>
  <c r="Q132" i="2"/>
  <c r="R132" i="2" s="1"/>
  <c r="Q133" i="2"/>
  <c r="R133" i="2" s="1"/>
  <c r="Q134" i="2"/>
  <c r="R134" i="2" s="1"/>
  <c r="Q135" i="2"/>
  <c r="R135" i="2" s="1"/>
  <c r="Q136" i="2"/>
  <c r="R136" i="2" s="1"/>
  <c r="Q137" i="2"/>
  <c r="R137" i="2" s="1"/>
  <c r="Q138" i="2"/>
  <c r="R138" i="2" s="1"/>
  <c r="Q139" i="2"/>
  <c r="R139" i="2" s="1"/>
  <c r="Q140" i="2"/>
  <c r="R140" i="2" s="1"/>
  <c r="Q141" i="2"/>
  <c r="R141" i="2" s="1"/>
  <c r="Q142" i="2"/>
  <c r="R142" i="2" s="1"/>
  <c r="Q143" i="2"/>
  <c r="R143" i="2" s="1"/>
  <c r="Q144" i="2"/>
  <c r="R144" i="2" s="1"/>
  <c r="Q145" i="2"/>
  <c r="R145" i="2" s="1"/>
  <c r="Q146" i="2"/>
  <c r="R146" i="2" s="1"/>
  <c r="Q147" i="2"/>
  <c r="R147" i="2" s="1"/>
  <c r="Q148" i="2"/>
  <c r="R148" i="2" s="1"/>
  <c r="Q149" i="2"/>
  <c r="R149" i="2" s="1"/>
  <c r="Q150" i="2"/>
  <c r="R150" i="2" s="1"/>
  <c r="Q151" i="2"/>
  <c r="R151" i="2" s="1"/>
  <c r="Q152" i="2"/>
  <c r="R152" i="2" s="1"/>
  <c r="Q153" i="2"/>
  <c r="R153" i="2" s="1"/>
  <c r="Q154" i="2"/>
  <c r="R154" i="2" s="1"/>
  <c r="Q155" i="2"/>
  <c r="R155" i="2" s="1"/>
  <c r="Q156" i="2"/>
  <c r="R156" i="2" s="1"/>
  <c r="Q157" i="2"/>
  <c r="R157" i="2" s="1"/>
  <c r="Q158" i="2"/>
  <c r="R158" i="2" s="1"/>
  <c r="Q159" i="2"/>
  <c r="R159" i="2" s="1"/>
  <c r="Q160" i="2"/>
  <c r="R160" i="2" s="1"/>
  <c r="Q161" i="2"/>
  <c r="R161" i="2" s="1"/>
  <c r="Q162" i="2"/>
  <c r="R162" i="2" s="1"/>
  <c r="Q163" i="2"/>
  <c r="R163" i="2" s="1"/>
  <c r="Q164" i="2"/>
  <c r="R164" i="2" s="1"/>
  <c r="Q165" i="2"/>
  <c r="R165" i="2" s="1"/>
  <c r="Q166" i="2"/>
  <c r="R166" i="2" s="1"/>
  <c r="Q167" i="2"/>
  <c r="R167" i="2" s="1"/>
  <c r="Q168" i="2"/>
  <c r="R168" i="2" s="1"/>
  <c r="Q169" i="2"/>
  <c r="R169" i="2" s="1"/>
  <c r="Q170" i="2"/>
  <c r="R170" i="2" s="1"/>
  <c r="Q171" i="2"/>
  <c r="R171" i="2" s="1"/>
  <c r="Q172" i="2"/>
  <c r="R172" i="2" s="1"/>
  <c r="Q173" i="2"/>
  <c r="R173" i="2" s="1"/>
  <c r="Q174" i="2"/>
  <c r="R174" i="2" s="1"/>
  <c r="Q175" i="2"/>
  <c r="R175" i="2" s="1"/>
  <c r="Q176" i="2"/>
  <c r="R176" i="2" s="1"/>
  <c r="Q177" i="2"/>
  <c r="R177" i="2" s="1"/>
  <c r="Q178" i="2"/>
  <c r="R178" i="2" s="1"/>
  <c r="Q179" i="2"/>
  <c r="R179" i="2" s="1"/>
  <c r="Q180" i="2"/>
  <c r="R180" i="2" s="1"/>
  <c r="Q181" i="2"/>
  <c r="R181" i="2" s="1"/>
  <c r="Q182" i="2"/>
  <c r="R182" i="2" s="1"/>
  <c r="Q183" i="2"/>
  <c r="R183" i="2" s="1"/>
  <c r="Q184" i="2"/>
  <c r="R184" i="2" s="1"/>
  <c r="Q185" i="2"/>
  <c r="R185" i="2" s="1"/>
  <c r="Q186" i="2"/>
  <c r="R186" i="2" s="1"/>
  <c r="Q187" i="2"/>
  <c r="R187" i="2" s="1"/>
  <c r="Q188" i="2"/>
  <c r="R188" i="2" s="1"/>
  <c r="Q189" i="2"/>
  <c r="R189" i="2" s="1"/>
  <c r="Q190" i="2"/>
  <c r="R190" i="2" s="1"/>
  <c r="Q191" i="2"/>
  <c r="R191" i="2" s="1"/>
  <c r="Q192" i="2"/>
  <c r="R192" i="2" s="1"/>
  <c r="Q193" i="2"/>
  <c r="R193" i="2" s="1"/>
  <c r="Q194" i="2"/>
  <c r="R194" i="2" s="1"/>
  <c r="Q195" i="2"/>
  <c r="R195" i="2" s="1"/>
  <c r="Q196" i="2"/>
  <c r="R196" i="2" s="1"/>
  <c r="Q197" i="2"/>
  <c r="R197" i="2" s="1"/>
  <c r="Q198" i="2"/>
  <c r="R198" i="2" s="1"/>
  <c r="Q199" i="2"/>
  <c r="R199" i="2" s="1"/>
  <c r="Q200" i="2"/>
  <c r="R200" i="2" s="1"/>
  <c r="Q201" i="2"/>
  <c r="R201" i="2" s="1"/>
  <c r="Q202" i="2"/>
  <c r="R202" i="2" s="1"/>
  <c r="Q203" i="2"/>
  <c r="R203" i="2" s="1"/>
  <c r="Q204" i="2"/>
  <c r="R204" i="2" s="1"/>
  <c r="Q205" i="2"/>
  <c r="R205" i="2" s="1"/>
  <c r="Q206" i="2"/>
  <c r="R206" i="2" s="1"/>
  <c r="Q207" i="2"/>
  <c r="R207" i="2" s="1"/>
  <c r="Q208" i="2"/>
  <c r="R208" i="2" s="1"/>
  <c r="Q209" i="2"/>
  <c r="R209" i="2" s="1"/>
  <c r="Q210" i="2"/>
  <c r="R210" i="2" s="1"/>
  <c r="Q211" i="2"/>
  <c r="R211" i="2" s="1"/>
  <c r="Q212" i="2"/>
  <c r="R212" i="2" s="1"/>
  <c r="Q213" i="2"/>
  <c r="R213" i="2" s="1"/>
  <c r="Q214" i="2"/>
  <c r="R214" i="2" s="1"/>
  <c r="Q215" i="2"/>
  <c r="R215" i="2" s="1"/>
  <c r="Q216" i="2"/>
  <c r="R216" i="2" s="1"/>
  <c r="Q217" i="2"/>
  <c r="R217" i="2" s="1"/>
  <c r="Q218" i="2"/>
  <c r="R218" i="2" s="1"/>
  <c r="Q219" i="2"/>
  <c r="R219" i="2" s="1"/>
  <c r="Q220" i="2"/>
  <c r="R220" i="2" s="1"/>
  <c r="Q221" i="2"/>
  <c r="R221" i="2" s="1"/>
  <c r="Q222" i="2"/>
  <c r="R222" i="2" s="1"/>
  <c r="Q223" i="2"/>
  <c r="R223" i="2" s="1"/>
  <c r="Q224" i="2"/>
  <c r="R224" i="2" s="1"/>
  <c r="Q225" i="2"/>
  <c r="R225" i="2" s="1"/>
  <c r="Q226" i="2"/>
  <c r="R226" i="2" s="1"/>
  <c r="Q227" i="2"/>
  <c r="R227" i="2" s="1"/>
  <c r="Q228" i="2"/>
  <c r="R228" i="2" s="1"/>
  <c r="Q229" i="2"/>
  <c r="R229" i="2" s="1"/>
  <c r="Q230" i="2"/>
  <c r="R230" i="2" s="1"/>
  <c r="Q231" i="2"/>
  <c r="R231" i="2" s="1"/>
  <c r="Q232" i="2"/>
  <c r="R232" i="2" s="1"/>
  <c r="Q233" i="2"/>
  <c r="R233" i="2" s="1"/>
  <c r="Q234" i="2"/>
  <c r="R234" i="2" s="1"/>
  <c r="Q235" i="2"/>
  <c r="R235" i="2" s="1"/>
  <c r="Q236" i="2"/>
  <c r="R236" i="2" s="1"/>
  <c r="Q237" i="2"/>
  <c r="R237" i="2" s="1"/>
  <c r="Q238" i="2"/>
  <c r="R238" i="2" s="1"/>
  <c r="Q239" i="2"/>
  <c r="R239" i="2" s="1"/>
  <c r="Q240" i="2"/>
  <c r="R240" i="2" s="1"/>
  <c r="Q241" i="2"/>
  <c r="R241" i="2" s="1"/>
  <c r="Q242" i="2"/>
  <c r="R242" i="2" s="1"/>
  <c r="Q243" i="2"/>
  <c r="R243" i="2" s="1"/>
  <c r="Q244" i="2"/>
  <c r="R244" i="2" s="1"/>
  <c r="Q245" i="2"/>
  <c r="R245" i="2" s="1"/>
  <c r="Q246" i="2"/>
  <c r="R246" i="2" s="1"/>
  <c r="Q247" i="2"/>
  <c r="R247" i="2" s="1"/>
  <c r="Q248" i="2"/>
  <c r="R248" i="2" s="1"/>
  <c r="Q249" i="2"/>
  <c r="R249" i="2" s="1"/>
  <c r="Q250" i="2"/>
  <c r="R250" i="2" s="1"/>
  <c r="Q251" i="2"/>
  <c r="R251" i="2" s="1"/>
  <c r="Q252" i="2"/>
  <c r="R252" i="2" s="1"/>
  <c r="Q253" i="2"/>
  <c r="R253" i="2" s="1"/>
  <c r="Q254" i="2"/>
  <c r="R254" i="2" s="1"/>
  <c r="Q255" i="2"/>
  <c r="R255" i="2" s="1"/>
  <c r="Q256" i="2"/>
  <c r="R256" i="2" s="1"/>
  <c r="Q257" i="2"/>
  <c r="R257" i="2" s="1"/>
  <c r="Q258" i="2"/>
  <c r="R258" i="2" s="1"/>
  <c r="Q259" i="2"/>
  <c r="R259" i="2" s="1"/>
  <c r="Q260" i="2"/>
  <c r="R260" i="2" s="1"/>
  <c r="Q261" i="2"/>
  <c r="R261" i="2" s="1"/>
  <c r="Q262" i="2"/>
  <c r="R262" i="2" s="1"/>
  <c r="Q263" i="2"/>
  <c r="R263" i="2" s="1"/>
  <c r="Q264" i="2"/>
  <c r="R264" i="2" s="1"/>
  <c r="Q265" i="2"/>
  <c r="R265" i="2" s="1"/>
  <c r="Q266" i="2"/>
  <c r="R266" i="2" s="1"/>
  <c r="Q267" i="2"/>
  <c r="R267" i="2" s="1"/>
  <c r="Q268" i="2"/>
  <c r="R268" i="2" s="1"/>
  <c r="Q269" i="2"/>
  <c r="R269" i="2" s="1"/>
  <c r="Q270" i="2"/>
  <c r="R270" i="2" s="1"/>
  <c r="Q271" i="2"/>
  <c r="R271" i="2" s="1"/>
  <c r="Q272" i="2"/>
  <c r="R272" i="2" s="1"/>
  <c r="Q273" i="2"/>
  <c r="R273" i="2" s="1"/>
  <c r="Q274" i="2"/>
  <c r="R274" i="2" s="1"/>
  <c r="Q275" i="2"/>
  <c r="R275" i="2" s="1"/>
  <c r="Q276" i="2"/>
  <c r="R276" i="2" s="1"/>
  <c r="Q277" i="2"/>
  <c r="R277" i="2" s="1"/>
  <c r="Q278" i="2"/>
  <c r="R278" i="2" s="1"/>
  <c r="Q279" i="2"/>
  <c r="R279" i="2" s="1"/>
  <c r="Q280" i="2"/>
  <c r="R280" i="2" s="1"/>
  <c r="Q281" i="2"/>
  <c r="R281" i="2" s="1"/>
  <c r="Q282" i="2"/>
  <c r="R282" i="2" s="1"/>
  <c r="Q283" i="2"/>
  <c r="R283" i="2" s="1"/>
  <c r="Q284" i="2"/>
  <c r="R284" i="2" s="1"/>
  <c r="Q285" i="2"/>
  <c r="R285" i="2" s="1"/>
  <c r="Q286" i="2"/>
  <c r="R286" i="2" s="1"/>
  <c r="Q287" i="2"/>
  <c r="R287" i="2" s="1"/>
  <c r="Q288" i="2"/>
  <c r="R288" i="2" s="1"/>
  <c r="Q289" i="2"/>
  <c r="R289" i="2" s="1"/>
  <c r="Q290" i="2"/>
  <c r="R290" i="2" s="1"/>
  <c r="Q291" i="2"/>
  <c r="R291" i="2" s="1"/>
  <c r="Q292" i="2"/>
  <c r="R292" i="2" s="1"/>
  <c r="Q293" i="2"/>
  <c r="R293" i="2" s="1"/>
  <c r="Q294" i="2"/>
  <c r="R294" i="2" s="1"/>
  <c r="Q295" i="2"/>
  <c r="R295" i="2" s="1"/>
  <c r="Q296" i="2"/>
  <c r="R296" i="2" s="1"/>
  <c r="Q297" i="2"/>
  <c r="R297" i="2" s="1"/>
  <c r="Q298" i="2"/>
  <c r="R298" i="2" s="1"/>
  <c r="Q299" i="2"/>
  <c r="R299" i="2" s="1"/>
  <c r="Q300" i="2"/>
  <c r="R300" i="2" s="1"/>
  <c r="Q301" i="2"/>
  <c r="R301" i="2" s="1"/>
  <c r="Q302" i="2"/>
  <c r="R302" i="2" s="1"/>
  <c r="Q303" i="2"/>
  <c r="R303" i="2" s="1"/>
  <c r="Q304" i="2"/>
  <c r="R304" i="2" s="1"/>
  <c r="Q305" i="2"/>
  <c r="R305" i="2" s="1"/>
  <c r="Q306" i="2"/>
  <c r="R306" i="2" s="1"/>
  <c r="Q307" i="2"/>
  <c r="R307" i="2" s="1"/>
  <c r="Q308" i="2"/>
  <c r="R308" i="2" s="1"/>
  <c r="Q309" i="2"/>
  <c r="R309" i="2" s="1"/>
  <c r="Q310" i="2"/>
  <c r="R310" i="2" s="1"/>
  <c r="Q311" i="2"/>
  <c r="R311" i="2" s="1"/>
  <c r="Q312" i="2"/>
  <c r="R312" i="2" s="1"/>
  <c r="Q313" i="2"/>
  <c r="R313" i="2" s="1"/>
  <c r="Q314" i="2"/>
  <c r="R314" i="2" s="1"/>
  <c r="Q315" i="2"/>
  <c r="R315" i="2" s="1"/>
  <c r="Q316" i="2"/>
  <c r="R316" i="2" s="1"/>
  <c r="Q317" i="2"/>
  <c r="R317" i="2" s="1"/>
  <c r="Q318" i="2"/>
  <c r="R318" i="2" s="1"/>
  <c r="Q319" i="2"/>
  <c r="R319" i="2" s="1"/>
  <c r="Q320" i="2"/>
  <c r="R320" i="2" s="1"/>
  <c r="Q321" i="2"/>
  <c r="R321" i="2" s="1"/>
  <c r="Q322" i="2"/>
  <c r="R322" i="2" s="1"/>
  <c r="Q323" i="2"/>
  <c r="R323" i="2" s="1"/>
  <c r="Q324" i="2"/>
  <c r="R324" i="2" s="1"/>
  <c r="Q325" i="2"/>
  <c r="R325" i="2" s="1"/>
  <c r="Q326" i="2"/>
  <c r="R326" i="2" s="1"/>
  <c r="Q327" i="2"/>
  <c r="R327" i="2" s="1"/>
  <c r="Q328" i="2"/>
  <c r="R328" i="2" s="1"/>
  <c r="Q329" i="2"/>
  <c r="R329" i="2" s="1"/>
  <c r="Q330" i="2"/>
  <c r="R330" i="2" s="1"/>
  <c r="Q331" i="2"/>
  <c r="R331" i="2" s="1"/>
  <c r="Q332" i="2"/>
  <c r="R332" i="2" s="1"/>
  <c r="Q333" i="2"/>
  <c r="R333" i="2" s="1"/>
  <c r="Q334" i="2"/>
  <c r="R334" i="2" s="1"/>
  <c r="Q335" i="2"/>
  <c r="R335" i="2" s="1"/>
  <c r="Q336" i="2"/>
  <c r="R336" i="2" s="1"/>
  <c r="Q337" i="2"/>
  <c r="R337" i="2" s="1"/>
  <c r="Q338" i="2"/>
  <c r="R338" i="2" s="1"/>
  <c r="Q339" i="2"/>
  <c r="R339" i="2" s="1"/>
  <c r="Q340" i="2"/>
  <c r="R340" i="2" s="1"/>
  <c r="Q341" i="2"/>
  <c r="R341" i="2" s="1"/>
  <c r="Q342" i="2"/>
  <c r="R342" i="2" s="1"/>
  <c r="Q343" i="2"/>
  <c r="R343" i="2" s="1"/>
  <c r="Q344" i="2"/>
  <c r="R344" i="2" s="1"/>
  <c r="Q345" i="2"/>
  <c r="R345" i="2" s="1"/>
  <c r="Q346" i="2"/>
  <c r="R346" i="2" s="1"/>
  <c r="Q347" i="2"/>
  <c r="R347" i="2" s="1"/>
  <c r="Q348" i="2"/>
  <c r="R348" i="2" s="1"/>
  <c r="Q349" i="2"/>
  <c r="R349" i="2" s="1"/>
  <c r="Q350" i="2"/>
  <c r="R350" i="2" s="1"/>
  <c r="Q351" i="2"/>
  <c r="R351" i="2" s="1"/>
  <c r="Q352" i="2"/>
  <c r="R352" i="2" s="1"/>
  <c r="Q353" i="2"/>
  <c r="R353" i="2" s="1"/>
  <c r="Q354" i="2"/>
  <c r="R354" i="2" s="1"/>
  <c r="Q355" i="2"/>
  <c r="R355" i="2" s="1"/>
  <c r="Q356" i="2"/>
  <c r="R356" i="2" s="1"/>
  <c r="Q357" i="2"/>
  <c r="R357" i="2" s="1"/>
  <c r="Q358" i="2"/>
  <c r="R358" i="2" s="1"/>
  <c r="Q359" i="2"/>
  <c r="R359" i="2" s="1"/>
  <c r="Q360" i="2"/>
  <c r="R360" i="2" s="1"/>
  <c r="Q361" i="2"/>
  <c r="R361" i="2" s="1"/>
  <c r="Q362" i="2"/>
  <c r="R362" i="2" s="1"/>
  <c r="Q363" i="2"/>
  <c r="R363" i="2" s="1"/>
  <c r="Q364" i="2"/>
  <c r="R364" i="2" s="1"/>
  <c r="Q365" i="2"/>
  <c r="R365" i="2" s="1"/>
  <c r="Q366" i="2"/>
  <c r="R366" i="2" s="1"/>
  <c r="Q367" i="2"/>
  <c r="R367" i="2" s="1"/>
  <c r="Q368" i="2"/>
  <c r="R368" i="2" s="1"/>
  <c r="Q369" i="2"/>
  <c r="R369" i="2" s="1"/>
  <c r="Q370" i="2"/>
  <c r="R370" i="2" s="1"/>
  <c r="Q371" i="2"/>
  <c r="R371" i="2" s="1"/>
  <c r="Q372" i="2"/>
  <c r="R372" i="2" s="1"/>
  <c r="Q373" i="2"/>
  <c r="R373" i="2" s="1"/>
  <c r="Q374" i="2"/>
  <c r="R374" i="2" s="1"/>
  <c r="Q375" i="2"/>
  <c r="R375" i="2" s="1"/>
  <c r="Q376" i="2"/>
  <c r="R376" i="2" s="1"/>
  <c r="Q377" i="2"/>
  <c r="R377" i="2" s="1"/>
  <c r="Q378" i="2"/>
  <c r="R378" i="2" s="1"/>
  <c r="Q379" i="2"/>
  <c r="R379" i="2" s="1"/>
  <c r="Q380" i="2"/>
  <c r="R380" i="2" s="1"/>
  <c r="Q381" i="2"/>
  <c r="R381" i="2" s="1"/>
  <c r="Q382" i="2"/>
  <c r="R382" i="2" s="1"/>
  <c r="Q383" i="2"/>
  <c r="R383" i="2" s="1"/>
  <c r="Q384" i="2"/>
  <c r="R384" i="2" s="1"/>
  <c r="Q385" i="2"/>
  <c r="R385" i="2" s="1"/>
  <c r="Q386" i="2"/>
  <c r="R386" i="2" s="1"/>
  <c r="Q387" i="2"/>
  <c r="R387" i="2" s="1"/>
  <c r="Q388" i="2"/>
  <c r="R388" i="2" s="1"/>
  <c r="Q389" i="2"/>
  <c r="R389" i="2" s="1"/>
  <c r="Q390" i="2"/>
  <c r="R390" i="2" s="1"/>
  <c r="Q391" i="2"/>
  <c r="R391" i="2" s="1"/>
  <c r="Q392" i="2"/>
  <c r="R392" i="2" s="1"/>
  <c r="Q393" i="2"/>
  <c r="R393" i="2" s="1"/>
  <c r="Q394" i="2"/>
  <c r="R394" i="2" s="1"/>
  <c r="Q395" i="2"/>
  <c r="R395" i="2" s="1"/>
  <c r="Q396" i="2"/>
  <c r="R396" i="2" s="1"/>
  <c r="Q397" i="2"/>
  <c r="R397" i="2" s="1"/>
  <c r="Q398" i="2"/>
  <c r="R398" i="2" s="1"/>
  <c r="Q399" i="2"/>
  <c r="R399" i="2" s="1"/>
  <c r="Q400" i="2"/>
  <c r="R400" i="2" s="1"/>
  <c r="Q401" i="2"/>
  <c r="R401" i="2" s="1"/>
  <c r="Q402" i="2"/>
  <c r="R402" i="2" s="1"/>
  <c r="Q403" i="2"/>
  <c r="R403" i="2" s="1"/>
  <c r="AB28" i="2" l="1"/>
  <c r="C44" i="9"/>
  <c r="C45" i="9" s="1"/>
  <c r="AH28" i="2"/>
  <c r="AH29" i="2"/>
  <c r="AH30" i="2"/>
  <c r="AH31" i="2"/>
  <c r="D19" i="9"/>
  <c r="Q27" i="2"/>
  <c r="R33" i="2"/>
  <c r="D30" i="9"/>
  <c r="G30" i="9" s="1"/>
  <c r="D44" i="9"/>
  <c r="D45" i="9" s="1"/>
  <c r="D20" i="9"/>
  <c r="R43" i="2"/>
  <c r="R38" i="2"/>
  <c r="R28" i="2"/>
  <c r="R29" i="2"/>
  <c r="R30" i="2"/>
  <c r="E35" i="9" l="1"/>
  <c r="AH27" i="2"/>
  <c r="AB27" i="2"/>
  <c r="G20" i="9"/>
  <c r="D18" i="9"/>
  <c r="AD31" i="2"/>
  <c r="AD524" i="2"/>
  <c r="AD32" i="2"/>
  <c r="AD38" i="2"/>
  <c r="AD47" i="2"/>
  <c r="AD45" i="2"/>
  <c r="AD33" i="2"/>
  <c r="AD42" i="2"/>
  <c r="AD34" i="2"/>
  <c r="AD39" i="2"/>
  <c r="AD48" i="2"/>
  <c r="AD35" i="2"/>
  <c r="AD41" i="2"/>
  <c r="AD37" i="2"/>
  <c r="AD46" i="2"/>
  <c r="AD40" i="2"/>
  <c r="AD36" i="2"/>
  <c r="AD44" i="2"/>
  <c r="AD43" i="2"/>
  <c r="AD28" i="2"/>
  <c r="E34" i="9"/>
  <c r="AD30" i="2"/>
  <c r="AD29" i="2"/>
  <c r="AD27" i="2" l="1"/>
  <c r="C36" i="9"/>
  <c r="C35" i="9"/>
  <c r="C10" i="9"/>
  <c r="C14" i="9" l="1"/>
  <c r="M4" i="8" l="1"/>
  <c r="L4" i="8"/>
  <c r="L5" i="8"/>
  <c r="L6" i="8"/>
  <c r="L7" i="8"/>
  <c r="L8" i="8"/>
  <c r="L9" i="8"/>
  <c r="L10" i="8"/>
  <c r="C1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Clement-Gallais Lucile (DI)</author>
  </authors>
  <commentList>
    <comment ref="C78" authorId="0" shapeId="0" xr:uid="{00000000-0006-0000-0000-000001000000}">
      <text>
        <r>
          <rPr>
            <sz val="9"/>
            <color indexed="81"/>
            <rFont val="Tahoma"/>
            <family val="2"/>
          </rPr>
          <t>Selon la définition de l'alinéa 2, article 49 de la Loi sur les constructions et installations diverses (LCI) : "Pour les pièces dont le plafond suit la pente de la toiture, la surface habitable est comptée en plein lorsque le vide d’étage est égal ou supérieur à 2,60 m et pour moitié lorsqu’il est situé entre 1,80 m et 2,60 m."</t>
        </r>
      </text>
    </comment>
    <comment ref="C90" authorId="0" shapeId="0" xr:uid="{00000000-0006-0000-0000-000002000000}">
      <text>
        <r>
          <rPr>
            <sz val="9"/>
            <color indexed="81"/>
            <rFont val="Tahoma"/>
            <family val="2"/>
          </rPr>
          <t>Voir définitions sous l'article 12 du Règlement d'exécution de la loi pour la construction de logements d'utilité publique (RUP).</t>
        </r>
      </text>
    </comment>
    <comment ref="C9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Voir définitions sous l'article 12 du Règlement d'exécution de la loi pour la construction de logements d'utilité publique (RUP).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Clement-Gallais Lucile (DI)</author>
  </authors>
  <commentList>
    <comment ref="E2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Par exemple "001".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Veuillez saisir la numérotation des logements en référence à celle établie par les Services Industriels de Genève (SIG).
</t>
        </r>
      </text>
    </comment>
    <comment ref="L26" authorId="0" shapeId="0" xr:uid="{00000000-0006-0000-0100-000003000000}">
      <text>
        <r>
          <rPr>
            <sz val="9"/>
            <color indexed="81"/>
            <rFont val="Tahoma"/>
            <family val="2"/>
          </rPr>
          <t>Veuillez préciser si le logement a une spécificité :
- IEPA, logement avec encadrement pour personnes agées ; 
- Logement satellite, cf. art.2A RGL ;
- Foyer (étudiants, personnes en situation de handicap, etc.) ;
- Dérogation taux d'occupation / taux d'effort.</t>
        </r>
      </text>
    </comment>
    <comment ref="M26" authorId="0" shapeId="0" xr:uid="{00000000-0006-0000-0100-000004000000}">
      <text>
        <r>
          <rPr>
            <sz val="9"/>
            <color indexed="81"/>
            <rFont val="Tahoma"/>
            <family val="2"/>
          </rPr>
          <t>Pratique administrative : https://www.ge.ch/document/15112/telecharger</t>
        </r>
      </text>
    </comment>
    <comment ref="N26" authorId="0" shapeId="0" xr:uid="{00000000-0006-0000-0100-000005000000}">
      <text>
        <r>
          <rPr>
            <sz val="9"/>
            <color indexed="81"/>
            <rFont val="Tahoma"/>
            <family val="2"/>
          </rPr>
          <t>Veuillez indiquer si le logement est soumis au contrôle LDTR.</t>
        </r>
      </text>
    </comment>
    <comment ref="O2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Il s'agit de saisir le nombre de pièces et demi-pièces en lien avec la définition de l'article 52 de la Loi sur les constructions et les installations diverses (LCI).
La cuisine n'est pas considérée comme une pièce ou demi-pièce habitable. Si la surface de cette dernière est comprise entre 20 et 26 m2, elle peut être assimilée à une demi-pièce habitable, et au-delà à une pièce entière. </t>
        </r>
      </text>
    </comment>
    <comment ref="P26" authorId="0" shapeId="0" xr:uid="{00000000-0006-0000-0100-000007000000}">
      <text>
        <r>
          <rPr>
            <sz val="9"/>
            <color indexed="81"/>
            <rFont val="Tahoma"/>
            <family val="2"/>
          </rPr>
          <t>Selon la définition des alinéas 1 à 4 de l'article 4 du 
Règlement d’exécution de la loi générale sur le logement et la protection des locataires (RGL).</t>
        </r>
      </text>
    </comment>
    <comment ref="Q26" authorId="0" shapeId="0" xr:uid="{00000000-0006-0000-0100-000008000000}">
      <text>
        <r>
          <rPr>
            <sz val="9"/>
            <color indexed="81"/>
            <rFont val="Tahoma"/>
            <family val="2"/>
          </rPr>
          <t>Selon définition de l'alinéa 5, article 5 du Règlement d’exécution de la loi générale sur le logement et la protection des locataires (RGL).</t>
        </r>
      </text>
    </comment>
    <comment ref="R26" authorId="0" shapeId="0" xr:uid="{00000000-0006-0000-0100-000009000000}">
      <text>
        <r>
          <rPr>
            <sz val="9"/>
            <color indexed="81"/>
            <rFont val="Tahoma"/>
            <family val="2"/>
          </rPr>
          <t>Selon définition de la lettre c), alinéa 7, article 5 du Règlement d’exécution de la loi générale sur le logement et la protection des locataires (RGL).</t>
        </r>
      </text>
    </comment>
    <comment ref="S26" authorId="0" shapeId="0" xr:uid="{00000000-0006-0000-0100-00000A000000}">
      <text>
        <r>
          <rPr>
            <sz val="9"/>
            <color indexed="81"/>
            <rFont val="Tahoma"/>
            <family val="2"/>
          </rPr>
          <t>Selon la définition de l'alinéa 7 de l'article 4 du 
Règlement d’exécution de la loi générale sur le logement et la protection des locataires (RGL).</t>
        </r>
      </text>
    </comment>
    <comment ref="T26" authorId="0" shapeId="0" xr:uid="{00000000-0006-0000-0100-00000B000000}">
      <text>
        <r>
          <rPr>
            <sz val="9"/>
            <color indexed="81"/>
            <rFont val="Tahoma"/>
            <family val="2"/>
          </rPr>
          <t>Selon la définition de l'alinéa 7 de l'article 4 du 
Règlement d’exécution de la loi générale sur le logement et la protection des locataires (RGL).</t>
        </r>
      </text>
    </comment>
    <comment ref="U26" authorId="0" shapeId="0" xr:uid="{00000000-0006-0000-0100-00000C000000}">
      <text>
        <r>
          <rPr>
            <sz val="9"/>
            <color indexed="81"/>
            <rFont val="Tahoma"/>
            <family val="2"/>
          </rPr>
          <t>Selon la définition de l'alinéa 7 de l'article 4 du 
Règlement d’exécution de la loi générale sur le logement et la protection des locataires (RGL).</t>
        </r>
      </text>
    </comment>
    <comment ref="V26" authorId="0" shapeId="0" xr:uid="{00000000-0006-0000-0100-00000D000000}">
      <text>
        <r>
          <rPr>
            <sz val="9"/>
            <color indexed="81"/>
            <rFont val="Tahoma"/>
            <family val="2"/>
          </rPr>
          <t>Selon la définition de l'alinéa 7 de l'article 4 du 
Règlement d’exécution de la loi générale sur le logement et la protection des locataires (RGL).</t>
        </r>
      </text>
    </comment>
    <comment ref="W26" authorId="0" shapeId="0" xr:uid="{00000000-0006-0000-0100-00000E000000}">
      <text>
        <r>
          <rPr>
            <sz val="9"/>
            <color indexed="81"/>
            <rFont val="Tahoma"/>
            <family val="2"/>
          </rPr>
          <t>Selon la définition de l'alinéa 7 de l'article 4 du 
Règlement d’exécution de la loi générale sur le logement et la protection des locataires (RGL).</t>
        </r>
      </text>
    </comment>
    <comment ref="X26" authorId="0" shapeId="0" xr:uid="{00000000-0006-0000-0100-00000F000000}">
      <text>
        <r>
          <rPr>
            <sz val="9"/>
            <color indexed="81"/>
            <rFont val="Tahoma"/>
            <family val="2"/>
          </rPr>
          <t>Selon la définition de l'alinéa 7 de l'article 4 du 
Règlement d’exécution de la loi générale sur le logement et la protection des locataires (RGL).</t>
        </r>
      </text>
    </comment>
    <comment ref="Y26" authorId="0" shapeId="0" xr:uid="{00000000-0006-0000-0100-000010000000}">
      <text>
        <r>
          <rPr>
            <sz val="9"/>
            <color indexed="81"/>
            <rFont val="Tahoma"/>
            <family val="2"/>
          </rPr>
          <t>Selon la définition de l'alinéa 7 de l'article 4 du 
Règlement d’exécution de la loi générale sur le logement et la protection des locataires (RGL).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Clement-Gallais Lucile (DI)</author>
  </authors>
  <commentList>
    <comment ref="E2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Par exemple "001".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6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Veuillez saisir la numérotation des logements en référence à celle établie par les Services Industriels de Genève (SIG).
</t>
        </r>
      </text>
    </comment>
    <comment ref="L26" authorId="0" shapeId="0" xr:uid="{00000000-0006-0000-0200-000003000000}">
      <text>
        <r>
          <rPr>
            <sz val="9"/>
            <color indexed="81"/>
            <rFont val="Tahoma"/>
            <family val="2"/>
          </rPr>
          <t>Veuillez saisir la numérotation en référence à celle établie dans le cahier du géomètre.</t>
        </r>
      </text>
    </comment>
    <comment ref="M26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Il s'agit de saisir le nombre de pièces et demi-pièces en lien avec la définition de l'article 52 de la Loi sur les constructions et les installations diverses (LCI).
La cuisine n'est pas considérée comme une pièce ou demi-pièce habitable. Si la surface de cette dernière est comprise entre 20 et 26 m2, elle peut être assimilée à une demi-pièce habitable, et au-delà à une pièce entière. </t>
        </r>
      </text>
    </comment>
    <comment ref="N26" authorId="0" shapeId="0" xr:uid="{00000000-0006-0000-0200-000005000000}">
      <text>
        <r>
          <rPr>
            <sz val="9"/>
            <color indexed="81"/>
            <rFont val="Tahoma"/>
            <family val="2"/>
          </rPr>
          <t>Selon la définition des alinéas 1 à 4 de l'article 4 du 
Règlement d’exécution de la loi générale sur le logement et la protection des locataires (RGL).</t>
        </r>
      </text>
    </comment>
    <comment ref="O26" authorId="0" shapeId="0" xr:uid="{00000000-0006-0000-0200-000006000000}">
      <text>
        <r>
          <rPr>
            <sz val="9"/>
            <color indexed="81"/>
            <rFont val="Tahoma"/>
            <family val="2"/>
          </rPr>
          <t>Selon définition de l'alinéa 5, article 5 du Règlement d’exécution de la loi générale sur le logement et la protection des locataires (RGL).</t>
        </r>
      </text>
    </comment>
    <comment ref="P26" authorId="0" shapeId="0" xr:uid="{00000000-0006-0000-0200-000007000000}">
      <text>
        <r>
          <rPr>
            <sz val="9"/>
            <color indexed="81"/>
            <rFont val="Tahoma"/>
            <family val="2"/>
          </rPr>
          <t>Selon définition de la lettre c), alinéa 7, article 5 du Règlement d’exécution de la loi générale sur le logement et la protection des locataires (RGL).</t>
        </r>
      </text>
    </comment>
    <comment ref="Q26" authorId="0" shapeId="0" xr:uid="{00000000-0006-0000-0200-000008000000}">
      <text>
        <r>
          <rPr>
            <sz val="9"/>
            <color indexed="81"/>
            <rFont val="Tahoma"/>
            <family val="2"/>
          </rPr>
          <t>Selon la définition de l'alinéa 8 de l'article 4 du 
Règlement d’exécution de la loi générale sur le logement et la protection des locataires (RGL).</t>
        </r>
      </text>
    </comment>
    <comment ref="R26" authorId="0" shapeId="0" xr:uid="{00000000-0006-0000-0200-000009000000}">
      <text>
        <r>
          <rPr>
            <sz val="9"/>
            <color indexed="81"/>
            <rFont val="Tahoma"/>
            <family val="2"/>
          </rPr>
          <t>Selon la définition de l'alinéa 8 de l'article 4 du 
Règlement d’exécution de la loi générale sur le logement et la protection des locataires (RGL).</t>
        </r>
      </text>
    </comment>
    <comment ref="S26" authorId="0" shapeId="0" xr:uid="{00000000-0006-0000-0200-00000A000000}">
      <text>
        <r>
          <rPr>
            <sz val="9"/>
            <color indexed="81"/>
            <rFont val="Tahoma"/>
            <family val="2"/>
          </rPr>
          <t>Selon la définition de l'alinéa 8 de l'article 4 du 
Règlement d’exécution de la loi générale sur le logement et la protection des locataires (RGL).</t>
        </r>
      </text>
    </comment>
    <comment ref="T26" authorId="0" shapeId="0" xr:uid="{00000000-0006-0000-0200-00000B000000}">
      <text>
        <r>
          <rPr>
            <sz val="9"/>
            <color indexed="81"/>
            <rFont val="Tahoma"/>
            <family val="2"/>
          </rPr>
          <t>Selon la définition de l'alinéa 8 de l'article 4 du 
Règlement d’exécution de la loi générale sur le logement et la protection des locataires (RGL).</t>
        </r>
      </text>
    </comment>
    <comment ref="U26" authorId="0" shapeId="0" xr:uid="{00000000-0006-0000-0200-00000C000000}">
      <text>
        <r>
          <rPr>
            <sz val="9"/>
            <color indexed="81"/>
            <rFont val="Tahoma"/>
            <family val="2"/>
          </rPr>
          <t>Selon la définition de l'alinéa 8 de l'article 4 du 
Règlement d’exécution de la loi générale sur le logement et la protection des locataires (RGL).</t>
        </r>
      </text>
    </comment>
    <comment ref="V26" authorId="0" shapeId="0" xr:uid="{00000000-0006-0000-0200-00000D000000}">
      <text>
        <r>
          <rPr>
            <sz val="9"/>
            <color indexed="81"/>
            <rFont val="Tahoma"/>
            <family val="2"/>
          </rPr>
          <t>Selon la définition de l'alinéa 8 de l'article 4 du 
Règlement d’exécution de la loi générale sur le logement et la protection des locataires (RGL).</t>
        </r>
      </text>
    </comment>
    <comment ref="W26" authorId="0" shapeId="0" xr:uid="{00000000-0006-0000-0200-00000E000000}">
      <text>
        <r>
          <rPr>
            <sz val="9"/>
            <color indexed="81"/>
            <rFont val="Tahoma"/>
            <family val="2"/>
          </rPr>
          <t>Selon la définition de l'alinéa 8 de l'article 4 du 
Règlement d’exécution de la loi générale sur le logement et la protection des locataires (RGL)..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Clement-Gallais Lucile (DI)</author>
  </authors>
  <commentList>
    <comment ref="E15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Veuillez saisir la numérotation des logements en référence à celle établie par les Services Industriels de Genève (SIG).
</t>
        </r>
      </text>
    </comment>
    <comment ref="J15" authorId="0" shapeId="0" xr:uid="{00000000-0006-0000-0300-000002000000}">
      <text>
        <r>
          <rPr>
            <sz val="9"/>
            <color indexed="81"/>
            <rFont val="Tahoma"/>
            <family val="2"/>
          </rPr>
          <t>Selon définition de l'alinéa 7 de l'article 4 du 
Règlement d’exécution de la loi générale sur le logement et la protection des locataires (RGL).</t>
        </r>
      </text>
    </comment>
    <comment ref="N15" authorId="0" shapeId="0" xr:uid="{00000000-0006-0000-0300-000003000000}">
      <text>
        <r>
          <rPr>
            <sz val="9"/>
            <color indexed="81"/>
            <rFont val="Tahoma"/>
            <family val="2"/>
          </rPr>
          <t>Veuillez saisir la numérotation en référence à celle établie dans le cahier du géomètre.</t>
        </r>
      </text>
    </comment>
    <comment ref="O15" authorId="0" shapeId="0" xr:uid="{00000000-0006-0000-0300-000004000000}">
      <text>
        <r>
          <rPr>
            <sz val="9"/>
            <color indexed="81"/>
            <rFont val="Tahoma"/>
            <family val="2"/>
          </rPr>
          <t>Selon la définition de l'alinéa 8 de l'article 4 du 
Règlement d’exécution de la loi générale sur le logement et la protection des locataires (RGL).</t>
        </r>
      </text>
    </comment>
    <comment ref="N38" authorId="0" shapeId="0" xr:uid="{00000000-0006-0000-0300-000005000000}">
      <text>
        <r>
          <rPr>
            <sz val="9"/>
            <color indexed="81"/>
            <rFont val="Tahoma"/>
            <family val="2"/>
          </rPr>
          <t>Veuillez saisir la numérotation en référence à celle établie dans le cahier du géomètre.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Clement-Gallais Lucile (DI)</author>
  </authors>
  <commentList>
    <comment ref="F16" authorId="0" shapeId="0" xr:uid="{00000000-0006-0000-0400-000001000000}">
      <text>
        <r>
          <rPr>
            <sz val="9"/>
            <color indexed="81"/>
            <rFont val="Tahoma"/>
            <family val="2"/>
          </rPr>
          <t>Pratique administrative : https://www.ge.ch/document/15112/telecharger</t>
        </r>
      </text>
    </comment>
    <comment ref="I16" authorId="0" shapeId="0" xr:uid="{00000000-0006-0000-0400-000002000000}">
      <text>
        <r>
          <rPr>
            <sz val="9"/>
            <color indexed="81"/>
            <rFont val="Tahoma"/>
            <family val="2"/>
          </rPr>
          <t>En référence à l'alinéa 1, article 20A du Règlement d’exécution de la loi générale sur le logement et la protection des locataires (RGL).</t>
        </r>
      </text>
    </comment>
    <comment ref="C41" authorId="0" shapeId="0" xr:uid="{00000000-0006-0000-0400-000003000000}">
      <text>
        <r>
          <rPr>
            <sz val="9"/>
            <color indexed="81"/>
            <rFont val="Tahoma"/>
            <family val="2"/>
          </rPr>
          <t>Pratique administrative : https://www.ge.ch/document/13362/telecharger</t>
        </r>
      </text>
    </comment>
    <comment ref="C47" authorId="0" shapeId="0" xr:uid="{00000000-0006-0000-0400-000004000000}">
      <text>
        <r>
          <rPr>
            <sz val="9"/>
            <color indexed="81"/>
            <rFont val="Tahoma"/>
            <family val="2"/>
          </rPr>
          <t>Pratique administrative : https://www.ge.ch/document/13362/telecharger</t>
        </r>
      </text>
    </comment>
  </commentList>
</comments>
</file>

<file path=xl/sharedStrings.xml><?xml version="1.0" encoding="utf-8"?>
<sst xmlns="http://schemas.openxmlformats.org/spreadsheetml/2006/main" count="1445" uniqueCount="318">
  <si>
    <t xml:space="preserve">Surfaces commerciales et garages </t>
  </si>
  <si>
    <t>Légende (plans)</t>
  </si>
  <si>
    <t>Total pièces théoriques</t>
  </si>
  <si>
    <t>EGID</t>
  </si>
  <si>
    <t>EDID</t>
  </si>
  <si>
    <t>Balcons - loggias</t>
  </si>
  <si>
    <t>Terrasses</t>
  </si>
  <si>
    <t>Jardins</t>
  </si>
  <si>
    <t>1. SURFACES COMMERCIALES</t>
  </si>
  <si>
    <t>2. GARAGES</t>
  </si>
  <si>
    <t>REPUBLIQUE ET CANTON DE GENEVE</t>
  </si>
  <si>
    <t>Département du territoire</t>
  </si>
  <si>
    <t>Office cantonal du logement et de la planification foncière</t>
  </si>
  <si>
    <t>Etage</t>
  </si>
  <si>
    <t>LUP</t>
  </si>
  <si>
    <t>Tranversant</t>
  </si>
  <si>
    <t>Plein sud</t>
  </si>
  <si>
    <t>Etc.</t>
  </si>
  <si>
    <t>ORIENTATION</t>
  </si>
  <si>
    <t>LUP I</t>
  </si>
  <si>
    <t>LUP II</t>
  </si>
  <si>
    <t>LUP III</t>
  </si>
  <si>
    <t>LUP IV</t>
  </si>
  <si>
    <t>TYPE</t>
  </si>
  <si>
    <t>109 LCI</t>
  </si>
  <si>
    <t>Rez-de-chaussée</t>
  </si>
  <si>
    <t>Rez inférieur</t>
  </si>
  <si>
    <t>Rez supérieur</t>
  </si>
  <si>
    <t xml:space="preserve">C ? </t>
  </si>
  <si>
    <t xml:space="preserve">A ? </t>
  </si>
  <si>
    <t>ADAPT</t>
  </si>
  <si>
    <t>HAND</t>
  </si>
  <si>
    <t>DUP</t>
  </si>
  <si>
    <t>TRI</t>
  </si>
  <si>
    <t>SPECIFICITE</t>
  </si>
  <si>
    <t>IEPA</t>
  </si>
  <si>
    <t>Foyer</t>
  </si>
  <si>
    <t>CONTINGENT LGL</t>
  </si>
  <si>
    <t>Oui</t>
  </si>
  <si>
    <t>Non</t>
  </si>
  <si>
    <t>SC TYPE</t>
  </si>
  <si>
    <t>GARAGE TYPE</t>
  </si>
  <si>
    <t>ID EL HM</t>
  </si>
  <si>
    <t>Version</t>
  </si>
  <si>
    <t>V001</t>
  </si>
  <si>
    <t>Rez-inférieur</t>
  </si>
  <si>
    <t>Rez-supérieur</t>
  </si>
  <si>
    <t>Sous-sol 1</t>
  </si>
  <si>
    <t>Sous-sol 2</t>
  </si>
  <si>
    <t>Sous-sol 3</t>
  </si>
  <si>
    <t>Aucun</t>
  </si>
  <si>
    <t>REQUERANT</t>
  </si>
  <si>
    <t>Adresse</t>
  </si>
  <si>
    <t>Chez (c/o)</t>
  </si>
  <si>
    <t>Complément</t>
  </si>
  <si>
    <t>PROPRIETAIRE</t>
  </si>
  <si>
    <t>LIEU</t>
  </si>
  <si>
    <r>
      <t xml:space="preserve">Commune(s)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</si>
  <si>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N° parcelle(s)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</si>
  <si>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Adresse(s) </t>
    </r>
    <r>
      <rPr>
        <b/>
        <sz val="11"/>
        <color rgb="FFFF0000"/>
        <rFont val="Calibri"/>
        <family val="2"/>
        <scheme val="minor"/>
      </rPr>
      <t>*</t>
    </r>
  </si>
  <si>
    <t>PLAN FINANCIER</t>
  </si>
  <si>
    <r>
      <t xml:space="preserve">Plan financier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</si>
  <si>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Nb pièces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</si>
  <si>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Nb logts </t>
    </r>
    <r>
      <rPr>
        <b/>
        <sz val="11"/>
        <color rgb="FFFF0000"/>
        <rFont val="Calibri"/>
        <family val="2"/>
        <scheme val="minor"/>
      </rPr>
      <t>*</t>
    </r>
  </si>
  <si>
    <t>LOGEMENTS D'UTILITE PUBLIQUE</t>
  </si>
  <si>
    <t>DONNEES SUR LES LOGEMENTS</t>
  </si>
  <si>
    <t>Informations VENTE</t>
  </si>
  <si>
    <t>Informations LOCATIF</t>
  </si>
  <si>
    <t>Autres surfaces</t>
  </si>
  <si>
    <t>Orientation</t>
  </si>
  <si>
    <t>PONDERATIONS SUR LES LOGEMENTS</t>
  </si>
  <si>
    <t>LISTE DES LOGEMENTS</t>
  </si>
  <si>
    <t>Catégorie</t>
  </si>
  <si>
    <r>
      <t xml:space="preserve">Rue </t>
    </r>
    <r>
      <rPr>
        <sz val="11"/>
        <color rgb="FFFF0000"/>
        <rFont val="Calibri"/>
        <family val="2"/>
        <scheme val="minor"/>
      </rPr>
      <t>*</t>
    </r>
  </si>
  <si>
    <r>
      <t xml:space="preserve">Code postal </t>
    </r>
    <r>
      <rPr>
        <sz val="11"/>
        <color rgb="FFFF0000"/>
        <rFont val="Calibri"/>
        <family val="2"/>
        <scheme val="minor"/>
      </rPr>
      <t>*</t>
    </r>
  </si>
  <si>
    <r>
      <t xml:space="preserve">Lieu </t>
    </r>
    <r>
      <rPr>
        <sz val="11"/>
        <color rgb="FFFF0000"/>
        <rFont val="Calibri"/>
        <family val="2"/>
        <scheme val="minor"/>
      </rPr>
      <t>*</t>
    </r>
  </si>
  <si>
    <r>
      <t xml:space="preserve">Pays </t>
    </r>
    <r>
      <rPr>
        <sz val="11"/>
        <color rgb="FFFF0000"/>
        <rFont val="Calibri"/>
        <family val="2"/>
        <scheme val="minor"/>
      </rPr>
      <t>*</t>
    </r>
  </si>
  <si>
    <r>
      <t xml:space="preserve">Civilité </t>
    </r>
    <r>
      <rPr>
        <sz val="11"/>
        <color rgb="FFFF0000"/>
        <rFont val="Calibri"/>
        <family val="2"/>
        <scheme val="minor"/>
      </rPr>
      <t>*</t>
    </r>
  </si>
  <si>
    <r>
      <t xml:space="preserve">Nom </t>
    </r>
    <r>
      <rPr>
        <sz val="11"/>
        <color rgb="FFFF0000"/>
        <rFont val="Calibri"/>
        <family val="2"/>
        <scheme val="minor"/>
      </rPr>
      <t>*</t>
    </r>
  </si>
  <si>
    <r>
      <t xml:space="preserve">Prénom </t>
    </r>
    <r>
      <rPr>
        <sz val="11"/>
        <color rgb="FFFF0000"/>
        <rFont val="Calibri"/>
        <family val="2"/>
        <scheme val="minor"/>
      </rPr>
      <t>*</t>
    </r>
  </si>
  <si>
    <r>
      <t xml:space="preserve">Téléphone </t>
    </r>
    <r>
      <rPr>
        <sz val="11"/>
        <color rgb="FFFF0000"/>
        <rFont val="Calibri"/>
        <family val="2"/>
        <scheme val="minor"/>
      </rPr>
      <t>*</t>
    </r>
  </si>
  <si>
    <r>
      <t xml:space="preserve">E-mail </t>
    </r>
    <r>
      <rPr>
        <sz val="11"/>
        <color rgb="FFFF0000"/>
        <rFont val="Calibri"/>
        <family val="2"/>
        <scheme val="minor"/>
      </rPr>
      <t>*</t>
    </r>
  </si>
  <si>
    <r>
      <t xml:space="preserve">Coopérative d'habitation </t>
    </r>
    <r>
      <rPr>
        <sz val="11"/>
        <color rgb="FFFF0000"/>
        <rFont val="Calibri"/>
        <family val="2"/>
        <scheme val="minor"/>
      </rPr>
      <t>*</t>
    </r>
  </si>
  <si>
    <r>
      <t xml:space="preserve">Accord pour une dérogation au contingent LGL pour l'ensemble des logements </t>
    </r>
    <r>
      <rPr>
        <sz val="11"/>
        <color rgb="FFFF0000"/>
        <rFont val="Calibri"/>
        <family val="2"/>
        <scheme val="minor"/>
      </rPr>
      <t>*</t>
    </r>
  </si>
  <si>
    <r>
      <t xml:space="preserve">LDTR appliquée </t>
    </r>
    <r>
      <rPr>
        <sz val="11"/>
        <color rgb="FFFF0000"/>
        <rFont val="Calibri"/>
        <family val="2"/>
        <scheme val="minor"/>
      </rPr>
      <t>*</t>
    </r>
  </si>
  <si>
    <r>
      <t xml:space="preserve">Ascenseur </t>
    </r>
    <r>
      <rPr>
        <sz val="11"/>
        <color rgb="FFFF0000"/>
        <rFont val="Calibri"/>
        <family val="2"/>
        <scheme val="minor"/>
      </rPr>
      <t>*</t>
    </r>
  </si>
  <si>
    <r>
      <t xml:space="preserve">Combles habitables </t>
    </r>
    <r>
      <rPr>
        <sz val="11"/>
        <color rgb="FFFF0000"/>
        <rFont val="Calibri"/>
        <family val="2"/>
        <scheme val="minor"/>
      </rPr>
      <t>*</t>
    </r>
  </si>
  <si>
    <r>
      <t xml:space="preserve">Balcons - loggias </t>
    </r>
    <r>
      <rPr>
        <sz val="11"/>
        <color rgb="FFFF0000"/>
        <rFont val="Calibri"/>
        <family val="2"/>
        <scheme val="minor"/>
      </rPr>
      <t>*</t>
    </r>
  </si>
  <si>
    <r>
      <t xml:space="preserve">Terrasses </t>
    </r>
    <r>
      <rPr>
        <sz val="11"/>
        <color rgb="FFFF0000"/>
        <rFont val="Calibri"/>
        <family val="2"/>
        <scheme val="minor"/>
      </rPr>
      <t>*</t>
    </r>
  </si>
  <si>
    <r>
      <t xml:space="preserve">Jardins </t>
    </r>
    <r>
      <rPr>
        <sz val="11"/>
        <color rgb="FFFF0000"/>
        <rFont val="Calibri"/>
        <family val="2"/>
        <scheme val="minor"/>
      </rPr>
      <t>*</t>
    </r>
  </si>
  <si>
    <r>
      <t xml:space="preserve">Autres surfaces </t>
    </r>
    <r>
      <rPr>
        <sz val="11"/>
        <color rgb="FFFF0000"/>
        <rFont val="Calibri"/>
        <family val="2"/>
        <scheme val="minor"/>
      </rPr>
      <t>*</t>
    </r>
  </si>
  <si>
    <t>PROJET</t>
  </si>
  <si>
    <t>Numéro PLQ</t>
  </si>
  <si>
    <t>Civilité</t>
  </si>
  <si>
    <t>Madame</t>
  </si>
  <si>
    <t>Monsieur</t>
  </si>
  <si>
    <t>Raison sociale</t>
  </si>
  <si>
    <t>FIDP</t>
  </si>
  <si>
    <t>Fondation HBM Camille Martin</t>
  </si>
  <si>
    <t>Fondation HBM Emma Kammacher</t>
  </si>
  <si>
    <t>Fondation HBM Jean Dutoit</t>
  </si>
  <si>
    <t>Fondation René et Kate Block</t>
  </si>
  <si>
    <t xml:space="preserve"> </t>
  </si>
  <si>
    <t>Boolean</t>
  </si>
  <si>
    <t xml:space="preserve">ans </t>
  </si>
  <si>
    <t>ans</t>
  </si>
  <si>
    <t>HBM LUP</t>
  </si>
  <si>
    <t>HLM LUP</t>
  </si>
  <si>
    <t>HM LUP</t>
  </si>
  <si>
    <t>ZDLOC</t>
  </si>
  <si>
    <t>ZDPPE</t>
  </si>
  <si>
    <t>HBM</t>
  </si>
  <si>
    <t>HLM</t>
  </si>
  <si>
    <t>HM</t>
  </si>
  <si>
    <r>
      <t xml:space="preserve">Numéro OCLPF </t>
    </r>
    <r>
      <rPr>
        <sz val="11"/>
        <color rgb="FFFF0000"/>
        <rFont val="Calibri"/>
        <family val="2"/>
        <scheme val="minor"/>
      </rPr>
      <t>*</t>
    </r>
  </si>
  <si>
    <t>Numéro visible sur le préavis OCLPF de l'autorisation de construire</t>
  </si>
  <si>
    <t>catégorie LUP</t>
  </si>
  <si>
    <t>Pendant une durée de</t>
  </si>
  <si>
    <t>Permanent</t>
  </si>
  <si>
    <t>Mono orientée</t>
  </si>
  <si>
    <t xml:space="preserve">Triple </t>
  </si>
  <si>
    <t>Quadruple</t>
  </si>
  <si>
    <t>Orientations</t>
  </si>
  <si>
    <t>Particularités</t>
  </si>
  <si>
    <t>Liste des adresses</t>
  </si>
  <si>
    <t>N° palier</t>
  </si>
  <si>
    <t>N° plan</t>
  </si>
  <si>
    <t>Spécificité</t>
  </si>
  <si>
    <t>Contingent LGL</t>
  </si>
  <si>
    <t>Total pièces RGL</t>
  </si>
  <si>
    <t>Nb occupants moyen</t>
  </si>
  <si>
    <t>Loyer annuel LDTR maximum autorisé</t>
  </si>
  <si>
    <t>Loyer annuel maximum retenu</t>
  </si>
  <si>
    <t>Date d'entrée dans le logement</t>
  </si>
  <si>
    <t>Commentaires</t>
  </si>
  <si>
    <t>Arcades</t>
  </si>
  <si>
    <t>Ateliers</t>
  </si>
  <si>
    <t>Bureaux</t>
  </si>
  <si>
    <t>Dépôts</t>
  </si>
  <si>
    <t>Locaux IEPA</t>
  </si>
  <si>
    <t>Locaux communs non rentes</t>
  </si>
  <si>
    <t>Locataire(s)</t>
  </si>
  <si>
    <t>Propriétaire(s)</t>
  </si>
  <si>
    <t>M2</t>
  </si>
  <si>
    <t>Nb Pièces (cusine comprise)</t>
  </si>
  <si>
    <t>MiniSuperficie</t>
  </si>
  <si>
    <t>MiniPièces</t>
  </si>
  <si>
    <t>Total point</t>
  </si>
  <si>
    <t>Pondération HSP haut</t>
  </si>
  <si>
    <t>Pondération HSP moyen</t>
  </si>
  <si>
    <t>Pondération HSP bas</t>
  </si>
  <si>
    <t>Pondération balcon</t>
  </si>
  <si>
    <t>Pondération terrasses</t>
  </si>
  <si>
    <t>Pondération jardin</t>
  </si>
  <si>
    <t>Pondération autres surfaces</t>
  </si>
  <si>
    <t>De base</t>
  </si>
  <si>
    <t>Particularité</t>
  </si>
  <si>
    <t>Etage auto</t>
  </si>
  <si>
    <t>E 3111</t>
  </si>
  <si>
    <t>E 3112</t>
  </si>
  <si>
    <t>E 3113</t>
  </si>
  <si>
    <t>E 3114</t>
  </si>
  <si>
    <t>E 3115</t>
  </si>
  <si>
    <t>Fr. / m2</t>
  </si>
  <si>
    <r>
      <t xml:space="preserve">Adresse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</si>
  <si>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Etage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</si>
  <si>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Logement LDTR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</si>
  <si>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Nb minimum de pièces habitables distinctes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</si>
  <si>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Surface nette RGL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</si>
  <si>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HSP ≥ 2.6m </t>
    </r>
    <r>
      <rPr>
        <b/>
        <sz val="11"/>
        <color rgb="FFFF0000"/>
        <rFont val="Calibri"/>
        <family val="2"/>
        <scheme val="minor"/>
      </rPr>
      <t>*</t>
    </r>
  </si>
  <si>
    <t>Prix de vente maximum autorisé</t>
  </si>
  <si>
    <t>Prix de vente effectif (selon acte de vente)</t>
  </si>
  <si>
    <t xml:space="preserve">Loyer annuel effectif </t>
  </si>
  <si>
    <t>Surfaces commerciales</t>
  </si>
  <si>
    <t>Pondérations</t>
  </si>
  <si>
    <t>Garages</t>
  </si>
  <si>
    <r>
      <t xml:space="preserve">Type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</si>
  <si>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N° lot PPE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</si>
  <si>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Prix de vente </t>
    </r>
    <r>
      <rPr>
        <b/>
        <sz val="11"/>
        <color rgb="FFFF0000"/>
        <rFont val="Calibri"/>
        <family val="2"/>
        <scheme val="minor"/>
      </rPr>
      <t>*</t>
    </r>
  </si>
  <si>
    <t xml:space="preserve">Locataire(s) </t>
  </si>
  <si>
    <t>1. Arcades</t>
  </si>
  <si>
    <t>2. Ateliers</t>
  </si>
  <si>
    <t>3. Bureaux</t>
  </si>
  <si>
    <t>4. Dépôts</t>
  </si>
  <si>
    <t>1. Places simples</t>
  </si>
  <si>
    <t>2. Places doubles (en enfilade)</t>
  </si>
  <si>
    <t>3. Box simples</t>
  </si>
  <si>
    <t>4. Box doubles</t>
  </si>
  <si>
    <t>5. Places moto</t>
  </si>
  <si>
    <t xml:space="preserve">6. Places vélo cargo </t>
  </si>
  <si>
    <t>7. Places vélo</t>
  </si>
  <si>
    <t>8. Autres</t>
  </si>
  <si>
    <t xml:space="preserve">Récapitulatif projet </t>
  </si>
  <si>
    <t>Récapitulatif par adresse</t>
  </si>
  <si>
    <t>% logts</t>
  </si>
  <si>
    <t>% pièces</t>
  </si>
  <si>
    <t>Nombre logts</t>
  </si>
  <si>
    <t>Min ≤ 90%</t>
  </si>
  <si>
    <t>90% &lt; x ≤ 130%</t>
  </si>
  <si>
    <t>Max &gt; 100%</t>
  </si>
  <si>
    <t>60% ≤ 4 pièces</t>
  </si>
  <si>
    <t>10% ≥ 5.5 pièces</t>
  </si>
  <si>
    <t>20% ≤ 100 m2</t>
  </si>
  <si>
    <t>20% ≥ 130 m2</t>
  </si>
  <si>
    <t>Principe des 3 tiers</t>
  </si>
  <si>
    <t>Contingent 60 / 40</t>
  </si>
  <si>
    <t>Catégorie LUP initiale</t>
  </si>
  <si>
    <t>HSP ≥ 2.6m</t>
  </si>
  <si>
    <t>1.8m &lt; HSP &lt; 2.6m</t>
  </si>
  <si>
    <t>HSP  ≤  1.8m</t>
  </si>
  <si>
    <t>Veuillez reporter ci-dessous les informations du formulaire C01</t>
  </si>
  <si>
    <t>Récapitulatif par plan financier</t>
  </si>
  <si>
    <t>Plan financier rubrique</t>
  </si>
  <si>
    <t>Logements</t>
  </si>
  <si>
    <r>
      <t xml:space="preserve">Numéro autorisation de construire (ex : DD/123456/1) </t>
    </r>
    <r>
      <rPr>
        <sz val="11"/>
        <color rgb="FFFF0000"/>
        <rFont val="Calibri"/>
        <family val="2"/>
        <scheme val="minor"/>
      </rPr>
      <t>*</t>
    </r>
  </si>
  <si>
    <t>%</t>
  </si>
  <si>
    <t>Typologie des logements vente</t>
  </si>
  <si>
    <t>Typologie des logements locatif</t>
  </si>
  <si>
    <t>TOTAL</t>
  </si>
  <si>
    <t>Liste des communes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</si>
  <si>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</si>
  <si>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</si>
  <si>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</si>
  <si>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</si>
  <si>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</si>
  <si>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</si>
  <si>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</si>
  <si>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</si>
  <si>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</si>
  <si>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</si>
  <si>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</si>
  <si>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</si>
  <si>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</si>
  <si>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</si>
  <si>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</si>
  <si>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</si>
  <si>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</si>
  <si>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</si>
  <si>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</si>
  <si>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</si>
  <si>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</si>
  <si>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</si>
  <si>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</si>
  <si>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</si>
  <si>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</si>
  <si>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</si>
  <si>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</si>
  <si>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</si>
  <si>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</si>
  <si>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</si>
  <si>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</si>
  <si>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</si>
  <si>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</si>
  <si>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</si>
  <si>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</si>
  <si>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</si>
  <si>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</si>
  <si>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</si>
  <si>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</si>
  <si>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</si>
  <si>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</si>
  <si>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</si>
  <si>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</si>
  <si>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</si>
  <si>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Double - traversant</t>
  </si>
  <si>
    <t xml:space="preserve">Double - angle </t>
  </si>
  <si>
    <r>
      <t xml:space="preserve">Contingent LGL </t>
    </r>
    <r>
      <rPr>
        <b/>
        <sz val="11"/>
        <color rgb="FFFF0000"/>
        <rFont val="Calibri"/>
        <family val="2"/>
        <scheme val="minor"/>
      </rPr>
      <t>*</t>
    </r>
  </si>
  <si>
    <t>N° lot PPE</t>
  </si>
  <si>
    <t>5. Locaux communs non rentes</t>
  </si>
  <si>
    <t>6. Locaux IEPA</t>
  </si>
  <si>
    <t>7. Chambres d'ami</t>
  </si>
  <si>
    <t>8. Logements à mixité intégrée</t>
  </si>
  <si>
    <t>9. Autres surfaces</t>
  </si>
  <si>
    <t>FORMULAIRE C10 - état locatif et plan de vente</t>
  </si>
  <si>
    <r>
      <t xml:space="preserve">Les champs à renseigner sont avec une couleur de fond blanche.
Les champs grisés sont soit renseignés par les gestionnaires de l'administration soit calculés automatiquement par le formulaire.
Les informations obligatoires à la saisie sont indiquées par le symbole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.</t>
    </r>
  </si>
  <si>
    <t>Cluster</t>
  </si>
  <si>
    <t>Dérogation TO / TE</t>
  </si>
  <si>
    <t>Les valeurs avec un fond blanc sont proposées par défaut mais modifiables pour autant qu'elles restent adéquates.</t>
  </si>
  <si>
    <t>Fondation HBM Emile Dupont</t>
  </si>
  <si>
    <t>EWID</t>
  </si>
  <si>
    <t>Informations générales</t>
  </si>
  <si>
    <t>Description autres surfaces</t>
  </si>
  <si>
    <t>Si non FIDP, Propriétaire - nom, prénom ou raison sociale</t>
  </si>
  <si>
    <t>Sous-pente HSP ≤ 1.8m</t>
  </si>
  <si>
    <r>
      <t xml:space="preserve">Sous-pente 1.8m &lt; HSP &lt; 2.6m </t>
    </r>
    <r>
      <rPr>
        <b/>
        <sz val="11"/>
        <color rgb="FFFF0000"/>
        <rFont val="Calibri"/>
        <family val="2"/>
        <scheme val="minor"/>
      </rPr>
      <t>*</t>
    </r>
  </si>
  <si>
    <t>Etage garages</t>
  </si>
  <si>
    <t>Etage logements</t>
  </si>
  <si>
    <t>Etage suf. Comm.</t>
  </si>
  <si>
    <t>Case postale</t>
  </si>
  <si>
    <t>Genève-Cité</t>
  </si>
  <si>
    <t>Genève-Eaux-Vives</t>
  </si>
  <si>
    <t>Genève-Petit-Saconnex</t>
  </si>
  <si>
    <t>Genève-Plainpalais</t>
  </si>
  <si>
    <t>Logts subventionnés</t>
  </si>
  <si>
    <t>Logts subventionnables (HM)</t>
  </si>
  <si>
    <t>Logts non subventionnés</t>
  </si>
  <si>
    <r>
      <t xml:space="preserve">Frs/an </t>
    </r>
    <r>
      <rPr>
        <b/>
        <sz val="11"/>
        <color rgb="FFFF0000"/>
        <rFont val="Calibri"/>
        <family val="2"/>
        <scheme val="minor"/>
      </rPr>
      <t>*</t>
    </r>
  </si>
  <si>
    <t>N/A</t>
  </si>
  <si>
    <t>A l'issue de cette période,</t>
  </si>
  <si>
    <r>
      <t xml:space="preserve">N° palier (SIG) </t>
    </r>
    <r>
      <rPr>
        <b/>
        <sz val="11"/>
        <color rgb="FFFF0000"/>
        <rFont val="Calibri"/>
        <family val="2"/>
        <scheme val="minor"/>
      </rPr>
      <t>*</t>
    </r>
  </si>
  <si>
    <t>AD</t>
  </si>
  <si>
    <t>Loyers AD</t>
  </si>
  <si>
    <t>Loyers DML</t>
  </si>
  <si>
    <t>Loyer annuel  maximum retenu futur (art. 42 LGL)</t>
  </si>
  <si>
    <t>Loyer annuel effectif futur (art. 42 LGL)</t>
  </si>
  <si>
    <t>Loyer annuel maximum autorisé futur</t>
  </si>
  <si>
    <t>Loyer annuel LDTR maximum autorisé futur</t>
  </si>
  <si>
    <r>
      <t>Adresse</t>
    </r>
    <r>
      <rPr>
        <b/>
        <sz val="11"/>
        <color rgb="FFFF0000"/>
        <rFont val="Calibri"/>
        <family val="2"/>
        <scheme val="minor"/>
      </rPr>
      <t xml:space="preserve"> *</t>
    </r>
  </si>
  <si>
    <r>
      <t xml:space="preserve">Surface PPE (m²)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</si>
  <si>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Surface locative (m²)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</si>
  <si>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Nombre d'unité(s) </t>
    </r>
    <r>
      <rPr>
        <b/>
        <sz val="11"/>
        <color rgb="FFFF0000"/>
        <rFont val="Calibri"/>
        <family val="2"/>
        <scheme val="minor"/>
      </rPr>
      <t>*</t>
    </r>
  </si>
  <si>
    <t>Légende</t>
  </si>
  <si>
    <t>Loyer annuel max autorisé / Futur</t>
  </si>
  <si>
    <r>
      <t xml:space="preserve">Loyer annuel effectif / futur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</si>
  <si>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Loyer annuel effectif /futur </t>
    </r>
    <r>
      <rPr>
        <b/>
        <sz val="11"/>
        <color rgb="FFFF0000"/>
        <rFont val="Calibri"/>
        <family val="2"/>
        <scheme val="minor"/>
      </rPr>
      <t>*</t>
    </r>
  </si>
  <si>
    <t>Prix de vente effectif</t>
  </si>
  <si>
    <r>
      <t xml:space="preserve">Fondation immobilière de droit public cantonal HBM </t>
    </r>
    <r>
      <rPr>
        <sz val="11"/>
        <color rgb="FFFF0000"/>
        <rFont val="Calibri"/>
        <family val="2"/>
        <scheme val="minor"/>
      </rPr>
      <t>*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</si>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</sst>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General&quot; m²&quot;"/>
    <numFmt numFmtId="165" formatCode="&quot;fr.&quot;\ #,##0.00"/>
    <numFmt numFmtId="166" formatCode="General&quot; fr / m²&quot;"/>
    <numFmt numFmtId="167" formatCode="0.0"/>
    <numFmt numFmtId="168" formatCode="&quot;fr.&quot;\ #,##0"/>
    <numFmt numFmtId="169" formatCode="General\ &quot;pièce(s)&quot;"/>
    <numFmt numFmtId="170" formatCode="0.0\ &quot;pièce(s)&quot;"/>
    <numFmt numFmtId="171" formatCode="0.0%"/>
    <numFmt numFmtId="172" formatCode="&quot;fr.&quot;\ #,##0.0"/>
    <numFmt numFmtId="173" formatCode="0\ &quot;logts&quot;"/>
    <numFmt numFmtId="174" formatCode="0.0\ &quot;pièces&quot;"/>
    <numFmt numFmtId="175" formatCode="General\ &quot;logts&quot;"/>
    <numFmt numFmtId="176" formatCode="#,##0\ &quot;m²&quot;"/>
    <numFmt numFmtId="177" formatCode="#,##0.0\ &quot;m²&quot;"/>
    <numFmt numFmtId="178" formatCode="#,##0.0\ &quot;pièce(s)&quot;"/>
  </numFmts>
  <fonts count="23" x14ac:knownFonts="1">
    <font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rgb="FF0099CC"/>
      <name val="Calibri"/>
      <family val="2"/>
      <scheme val="minor"/>
    </font>
    <font>
      <sz val="9"/>
      <color theme="1"/>
      <name val="Arial"/>
      <family val="2"/>
    </font>
    <font>
      <sz val="10"/>
      <name val="Helv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3">
    <xf numFmtId="0" fontId="0" fillId="0" borderId="0"/>
    <xf numFmtId="0" fontId="10" fillId="0" borderId="0"/>
    <xf numFmtId="0" fontId="17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9" fillId="3" borderId="0" xfId="0" applyFont="1" applyFill="1" applyAlignment="1" applyProtection="1">
      <alignment vertical="top"/>
      <protection hidden="1"/>
    </xf>
    <xf numFmtId="0" fontId="11" fillId="3" borderId="0" xfId="1" applyFont="1" applyFill="1" applyAlignment="1" applyProtection="1">
      <alignment vertical="top"/>
      <protection hidden="1"/>
    </xf>
    <xf numFmtId="0" fontId="12" fillId="3" borderId="0" xfId="1" applyFont="1" applyFill="1" applyAlignment="1" applyProtection="1">
      <alignment vertical="top"/>
      <protection hidden="1"/>
    </xf>
    <xf numFmtId="0" fontId="0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9" fontId="4" fillId="0" borderId="2" xfId="0" applyNumberFormat="1" applyFont="1" applyBorder="1" applyAlignment="1">
      <alignment horizontal="left" vertical="top"/>
    </xf>
    <xf numFmtId="0" fontId="5" fillId="0" borderId="0" xfId="0" applyFont="1"/>
    <xf numFmtId="9" fontId="4" fillId="0" borderId="2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9" fontId="0" fillId="0" borderId="0" xfId="0" applyNumberFormat="1" applyFont="1" applyFill="1" applyBorder="1" applyAlignment="1">
      <alignment horizontal="left" wrapText="1"/>
    </xf>
    <xf numFmtId="9" fontId="0" fillId="0" borderId="0" xfId="0" applyNumberFormat="1" applyFont="1" applyFill="1" applyBorder="1" applyAlignment="1">
      <alignment horizontal="left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9" fontId="0" fillId="0" borderId="0" xfId="0" applyNumberFormat="1" applyFont="1" applyBorder="1" applyAlignment="1">
      <alignment horizontal="right"/>
    </xf>
    <xf numFmtId="0" fontId="0" fillId="0" borderId="6" xfId="0" applyFont="1" applyBorder="1"/>
    <xf numFmtId="0" fontId="0" fillId="0" borderId="6" xfId="0" applyBorder="1"/>
    <xf numFmtId="0" fontId="0" fillId="0" borderId="0" xfId="0" applyFont="1" applyAlignment="1">
      <alignment horizontal="left" vertical="top"/>
    </xf>
    <xf numFmtId="49" fontId="0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right"/>
    </xf>
    <xf numFmtId="9" fontId="0" fillId="0" borderId="5" xfId="0" applyNumberFormat="1" applyFont="1" applyBorder="1" applyAlignment="1">
      <alignment horizontal="left" vertical="top"/>
    </xf>
    <xf numFmtId="9" fontId="0" fillId="0" borderId="0" xfId="0" applyNumberFormat="1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49" fontId="4" fillId="0" borderId="2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8" xfId="0" applyBorder="1"/>
    <xf numFmtId="0" fontId="4" fillId="0" borderId="6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16" fillId="0" borderId="0" xfId="0" applyFont="1"/>
    <xf numFmtId="0" fontId="9" fillId="3" borderId="0" xfId="0" applyFont="1" applyFill="1" applyAlignment="1" applyProtection="1">
      <alignment horizontal="left" vertical="top"/>
      <protection hidden="1"/>
    </xf>
    <xf numFmtId="0" fontId="11" fillId="3" borderId="0" xfId="1" applyFont="1" applyFill="1" applyAlignment="1" applyProtection="1">
      <alignment horizontal="left" vertical="top"/>
      <protection hidden="1"/>
    </xf>
    <xf numFmtId="0" fontId="12" fillId="3" borderId="0" xfId="1" applyFont="1" applyFill="1" applyAlignment="1" applyProtection="1">
      <alignment horizontal="left" vertical="top"/>
      <protection hidden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4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4" fontId="0" fillId="0" borderId="2" xfId="0" applyNumberFormat="1" applyFont="1" applyBorder="1" applyAlignment="1">
      <alignment horizontal="left" vertical="top"/>
    </xf>
    <xf numFmtId="4" fontId="0" fillId="0" borderId="2" xfId="0" applyNumberFormat="1" applyFont="1" applyBorder="1" applyAlignment="1">
      <alignment horizontal="left" vertical="top" wrapText="1"/>
    </xf>
    <xf numFmtId="4" fontId="0" fillId="2" borderId="2" xfId="0" applyNumberFormat="1" applyFont="1" applyFill="1" applyBorder="1" applyAlignment="1">
      <alignment horizontal="left" vertical="top"/>
    </xf>
    <xf numFmtId="171" fontId="0" fillId="0" borderId="2" xfId="0" applyNumberFormat="1" applyFont="1" applyBorder="1" applyAlignment="1">
      <alignment horizontal="left" vertical="top"/>
    </xf>
    <xf numFmtId="171" fontId="0" fillId="0" borderId="2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171" fontId="0" fillId="2" borderId="2" xfId="0" applyNumberFormat="1" applyFont="1" applyFill="1" applyBorder="1" applyAlignment="1">
      <alignment horizontal="left" vertical="top" wrapText="1"/>
    </xf>
    <xf numFmtId="171" fontId="0" fillId="2" borderId="2" xfId="0" applyNumberFormat="1" applyFont="1" applyFill="1" applyBorder="1" applyAlignment="1">
      <alignment horizontal="left" vertical="top"/>
    </xf>
    <xf numFmtId="9" fontId="0" fillId="0" borderId="0" xfId="0" applyNumberFormat="1"/>
    <xf numFmtId="10" fontId="0" fillId="0" borderId="0" xfId="0" applyNumberFormat="1"/>
    <xf numFmtId="49" fontId="0" fillId="0" borderId="0" xfId="0" applyNumberFormat="1"/>
    <xf numFmtId="0" fontId="0" fillId="2" borderId="2" xfId="0" applyNumberFormat="1" applyFill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9" fontId="0" fillId="2" borderId="2" xfId="0" applyNumberFormat="1" applyFill="1" applyBorder="1" applyAlignment="1">
      <alignment horizontal="left" vertical="top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2" xfId="0" applyNumberFormat="1" applyFont="1" applyBorder="1" applyAlignment="1" applyProtection="1">
      <alignment horizontal="left" vertical="top"/>
      <protection locked="0"/>
    </xf>
    <xf numFmtId="1" fontId="0" fillId="0" borderId="2" xfId="0" applyNumberFormat="1" applyFont="1" applyBorder="1" applyAlignment="1" applyProtection="1">
      <alignment horizontal="left" vertical="top"/>
      <protection locked="0"/>
    </xf>
    <xf numFmtId="9" fontId="0" fillId="0" borderId="2" xfId="0" applyNumberFormat="1" applyFont="1" applyBorder="1" applyAlignment="1" applyProtection="1">
      <alignment horizontal="left" vertical="top"/>
      <protection locked="0"/>
    </xf>
    <xf numFmtId="49" fontId="17" fillId="0" borderId="2" xfId="2" applyNumberFormat="1" applyBorder="1" applyAlignment="1" applyProtection="1">
      <alignment horizontal="left" vertical="top"/>
      <protection locked="0"/>
    </xf>
    <xf numFmtId="49" fontId="0" fillId="2" borderId="2" xfId="0" applyNumberFormat="1" applyFont="1" applyFill="1" applyBorder="1" applyAlignment="1" applyProtection="1">
      <alignment horizontal="left"/>
      <protection locked="0"/>
    </xf>
    <xf numFmtId="168" fontId="0" fillId="0" borderId="2" xfId="0" applyNumberFormat="1" applyFont="1" applyBorder="1" applyAlignment="1" applyProtection="1">
      <alignment horizontal="left" vertical="top"/>
      <protection locked="0"/>
    </xf>
    <xf numFmtId="167" fontId="0" fillId="0" borderId="2" xfId="0" applyNumberFormat="1" applyFont="1" applyBorder="1" applyAlignment="1" applyProtection="1">
      <alignment horizontal="left" vertical="top"/>
      <protection locked="0"/>
    </xf>
    <xf numFmtId="172" fontId="0" fillId="0" borderId="2" xfId="0" applyNumberFormat="1" applyFont="1" applyBorder="1" applyAlignment="1" applyProtection="1">
      <alignment horizontal="left" vertical="top"/>
      <protection locked="0"/>
    </xf>
    <xf numFmtId="9" fontId="0" fillId="0" borderId="3" xfId="0" applyNumberFormat="1" applyFont="1" applyBorder="1" applyAlignment="1" applyProtection="1">
      <alignment horizontal="left" vertical="top" wrapText="1"/>
      <protection locked="0"/>
    </xf>
    <xf numFmtId="9" fontId="0" fillId="0" borderId="3" xfId="0" applyNumberFormat="1" applyFont="1" applyBorder="1" applyAlignment="1" applyProtection="1">
      <alignment horizontal="left" vertical="top"/>
      <protection locked="0"/>
    </xf>
    <xf numFmtId="9" fontId="0" fillId="0" borderId="4" xfId="0" applyNumberFormat="1" applyFont="1" applyBorder="1" applyAlignment="1" applyProtection="1">
      <alignment horizontal="left" vertical="top" wrapText="1"/>
      <protection locked="0"/>
    </xf>
    <xf numFmtId="9" fontId="0" fillId="0" borderId="4" xfId="0" applyNumberFormat="1" applyFont="1" applyBorder="1" applyAlignment="1" applyProtection="1">
      <alignment horizontal="left" vertical="top"/>
      <protection locked="0"/>
    </xf>
    <xf numFmtId="1" fontId="0" fillId="2" borderId="2" xfId="0" applyNumberFormat="1" applyFont="1" applyFill="1" applyBorder="1" applyAlignment="1" applyProtection="1">
      <alignment horizontal="left" vertical="top"/>
      <protection locked="0"/>
    </xf>
    <xf numFmtId="14" fontId="0" fillId="0" borderId="2" xfId="0" applyNumberFormat="1" applyFont="1" applyBorder="1" applyAlignment="1" applyProtection="1">
      <alignment horizontal="left" vertical="top"/>
      <protection locked="0"/>
    </xf>
    <xf numFmtId="0" fontId="0" fillId="0" borderId="2" xfId="0" applyNumberFormat="1" applyFont="1" applyBorder="1" applyAlignment="1" applyProtection="1">
      <alignment horizontal="left" vertical="top"/>
      <protection locked="0"/>
    </xf>
    <xf numFmtId="49" fontId="0" fillId="0" borderId="2" xfId="0" applyNumberFormat="1" applyFont="1" applyBorder="1" applyAlignment="1" applyProtection="1">
      <alignment vertical="top"/>
      <protection locked="0"/>
    </xf>
    <xf numFmtId="49" fontId="0" fillId="0" borderId="2" xfId="0" applyNumberFormat="1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wrapText="1"/>
    </xf>
    <xf numFmtId="9" fontId="4" fillId="2" borderId="2" xfId="0" applyNumberFormat="1" applyFont="1" applyFill="1" applyBorder="1" applyAlignment="1">
      <alignment horizontal="left"/>
    </xf>
    <xf numFmtId="9" fontId="0" fillId="0" borderId="3" xfId="0" applyNumberFormat="1" applyFont="1" applyBorder="1" applyAlignment="1" applyProtection="1">
      <alignment horizontal="left" vertical="top"/>
      <protection locked="0"/>
    </xf>
    <xf numFmtId="9" fontId="0" fillId="0" borderId="4" xfId="0" applyNumberFormat="1" applyFont="1" applyBorder="1" applyAlignment="1" applyProtection="1">
      <alignment horizontal="left" vertical="top"/>
      <protection locked="0"/>
    </xf>
    <xf numFmtId="9" fontId="0" fillId="0" borderId="3" xfId="0" applyNumberFormat="1" applyFont="1" applyBorder="1" applyAlignment="1" applyProtection="1">
      <alignment horizontal="left" vertical="top" wrapText="1"/>
      <protection locked="0"/>
    </xf>
    <xf numFmtId="9" fontId="0" fillId="2" borderId="2" xfId="0" applyNumberFormat="1" applyFont="1" applyFill="1" applyBorder="1" applyAlignment="1" applyProtection="1">
      <alignment horizontal="left" vertical="top"/>
    </xf>
    <xf numFmtId="171" fontId="0" fillId="0" borderId="2" xfId="0" applyNumberFormat="1" applyFont="1" applyBorder="1" applyAlignment="1" applyProtection="1">
      <alignment horizontal="left" vertical="top"/>
      <protection locked="0"/>
    </xf>
    <xf numFmtId="0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1" xfId="0" applyBorder="1" applyAlignment="1">
      <alignment horizontal="right" vertical="top"/>
    </xf>
    <xf numFmtId="170" fontId="0" fillId="3" borderId="2" xfId="0" applyNumberFormat="1" applyFont="1" applyFill="1" applyBorder="1" applyAlignment="1" applyProtection="1">
      <alignment horizontal="right" vertical="top"/>
      <protection locked="0"/>
    </xf>
    <xf numFmtId="170" fontId="0" fillId="2" borderId="2" xfId="0" applyNumberFormat="1" applyFont="1" applyFill="1" applyBorder="1" applyAlignment="1">
      <alignment horizontal="right" vertical="top"/>
    </xf>
    <xf numFmtId="1" fontId="0" fillId="2" borderId="2" xfId="0" applyNumberFormat="1" applyFont="1" applyFill="1" applyBorder="1" applyAlignment="1">
      <alignment horizontal="right" vertical="top"/>
    </xf>
    <xf numFmtId="168" fontId="0" fillId="2" borderId="2" xfId="0" applyNumberFormat="1" applyFont="1" applyFill="1" applyBorder="1" applyAlignment="1">
      <alignment horizontal="right" vertical="top"/>
    </xf>
    <xf numFmtId="168" fontId="0" fillId="0" borderId="2" xfId="0" applyNumberFormat="1" applyFont="1" applyBorder="1" applyAlignment="1" applyProtection="1">
      <alignment horizontal="right" vertical="top"/>
      <protection locked="0"/>
    </xf>
    <xf numFmtId="174" fontId="0" fillId="2" borderId="2" xfId="0" applyNumberFormat="1" applyFont="1" applyFill="1" applyBorder="1" applyAlignment="1">
      <alignment horizontal="right" vertical="top" wrapText="1"/>
    </xf>
    <xf numFmtId="168" fontId="0" fillId="3" borderId="2" xfId="0" applyNumberFormat="1" applyFont="1" applyFill="1" applyBorder="1" applyAlignment="1" applyProtection="1">
      <alignment horizontal="right" vertical="top" wrapText="1"/>
      <protection locked="0"/>
    </xf>
    <xf numFmtId="168" fontId="0" fillId="0" borderId="2" xfId="0" applyNumberFormat="1" applyFont="1" applyBorder="1" applyAlignment="1" applyProtection="1">
      <alignment horizontal="right" vertical="top" wrapText="1"/>
      <protection locked="0"/>
    </xf>
    <xf numFmtId="3" fontId="0" fillId="2" borderId="2" xfId="0" applyNumberFormat="1" applyFont="1" applyFill="1" applyBorder="1" applyAlignment="1">
      <alignment horizontal="right" vertical="top" wrapText="1"/>
    </xf>
    <xf numFmtId="1" fontId="0" fillId="3" borderId="2" xfId="0" applyNumberFormat="1" applyFont="1" applyFill="1" applyBorder="1" applyAlignment="1" applyProtection="1">
      <alignment horizontal="right" vertical="top" wrapText="1"/>
      <protection locked="0"/>
    </xf>
    <xf numFmtId="165" fontId="0" fillId="2" borderId="2" xfId="0" applyNumberFormat="1" applyFont="1" applyFill="1" applyBorder="1" applyAlignment="1">
      <alignment horizontal="right" vertical="top" wrapText="1"/>
    </xf>
    <xf numFmtId="9" fontId="0" fillId="0" borderId="0" xfId="0" applyNumberFormat="1" applyFont="1" applyBorder="1" applyAlignment="1" applyProtection="1">
      <alignment horizontal="left" vertical="top"/>
      <protection locked="0"/>
    </xf>
    <xf numFmtId="0" fontId="18" fillId="0" borderId="7" xfId="0" applyFont="1" applyBorder="1" applyAlignment="1">
      <alignment horizontal="right"/>
    </xf>
    <xf numFmtId="0" fontId="18" fillId="2" borderId="5" xfId="0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left" wrapText="1"/>
    </xf>
    <xf numFmtId="164" fontId="18" fillId="2" borderId="0" xfId="0" applyNumberFormat="1" applyFont="1" applyFill="1" applyAlignment="1">
      <alignment horizontal="left" wrapText="1"/>
    </xf>
    <xf numFmtId="166" fontId="18" fillId="2" borderId="0" xfId="0" applyNumberFormat="1" applyFont="1" applyFill="1" applyAlignment="1">
      <alignment horizontal="left"/>
    </xf>
    <xf numFmtId="173" fontId="18" fillId="2" borderId="0" xfId="0" applyNumberFormat="1" applyFont="1" applyFill="1" applyAlignment="1">
      <alignment horizontal="left"/>
    </xf>
    <xf numFmtId="165" fontId="18" fillId="2" borderId="0" xfId="0" applyNumberFormat="1" applyFont="1" applyFill="1" applyAlignment="1">
      <alignment horizontal="left" wrapText="1"/>
    </xf>
    <xf numFmtId="169" fontId="18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right"/>
    </xf>
    <xf numFmtId="168" fontId="18" fillId="2" borderId="0" xfId="0" applyNumberFormat="1" applyFont="1" applyFill="1" applyAlignment="1">
      <alignment horizontal="right"/>
    </xf>
    <xf numFmtId="0" fontId="18" fillId="2" borderId="4" xfId="0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left" vertical="top"/>
    </xf>
    <xf numFmtId="0" fontId="18" fillId="0" borderId="0" xfId="0" applyFont="1" applyAlignment="1">
      <alignment horizontal="left"/>
    </xf>
    <xf numFmtId="4" fontId="18" fillId="2" borderId="0" xfId="0" applyNumberFormat="1" applyFont="1" applyFill="1" applyAlignment="1">
      <alignment horizontal="left" wrapText="1"/>
    </xf>
    <xf numFmtId="1" fontId="0" fillId="0" borderId="0" xfId="0" applyNumberFormat="1" applyAlignment="1">
      <alignment horizontal="left"/>
    </xf>
    <xf numFmtId="0" fontId="19" fillId="0" borderId="0" xfId="0" applyFont="1"/>
    <xf numFmtId="0" fontId="19" fillId="0" borderId="7" xfId="0" applyFont="1" applyBorder="1" applyAlignment="1">
      <alignment horizontal="center"/>
    </xf>
    <xf numFmtId="166" fontId="19" fillId="2" borderId="0" xfId="0" applyNumberFormat="1" applyFont="1" applyFill="1" applyAlignment="1">
      <alignment horizontal="center"/>
    </xf>
    <xf numFmtId="3" fontId="19" fillId="2" borderId="0" xfId="0" applyNumberFormat="1" applyFont="1" applyFill="1" applyAlignment="1">
      <alignment horizontal="left"/>
    </xf>
    <xf numFmtId="165" fontId="19" fillId="2" borderId="0" xfId="0" applyNumberFormat="1" applyFont="1" applyFill="1" applyAlignment="1">
      <alignment horizontal="left" wrapText="1"/>
    </xf>
    <xf numFmtId="165" fontId="19" fillId="2" borderId="0" xfId="0" applyNumberFormat="1" applyFont="1" applyFill="1" applyAlignment="1">
      <alignment horizontal="center" wrapText="1"/>
    </xf>
    <xf numFmtId="168" fontId="19" fillId="2" borderId="2" xfId="0" applyNumberFormat="1" applyFont="1" applyFill="1" applyBorder="1" applyAlignment="1">
      <alignment horizontal="right" vertical="top" wrapText="1"/>
    </xf>
    <xf numFmtId="49" fontId="19" fillId="2" borderId="2" xfId="0" applyNumberFormat="1" applyFont="1" applyFill="1" applyBorder="1" applyAlignment="1">
      <alignment horizontal="left" vertical="top" wrapText="1"/>
    </xf>
    <xf numFmtId="3" fontId="19" fillId="2" borderId="2" xfId="0" applyNumberFormat="1" applyFont="1" applyFill="1" applyBorder="1" applyAlignment="1">
      <alignment horizontal="right" vertical="top" wrapText="1"/>
    </xf>
    <xf numFmtId="1" fontId="19" fillId="2" borderId="2" xfId="0" applyNumberFormat="1" applyFont="1" applyFill="1" applyBorder="1" applyAlignment="1">
      <alignment horizontal="right" vertical="top" wrapText="1"/>
    </xf>
    <xf numFmtId="165" fontId="19" fillId="2" borderId="2" xfId="0" applyNumberFormat="1" applyFont="1" applyFill="1" applyBorder="1" applyAlignment="1">
      <alignment horizontal="right" vertical="top" wrapText="1"/>
    </xf>
    <xf numFmtId="176" fontId="19" fillId="2" borderId="2" xfId="0" applyNumberFormat="1" applyFont="1" applyFill="1" applyBorder="1" applyAlignment="1">
      <alignment horizontal="right" vertical="top" wrapText="1"/>
    </xf>
    <xf numFmtId="176" fontId="0" fillId="0" borderId="2" xfId="0" applyNumberFormat="1" applyFont="1" applyBorder="1" applyAlignment="1" applyProtection="1">
      <alignment horizontal="right" vertical="top" wrapText="1"/>
      <protection locked="0"/>
    </xf>
    <xf numFmtId="177" fontId="18" fillId="2" borderId="0" xfId="0" applyNumberFormat="1" applyFont="1" applyFill="1" applyAlignment="1">
      <alignment horizontal="right"/>
    </xf>
    <xf numFmtId="177" fontId="0" fillId="0" borderId="2" xfId="0" applyNumberFormat="1" applyFont="1" applyBorder="1" applyAlignment="1" applyProtection="1">
      <alignment horizontal="right" vertical="top"/>
      <protection locked="0"/>
    </xf>
    <xf numFmtId="177" fontId="19" fillId="2" borderId="2" xfId="0" applyNumberFormat="1" applyFont="1" applyFill="1" applyBorder="1" applyAlignment="1">
      <alignment horizontal="right" vertical="top" wrapText="1"/>
    </xf>
    <xf numFmtId="177" fontId="0" fillId="3" borderId="2" xfId="0" applyNumberFormat="1" applyFont="1" applyFill="1" applyBorder="1" applyAlignment="1" applyProtection="1">
      <alignment horizontal="right" vertical="top" wrapText="1"/>
      <protection locked="0"/>
    </xf>
    <xf numFmtId="178" fontId="18" fillId="2" borderId="0" xfId="0" applyNumberFormat="1" applyFont="1" applyFill="1" applyAlignment="1">
      <alignment horizontal="right"/>
    </xf>
    <xf numFmtId="178" fontId="19" fillId="2" borderId="2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168" fontId="0" fillId="2" borderId="2" xfId="0" applyNumberFormat="1" applyFill="1" applyBorder="1" applyAlignment="1">
      <alignment horizontal="right" vertical="top"/>
    </xf>
    <xf numFmtId="175" fontId="0" fillId="2" borderId="2" xfId="0" applyNumberFormat="1" applyFill="1" applyBorder="1" applyAlignment="1">
      <alignment horizontal="right" vertical="top"/>
    </xf>
    <xf numFmtId="0" fontId="0" fillId="2" borderId="2" xfId="0" applyFill="1" applyBorder="1" applyAlignment="1">
      <alignment horizontal="right" vertical="top"/>
    </xf>
    <xf numFmtId="9" fontId="0" fillId="2" borderId="2" xfId="0" applyNumberFormat="1" applyFill="1" applyBorder="1" applyAlignment="1">
      <alignment horizontal="right" vertical="top"/>
    </xf>
    <xf numFmtId="178" fontId="0" fillId="2" borderId="2" xfId="0" applyNumberFormat="1" applyFill="1" applyBorder="1" applyAlignment="1">
      <alignment horizontal="right" vertical="top"/>
    </xf>
    <xf numFmtId="171" fontId="0" fillId="2" borderId="2" xfId="0" applyNumberFormat="1" applyFill="1" applyBorder="1" applyAlignment="1">
      <alignment horizontal="right"/>
    </xf>
    <xf numFmtId="175" fontId="0" fillId="2" borderId="2" xfId="0" applyNumberForma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178" fontId="0" fillId="2" borderId="2" xfId="0" applyNumberFormat="1" applyFont="1" applyFill="1" applyBorder="1" applyAlignment="1">
      <alignment horizontal="right" vertical="top"/>
    </xf>
    <xf numFmtId="165" fontId="0" fillId="2" borderId="2" xfId="0" applyNumberFormat="1" applyFont="1" applyFill="1" applyBorder="1" applyAlignment="1">
      <alignment horizontal="right" vertical="top"/>
    </xf>
    <xf numFmtId="0" fontId="19" fillId="2" borderId="0" xfId="0" applyFont="1" applyFill="1" applyAlignment="1">
      <alignment horizontal="left"/>
    </xf>
    <xf numFmtId="176" fontId="18" fillId="2" borderId="0" xfId="0" applyNumberFormat="1" applyFont="1" applyFill="1" applyAlignment="1">
      <alignment horizontal="right"/>
    </xf>
    <xf numFmtId="176" fontId="0" fillId="0" borderId="2" xfId="0" applyNumberFormat="1" applyFont="1" applyBorder="1" applyAlignment="1" applyProtection="1">
      <alignment horizontal="right" vertical="top"/>
      <protection locked="0"/>
    </xf>
    <xf numFmtId="0" fontId="22" fillId="0" borderId="0" xfId="0" applyFont="1" applyAlignment="1">
      <alignment horizontal="left"/>
    </xf>
    <xf numFmtId="0" fontId="22" fillId="0" borderId="0" xfId="0" applyFont="1"/>
    <xf numFmtId="0" fontId="0" fillId="0" borderId="0" xfId="0" applyBorder="1"/>
    <xf numFmtId="9" fontId="0" fillId="0" borderId="16" xfId="0" applyNumberFormat="1" applyFont="1" applyBorder="1" applyAlignment="1" applyProtection="1">
      <alignment horizontal="left" vertical="top"/>
      <protection locked="0"/>
    </xf>
    <xf numFmtId="9" fontId="0" fillId="0" borderId="12" xfId="0" applyNumberFormat="1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22" fontId="0" fillId="0" borderId="0" xfId="0" applyNumberFormat="1" applyAlignment="1">
      <alignment horizontal="left"/>
    </xf>
    <xf numFmtId="22" fontId="0" fillId="0" borderId="0" xfId="0" applyNumberFormat="1"/>
    <xf numFmtId="0" fontId="0" fillId="0" borderId="0" xfId="0" applyAlignment="1">
      <alignment horizontal="left"/>
    </xf>
    <xf numFmtId="9" fontId="4" fillId="0" borderId="4" xfId="0" applyNumberFormat="1" applyFont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4" fillId="5" borderId="0" xfId="0" applyFont="1" applyFill="1"/>
    <xf numFmtId="0" fontId="0" fillId="5" borderId="0" xfId="0" applyFill="1"/>
    <xf numFmtId="1" fontId="6" fillId="0" borderId="0" xfId="0" applyNumberFormat="1" applyFont="1" applyAlignment="1">
      <alignment horizontal="left"/>
    </xf>
    <xf numFmtId="0" fontId="6" fillId="0" borderId="0" xfId="0" applyFont="1"/>
    <xf numFmtId="9" fontId="4" fillId="2" borderId="18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right" vertical="top"/>
    </xf>
    <xf numFmtId="9" fontId="4" fillId="0" borderId="18" xfId="0" applyNumberFormat="1" applyFont="1" applyBorder="1" applyAlignment="1">
      <alignment horizontal="left" vertical="top" wrapText="1"/>
    </xf>
    <xf numFmtId="0" fontId="0" fillId="0" borderId="21" xfId="0" applyBorder="1" applyAlignment="1">
      <alignment horizontal="center"/>
    </xf>
    <xf numFmtId="49" fontId="4" fillId="0" borderId="18" xfId="0" applyNumberFormat="1" applyFont="1" applyBorder="1" applyAlignment="1">
      <alignment horizontal="left" vertical="top" wrapText="1"/>
    </xf>
    <xf numFmtId="0" fontId="0" fillId="0" borderId="22" xfId="0" applyBorder="1" applyAlignment="1">
      <alignment horizontal="center"/>
    </xf>
    <xf numFmtId="0" fontId="18" fillId="0" borderId="0" xfId="0" applyFont="1" applyBorder="1" applyAlignment="1">
      <alignment horizontal="right"/>
    </xf>
    <xf numFmtId="49" fontId="4" fillId="0" borderId="2" xfId="0" applyNumberFormat="1" applyFont="1" applyFill="1" applyBorder="1" applyAlignment="1">
      <alignment horizontal="left" vertical="top" wrapText="1"/>
    </xf>
    <xf numFmtId="9" fontId="4" fillId="0" borderId="2" xfId="0" applyNumberFormat="1" applyFont="1" applyFill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0" fillId="0" borderId="23" xfId="0" applyBorder="1" applyAlignment="1">
      <alignment horizontal="center" vertical="top"/>
    </xf>
    <xf numFmtId="168" fontId="0" fillId="0" borderId="2" xfId="0" applyNumberFormat="1" applyFont="1" applyFill="1" applyBorder="1" applyAlignment="1" applyProtection="1">
      <alignment horizontal="right" vertical="top"/>
      <protection locked="0"/>
    </xf>
    <xf numFmtId="168" fontId="0" fillId="2" borderId="2" xfId="0" applyNumberFormat="1" applyFont="1" applyFill="1" applyBorder="1" applyAlignment="1" applyProtection="1">
      <alignment horizontal="right" vertical="top"/>
    </xf>
    <xf numFmtId="0" fontId="0" fillId="0" borderId="2" xfId="0" applyBorder="1" applyProtection="1">
      <protection locked="0"/>
    </xf>
    <xf numFmtId="2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0" borderId="3" xfId="0" applyNumberFormat="1" applyFont="1" applyBorder="1" applyAlignment="1" applyProtection="1">
      <alignment horizontal="left" vertical="top"/>
      <protection locked="0"/>
    </xf>
    <xf numFmtId="49" fontId="0" fillId="0" borderId="4" xfId="0" applyNumberFormat="1" applyFont="1" applyBorder="1" applyAlignment="1" applyProtection="1">
      <alignment horizontal="left" vertical="top"/>
      <protection locked="0"/>
    </xf>
    <xf numFmtId="49" fontId="0" fillId="0" borderId="3" xfId="0" applyNumberFormat="1" applyFont="1" applyBorder="1" applyAlignment="1" applyProtection="1">
      <alignment horizontal="left" vertical="top" wrapText="1"/>
      <protection locked="0"/>
    </xf>
    <xf numFmtId="49" fontId="0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9" xfId="0" applyNumberFormat="1" applyFont="1" applyBorder="1" applyAlignment="1">
      <alignment horizontal="left" vertical="top"/>
    </xf>
    <xf numFmtId="9" fontId="4" fillId="0" borderId="20" xfId="0" applyNumberFormat="1" applyFont="1" applyBorder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9" fontId="0" fillId="0" borderId="3" xfId="0" applyNumberFormat="1" applyFont="1" applyBorder="1" applyAlignment="1" applyProtection="1">
      <alignment horizontal="left" vertical="top"/>
      <protection locked="0"/>
    </xf>
    <xf numFmtId="9" fontId="0" fillId="0" borderId="4" xfId="0" applyNumberFormat="1" applyFont="1" applyBorder="1" applyAlignment="1" applyProtection="1">
      <alignment horizontal="left" vertical="top"/>
      <protection locked="0"/>
    </xf>
    <xf numFmtId="9" fontId="0" fillId="0" borderId="3" xfId="0" applyNumberFormat="1" applyFont="1" applyBorder="1" applyAlignment="1" applyProtection="1">
      <alignment horizontal="left" vertical="top" wrapText="1"/>
      <protection locked="0"/>
    </xf>
    <xf numFmtId="9" fontId="0" fillId="0" borderId="4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9" fontId="4" fillId="0" borderId="3" xfId="0" applyNumberFormat="1" applyFont="1" applyBorder="1" applyAlignment="1">
      <alignment horizontal="left" vertical="top"/>
    </xf>
    <xf numFmtId="9" fontId="4" fillId="0" borderId="4" xfId="0" applyNumberFormat="1" applyFont="1" applyBorder="1" applyAlignment="1">
      <alignment horizontal="left" vertical="top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0" xfId="0" applyAlignment="1">
      <alignment vertical="top" wrapText="1"/>
    </xf>
    <xf numFmtId="0" fontId="0" fillId="0" borderId="17" xfId="0" applyBorder="1" applyAlignment="1">
      <alignment vertical="top" wrapText="1"/>
    </xf>
    <xf numFmtId="0" fontId="0" fillId="4" borderId="0" xfId="0" applyFill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0" fillId="0" borderId="0" xfId="0" applyFont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0" fillId="4" borderId="9" xfId="0" applyFill="1" applyBorder="1" applyAlignment="1">
      <alignment horizontal="left" vertical="center" wrapText="1"/>
    </xf>
    <xf numFmtId="9" fontId="0" fillId="0" borderId="5" xfId="0" applyNumberFormat="1" applyFont="1" applyBorder="1" applyAlignment="1" applyProtection="1">
      <alignment horizontal="left" vertical="top" wrapText="1"/>
      <protection locked="0"/>
    </xf>
    <xf numFmtId="9" fontId="4" fillId="0" borderId="3" xfId="0" applyNumberFormat="1" applyFont="1" applyBorder="1" applyAlignment="1">
      <alignment horizontal="left" vertical="top" wrapText="1"/>
    </xf>
    <xf numFmtId="9" fontId="4" fillId="0" borderId="5" xfId="0" applyNumberFormat="1" applyFont="1" applyBorder="1" applyAlignment="1">
      <alignment horizontal="left" vertical="top" wrapText="1"/>
    </xf>
    <xf numFmtId="9" fontId="4" fillId="0" borderId="4" xfId="0" applyNumberFormat="1" applyFont="1" applyBorder="1" applyAlignment="1">
      <alignment horizontal="left" vertical="top" wrapText="1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2" borderId="3" xfId="0" applyNumberFormat="1" applyFont="1" applyFill="1" applyBorder="1" applyAlignment="1" applyProtection="1">
      <alignment horizontal="left" vertical="top"/>
    </xf>
    <xf numFmtId="0" fontId="0" fillId="2" borderId="4" xfId="0" applyNumberFormat="1" applyFont="1" applyFill="1" applyBorder="1" applyAlignment="1" applyProtection="1">
      <alignment horizontal="left" vertical="top"/>
    </xf>
    <xf numFmtId="9" fontId="4" fillId="0" borderId="3" xfId="0" applyNumberFormat="1" applyFont="1" applyBorder="1" applyAlignment="1">
      <alignment vertical="top"/>
    </xf>
    <xf numFmtId="9" fontId="4" fillId="0" borderId="5" xfId="0" applyNumberFormat="1" applyFont="1" applyBorder="1" applyAlignment="1">
      <alignment vertical="top"/>
    </xf>
    <xf numFmtId="9" fontId="4" fillId="0" borderId="4" xfId="0" applyNumberFormat="1" applyFont="1" applyBorder="1" applyAlignment="1">
      <alignment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" xfId="0" applyNumberFormat="1" applyFont="1" applyBorder="1" applyAlignment="1" applyProtection="1">
      <alignment vertical="top"/>
      <protection locked="0"/>
    </xf>
    <xf numFmtId="0" fontId="0" fillId="0" borderId="5" xfId="0" applyNumberFormat="1" applyFont="1" applyBorder="1" applyAlignment="1" applyProtection="1">
      <alignment vertical="top"/>
      <protection locked="0"/>
    </xf>
    <xf numFmtId="0" fontId="0" fillId="0" borderId="4" xfId="0" applyNumberFormat="1" applyFont="1" applyBorder="1" applyAlignment="1" applyProtection="1">
      <alignment vertical="top"/>
      <protection locked="0"/>
    </xf>
    <xf numFmtId="49" fontId="19" fillId="2" borderId="3" xfId="0" applyNumberFormat="1" applyFont="1" applyFill="1" applyBorder="1" applyAlignment="1">
      <alignment horizontal="left" vertical="top" wrapText="1"/>
    </xf>
    <xf numFmtId="49" fontId="19" fillId="2" borderId="4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14" fontId="0" fillId="0" borderId="0" xfId="0" applyNumberFormat="1" applyAlignment="1">
      <alignment horizontal="left"/>
    </xf>
    <xf numFmtId="0" fontId="0" fillId="3" borderId="0" xfId="0" applyFill="1" applyAlignment="1">
      <alignment horizontal="left" vertical="center" wrapText="1"/>
    </xf>
    <xf numFmtId="178" fontId="0" fillId="2" borderId="3" xfId="0" applyNumberFormat="1" applyFill="1" applyBorder="1" applyAlignment="1">
      <alignment horizontal="right" vertical="top"/>
    </xf>
    <xf numFmtId="178" fontId="0" fillId="2" borderId="4" xfId="0" applyNumberFormat="1" applyFill="1" applyBorder="1" applyAlignment="1">
      <alignment horizontal="right" vertical="top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3">
    <cellStyle name="Lien hypertexte" xfId="2" builtinId="8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0099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501650</xdr:colOff>
      <xdr:row>3</xdr:row>
      <xdr:rowOff>908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400050" cy="55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476250</xdr:colOff>
      <xdr:row>3</xdr:row>
      <xdr:rowOff>908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400050" cy="55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0</xdr:col>
      <xdr:colOff>485775</xdr:colOff>
      <xdr:row>3</xdr:row>
      <xdr:rowOff>12550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9050"/>
          <a:ext cx="400050" cy="55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</xdr:rowOff>
    </xdr:from>
    <xdr:to>
      <xdr:col>0</xdr:col>
      <xdr:colOff>504825</xdr:colOff>
      <xdr:row>2</xdr:row>
      <xdr:rowOff>187175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9525"/>
          <a:ext cx="400050" cy="558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</xdr:rowOff>
    </xdr:from>
    <xdr:to>
      <xdr:col>0</xdr:col>
      <xdr:colOff>501650</xdr:colOff>
      <xdr:row>3</xdr:row>
      <xdr:rowOff>3025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9525"/>
          <a:ext cx="400050" cy="55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autoPageBreaks="0" fitToPage="1"/>
  </sheetPr>
  <dimension ref="A1:AF99"/>
  <sheetViews>
    <sheetView showGridLines="0" tabSelected="1" zoomScale="90" zoomScaleNormal="90" workbookViewId="0">
      <selection activeCell="E12" sqref="E12:F12"/>
    </sheetView>
  </sheetViews>
  <sheetFormatPr baseColWidth="10" defaultColWidth="9.140625" defaultRowHeight="15" x14ac:dyDescent="0.25"/>
  <cols>
    <col min="2" max="2" width="5.7109375" customWidth="1"/>
    <col min="3" max="3" width="27.42578125" customWidth="1"/>
    <col min="4" max="4" width="28.85546875" customWidth="1"/>
    <col min="5" max="5" width="16.7109375" customWidth="1"/>
    <col min="6" max="6" width="23.28515625" customWidth="1"/>
    <col min="7" max="7" width="30.5703125" customWidth="1"/>
    <col min="8" max="8" width="19.42578125" customWidth="1"/>
    <col min="9" max="9" width="6.140625" customWidth="1"/>
  </cols>
  <sheetData>
    <row r="1" spans="1:32" s="8" customFormat="1" x14ac:dyDescent="0.25">
      <c r="A1" s="13"/>
      <c r="B1" s="14" t="s">
        <v>10</v>
      </c>
    </row>
    <row r="2" spans="1:32" s="8" customFormat="1" x14ac:dyDescent="0.25">
      <c r="A2" s="13"/>
      <c r="B2" s="14" t="s">
        <v>11</v>
      </c>
    </row>
    <row r="3" spans="1:32" s="8" customFormat="1" x14ac:dyDescent="0.25">
      <c r="A3" s="13"/>
      <c r="B3" s="15" t="s">
        <v>12</v>
      </c>
      <c r="I3" s="205">
        <f ca="1">NOW()</f>
        <v>46029.499411574077</v>
      </c>
      <c r="J3" s="206"/>
      <c r="K3" s="206"/>
      <c r="L3" s="206"/>
      <c r="M3" s="206"/>
    </row>
    <row r="4" spans="1:32" s="8" customFormat="1" x14ac:dyDescent="0.25"/>
    <row r="5" spans="1:32" ht="9.75" customHeight="1" x14ac:dyDescent="0.25"/>
    <row r="6" spans="1:32" ht="23.25" x14ac:dyDescent="0.35">
      <c r="B6" s="2" t="s">
        <v>273</v>
      </c>
    </row>
    <row r="7" spans="1:32" ht="54.75" customHeight="1" x14ac:dyDescent="0.25">
      <c r="B7" s="227" t="s">
        <v>274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</row>
    <row r="8" spans="1:32" s="3" customFormat="1" ht="25.5" customHeight="1" x14ac:dyDescent="0.3">
      <c r="B8" s="228" t="s">
        <v>280</v>
      </c>
      <c r="C8" s="228"/>
    </row>
    <row r="9" spans="1:32" ht="15.75" customHeight="1" x14ac:dyDescent="0.25"/>
    <row r="10" spans="1:32" s="17" customFormat="1" ht="18.75" customHeight="1" x14ac:dyDescent="0.25">
      <c r="B10" s="11" t="s">
        <v>91</v>
      </c>
      <c r="C10" s="9"/>
      <c r="D10" s="9"/>
      <c r="E10" s="9"/>
      <c r="F10" s="9"/>
      <c r="G10" s="9"/>
      <c r="H10" s="10"/>
      <c r="I10" s="10"/>
      <c r="J10" s="10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2" spans="1:32" ht="16.5" customHeight="1" x14ac:dyDescent="0.25">
      <c r="C12" s="229" t="s">
        <v>214</v>
      </c>
      <c r="D12" s="230"/>
      <c r="E12" s="207"/>
      <c r="F12" s="208"/>
    </row>
    <row r="13" spans="1:32" ht="7.5" customHeight="1" x14ac:dyDescent="0.25">
      <c r="C13" s="16"/>
      <c r="E13" s="16"/>
      <c r="F13" s="16"/>
    </row>
    <row r="14" spans="1:32" ht="14.25" customHeight="1" x14ac:dyDescent="0.25">
      <c r="C14" s="231" t="s">
        <v>114</v>
      </c>
      <c r="D14" s="232"/>
      <c r="E14" s="76"/>
      <c r="F14" s="77"/>
    </row>
    <row r="15" spans="1:32" ht="12.75" customHeight="1" x14ac:dyDescent="0.25">
      <c r="C15" s="213" t="s">
        <v>115</v>
      </c>
      <c r="D15" s="213"/>
      <c r="E15" s="31"/>
      <c r="F15" s="32"/>
    </row>
    <row r="16" spans="1:32" ht="6.75" customHeight="1" x14ac:dyDescent="0.25">
      <c r="C16" s="16"/>
      <c r="D16" s="16"/>
      <c r="E16" s="16"/>
      <c r="F16" s="16"/>
      <c r="G16" s="16"/>
    </row>
    <row r="17" spans="2:32" x14ac:dyDescent="0.25">
      <c r="C17" s="16" t="s">
        <v>92</v>
      </c>
      <c r="E17" s="209"/>
      <c r="F17" s="210"/>
    </row>
    <row r="18" spans="2:32" x14ac:dyDescent="0.25">
      <c r="C18" s="16"/>
      <c r="D18" s="27"/>
      <c r="F18" s="16"/>
      <c r="G18" s="27"/>
    </row>
    <row r="19" spans="2:32" s="17" customFormat="1" ht="18.75" customHeight="1" x14ac:dyDescent="0.25">
      <c r="B19" s="11" t="s">
        <v>51</v>
      </c>
      <c r="C19" s="9"/>
      <c r="D19" s="9"/>
      <c r="E19" s="9"/>
      <c r="F19" s="9"/>
      <c r="G19" s="9"/>
      <c r="H19" s="10"/>
      <c r="I19" s="10"/>
      <c r="J19" s="10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1" spans="2:32" x14ac:dyDescent="0.25">
      <c r="C21" s="16" t="s">
        <v>96</v>
      </c>
      <c r="D21" s="76"/>
      <c r="F21" s="4" t="s">
        <v>52</v>
      </c>
    </row>
    <row r="22" spans="2:32" ht="7.5" customHeight="1" x14ac:dyDescent="0.25">
      <c r="C22" s="16"/>
      <c r="D22" s="30"/>
      <c r="F22" s="4"/>
    </row>
    <row r="23" spans="2:32" x14ac:dyDescent="0.25">
      <c r="C23" s="16" t="s">
        <v>77</v>
      </c>
      <c r="D23" s="78"/>
      <c r="F23" s="16" t="s">
        <v>53</v>
      </c>
      <c r="G23" s="76"/>
    </row>
    <row r="24" spans="2:32" ht="6.75" customHeight="1" x14ac:dyDescent="0.25">
      <c r="C24" s="16"/>
      <c r="D24" s="30"/>
      <c r="F24" s="16"/>
      <c r="G24" s="30"/>
    </row>
    <row r="25" spans="2:32" x14ac:dyDescent="0.25">
      <c r="C25" s="16" t="s">
        <v>78</v>
      </c>
      <c r="D25" s="76"/>
      <c r="F25" s="16" t="s">
        <v>54</v>
      </c>
      <c r="G25" s="76"/>
    </row>
    <row r="26" spans="2:32" ht="7.5" customHeight="1" x14ac:dyDescent="0.25">
      <c r="C26" s="16"/>
      <c r="D26" s="30"/>
      <c r="F26" s="16"/>
      <c r="G26" s="30"/>
    </row>
    <row r="27" spans="2:32" x14ac:dyDescent="0.25">
      <c r="C27" s="16" t="s">
        <v>79</v>
      </c>
      <c r="D27" s="76"/>
      <c r="F27" s="16" t="s">
        <v>73</v>
      </c>
      <c r="G27" s="76"/>
    </row>
    <row r="28" spans="2:32" ht="7.5" customHeight="1" x14ac:dyDescent="0.25">
      <c r="C28" s="16"/>
      <c r="D28" s="30"/>
      <c r="F28" s="16"/>
      <c r="G28" s="30"/>
    </row>
    <row r="29" spans="2:32" x14ac:dyDescent="0.25">
      <c r="C29" s="16" t="s">
        <v>80</v>
      </c>
      <c r="D29" s="76"/>
      <c r="F29" s="16" t="s">
        <v>288</v>
      </c>
      <c r="G29" s="76"/>
    </row>
    <row r="30" spans="2:32" ht="5.25" customHeight="1" x14ac:dyDescent="0.25">
      <c r="C30" s="16"/>
      <c r="D30" s="30"/>
      <c r="F30" s="16"/>
      <c r="G30" s="30"/>
    </row>
    <row r="31" spans="2:32" x14ac:dyDescent="0.25">
      <c r="C31" s="16" t="s">
        <v>81</v>
      </c>
      <c r="D31" s="79"/>
      <c r="F31" s="16" t="s">
        <v>74</v>
      </c>
      <c r="G31" s="76"/>
    </row>
    <row r="32" spans="2:32" ht="6.75" customHeight="1" x14ac:dyDescent="0.25">
      <c r="C32" s="16"/>
      <c r="D32" s="27"/>
      <c r="F32" s="16"/>
      <c r="G32" s="30"/>
    </row>
    <row r="33" spans="2:32" x14ac:dyDescent="0.25">
      <c r="F33" s="16" t="s">
        <v>75</v>
      </c>
      <c r="G33" s="76"/>
    </row>
    <row r="34" spans="2:32" ht="7.5" customHeight="1" x14ac:dyDescent="0.25">
      <c r="F34" s="16"/>
      <c r="G34" s="30"/>
    </row>
    <row r="35" spans="2:32" x14ac:dyDescent="0.25">
      <c r="F35" s="16" t="s">
        <v>76</v>
      </c>
      <c r="G35" s="76"/>
    </row>
    <row r="37" spans="2:32" s="17" customFormat="1" ht="18.75" customHeight="1" x14ac:dyDescent="0.25">
      <c r="B37" s="11" t="s">
        <v>55</v>
      </c>
      <c r="C37" s="9"/>
      <c r="D37" s="9"/>
      <c r="E37" s="9"/>
      <c r="F37" s="9"/>
      <c r="G37" s="9"/>
      <c r="H37" s="10"/>
      <c r="I37" s="10"/>
      <c r="J37" s="10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9" spans="2:32" ht="27" customHeight="1" x14ac:dyDescent="0.25">
      <c r="C39" s="214" t="s">
        <v>316</v>
      </c>
      <c r="D39" s="214"/>
      <c r="E39" s="215"/>
      <c r="F39" s="216"/>
      <c r="H39" s="225" t="s">
        <v>282</v>
      </c>
      <c r="I39" s="225"/>
      <c r="J39" s="225"/>
      <c r="K39" s="225"/>
      <c r="L39" s="226"/>
      <c r="M39" s="222"/>
      <c r="N39" s="223"/>
      <c r="O39" s="223"/>
      <c r="P39" s="223"/>
      <c r="Q39" s="223"/>
      <c r="R39" s="224"/>
    </row>
    <row r="40" spans="2:32" ht="7.5" customHeight="1" x14ac:dyDescent="0.25">
      <c r="C40" s="26"/>
      <c r="D40" s="26"/>
      <c r="M40" s="173"/>
    </row>
    <row r="41" spans="2:32" x14ac:dyDescent="0.25">
      <c r="C41" s="16" t="s">
        <v>82</v>
      </c>
      <c r="E41" s="217"/>
      <c r="F41" s="218"/>
    </row>
    <row r="43" spans="2:32" ht="31.5" customHeight="1" x14ac:dyDescent="0.25">
      <c r="B43" s="157" t="str">
        <f>IF(E14="ZDPPE","N/A","")</f>
        <v/>
      </c>
      <c r="C43" s="219" t="s">
        <v>83</v>
      </c>
      <c r="D43" s="219"/>
      <c r="E43" s="215"/>
      <c r="F43" s="216"/>
    </row>
    <row r="45" spans="2:32" s="17" customFormat="1" ht="18.75" customHeight="1" x14ac:dyDescent="0.25">
      <c r="B45" s="11" t="s">
        <v>56</v>
      </c>
      <c r="C45" s="9"/>
      <c r="D45" s="9"/>
      <c r="E45" s="9"/>
      <c r="F45" s="9"/>
      <c r="G45" s="9"/>
      <c r="H45" s="10"/>
      <c r="I45" s="10"/>
      <c r="J45" s="10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7" spans="2:32" ht="18" customHeight="1" x14ac:dyDescent="0.25">
      <c r="C47" s="19" t="s">
        <v>57</v>
      </c>
      <c r="D47" s="19" t="s">
        <v>58</v>
      </c>
      <c r="F47" s="220" t="s">
        <v>59</v>
      </c>
      <c r="G47" s="221"/>
      <c r="H47" s="19" t="s">
        <v>3</v>
      </c>
      <c r="I47" s="19" t="s">
        <v>4</v>
      </c>
    </row>
    <row r="48" spans="2:32" x14ac:dyDescent="0.25">
      <c r="C48" s="76"/>
      <c r="D48" s="76"/>
      <c r="F48" s="207"/>
      <c r="G48" s="208"/>
      <c r="H48" s="80"/>
      <c r="I48" s="80"/>
    </row>
    <row r="49" spans="2:32" x14ac:dyDescent="0.25">
      <c r="C49" s="76"/>
      <c r="D49" s="76"/>
      <c r="F49" s="207"/>
      <c r="G49" s="208"/>
      <c r="H49" s="80"/>
      <c r="I49" s="80"/>
    </row>
    <row r="50" spans="2:32" x14ac:dyDescent="0.25">
      <c r="C50" s="76"/>
      <c r="D50" s="76"/>
      <c r="F50" s="207"/>
      <c r="G50" s="208"/>
      <c r="H50" s="80"/>
      <c r="I50" s="80"/>
    </row>
    <row r="51" spans="2:32" x14ac:dyDescent="0.25">
      <c r="C51" s="76"/>
      <c r="D51" s="76"/>
      <c r="F51" s="207"/>
      <c r="G51" s="208"/>
      <c r="H51" s="80"/>
      <c r="I51" s="80"/>
    </row>
    <row r="52" spans="2:32" x14ac:dyDescent="0.25">
      <c r="C52" s="76"/>
      <c r="D52" s="76"/>
      <c r="F52" s="207"/>
      <c r="G52" s="208"/>
      <c r="H52" s="80"/>
      <c r="I52" s="80"/>
    </row>
    <row r="53" spans="2:32" x14ac:dyDescent="0.25">
      <c r="C53" s="76"/>
      <c r="D53" s="76"/>
      <c r="F53" s="207"/>
      <c r="G53" s="208"/>
      <c r="H53" s="80"/>
      <c r="I53" s="80"/>
    </row>
    <row r="54" spans="2:32" x14ac:dyDescent="0.25">
      <c r="C54" s="76"/>
      <c r="D54" s="76"/>
      <c r="F54" s="207"/>
      <c r="G54" s="208"/>
      <c r="H54" s="80"/>
      <c r="I54" s="80"/>
    </row>
    <row r="55" spans="2:32" x14ac:dyDescent="0.25">
      <c r="C55" s="76"/>
      <c r="D55" s="76"/>
      <c r="F55" s="207"/>
      <c r="G55" s="208"/>
      <c r="H55" s="80"/>
      <c r="I55" s="80"/>
    </row>
    <row r="56" spans="2:32" x14ac:dyDescent="0.25">
      <c r="C56" s="76"/>
      <c r="D56" s="76"/>
      <c r="F56" s="207"/>
      <c r="G56" s="208"/>
      <c r="H56" s="80"/>
      <c r="I56" s="80"/>
    </row>
    <row r="57" spans="2:32" x14ac:dyDescent="0.25">
      <c r="C57" s="76"/>
      <c r="D57" s="76"/>
      <c r="F57" s="207"/>
      <c r="G57" s="208"/>
      <c r="H57" s="80"/>
      <c r="I57" s="80"/>
    </row>
    <row r="58" spans="2:32" x14ac:dyDescent="0.25">
      <c r="C58" s="76"/>
      <c r="D58" s="76"/>
      <c r="F58" s="207"/>
      <c r="G58" s="208"/>
      <c r="H58" s="80"/>
      <c r="I58" s="80"/>
    </row>
    <row r="59" spans="2:32" x14ac:dyDescent="0.25">
      <c r="C59" s="76"/>
      <c r="D59" s="76"/>
      <c r="F59" s="207"/>
      <c r="G59" s="208"/>
      <c r="H59" s="80"/>
      <c r="I59" s="80"/>
    </row>
    <row r="61" spans="2:32" s="17" customFormat="1" ht="18.75" customHeight="1" x14ac:dyDescent="0.25">
      <c r="B61" s="11" t="s">
        <v>60</v>
      </c>
      <c r="C61" s="9"/>
      <c r="D61" s="9"/>
      <c r="E61" s="9"/>
      <c r="F61" s="9"/>
      <c r="G61" s="9"/>
      <c r="H61" s="10"/>
      <c r="I61" s="10"/>
      <c r="J61" s="10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2:32" ht="7.5" customHeight="1" x14ac:dyDescent="0.25"/>
    <row r="63" spans="2:32" x14ac:dyDescent="0.25">
      <c r="B63" s="20" t="s">
        <v>210</v>
      </c>
    </row>
    <row r="64" spans="2:32" ht="9" customHeight="1" x14ac:dyDescent="0.25"/>
    <row r="65" spans="2:32" ht="30.75" customHeight="1" x14ac:dyDescent="0.25">
      <c r="C65" s="211" t="s">
        <v>61</v>
      </c>
      <c r="D65" s="212"/>
      <c r="E65" s="182" t="s">
        <v>296</v>
      </c>
      <c r="F65" s="21" t="s">
        <v>63</v>
      </c>
      <c r="G65" s="19" t="s">
        <v>62</v>
      </c>
      <c r="H65" s="19" t="str">
        <f>IF(E14="ZDPPE","Art. 42 LGL - N/A","Art. 42 LGL")</f>
        <v>Art. 42 LGL</v>
      </c>
    </row>
    <row r="66" spans="2:32" x14ac:dyDescent="0.25">
      <c r="C66" s="189" t="str">
        <f>IF(E14="ZDPPE", "Logements", "3111. Logements")</f>
        <v>3111. Logements</v>
      </c>
      <c r="D66" s="204"/>
      <c r="E66" s="81"/>
      <c r="F66" s="77"/>
      <c r="G66" s="82"/>
      <c r="H66" s="83"/>
    </row>
    <row r="67" spans="2:32" x14ac:dyDescent="0.25">
      <c r="C67" s="99" t="str">
        <f>IF(E14="ZDPPE", "N/A", "3112. Logements")</f>
        <v>3112. Logements</v>
      </c>
      <c r="D67" s="204"/>
      <c r="E67" s="81"/>
      <c r="F67" s="77"/>
      <c r="G67" s="82"/>
      <c r="H67" s="83"/>
    </row>
    <row r="68" spans="2:32" x14ac:dyDescent="0.25">
      <c r="C68" s="99" t="str">
        <f>IF(E14="ZDPPE", "N/A", "3113. Logements")</f>
        <v>3113. Logements</v>
      </c>
      <c r="D68" s="204"/>
      <c r="E68" s="81"/>
      <c r="F68" s="77"/>
      <c r="G68" s="82"/>
      <c r="H68" s="83"/>
    </row>
    <row r="69" spans="2:32" x14ac:dyDescent="0.25">
      <c r="C69" s="99" t="str">
        <f>IF(E14="ZDPPE", "N/A", "3114. Logements")</f>
        <v>3114. Logements</v>
      </c>
      <c r="D69" s="204"/>
      <c r="E69" s="81"/>
      <c r="F69" s="77"/>
      <c r="G69" s="82"/>
      <c r="H69" s="83"/>
    </row>
    <row r="70" spans="2:32" x14ac:dyDescent="0.25">
      <c r="C70" s="99" t="str">
        <f>IF(E14="ZDPPE", "N/A", "3115. Logements")</f>
        <v>3115. Logements</v>
      </c>
      <c r="D70" s="204"/>
      <c r="E70" s="81"/>
      <c r="F70" s="77"/>
      <c r="G70" s="82"/>
      <c r="H70" s="83"/>
    </row>
    <row r="72" spans="2:32" s="17" customFormat="1" ht="18.75" customHeight="1" x14ac:dyDescent="0.25">
      <c r="B72" s="11" t="s">
        <v>65</v>
      </c>
      <c r="C72" s="9"/>
      <c r="D72" s="9"/>
      <c r="E72" s="9"/>
      <c r="F72" s="9"/>
      <c r="G72" s="9"/>
      <c r="H72" s="10"/>
      <c r="I72" s="10"/>
      <c r="J72" s="10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2:32" ht="7.5" customHeight="1" x14ac:dyDescent="0.25"/>
    <row r="74" spans="2:32" x14ac:dyDescent="0.25">
      <c r="C74" s="16" t="s">
        <v>84</v>
      </c>
      <c r="D74" s="78" t="s">
        <v>39</v>
      </c>
    </row>
    <row r="75" spans="2:32" ht="7.5" customHeight="1" x14ac:dyDescent="0.25">
      <c r="C75" s="16"/>
      <c r="D75" s="30"/>
    </row>
    <row r="76" spans="2:32" x14ac:dyDescent="0.25">
      <c r="C76" s="16" t="s">
        <v>85</v>
      </c>
      <c r="D76" s="78" t="s">
        <v>38</v>
      </c>
    </row>
    <row r="77" spans="2:32" ht="8.25" customHeight="1" x14ac:dyDescent="0.25">
      <c r="C77" s="16"/>
      <c r="D77" s="30"/>
    </row>
    <row r="78" spans="2:32" x14ac:dyDescent="0.25">
      <c r="C78" s="16" t="s">
        <v>86</v>
      </c>
      <c r="D78" s="78" t="s">
        <v>39</v>
      </c>
    </row>
    <row r="79" spans="2:32" ht="7.5" customHeight="1" x14ac:dyDescent="0.25">
      <c r="C79" s="16"/>
      <c r="D79" s="30"/>
    </row>
    <row r="80" spans="2:32" x14ac:dyDescent="0.25">
      <c r="C80" s="16" t="s">
        <v>87</v>
      </c>
      <c r="D80" s="78" t="s">
        <v>38</v>
      </c>
    </row>
    <row r="81" spans="2:32" ht="8.25" customHeight="1" x14ac:dyDescent="0.25">
      <c r="C81" s="16"/>
      <c r="D81" s="30"/>
    </row>
    <row r="82" spans="2:32" x14ac:dyDescent="0.25">
      <c r="C82" s="16" t="s">
        <v>88</v>
      </c>
      <c r="D82" s="78" t="s">
        <v>39</v>
      </c>
    </row>
    <row r="83" spans="2:32" ht="6.75" customHeight="1" x14ac:dyDescent="0.25">
      <c r="C83" s="16"/>
      <c r="D83" s="30"/>
    </row>
    <row r="84" spans="2:32" x14ac:dyDescent="0.25">
      <c r="C84" s="16" t="s">
        <v>89</v>
      </c>
      <c r="D84" s="78" t="s">
        <v>39</v>
      </c>
    </row>
    <row r="85" spans="2:32" ht="7.5" customHeight="1" x14ac:dyDescent="0.25">
      <c r="C85" s="16"/>
      <c r="D85" s="30"/>
    </row>
    <row r="86" spans="2:32" x14ac:dyDescent="0.25">
      <c r="C86" s="16" t="s">
        <v>90</v>
      </c>
      <c r="D86" s="78" t="s">
        <v>39</v>
      </c>
    </row>
    <row r="88" spans="2:32" s="17" customFormat="1" ht="18.75" customHeight="1" x14ac:dyDescent="0.25">
      <c r="B88" s="11" t="s">
        <v>64</v>
      </c>
      <c r="C88" s="9"/>
      <c r="D88" s="9"/>
      <c r="E88" s="9"/>
      <c r="F88" s="9"/>
      <c r="G88" s="9"/>
      <c r="H88" s="10"/>
      <c r="I88" s="10"/>
      <c r="J88" s="10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90" spans="2:32" x14ac:dyDescent="0.25">
      <c r="C90" s="24" t="s">
        <v>206</v>
      </c>
      <c r="D90" s="78"/>
      <c r="F90" s="16" t="s">
        <v>117</v>
      </c>
      <c r="G90" s="77"/>
      <c r="H90" t="s">
        <v>104</v>
      </c>
    </row>
    <row r="91" spans="2:32" ht="6.75" customHeight="1" x14ac:dyDescent="0.25">
      <c r="C91" s="24"/>
      <c r="D91" s="34"/>
      <c r="F91" s="16"/>
      <c r="G91" s="30"/>
    </row>
    <row r="92" spans="2:32" x14ac:dyDescent="0.25">
      <c r="D92" s="17"/>
      <c r="F92" s="16" t="s">
        <v>118</v>
      </c>
      <c r="G92" s="78"/>
    </row>
    <row r="93" spans="2:32" ht="9" customHeight="1" x14ac:dyDescent="0.25">
      <c r="D93" s="35"/>
      <c r="E93" s="29"/>
      <c r="F93" s="28"/>
      <c r="G93" s="33"/>
    </row>
    <row r="94" spans="2:32" ht="6" customHeight="1" x14ac:dyDescent="0.25">
      <c r="D94" s="30"/>
      <c r="F94" s="16"/>
      <c r="G94" s="17"/>
    </row>
    <row r="95" spans="2:32" ht="11.25" customHeight="1" x14ac:dyDescent="0.25">
      <c r="C95" t="s">
        <v>298</v>
      </c>
      <c r="D95" s="30"/>
      <c r="F95" s="16"/>
      <c r="G95" s="17"/>
    </row>
    <row r="96" spans="2:32" x14ac:dyDescent="0.25">
      <c r="C96" s="23" t="s">
        <v>116</v>
      </c>
      <c r="D96" s="78"/>
      <c r="F96" s="25" t="s">
        <v>117</v>
      </c>
      <c r="G96" s="77"/>
      <c r="H96" s="17" t="s">
        <v>105</v>
      </c>
    </row>
    <row r="97" spans="3:7" ht="8.25" customHeight="1" x14ac:dyDescent="0.25">
      <c r="C97" s="23"/>
      <c r="D97" s="34"/>
      <c r="F97" s="25"/>
      <c r="G97" s="30"/>
    </row>
    <row r="98" spans="3:7" x14ac:dyDescent="0.25">
      <c r="D98" s="17"/>
      <c r="F98" s="16" t="s">
        <v>118</v>
      </c>
      <c r="G98" s="78"/>
    </row>
    <row r="99" spans="3:7" x14ac:dyDescent="0.25">
      <c r="G99" s="17"/>
    </row>
  </sheetData>
  <sheetProtection algorithmName="SHA-512" hashValue="mtAhupoyDkfX2Wy2QgNClW4Y80dipK9YvASJMNPqoQcMY+BXOGMrBkNyk5vJnmqYHpcA6bz0J1vWuRkDjE/jIg==" saltValue="actkwTPOERgf9Fp6HCMjDg==" spinCount="100000" sheet="1" objects="1" scenarios="1"/>
  <mergeCells count="29">
    <mergeCell ref="F57:G57"/>
    <mergeCell ref="M39:R39"/>
    <mergeCell ref="H39:L39"/>
    <mergeCell ref="B7:M7"/>
    <mergeCell ref="B8:C8"/>
    <mergeCell ref="C12:D12"/>
    <mergeCell ref="C14:D14"/>
    <mergeCell ref="E12:F12"/>
    <mergeCell ref="F52:G52"/>
    <mergeCell ref="F48:G48"/>
    <mergeCell ref="F49:G49"/>
    <mergeCell ref="F50:G50"/>
    <mergeCell ref="F51:G51"/>
    <mergeCell ref="I3:M3"/>
    <mergeCell ref="F55:G55"/>
    <mergeCell ref="F56:G56"/>
    <mergeCell ref="E17:F17"/>
    <mergeCell ref="C65:D65"/>
    <mergeCell ref="C15:D15"/>
    <mergeCell ref="C39:D39"/>
    <mergeCell ref="E39:F39"/>
    <mergeCell ref="E41:F41"/>
    <mergeCell ref="C43:D43"/>
    <mergeCell ref="F58:G58"/>
    <mergeCell ref="F59:G59"/>
    <mergeCell ref="F47:G47"/>
    <mergeCell ref="F53:G53"/>
    <mergeCell ref="E43:F43"/>
    <mergeCell ref="F54:G54"/>
  </mergeCells>
  <printOptions verticalCentered="1"/>
  <pageMargins left="0.70866141732283472" right="0.70866141732283472" top="0.74803149606299213" bottom="0.74803149606299213" header="0.31496062992125984" footer="0.31496062992125984"/>
  <pageSetup paperSize="9" scale="35" fitToHeight="2" orientation="landscape" r:id="rId1"/>
  <headerFooter>
    <oddFooter>&amp;C&amp;D&amp;R&amp;T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Listes!$N$4:$N$5</xm:f>
          </x14:formula1>
          <xm:sqref>D23</xm:sqref>
        </x14:dataValidation>
        <x14:dataValidation type="list" allowBlank="1" showInputMessage="1" showErrorMessage="1" xr:uid="{00000000-0002-0000-0000-000001000000}">
          <x14:formula1>
            <xm:f>Listes!$E$19:$E$24</xm:f>
          </x14:formula1>
          <xm:sqref>E39:F39</xm:sqref>
        </x14:dataValidation>
        <x14:dataValidation type="list" allowBlank="1" showInputMessage="1" showErrorMessage="1" xr:uid="{00000000-0002-0000-0000-000002000000}">
          <x14:formula1>
            <xm:f>Listes!$H$19:$H$20</xm:f>
          </x14:formula1>
          <xm:sqref>E41:F41 G98 G92 E43:F43 D86 D82 D78 D80 D84 D76 D74</xm:sqref>
        </x14:dataValidation>
        <x14:dataValidation type="list" allowBlank="1" showInputMessage="1" showErrorMessage="1" xr:uid="{00000000-0002-0000-0000-000003000000}">
          <x14:formula1>
            <xm:f>Listes!$G$19:$G$22</xm:f>
          </x14:formula1>
          <xm:sqref>D90 D96</xm:sqref>
        </x14:dataValidation>
        <x14:dataValidation type="list" allowBlank="1" showInputMessage="1" showErrorMessage="1" xr:uid="{00000000-0002-0000-0000-000004000000}">
          <x14:formula1>
            <xm:f>Listes!$I$19:$I$27</xm:f>
          </x14:formula1>
          <xm:sqref>E14:E15</xm:sqref>
        </x14:dataValidation>
        <x14:dataValidation type="list" allowBlank="1" showInputMessage="1" showErrorMessage="1" xr:uid="{00000000-0002-0000-0000-000005000000}">
          <x14:formula1>
            <xm:f>Listes!$E$31:$E$78</xm:f>
          </x14:formula1>
          <xm:sqref>C48:C59</xm:sqref>
        </x14:dataValidation>
        <x14:dataValidation type="list" allowBlank="1" showInputMessage="1" showErrorMessage="1" xr:uid="{FAD956AA-B2CE-4C46-86F5-3EE7BACF4257}">
          <x14:formula1>
            <xm:f>IF(E14="ZDPPE",Listes!$G$33,Listes!$G$31:$G$33)</xm:f>
          </x14:formula1>
          <xm:sqref>D66</xm:sqref>
        </x14:dataValidation>
        <x14:dataValidation type="list" allowBlank="1" showInputMessage="1" showErrorMessage="1" xr:uid="{0548A977-822B-4946-9E98-77EA242AC946}">
          <x14:formula1>
            <xm:f>IF($E$14="ZDPPE",Listes!$G$34,Listes!$G$31:$G$33)</xm:f>
          </x14:formula1>
          <xm:sqref>D67:D70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autoPageBreaks="0" fitToPage="1"/>
  </sheetPr>
  <dimension ref="A1:BB527"/>
  <sheetViews>
    <sheetView showGridLines="0" zoomScale="90" zoomScaleNormal="90" zoomScaleSheetLayoutView="40" workbookViewId="0">
      <selection activeCell="C28" sqref="C28:D28"/>
    </sheetView>
  </sheetViews>
  <sheetFormatPr baseColWidth="10" defaultColWidth="11.42578125" defaultRowHeight="15" x14ac:dyDescent="0.25"/>
  <cols>
    <col min="1" max="1" width="8.140625" style="18" customWidth="1"/>
    <col min="2" max="2" width="8" style="18" customWidth="1"/>
    <col min="3" max="3" width="15.7109375" style="18" customWidth="1"/>
    <col min="4" max="4" width="10" style="18" customWidth="1"/>
    <col min="5" max="5" width="16.7109375" style="18" customWidth="1"/>
    <col min="6" max="7" width="3.7109375" style="18" customWidth="1"/>
    <col min="8" max="8" width="33.7109375" style="18" customWidth="1"/>
    <col min="9" max="9" width="16.7109375" style="18" customWidth="1"/>
    <col min="10" max="10" width="14.5703125" style="18" customWidth="1"/>
    <col min="11" max="11" width="13.7109375" style="18" customWidth="1"/>
    <col min="12" max="12" width="16.7109375" style="18" customWidth="1"/>
    <col min="13" max="14" width="13.7109375" style="18" customWidth="1"/>
    <col min="15" max="15" width="16.7109375" style="107" customWidth="1"/>
    <col min="16" max="16" width="13.7109375" style="107" customWidth="1"/>
    <col min="17" max="17" width="16.7109375" style="107" customWidth="1"/>
    <col min="18" max="25" width="13.7109375" style="107" customWidth="1"/>
    <col min="26" max="27" width="33.7109375" style="18" customWidth="1"/>
    <col min="28" max="36" width="16.7109375" style="107" customWidth="1"/>
    <col min="37" max="37" width="39.7109375" style="18" customWidth="1"/>
    <col min="38" max="52" width="11.42578125" style="18" hidden="1" customWidth="1"/>
    <col min="53" max="53" width="12.7109375" style="18" hidden="1" customWidth="1"/>
    <col min="54" max="54" width="14.7109375" style="18" hidden="1" customWidth="1"/>
    <col min="55" max="16384" width="11.42578125" style="18"/>
  </cols>
  <sheetData>
    <row r="1" spans="1:36" x14ac:dyDescent="0.25">
      <c r="A1" s="46"/>
      <c r="B1" s="47" t="s">
        <v>10</v>
      </c>
    </row>
    <row r="2" spans="1:36" x14ac:dyDescent="0.25">
      <c r="A2" s="46"/>
      <c r="B2" s="47" t="s">
        <v>11</v>
      </c>
    </row>
    <row r="3" spans="1:36" x14ac:dyDescent="0.25">
      <c r="A3" s="46"/>
      <c r="B3" s="48" t="s">
        <v>12</v>
      </c>
      <c r="I3" s="179">
        <f ca="1">NOW()</f>
        <v>46029.499411574077</v>
      </c>
    </row>
    <row r="4" spans="1:36" ht="6.75" customHeight="1" x14ac:dyDescent="0.25"/>
    <row r="5" spans="1:36" ht="22.5" customHeight="1" x14ac:dyDescent="0.25">
      <c r="B5" s="36"/>
    </row>
    <row r="6" spans="1:36" ht="23.25" x14ac:dyDescent="0.35">
      <c r="B6" s="49" t="s">
        <v>273</v>
      </c>
    </row>
    <row r="7" spans="1:36" ht="9" customHeight="1" x14ac:dyDescent="0.35">
      <c r="B7" s="49"/>
    </row>
    <row r="8" spans="1:36" s="50" customFormat="1" ht="14.25" customHeight="1" x14ac:dyDescent="0.3">
      <c r="B8" s="171" t="s">
        <v>67</v>
      </c>
      <c r="E8" s="52" t="str">
        <f>IF('Informations générales'!E14="ZDPPE","NON APPLICABLE","")</f>
        <v/>
      </c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AB8" s="108"/>
      <c r="AC8" s="108"/>
      <c r="AD8" s="108"/>
      <c r="AE8" s="108"/>
      <c r="AF8" s="108"/>
      <c r="AG8" s="108"/>
      <c r="AH8" s="108"/>
      <c r="AI8" s="108"/>
      <c r="AJ8" s="108"/>
    </row>
    <row r="9" spans="1:36" s="50" customFormat="1" ht="14.25" customHeight="1" x14ac:dyDescent="0.3">
      <c r="B9" s="51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AB9" s="108"/>
      <c r="AC9" s="108"/>
      <c r="AD9" s="108"/>
      <c r="AE9" s="108"/>
      <c r="AF9" s="108"/>
      <c r="AG9" s="108"/>
      <c r="AH9" s="108"/>
      <c r="AI9" s="108"/>
      <c r="AJ9" s="108"/>
    </row>
    <row r="10" spans="1:36" s="17" customFormat="1" ht="18.75" customHeight="1" x14ac:dyDescent="0.3">
      <c r="B10" s="11" t="s">
        <v>70</v>
      </c>
      <c r="C10" s="9"/>
      <c r="D10" s="9"/>
      <c r="E10" s="9"/>
      <c r="F10" s="9"/>
      <c r="G10" s="9"/>
      <c r="H10" s="10"/>
      <c r="I10" s="10"/>
      <c r="J10" s="10"/>
      <c r="K10" s="9"/>
      <c r="L10" s="9"/>
      <c r="M10" s="9"/>
      <c r="N10" s="9"/>
      <c r="O10" s="107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50"/>
      <c r="AA10" s="50"/>
      <c r="AB10" s="107"/>
      <c r="AC10" s="107"/>
      <c r="AD10" s="107"/>
      <c r="AE10" s="107"/>
      <c r="AF10" s="107"/>
      <c r="AG10" s="107"/>
      <c r="AH10" s="107"/>
      <c r="AI10" s="107"/>
      <c r="AJ10" s="107"/>
    </row>
    <row r="11" spans="1:36" ht="49.5" customHeight="1" x14ac:dyDescent="0.25">
      <c r="C11" s="233" t="s">
        <v>277</v>
      </c>
      <c r="D11" s="233"/>
      <c r="E11" s="233"/>
      <c r="H11" s="18" t="s">
        <v>122</v>
      </c>
      <c r="I11" s="18" t="s">
        <v>215</v>
      </c>
      <c r="L11" s="18" t="s">
        <v>123</v>
      </c>
      <c r="N11" s="18" t="s">
        <v>215</v>
      </c>
    </row>
    <row r="12" spans="1:36" ht="17.25" customHeight="1" x14ac:dyDescent="0.25">
      <c r="C12" s="17" t="s">
        <v>13</v>
      </c>
      <c r="D12" s="17"/>
      <c r="E12" s="104">
        <v>0.01</v>
      </c>
      <c r="F12" s="17"/>
      <c r="H12" s="84"/>
      <c r="I12" s="104"/>
      <c r="L12" s="85"/>
      <c r="M12" s="86"/>
      <c r="N12" s="104"/>
    </row>
    <row r="13" spans="1:36" ht="15.6" customHeight="1" x14ac:dyDescent="0.25">
      <c r="C13" s="17" t="s">
        <v>207</v>
      </c>
      <c r="D13" s="17"/>
      <c r="E13" s="103">
        <v>1</v>
      </c>
      <c r="F13" s="17"/>
      <c r="H13" s="84"/>
      <c r="I13" s="104"/>
      <c r="L13" s="85"/>
      <c r="M13" s="87"/>
      <c r="N13" s="104"/>
    </row>
    <row r="14" spans="1:36" x14ac:dyDescent="0.25">
      <c r="C14" s="17" t="s">
        <v>208</v>
      </c>
      <c r="D14" s="17"/>
      <c r="E14" s="103">
        <v>0.5</v>
      </c>
      <c r="F14" s="17"/>
      <c r="H14" s="84"/>
      <c r="I14" s="104"/>
      <c r="L14" s="85"/>
      <c r="M14" s="87"/>
      <c r="N14" s="104"/>
    </row>
    <row r="15" spans="1:36" x14ac:dyDescent="0.25">
      <c r="C15" s="17" t="s">
        <v>209</v>
      </c>
      <c r="D15" s="17"/>
      <c r="E15" s="104">
        <v>0.1</v>
      </c>
      <c r="F15" s="17"/>
      <c r="H15" s="84"/>
      <c r="I15" s="104"/>
      <c r="L15" s="85"/>
      <c r="M15" s="87"/>
      <c r="N15" s="104"/>
    </row>
    <row r="16" spans="1:36" x14ac:dyDescent="0.25">
      <c r="C16" s="17" t="s">
        <v>5</v>
      </c>
      <c r="D16" s="17"/>
      <c r="E16" s="104">
        <v>0.5</v>
      </c>
      <c r="F16" s="17"/>
      <c r="H16" s="84"/>
      <c r="I16" s="104"/>
      <c r="L16" s="85"/>
      <c r="M16" s="87"/>
      <c r="N16" s="104"/>
    </row>
    <row r="17" spans="2:54" x14ac:dyDescent="0.25">
      <c r="C17" s="17" t="s">
        <v>6</v>
      </c>
      <c r="D17" s="17"/>
      <c r="E17" s="104">
        <v>0.3</v>
      </c>
      <c r="F17" s="17"/>
      <c r="H17" s="84"/>
      <c r="I17" s="104"/>
      <c r="L17" s="85"/>
      <c r="M17" s="87"/>
      <c r="N17" s="104"/>
    </row>
    <row r="18" spans="2:54" x14ac:dyDescent="0.25">
      <c r="C18" s="17" t="s">
        <v>7</v>
      </c>
      <c r="D18" s="17"/>
      <c r="E18" s="104">
        <v>0.1</v>
      </c>
      <c r="F18" s="17"/>
      <c r="H18" s="84"/>
      <c r="I18" s="104"/>
      <c r="L18" s="85"/>
      <c r="M18" s="87"/>
      <c r="N18" s="104"/>
    </row>
    <row r="19" spans="2:54" x14ac:dyDescent="0.25">
      <c r="C19" s="17" t="s">
        <v>68</v>
      </c>
      <c r="D19" s="17"/>
      <c r="E19" s="104">
        <v>0.1</v>
      </c>
      <c r="F19" s="17"/>
      <c r="H19" s="84"/>
      <c r="I19" s="104"/>
      <c r="L19" s="85"/>
      <c r="M19" s="87"/>
      <c r="N19" s="104"/>
    </row>
    <row r="20" spans="2:54" x14ac:dyDescent="0.25">
      <c r="C20" s="17" t="s">
        <v>281</v>
      </c>
      <c r="D20" s="17"/>
      <c r="E20" s="174"/>
      <c r="F20" s="17"/>
      <c r="H20" s="102"/>
      <c r="I20" s="104"/>
      <c r="L20" s="100"/>
      <c r="M20" s="101"/>
      <c r="N20" s="104"/>
    </row>
    <row r="21" spans="2:54" x14ac:dyDescent="0.25">
      <c r="C21" s="177"/>
      <c r="D21" s="178"/>
      <c r="E21" s="175"/>
      <c r="F21" s="17"/>
      <c r="H21" s="102"/>
      <c r="I21" s="104"/>
      <c r="L21" s="100"/>
      <c r="M21" s="101"/>
      <c r="N21" s="104"/>
    </row>
    <row r="22" spans="2:54" x14ac:dyDescent="0.25">
      <c r="C22" s="176"/>
      <c r="D22" s="176"/>
      <c r="E22" s="176"/>
      <c r="F22" s="17"/>
    </row>
    <row r="23" spans="2:54" s="17" customFormat="1" ht="18.75" customHeight="1" x14ac:dyDescent="0.25">
      <c r="B23" s="11" t="s">
        <v>71</v>
      </c>
      <c r="C23" s="9"/>
      <c r="D23" s="9"/>
      <c r="E23" s="9"/>
      <c r="F23" s="9"/>
      <c r="G23" s="9"/>
      <c r="H23" s="10"/>
      <c r="I23" s="10"/>
      <c r="J23" s="10"/>
      <c r="K23" s="9"/>
      <c r="L23" s="9"/>
      <c r="M23" s="9"/>
      <c r="N23" s="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9"/>
      <c r="AA23" s="9"/>
      <c r="AB23" s="109"/>
      <c r="AC23" s="109"/>
      <c r="AD23" s="109"/>
      <c r="AE23" s="109"/>
      <c r="AF23" s="109"/>
      <c r="AG23" s="109"/>
      <c r="AH23" s="109"/>
      <c r="AI23" s="109"/>
      <c r="AJ23" s="109"/>
      <c r="AK23" s="9"/>
      <c r="AL23" s="9"/>
      <c r="AM23" s="61"/>
      <c r="AN23" s="61"/>
      <c r="AO23" s="61"/>
      <c r="AP23" s="61"/>
      <c r="AQ23" s="61"/>
    </row>
    <row r="24" spans="2:54" s="17" customFormat="1" ht="18.75" customHeight="1" x14ac:dyDescent="0.25">
      <c r="B24" s="190"/>
      <c r="C24" s="61"/>
      <c r="D24" s="61"/>
      <c r="E24" s="61"/>
      <c r="F24" s="61"/>
      <c r="G24" s="61"/>
      <c r="H24" s="191"/>
      <c r="I24" s="191"/>
      <c r="J24" s="191"/>
      <c r="K24" s="61"/>
      <c r="L24" s="61"/>
      <c r="M24" s="61"/>
      <c r="N24" s="61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61"/>
      <c r="AA24" s="61"/>
      <c r="AB24" s="192"/>
      <c r="AC24" s="192"/>
      <c r="AD24" s="192"/>
      <c r="AE24" s="192"/>
      <c r="AF24" s="192"/>
      <c r="AG24" s="192"/>
      <c r="AH24" s="192"/>
      <c r="AI24" s="192"/>
      <c r="AJ24" s="192"/>
      <c r="AK24" s="61"/>
      <c r="AL24" s="61"/>
      <c r="AM24" s="61"/>
      <c r="AN24" s="61"/>
      <c r="AO24" s="61"/>
      <c r="AP24" s="61"/>
      <c r="AQ24" s="61"/>
    </row>
    <row r="25" spans="2:54" x14ac:dyDescent="0.25">
      <c r="M25" s="201" t="s">
        <v>300</v>
      </c>
      <c r="AB25" s="238" t="s">
        <v>302</v>
      </c>
      <c r="AC25" s="239"/>
      <c r="AD25" s="240"/>
      <c r="AE25" s="238" t="s">
        <v>301</v>
      </c>
      <c r="AF25" s="239"/>
      <c r="AG25" s="239"/>
      <c r="AH25" s="239"/>
      <c r="AI25" s="240"/>
      <c r="AJ25" s="194" t="s">
        <v>300</v>
      </c>
    </row>
    <row r="26" spans="2:54" s="22" customFormat="1" ht="58.5" customHeight="1" x14ac:dyDescent="0.25">
      <c r="C26" s="235" t="s">
        <v>61</v>
      </c>
      <c r="D26" s="237"/>
      <c r="E26" s="19" t="s">
        <v>279</v>
      </c>
      <c r="F26" s="235" t="s">
        <v>164</v>
      </c>
      <c r="G26" s="236"/>
      <c r="H26" s="237"/>
      <c r="I26" s="19" t="s">
        <v>165</v>
      </c>
      <c r="J26" s="21" t="s">
        <v>299</v>
      </c>
      <c r="K26" s="21" t="s">
        <v>126</v>
      </c>
      <c r="L26" s="19" t="s">
        <v>127</v>
      </c>
      <c r="M26" s="21" t="s">
        <v>266</v>
      </c>
      <c r="N26" s="38" t="s">
        <v>166</v>
      </c>
      <c r="O26" s="38" t="s">
        <v>167</v>
      </c>
      <c r="P26" s="38" t="s">
        <v>168</v>
      </c>
      <c r="Q26" s="38" t="s">
        <v>129</v>
      </c>
      <c r="R26" s="38" t="s">
        <v>130</v>
      </c>
      <c r="S26" s="38" t="s">
        <v>169</v>
      </c>
      <c r="T26" s="38" t="s">
        <v>284</v>
      </c>
      <c r="U26" s="38" t="s">
        <v>283</v>
      </c>
      <c r="V26" s="38" t="s">
        <v>5</v>
      </c>
      <c r="W26" s="38" t="s">
        <v>6</v>
      </c>
      <c r="X26" s="38" t="s">
        <v>7</v>
      </c>
      <c r="Y26" s="38" t="s">
        <v>68</v>
      </c>
      <c r="Z26" s="37" t="s">
        <v>122</v>
      </c>
      <c r="AA26" s="37" t="s">
        <v>123</v>
      </c>
      <c r="AB26" s="193" t="str">
        <f>IF(OR('Informations générales'!E14="ZDPPE",'Informations générales'!E14="ZDLOC"),"Loyer annuel LGZD maximum autorisé","Loyer annuel LGL maximum autorisé")</f>
        <v>Loyer annuel LGL maximum autorisé</v>
      </c>
      <c r="AC26" s="195" t="s">
        <v>131</v>
      </c>
      <c r="AD26" s="195" t="s">
        <v>132</v>
      </c>
      <c r="AE26" s="195" t="s">
        <v>172</v>
      </c>
      <c r="AF26" s="195" t="s">
        <v>305</v>
      </c>
      <c r="AG26" s="195" t="s">
        <v>306</v>
      </c>
      <c r="AH26" s="195" t="s">
        <v>303</v>
      </c>
      <c r="AI26" s="195" t="s">
        <v>304</v>
      </c>
      <c r="AJ26" s="195" t="s">
        <v>133</v>
      </c>
      <c r="AK26" s="37" t="s">
        <v>134</v>
      </c>
      <c r="AL26" s="57" t="s">
        <v>147</v>
      </c>
      <c r="AM26" s="56" t="s">
        <v>158</v>
      </c>
      <c r="AN26" s="56" t="s">
        <v>159</v>
      </c>
      <c r="AO26" s="56" t="s">
        <v>160</v>
      </c>
      <c r="AP26" s="56" t="s">
        <v>161</v>
      </c>
      <c r="AQ26" s="56" t="s">
        <v>162</v>
      </c>
      <c r="AR26" s="57" t="s">
        <v>148</v>
      </c>
      <c r="AS26" s="57" t="s">
        <v>149</v>
      </c>
      <c r="AT26" s="57" t="s">
        <v>150</v>
      </c>
      <c r="AU26" s="57" t="s">
        <v>151</v>
      </c>
      <c r="AV26" s="57" t="s">
        <v>152</v>
      </c>
      <c r="AW26" s="57" t="s">
        <v>153</v>
      </c>
      <c r="AX26" s="57" t="s">
        <v>154</v>
      </c>
      <c r="AY26" s="57" t="s">
        <v>155</v>
      </c>
      <c r="AZ26" s="57" t="s">
        <v>157</v>
      </c>
      <c r="BA26" s="57" t="s">
        <v>69</v>
      </c>
      <c r="BB26" s="57" t="s">
        <v>156</v>
      </c>
    </row>
    <row r="27" spans="2:54" s="135" customFormat="1" ht="14.25" customHeight="1" x14ac:dyDescent="0.25">
      <c r="B27" s="122" t="s">
        <v>218</v>
      </c>
      <c r="C27" s="123"/>
      <c r="D27" s="124"/>
      <c r="E27" s="124"/>
      <c r="F27" s="124"/>
      <c r="G27" s="125"/>
      <c r="H27" s="126"/>
      <c r="I27" s="127"/>
      <c r="J27" s="128">
        <f>COUNTA(J28:J527)</f>
        <v>0</v>
      </c>
      <c r="K27" s="129"/>
      <c r="L27" s="124"/>
      <c r="M27" s="124"/>
      <c r="N27" s="124"/>
      <c r="O27" s="130"/>
      <c r="P27" s="151">
        <f>SUM(P28:P527)</f>
        <v>0</v>
      </c>
      <c r="Q27" s="155">
        <f>SUM(Q28:Q527)</f>
        <v>0</v>
      </c>
      <c r="R27" s="131"/>
      <c r="S27" s="151">
        <f t="shared" ref="S27:Y27" si="0">SUM(S28:S527)</f>
        <v>0</v>
      </c>
      <c r="T27" s="151">
        <f t="shared" si="0"/>
        <v>0</v>
      </c>
      <c r="U27" s="151">
        <f t="shared" si="0"/>
        <v>0</v>
      </c>
      <c r="V27" s="151">
        <f t="shared" si="0"/>
        <v>0</v>
      </c>
      <c r="W27" s="151">
        <f t="shared" si="0"/>
        <v>0</v>
      </c>
      <c r="X27" s="151">
        <f t="shared" si="0"/>
        <v>0</v>
      </c>
      <c r="Y27" s="151">
        <f t="shared" si="0"/>
        <v>0</v>
      </c>
      <c r="Z27" s="124"/>
      <c r="AA27" s="124"/>
      <c r="AB27" s="132">
        <f t="shared" ref="AB27:AH27" si="1">SUM(AB28:AB527)</f>
        <v>0</v>
      </c>
      <c r="AC27" s="132">
        <f t="shared" si="1"/>
        <v>0</v>
      </c>
      <c r="AD27" s="132">
        <f t="shared" si="1"/>
        <v>0</v>
      </c>
      <c r="AE27" s="132">
        <f t="shared" si="1"/>
        <v>0</v>
      </c>
      <c r="AF27" s="132">
        <f t="shared" si="1"/>
        <v>0</v>
      </c>
      <c r="AG27" s="132">
        <f t="shared" si="1"/>
        <v>0</v>
      </c>
      <c r="AH27" s="132">
        <f t="shared" si="1"/>
        <v>0</v>
      </c>
      <c r="AI27" s="132">
        <f t="shared" ref="AI27" si="2">SUM(AI28:AI527)</f>
        <v>0</v>
      </c>
      <c r="AJ27" s="132"/>
      <c r="AK27" s="133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</row>
    <row r="28" spans="2:54" s="17" customFormat="1" x14ac:dyDescent="0.25">
      <c r="C28" s="215" t="s">
        <v>317</v>
      </c>
      <c r="D28" s="216"/>
      <c r="E28" s="88"/>
      <c r="F28" s="217"/>
      <c r="G28" s="234"/>
      <c r="H28" s="218"/>
      <c r="I28" s="76"/>
      <c r="J28" s="77"/>
      <c r="K28" s="76"/>
      <c r="L28" s="78"/>
      <c r="M28" s="78"/>
      <c r="N28" s="76" t="s">
        <v>39</v>
      </c>
      <c r="O28" s="110"/>
      <c r="P28" s="152"/>
      <c r="Q28" s="111" t="str">
        <f>IFERROR(MIN(VLOOKUP(ROUNDDOWN(P28,0),'Aide calcul'!$B$2:$C$282,2,FALSE),O28+1),"")</f>
        <v/>
      </c>
      <c r="R28" s="112" t="str">
        <f>IFERROR(TRUNC(Q28-0.5),"")</f>
        <v/>
      </c>
      <c r="S28" s="152"/>
      <c r="T28" s="152"/>
      <c r="U28" s="152"/>
      <c r="V28" s="152"/>
      <c r="W28" s="152"/>
      <c r="X28" s="152"/>
      <c r="Y28" s="152"/>
      <c r="Z28" s="76"/>
      <c r="AA28" s="76"/>
      <c r="AB28" s="113" t="str">
        <f>IF(C28="3111. Logements",ROUND(VLOOKUP(C28,'Informations générales'!$C$66:$E$70,3,FALSE)*(AL28/$AM$28)/12,0)*12,IF(C28="3112. Logements",ROUND(VLOOKUP(C28,'Informations générales'!$C$66:$E$70,3,FALSE)*(AL28/$AN$28)/12,0)*12,IF(C28="3113. Logements",ROUND(VLOOKUP(C28,'Informations générales'!$C$66:$E$70,3,FALSE)*(AL28/$AO$28)/12,0)*12,IF(C28="3114. Logements",ROUND(VLOOKUP(C28,'Informations générales'!$C$66:$E$70,3,FALSE)*(AL28/$AP$28)/12,0)*12,IF(C28="3115. Logements",ROUND(VLOOKUP(C28,'Informations générales'!$C$66:$E$70,3,FALSE)*(AL28/$AQ$28)/12,0)*12,"")))))</f>
        <v/>
      </c>
      <c r="AC28" s="114"/>
      <c r="AD28" s="113">
        <f>MIN(AB28,AC28)</f>
        <v>0</v>
      </c>
      <c r="AE28" s="114"/>
      <c r="AF28" s="203" t="str">
        <f>IF(C28="3111. Logements",ROUND(VLOOKUP(C28,'Informations générales'!$C$66:$E$70,3,FALSE)*(AL28/$AM$28)/12,0)*12,IF(C28="3112. Logements",ROUND(VLOOKUP(C28,'Informations générales'!$C$66:$E$70,3,FALSE)*(AL28/$AN$28)/12,0)*12,IF(C28="3113. Logements",ROUND(VLOOKUP(C28,'Informations générales'!$C$66:$E$70,3,FALSE)*(AL28/$AO$28)/12,0)*12,IF(C28="3114. Logements",ROUND(VLOOKUP(C28,'Informations générales'!$C$66:$E$70,3,FALSE)*(AL28/$AP$28)/12,0)*12,IF(C28="3115. Logements",ROUND(VLOOKUP(C28,'Informations générales'!$C$66:$E$70,3,FALSE)*(AL28/$AQ$28)/12,0)*12,"")))))</f>
        <v/>
      </c>
      <c r="AG28" s="202"/>
      <c r="AH28" s="113" t="str">
        <f>IF(C28="3111. Logements",ROUND(VLOOKUP(C28,'Informations générales'!$C$66:$H$70,5,FALSE)*(AL28/$AM$28)/12,0)*12,IF(C28="3112. Logements",ROUND(VLOOKUP(C28,'Informations générales'!$C$66:$H$70,5,FALSE)*(AL28/$AN$28)/12,0)*12,IF(C28="3113. Logements",ROUND(VLOOKUP(C28,'Informations générales'!$C$66:$H$70,5,FALSE)*(AL28/$AO$28)/12,0)*12,IF(C28="3114. Logements",ROUND(VLOOKUP(C28,'Informations générales'!$C$66:$H$70,5,FALSE)*(AL28/$AP$28)/12,0)*12,IF(C28="3115. Logements",ROUND(VLOOKUP(C28,'Informations générales'!$C$66:$H$70,5,FALSE)*(AL28/$AQ$28)/12,0)*12,"")))))</f>
        <v/>
      </c>
      <c r="AI28" s="114"/>
      <c r="AJ28" s="114"/>
      <c r="AK28" s="76"/>
      <c r="AL28" s="58">
        <f>AY28*(SUM(1,AZ28,BA28,BB28))</f>
        <v>0</v>
      </c>
      <c r="AM28" s="58">
        <f ca="1">SUMIF(C28:D527,"3111. Logements",AL28:AL527)</f>
        <v>0</v>
      </c>
      <c r="AN28" s="58">
        <f ca="1">SUMIF(C28:D527,"3112. Logements",AL28:AL527)</f>
        <v>0</v>
      </c>
      <c r="AO28" s="58">
        <f ca="1">SUMIF(C28:D527,"3113. Logements",AL28:AL527)</f>
        <v>0</v>
      </c>
      <c r="AP28" s="58">
        <f ca="1">SUMIF(C28:D527,"3114. Logements",AL28:AL527)</f>
        <v>0</v>
      </c>
      <c r="AQ28" s="58">
        <f ca="1">SUMIF(C28:D527,"3115. Logements",AL28:AL527)</f>
        <v>0</v>
      </c>
      <c r="AR28" s="58">
        <f t="shared" ref="AR28:AR91" si="3">S28*$E$13</f>
        <v>0</v>
      </c>
      <c r="AS28" s="58">
        <f t="shared" ref="AS28:AS91" si="4">T28*$E$14</f>
        <v>0</v>
      </c>
      <c r="AT28" s="58">
        <f t="shared" ref="AT28:AT91" si="5">U28*$E$15</f>
        <v>0</v>
      </c>
      <c r="AU28" s="58">
        <f t="shared" ref="AU28:AU91" si="6">V28*$E$16</f>
        <v>0</v>
      </c>
      <c r="AV28" s="58">
        <f t="shared" ref="AV28:AV91" si="7">W28*$E$17</f>
        <v>0</v>
      </c>
      <c r="AW28" s="58">
        <f t="shared" ref="AW28:AW91" si="8">X28*$E$18</f>
        <v>0</v>
      </c>
      <c r="AX28" s="58">
        <f t="shared" ref="AX28:AX91" si="9">Y28*$E$19</f>
        <v>0</v>
      </c>
      <c r="AY28" s="58">
        <f>SUM(AR28:AX28)</f>
        <v>0</v>
      </c>
      <c r="AZ28" s="62">
        <f t="shared" ref="AZ28:AZ91" si="10">IFERROR(I28*$E$12,0)</f>
        <v>0</v>
      </c>
      <c r="BA28" s="63">
        <f t="shared" ref="BA28:BA91" si="11">IFERROR(VLOOKUP(Z28,$H$12:$I$22,2,FALSE),0)</f>
        <v>0</v>
      </c>
      <c r="BB28" s="63">
        <f t="shared" ref="BB28:BB91" si="12">IFERROR(VLOOKUP(AA28,$L$12:$N$19,3,FALSE),0)</f>
        <v>0</v>
      </c>
    </row>
    <row r="29" spans="2:54" s="17" customFormat="1" ht="15" customHeight="1" x14ac:dyDescent="0.25">
      <c r="C29" s="215"/>
      <c r="D29" s="216"/>
      <c r="E29" s="88"/>
      <c r="F29" s="217"/>
      <c r="G29" s="234"/>
      <c r="H29" s="218"/>
      <c r="I29" s="76"/>
      <c r="J29" s="77"/>
      <c r="K29" s="76"/>
      <c r="L29" s="78"/>
      <c r="M29" s="78"/>
      <c r="N29" s="76" t="s">
        <v>39</v>
      </c>
      <c r="O29" s="110"/>
      <c r="P29" s="152"/>
      <c r="Q29" s="111" t="str">
        <f>IFERROR(MIN(VLOOKUP(ROUNDDOWN(P29,0),'Aide calcul'!$B$2:$C$282,2,FALSE),O29+1),"")</f>
        <v/>
      </c>
      <c r="R29" s="112" t="str">
        <f t="shared" ref="R29:R92" si="13">IFERROR(TRUNC(Q29-0.5),"")</f>
        <v/>
      </c>
      <c r="S29" s="152"/>
      <c r="T29" s="152"/>
      <c r="U29" s="152"/>
      <c r="V29" s="152"/>
      <c r="W29" s="152"/>
      <c r="X29" s="152"/>
      <c r="Y29" s="152"/>
      <c r="Z29" s="76"/>
      <c r="AA29" s="76"/>
      <c r="AB29" s="113" t="str">
        <f>IF(C29="3111. Logements",ROUND(VLOOKUP(C29,'Informations générales'!$C$66:$E$70,3,FALSE)*(AL29/$AM$28)/12,0)*12,IF(C29="3112. Logements",ROUND(VLOOKUP(C29,'Informations générales'!$C$66:$E$70,3,FALSE)*(AL29/$AN$28)/12,0)*12,IF(C29="3113. Logements",ROUND(VLOOKUP(C29,'Informations générales'!$C$66:$E$70,3,FALSE)*(AL29/$AO$28)/12,0)*12,IF(C29="3114. Logements",ROUND(VLOOKUP(C29,'Informations générales'!$C$66:$E$70,3,FALSE)*(AL29/$AP$28)/12,0)*12,IF(C29="3115. Logements",ROUND(VLOOKUP(C29,'Informations générales'!$C$66:$E$70,3,FALSE)*(AL29/$AQ$28)/12,0)*12,"")))))</f>
        <v/>
      </c>
      <c r="AC29" s="114"/>
      <c r="AD29" s="113">
        <f t="shared" ref="AD29:AD92" si="14">MIN(AB29,AC29)</f>
        <v>0</v>
      </c>
      <c r="AE29" s="114"/>
      <c r="AF29" s="203" t="str">
        <f>IF(C29="3111. Logements",ROUND(VLOOKUP(C29,'Informations générales'!$C$66:$E$70,3,FALSE)*(AL29/$AM$28)/12,0)*12,IF(C29="3112. Logements",ROUND(VLOOKUP(C29,'Informations générales'!$C$66:$E$70,3,FALSE)*(AL29/$AN$28)/12,0)*12,IF(C29="3113. Logements",ROUND(VLOOKUP(C29,'Informations générales'!$C$66:$E$70,3,FALSE)*(AL29/$AO$28)/12,0)*12,IF(C29="3114. Logements",ROUND(VLOOKUP(C29,'Informations générales'!$C$66:$E$70,3,FALSE)*(AL29/$AP$28)/12,0)*12,IF(C29="3115. Logements",ROUND(VLOOKUP(C29,'Informations générales'!$C$66:$E$70,3,FALSE)*(AL29/$AQ$28)/12,0)*12,"")))))</f>
        <v/>
      </c>
      <c r="AG29" s="202"/>
      <c r="AH29" s="113" t="str">
        <f>IF(C29="3111. Logements",ROUND(VLOOKUP(C29,'Informations générales'!$C$66:$H$70,5,FALSE)*(AL29/$AM$28)/12,0)*12,IF(C29="3112. Logements",ROUND(VLOOKUP(C29,'Informations générales'!$C$66:$H$70,5,FALSE)*(AL29/$AN$28)/12,0)*12,IF(C29="3113. Logements",ROUND(VLOOKUP(C29,'Informations générales'!$C$66:$H$70,5,FALSE)*(AL29/$AO$28)/12,0)*12,IF(C29="3114. Logements",ROUND(VLOOKUP(C29,'Informations générales'!$C$66:$H$70,5,FALSE)*(AL29/$AP$28)/12,0)*12,IF(C29="3115. Logements",ROUND(VLOOKUP(C29,'Informations générales'!$C$66:$H$70,5,FALSE)*(AL29/$AQ$28)/12,0)*12,"")))))</f>
        <v/>
      </c>
      <c r="AI29" s="114"/>
      <c r="AJ29" s="114"/>
      <c r="AK29" s="76"/>
      <c r="AL29" s="58">
        <f t="shared" ref="AL29:AL92" si="15">AY29*(SUM(1,AZ29,BA29,BB29))</f>
        <v>0</v>
      </c>
      <c r="AM29" s="58"/>
      <c r="AN29" s="58"/>
      <c r="AO29" s="58"/>
      <c r="AP29" s="58"/>
      <c r="AQ29" s="58"/>
      <c r="AR29" s="58">
        <f t="shared" si="3"/>
        <v>0</v>
      </c>
      <c r="AS29" s="58">
        <f t="shared" si="4"/>
        <v>0</v>
      </c>
      <c r="AT29" s="58">
        <f t="shared" si="5"/>
        <v>0</v>
      </c>
      <c r="AU29" s="58">
        <f t="shared" si="6"/>
        <v>0</v>
      </c>
      <c r="AV29" s="58">
        <f t="shared" si="7"/>
        <v>0</v>
      </c>
      <c r="AW29" s="58">
        <f t="shared" si="8"/>
        <v>0</v>
      </c>
      <c r="AX29" s="58">
        <f t="shared" si="9"/>
        <v>0</v>
      </c>
      <c r="AY29" s="58">
        <f t="shared" ref="AY29:AY92" si="16">SUM(AR29:AX29)</f>
        <v>0</v>
      </c>
      <c r="AZ29" s="62">
        <f t="shared" si="10"/>
        <v>0</v>
      </c>
      <c r="BA29" s="63">
        <f t="shared" si="11"/>
        <v>0</v>
      </c>
      <c r="BB29" s="63">
        <f t="shared" si="12"/>
        <v>0</v>
      </c>
    </row>
    <row r="30" spans="2:54" s="17" customFormat="1" ht="15" customHeight="1" x14ac:dyDescent="0.25">
      <c r="C30" s="215"/>
      <c r="D30" s="216"/>
      <c r="E30" s="88"/>
      <c r="F30" s="217"/>
      <c r="G30" s="234"/>
      <c r="H30" s="218"/>
      <c r="I30" s="76"/>
      <c r="J30" s="77"/>
      <c r="K30" s="76"/>
      <c r="L30" s="78"/>
      <c r="M30" s="78"/>
      <c r="N30" s="76" t="s">
        <v>39</v>
      </c>
      <c r="O30" s="110"/>
      <c r="P30" s="152"/>
      <c r="Q30" s="111" t="str">
        <f>IFERROR(MIN(VLOOKUP(ROUNDDOWN(P30,0),'Aide calcul'!$B$2:$C$282,2,FALSE),O30+1),"")</f>
        <v/>
      </c>
      <c r="R30" s="112" t="str">
        <f t="shared" si="13"/>
        <v/>
      </c>
      <c r="S30" s="152"/>
      <c r="T30" s="152"/>
      <c r="U30" s="152"/>
      <c r="V30" s="152"/>
      <c r="W30" s="152"/>
      <c r="X30" s="152"/>
      <c r="Y30" s="152"/>
      <c r="Z30" s="76"/>
      <c r="AA30" s="76"/>
      <c r="AB30" s="113" t="str">
        <f>IF(C30="3111. Logements",ROUND(VLOOKUP(C30,'Informations générales'!$C$66:$E$70,3,FALSE)*(AL30/$AM$28)/12,0)*12,IF(C30="3112. Logements",ROUND(VLOOKUP(C30,'Informations générales'!$C$66:$E$70,3,FALSE)*(AL30/$AN$28)/12,0)*12,IF(C30="3113. Logements",ROUND(VLOOKUP(C30,'Informations générales'!$C$66:$E$70,3,FALSE)*(AL30/$AO$28)/12,0)*12,IF(C30="3114. Logements",ROUND(VLOOKUP(C30,'Informations générales'!$C$66:$E$70,3,FALSE)*(AL30/$AP$28)/12,0)*12,IF(C30="3115. Logements",ROUND(VLOOKUP(C30,'Informations générales'!$C$66:$E$70,3,FALSE)*(AL30/$AQ$28)/12,0)*12,"")))))</f>
        <v/>
      </c>
      <c r="AC30" s="114"/>
      <c r="AD30" s="113">
        <f t="shared" si="14"/>
        <v>0</v>
      </c>
      <c r="AE30" s="114"/>
      <c r="AF30" s="203" t="str">
        <f>IF(C30="3111. Logements",ROUND(VLOOKUP(C30,'Informations générales'!$C$66:$E$70,3,FALSE)*(AL30/$AM$28)/12,0)*12,IF(C30="3112. Logements",ROUND(VLOOKUP(C30,'Informations générales'!$C$66:$E$70,3,FALSE)*(AL30/$AN$28)/12,0)*12,IF(C30="3113. Logements",ROUND(VLOOKUP(C30,'Informations générales'!$C$66:$E$70,3,FALSE)*(AL30/$AO$28)/12,0)*12,IF(C30="3114. Logements",ROUND(VLOOKUP(C30,'Informations générales'!$C$66:$E$70,3,FALSE)*(AL30/$AP$28)/12,0)*12,IF(C30="3115. Logements",ROUND(VLOOKUP(C30,'Informations générales'!$C$66:$E$70,3,FALSE)*(AL30/$AQ$28)/12,0)*12,"")))))</f>
        <v/>
      </c>
      <c r="AG30" s="202"/>
      <c r="AH30" s="113" t="str">
        <f>IF(C30="3111. Logements",ROUND(VLOOKUP(C30,'Informations générales'!$C$66:$H$70,5,FALSE)*(AL30/$AM$28)/12,0)*12,IF(C30="3112. Logements",ROUND(VLOOKUP(C30,'Informations générales'!$C$66:$H$70,5,FALSE)*(AL30/$AN$28)/12,0)*12,IF(C30="3113. Logements",ROUND(VLOOKUP(C30,'Informations générales'!$C$66:$H$70,5,FALSE)*(AL30/$AO$28)/12,0)*12,IF(C30="3114. Logements",ROUND(VLOOKUP(C30,'Informations générales'!$C$66:$H$70,5,FALSE)*(AL30/$AP$28)/12,0)*12,IF(C30="3115. Logements",ROUND(VLOOKUP(C30,'Informations générales'!$C$66:$H$70,5,FALSE)*(AL30/$AQ$28)/12,0)*12,"")))))</f>
        <v/>
      </c>
      <c r="AI30" s="114"/>
      <c r="AJ30" s="114"/>
      <c r="AK30" s="76"/>
      <c r="AL30" s="58">
        <f t="shared" si="15"/>
        <v>0</v>
      </c>
      <c r="AM30" s="58"/>
      <c r="AN30" s="58"/>
      <c r="AO30" s="58"/>
      <c r="AP30" s="58"/>
      <c r="AQ30" s="58"/>
      <c r="AR30" s="58">
        <f t="shared" si="3"/>
        <v>0</v>
      </c>
      <c r="AS30" s="58">
        <f t="shared" si="4"/>
        <v>0</v>
      </c>
      <c r="AT30" s="58">
        <f t="shared" si="5"/>
        <v>0</v>
      </c>
      <c r="AU30" s="58">
        <f t="shared" si="6"/>
        <v>0</v>
      </c>
      <c r="AV30" s="58">
        <f t="shared" si="7"/>
        <v>0</v>
      </c>
      <c r="AW30" s="58">
        <f t="shared" si="8"/>
        <v>0</v>
      </c>
      <c r="AX30" s="58">
        <f t="shared" si="9"/>
        <v>0</v>
      </c>
      <c r="AY30" s="58">
        <f t="shared" si="16"/>
        <v>0</v>
      </c>
      <c r="AZ30" s="62">
        <f t="shared" si="10"/>
        <v>0</v>
      </c>
      <c r="BA30" s="63">
        <f t="shared" si="11"/>
        <v>0</v>
      </c>
      <c r="BB30" s="63">
        <f t="shared" si="12"/>
        <v>0</v>
      </c>
    </row>
    <row r="31" spans="2:54" s="17" customFormat="1" ht="14.45" customHeight="1" x14ac:dyDescent="0.25">
      <c r="C31" s="215"/>
      <c r="D31" s="216"/>
      <c r="E31" s="88"/>
      <c r="F31" s="217"/>
      <c r="G31" s="234"/>
      <c r="H31" s="218"/>
      <c r="I31" s="76"/>
      <c r="J31" s="77"/>
      <c r="K31" s="76"/>
      <c r="L31" s="78"/>
      <c r="M31" s="78"/>
      <c r="N31" s="76" t="s">
        <v>39</v>
      </c>
      <c r="O31" s="110"/>
      <c r="P31" s="152"/>
      <c r="Q31" s="111" t="str">
        <f>IFERROR(MIN(VLOOKUP(ROUNDDOWN(P31,0),'Aide calcul'!$B$2:$C$282,2,FALSE),O31+1),"")</f>
        <v/>
      </c>
      <c r="R31" s="112" t="str">
        <f t="shared" si="13"/>
        <v/>
      </c>
      <c r="S31" s="152"/>
      <c r="T31" s="152"/>
      <c r="U31" s="152"/>
      <c r="V31" s="152"/>
      <c r="W31" s="152"/>
      <c r="X31" s="152"/>
      <c r="Y31" s="152"/>
      <c r="Z31" s="76"/>
      <c r="AA31" s="76"/>
      <c r="AB31" s="113" t="str">
        <f>IF(C31="3111. Logements",ROUND(VLOOKUP(C31,'Informations générales'!$C$66:$E$70,3,FALSE)*(AL31/$AM$28)/12,0)*12,IF(C31="3112. Logements",ROUND(VLOOKUP(C31,'Informations générales'!$C$66:$E$70,3,FALSE)*(AL31/$AN$28)/12,0)*12,IF(C31="3113. Logements",ROUND(VLOOKUP(C31,'Informations générales'!$C$66:$E$70,3,FALSE)*(AL31/$AO$28)/12,0)*12,IF(C31="3114. Logements",ROUND(VLOOKUP(C31,'Informations générales'!$C$66:$E$70,3,FALSE)*(AL31/$AP$28)/12,0)*12,IF(C31="3115. Logements",ROUND(VLOOKUP(C31,'Informations générales'!$C$66:$E$70,3,FALSE)*(AL31/$AQ$28)/12,0)*12,"")))))</f>
        <v/>
      </c>
      <c r="AC31" s="114"/>
      <c r="AD31" s="113">
        <f t="shared" si="14"/>
        <v>0</v>
      </c>
      <c r="AE31" s="114"/>
      <c r="AF31" s="203" t="str">
        <f>IF(C31="3111. Logements",ROUND(VLOOKUP(C31,'Informations générales'!$C$66:$E$70,3,FALSE)*(AL31/$AM$28)/12,0)*12,IF(C31="3112. Logements",ROUND(VLOOKUP(C31,'Informations générales'!$C$66:$E$70,3,FALSE)*(AL31/$AN$28)/12,0)*12,IF(C31="3113. Logements",ROUND(VLOOKUP(C31,'Informations générales'!$C$66:$E$70,3,FALSE)*(AL31/$AO$28)/12,0)*12,IF(C31="3114. Logements",ROUND(VLOOKUP(C31,'Informations générales'!$C$66:$E$70,3,FALSE)*(AL31/$AP$28)/12,0)*12,IF(C31="3115. Logements",ROUND(VLOOKUP(C31,'Informations générales'!$C$66:$E$70,3,FALSE)*(AL31/$AQ$28)/12,0)*12,"")))))</f>
        <v/>
      </c>
      <c r="AG31" s="202"/>
      <c r="AH31" s="113" t="str">
        <f>IF(C31="3111. Logements",ROUND(VLOOKUP(C31,'Informations générales'!$C$66:$H$70,5,FALSE)*(AL31/$AM$28)/12,0)*12,IF(C31="3112. Logements",ROUND(VLOOKUP(C31,'Informations générales'!$C$66:$H$70,5,FALSE)*(AL31/$AN$28)/12,0)*12,IF(C31="3113. Logements",ROUND(VLOOKUP(C31,'Informations générales'!$C$66:$H$70,5,FALSE)*(AL31/$AO$28)/12,0)*12,IF(C31="3114. Logements",ROUND(VLOOKUP(C31,'Informations générales'!$C$66:$H$70,5,FALSE)*(AL31/$AP$28)/12,0)*12,IF(C31="3115. Logements",ROUND(VLOOKUP(C31,'Informations générales'!$C$66:$H$70,5,FALSE)*(AL31/$AQ$28)/12,0)*12,"")))))</f>
        <v/>
      </c>
      <c r="AI31" s="114"/>
      <c r="AJ31" s="114"/>
      <c r="AK31" s="76"/>
      <c r="AL31" s="58">
        <f t="shared" si="15"/>
        <v>0</v>
      </c>
      <c r="AM31" s="58"/>
      <c r="AN31" s="58"/>
      <c r="AO31" s="58"/>
      <c r="AP31" s="58"/>
      <c r="AQ31" s="58"/>
      <c r="AR31" s="58">
        <f t="shared" si="3"/>
        <v>0</v>
      </c>
      <c r="AS31" s="58">
        <f t="shared" si="4"/>
        <v>0</v>
      </c>
      <c r="AT31" s="58">
        <f t="shared" si="5"/>
        <v>0</v>
      </c>
      <c r="AU31" s="58">
        <f t="shared" si="6"/>
        <v>0</v>
      </c>
      <c r="AV31" s="58">
        <f t="shared" si="7"/>
        <v>0</v>
      </c>
      <c r="AW31" s="58">
        <f t="shared" si="8"/>
        <v>0</v>
      </c>
      <c r="AX31" s="58">
        <f t="shared" si="9"/>
        <v>0</v>
      </c>
      <c r="AY31" s="58">
        <f t="shared" si="16"/>
        <v>0</v>
      </c>
      <c r="AZ31" s="62">
        <f t="shared" si="10"/>
        <v>0</v>
      </c>
      <c r="BA31" s="63">
        <f t="shared" si="11"/>
        <v>0</v>
      </c>
      <c r="BB31" s="63">
        <f t="shared" si="12"/>
        <v>0</v>
      </c>
    </row>
    <row r="32" spans="2:54" s="17" customFormat="1" ht="14.45" customHeight="1" x14ac:dyDescent="0.25">
      <c r="C32" s="215"/>
      <c r="D32" s="216"/>
      <c r="E32" s="88"/>
      <c r="F32" s="217"/>
      <c r="G32" s="234"/>
      <c r="H32" s="218"/>
      <c r="I32" s="76"/>
      <c r="J32" s="77"/>
      <c r="K32" s="76"/>
      <c r="L32" s="78"/>
      <c r="M32" s="78"/>
      <c r="N32" s="76" t="s">
        <v>39</v>
      </c>
      <c r="O32" s="110"/>
      <c r="P32" s="152"/>
      <c r="Q32" s="111" t="str">
        <f>IFERROR(MIN(VLOOKUP(ROUNDDOWN(P32,0),'Aide calcul'!$B$2:$C$282,2,FALSE),O32+1),"")</f>
        <v/>
      </c>
      <c r="R32" s="112" t="str">
        <f t="shared" si="13"/>
        <v/>
      </c>
      <c r="S32" s="152"/>
      <c r="T32" s="152"/>
      <c r="U32" s="152"/>
      <c r="V32" s="152"/>
      <c r="W32" s="152"/>
      <c r="X32" s="152"/>
      <c r="Y32" s="152"/>
      <c r="Z32" s="76"/>
      <c r="AA32" s="76"/>
      <c r="AB32" s="113" t="str">
        <f>IF(C32="3111. Logements",ROUND(VLOOKUP(C32,'Informations générales'!$C$66:$E$70,3,FALSE)*(AL32/$AM$28)/12,0)*12,IF(C32="3112. Logements",ROUND(VLOOKUP(C32,'Informations générales'!$C$66:$E$70,3,FALSE)*(AL32/$AN$28)/12,0)*12,IF(C32="3113. Logements",ROUND(VLOOKUP(C32,'Informations générales'!$C$66:$E$70,3,FALSE)*(AL32/$AO$28)/12,0)*12,IF(C32="3114. Logements",ROUND(VLOOKUP(C32,'Informations générales'!$C$66:$E$70,3,FALSE)*(AL32/$AP$28)/12,0)*12,IF(C32="3115. Logements",ROUND(VLOOKUP(C32,'Informations générales'!$C$66:$E$70,3,FALSE)*(AL32/$AQ$28)/12,0)*12,"")))))</f>
        <v/>
      </c>
      <c r="AC32" s="114"/>
      <c r="AD32" s="113">
        <f t="shared" si="14"/>
        <v>0</v>
      </c>
      <c r="AE32" s="114"/>
      <c r="AF32" s="203" t="str">
        <f>IF(C32="3111. Logements",ROUND(VLOOKUP(C32,'Informations générales'!$C$66:$E$70,3,FALSE)*(AL32/$AM$28)/12,0)*12,IF(C32="3112. Logements",ROUND(VLOOKUP(C32,'Informations générales'!$C$66:$E$70,3,FALSE)*(AL32/$AN$28)/12,0)*12,IF(C32="3113. Logements",ROUND(VLOOKUP(C32,'Informations générales'!$C$66:$E$70,3,FALSE)*(AL32/$AO$28)/12,0)*12,IF(C32="3114. Logements",ROUND(VLOOKUP(C32,'Informations générales'!$C$66:$E$70,3,FALSE)*(AL32/$AP$28)/12,0)*12,IF(C32="3115. Logements",ROUND(VLOOKUP(C32,'Informations générales'!$C$66:$E$70,3,FALSE)*(AL32/$AQ$28)/12,0)*12,"")))))</f>
        <v/>
      </c>
      <c r="AG32" s="202"/>
      <c r="AH32" s="113" t="str">
        <f>IF(C32="3111. Logements",ROUND(VLOOKUP(C32,'Informations générales'!$C$66:$H$70,5,FALSE)*(AL32/$AM$28)/12,0)*12,IF(C32="3112. Logements",ROUND(VLOOKUP(C32,'Informations générales'!$C$66:$H$70,5,FALSE)*(AL32/$AN$28)/12,0)*12,IF(C32="3113. Logements",ROUND(VLOOKUP(C32,'Informations générales'!$C$66:$H$70,5,FALSE)*(AL32/$AO$28)/12,0)*12,IF(C32="3114. Logements",ROUND(VLOOKUP(C32,'Informations générales'!$C$66:$H$70,5,FALSE)*(AL32/$AP$28)/12,0)*12,IF(C32="3115. Logements",ROUND(VLOOKUP(C32,'Informations générales'!$C$66:$H$70,5,FALSE)*(AL32/$AQ$28)/12,0)*12,"")))))</f>
        <v/>
      </c>
      <c r="AI32" s="114"/>
      <c r="AJ32" s="114"/>
      <c r="AK32" s="76"/>
      <c r="AL32" s="58">
        <f t="shared" si="15"/>
        <v>0</v>
      </c>
      <c r="AM32" s="58"/>
      <c r="AN32" s="58"/>
      <c r="AO32" s="58"/>
      <c r="AP32" s="58"/>
      <c r="AQ32" s="58"/>
      <c r="AR32" s="58">
        <f t="shared" si="3"/>
        <v>0</v>
      </c>
      <c r="AS32" s="58">
        <f t="shared" si="4"/>
        <v>0</v>
      </c>
      <c r="AT32" s="58">
        <f t="shared" si="5"/>
        <v>0</v>
      </c>
      <c r="AU32" s="58">
        <f t="shared" si="6"/>
        <v>0</v>
      </c>
      <c r="AV32" s="58">
        <f t="shared" si="7"/>
        <v>0</v>
      </c>
      <c r="AW32" s="58">
        <f t="shared" si="8"/>
        <v>0</v>
      </c>
      <c r="AX32" s="58">
        <f t="shared" si="9"/>
        <v>0</v>
      </c>
      <c r="AY32" s="58">
        <f t="shared" si="16"/>
        <v>0</v>
      </c>
      <c r="AZ32" s="62">
        <f t="shared" si="10"/>
        <v>0</v>
      </c>
      <c r="BA32" s="63">
        <f t="shared" si="11"/>
        <v>0</v>
      </c>
      <c r="BB32" s="63">
        <f t="shared" si="12"/>
        <v>0</v>
      </c>
    </row>
    <row r="33" spans="3:54" s="17" customFormat="1" x14ac:dyDescent="0.25">
      <c r="C33" s="215"/>
      <c r="D33" s="216"/>
      <c r="E33" s="88"/>
      <c r="F33" s="217"/>
      <c r="G33" s="234"/>
      <c r="H33" s="218"/>
      <c r="I33" s="76"/>
      <c r="J33" s="77"/>
      <c r="K33" s="76"/>
      <c r="L33" s="78"/>
      <c r="M33" s="78"/>
      <c r="N33" s="76" t="s">
        <v>39</v>
      </c>
      <c r="O33" s="110"/>
      <c r="P33" s="152"/>
      <c r="Q33" s="111" t="str">
        <f>IFERROR(MIN(VLOOKUP(ROUNDDOWN(P33,0),'Aide calcul'!$B$2:$C$282,2,FALSE),O33+1),"")</f>
        <v/>
      </c>
      <c r="R33" s="112" t="str">
        <f t="shared" si="13"/>
        <v/>
      </c>
      <c r="S33" s="152"/>
      <c r="T33" s="152"/>
      <c r="U33" s="152"/>
      <c r="V33" s="152"/>
      <c r="W33" s="152"/>
      <c r="X33" s="152"/>
      <c r="Y33" s="152"/>
      <c r="Z33" s="76"/>
      <c r="AA33" s="76"/>
      <c r="AB33" s="113" t="str">
        <f>IF(C33="3111. Logements",ROUND(VLOOKUP(C33,'Informations générales'!$C$66:$E$70,3,FALSE)*(AL33/$AM$28)/12,0)*12,IF(C33="3112. Logements",ROUND(VLOOKUP(C33,'Informations générales'!$C$66:$E$70,3,FALSE)*(AL33/$AN$28)/12,0)*12,IF(C33="3113. Logements",ROUND(VLOOKUP(C33,'Informations générales'!$C$66:$E$70,3,FALSE)*(AL33/$AO$28)/12,0)*12,IF(C33="3114. Logements",ROUND(VLOOKUP(C33,'Informations générales'!$C$66:$E$70,3,FALSE)*(AL33/$AP$28)/12,0)*12,IF(C33="3115. Logements",ROUND(VLOOKUP(C33,'Informations générales'!$C$66:$E$70,3,FALSE)*(AL33/$AQ$28)/12,0)*12,"")))))</f>
        <v/>
      </c>
      <c r="AC33" s="114"/>
      <c r="AD33" s="113">
        <f t="shared" si="14"/>
        <v>0</v>
      </c>
      <c r="AE33" s="114"/>
      <c r="AF33" s="203" t="str">
        <f>IF(C33="3111. Logements",ROUND(VLOOKUP(C33,'Informations générales'!$C$66:$E$70,3,FALSE)*(AL33/$AM$28)/12,0)*12,IF(C33="3112. Logements",ROUND(VLOOKUP(C33,'Informations générales'!$C$66:$E$70,3,FALSE)*(AL33/$AN$28)/12,0)*12,IF(C33="3113. Logements",ROUND(VLOOKUP(C33,'Informations générales'!$C$66:$E$70,3,FALSE)*(AL33/$AO$28)/12,0)*12,IF(C33="3114. Logements",ROUND(VLOOKUP(C33,'Informations générales'!$C$66:$E$70,3,FALSE)*(AL33/$AP$28)/12,0)*12,IF(C33="3115. Logements",ROUND(VLOOKUP(C33,'Informations générales'!$C$66:$E$70,3,FALSE)*(AL33/$AQ$28)/12,0)*12,"")))))</f>
        <v/>
      </c>
      <c r="AG33" s="202"/>
      <c r="AH33" s="113" t="str">
        <f>IF(C33="3111. Logements",ROUND(VLOOKUP(C33,'Informations générales'!$C$66:$H$70,5,FALSE)*(AL33/$AM$28)/12,0)*12,IF(C33="3112. Logements",ROUND(VLOOKUP(C33,'Informations générales'!$C$66:$H$70,5,FALSE)*(AL33/$AN$28)/12,0)*12,IF(C33="3113. Logements",ROUND(VLOOKUP(C33,'Informations générales'!$C$66:$H$70,5,FALSE)*(AL33/$AO$28)/12,0)*12,IF(C33="3114. Logements",ROUND(VLOOKUP(C33,'Informations générales'!$C$66:$H$70,5,FALSE)*(AL33/$AP$28)/12,0)*12,IF(C33="3115. Logements",ROUND(VLOOKUP(C33,'Informations générales'!$C$66:$H$70,5,FALSE)*(AL33/$AQ$28)/12,0)*12,"")))))</f>
        <v/>
      </c>
      <c r="AI33" s="114"/>
      <c r="AJ33" s="114"/>
      <c r="AK33" s="76"/>
      <c r="AL33" s="58">
        <f t="shared" si="15"/>
        <v>0</v>
      </c>
      <c r="AM33" s="58"/>
      <c r="AN33" s="58"/>
      <c r="AO33" s="58"/>
      <c r="AP33" s="58"/>
      <c r="AQ33" s="58"/>
      <c r="AR33" s="58">
        <f t="shared" si="3"/>
        <v>0</v>
      </c>
      <c r="AS33" s="58">
        <f t="shared" si="4"/>
        <v>0</v>
      </c>
      <c r="AT33" s="58">
        <f t="shared" si="5"/>
        <v>0</v>
      </c>
      <c r="AU33" s="58">
        <f t="shared" si="6"/>
        <v>0</v>
      </c>
      <c r="AV33" s="58">
        <f t="shared" si="7"/>
        <v>0</v>
      </c>
      <c r="AW33" s="58">
        <f t="shared" si="8"/>
        <v>0</v>
      </c>
      <c r="AX33" s="58">
        <f t="shared" si="9"/>
        <v>0</v>
      </c>
      <c r="AY33" s="58">
        <f t="shared" si="16"/>
        <v>0</v>
      </c>
      <c r="AZ33" s="62">
        <f t="shared" si="10"/>
        <v>0</v>
      </c>
      <c r="BA33" s="63">
        <f t="shared" si="11"/>
        <v>0</v>
      </c>
      <c r="BB33" s="63">
        <f t="shared" si="12"/>
        <v>0</v>
      </c>
    </row>
    <row r="34" spans="3:54" s="17" customFormat="1" x14ac:dyDescent="0.25">
      <c r="C34" s="215"/>
      <c r="D34" s="216"/>
      <c r="E34" s="88"/>
      <c r="F34" s="217"/>
      <c r="G34" s="234"/>
      <c r="H34" s="218"/>
      <c r="I34" s="76"/>
      <c r="J34" s="77"/>
      <c r="K34" s="76"/>
      <c r="L34" s="78"/>
      <c r="M34" s="78"/>
      <c r="N34" s="76" t="s">
        <v>39</v>
      </c>
      <c r="O34" s="110"/>
      <c r="P34" s="152"/>
      <c r="Q34" s="111" t="str">
        <f>IFERROR(MIN(VLOOKUP(ROUNDDOWN(P34,0),'Aide calcul'!$B$2:$C$282,2,FALSE),O34+1),"")</f>
        <v/>
      </c>
      <c r="R34" s="112" t="str">
        <f t="shared" si="13"/>
        <v/>
      </c>
      <c r="S34" s="152"/>
      <c r="T34" s="152"/>
      <c r="U34" s="152"/>
      <c r="V34" s="152"/>
      <c r="W34" s="152"/>
      <c r="X34" s="152"/>
      <c r="Y34" s="152"/>
      <c r="Z34" s="76"/>
      <c r="AA34" s="76"/>
      <c r="AB34" s="113" t="str">
        <f>IF(C34="3111. Logements",ROUND(VLOOKUP(C34,'Informations générales'!$C$66:$E$70,3,FALSE)*(AL34/$AM$28)/12,0)*12,IF(C34="3112. Logements",ROUND(VLOOKUP(C34,'Informations générales'!$C$66:$E$70,3,FALSE)*(AL34/$AN$28)/12,0)*12,IF(C34="3113. Logements",ROUND(VLOOKUP(C34,'Informations générales'!$C$66:$E$70,3,FALSE)*(AL34/$AO$28)/12,0)*12,IF(C34="3114. Logements",ROUND(VLOOKUP(C34,'Informations générales'!$C$66:$E$70,3,FALSE)*(AL34/$AP$28)/12,0)*12,IF(C34="3115. Logements",ROUND(VLOOKUP(C34,'Informations générales'!$C$66:$E$70,3,FALSE)*(AL34/$AQ$28)/12,0)*12,"")))))</f>
        <v/>
      </c>
      <c r="AC34" s="114"/>
      <c r="AD34" s="113">
        <f t="shared" si="14"/>
        <v>0</v>
      </c>
      <c r="AE34" s="114"/>
      <c r="AF34" s="203" t="str">
        <f>IF(C34="3111. Logements",ROUND(VLOOKUP(C34,'Informations générales'!$C$66:$E$70,3,FALSE)*(AL34/$AM$28)/12,0)*12,IF(C34="3112. Logements",ROUND(VLOOKUP(C34,'Informations générales'!$C$66:$E$70,3,FALSE)*(AL34/$AN$28)/12,0)*12,IF(C34="3113. Logements",ROUND(VLOOKUP(C34,'Informations générales'!$C$66:$E$70,3,FALSE)*(AL34/$AO$28)/12,0)*12,IF(C34="3114. Logements",ROUND(VLOOKUP(C34,'Informations générales'!$C$66:$E$70,3,FALSE)*(AL34/$AP$28)/12,0)*12,IF(C34="3115. Logements",ROUND(VLOOKUP(C34,'Informations générales'!$C$66:$E$70,3,FALSE)*(AL34/$AQ$28)/12,0)*12,"")))))</f>
        <v/>
      </c>
      <c r="AG34" s="202"/>
      <c r="AH34" s="113" t="str">
        <f>IF(C34="3111. Logements",ROUND(VLOOKUP(C34,'Informations générales'!$C$66:$H$70,5,FALSE)*(AL34/$AM$28)/12,0)*12,IF(C34="3112. Logements",ROUND(VLOOKUP(C34,'Informations générales'!$C$66:$H$70,5,FALSE)*(AL34/$AN$28)/12,0)*12,IF(C34="3113. Logements",ROUND(VLOOKUP(C34,'Informations générales'!$C$66:$H$70,5,FALSE)*(AL34/$AO$28)/12,0)*12,IF(C34="3114. Logements",ROUND(VLOOKUP(C34,'Informations générales'!$C$66:$H$70,5,FALSE)*(AL34/$AP$28)/12,0)*12,IF(C34="3115. Logements",ROUND(VLOOKUP(C34,'Informations générales'!$C$66:$H$70,5,FALSE)*(AL34/$AQ$28)/12,0)*12,"")))))</f>
        <v/>
      </c>
      <c r="AI34" s="114"/>
      <c r="AJ34" s="114"/>
      <c r="AK34" s="76"/>
      <c r="AL34" s="58">
        <f t="shared" si="15"/>
        <v>0</v>
      </c>
      <c r="AM34" s="58"/>
      <c r="AN34" s="58"/>
      <c r="AO34" s="58"/>
      <c r="AP34" s="58"/>
      <c r="AQ34" s="58"/>
      <c r="AR34" s="58">
        <f t="shared" si="3"/>
        <v>0</v>
      </c>
      <c r="AS34" s="58">
        <f t="shared" si="4"/>
        <v>0</v>
      </c>
      <c r="AT34" s="58">
        <f t="shared" si="5"/>
        <v>0</v>
      </c>
      <c r="AU34" s="58">
        <f t="shared" si="6"/>
        <v>0</v>
      </c>
      <c r="AV34" s="58">
        <f t="shared" si="7"/>
        <v>0</v>
      </c>
      <c r="AW34" s="58">
        <f t="shared" si="8"/>
        <v>0</v>
      </c>
      <c r="AX34" s="58">
        <f t="shared" si="9"/>
        <v>0</v>
      </c>
      <c r="AY34" s="58">
        <f t="shared" si="16"/>
        <v>0</v>
      </c>
      <c r="AZ34" s="62">
        <f t="shared" si="10"/>
        <v>0</v>
      </c>
      <c r="BA34" s="63">
        <f t="shared" si="11"/>
        <v>0</v>
      </c>
      <c r="BB34" s="63">
        <f t="shared" si="12"/>
        <v>0</v>
      </c>
    </row>
    <row r="35" spans="3:54" s="17" customFormat="1" x14ac:dyDescent="0.25">
      <c r="C35" s="215"/>
      <c r="D35" s="216"/>
      <c r="E35" s="88"/>
      <c r="F35" s="217"/>
      <c r="G35" s="234"/>
      <c r="H35" s="218"/>
      <c r="I35" s="76"/>
      <c r="J35" s="77"/>
      <c r="K35" s="76"/>
      <c r="L35" s="78"/>
      <c r="M35" s="78"/>
      <c r="N35" s="76" t="s">
        <v>39</v>
      </c>
      <c r="O35" s="110"/>
      <c r="P35" s="152"/>
      <c r="Q35" s="111" t="str">
        <f>IFERROR(MIN(VLOOKUP(ROUNDDOWN(P35,0),'Aide calcul'!$B$2:$C$282,2,FALSE),O35+1),"")</f>
        <v/>
      </c>
      <c r="R35" s="112" t="str">
        <f t="shared" si="13"/>
        <v/>
      </c>
      <c r="S35" s="152"/>
      <c r="T35" s="152"/>
      <c r="U35" s="152"/>
      <c r="V35" s="152"/>
      <c r="W35" s="152"/>
      <c r="X35" s="152"/>
      <c r="Y35" s="152"/>
      <c r="Z35" s="76"/>
      <c r="AA35" s="76"/>
      <c r="AB35" s="113" t="str">
        <f>IF(C35="3111. Logements",ROUND(VLOOKUP(C35,'Informations générales'!$C$66:$E$70,3,FALSE)*(AL35/$AM$28)/12,0)*12,IF(C35="3112. Logements",ROUND(VLOOKUP(C35,'Informations générales'!$C$66:$E$70,3,FALSE)*(AL35/$AN$28)/12,0)*12,IF(C35="3113. Logements",ROUND(VLOOKUP(C35,'Informations générales'!$C$66:$E$70,3,FALSE)*(AL35/$AO$28)/12,0)*12,IF(C35="3114. Logements",ROUND(VLOOKUP(C35,'Informations générales'!$C$66:$E$70,3,FALSE)*(AL35/$AP$28)/12,0)*12,IF(C35="3115. Logements",ROUND(VLOOKUP(C35,'Informations générales'!$C$66:$E$70,3,FALSE)*(AL35/$AQ$28)/12,0)*12,"")))))</f>
        <v/>
      </c>
      <c r="AC35" s="114"/>
      <c r="AD35" s="113">
        <f t="shared" si="14"/>
        <v>0</v>
      </c>
      <c r="AE35" s="114"/>
      <c r="AF35" s="203" t="str">
        <f>IF(C35="3111. Logements",ROUND(VLOOKUP(C35,'Informations générales'!$C$66:$E$70,3,FALSE)*(AL35/$AM$28)/12,0)*12,IF(C35="3112. Logements",ROUND(VLOOKUP(C35,'Informations générales'!$C$66:$E$70,3,FALSE)*(AL35/$AN$28)/12,0)*12,IF(C35="3113. Logements",ROUND(VLOOKUP(C35,'Informations générales'!$C$66:$E$70,3,FALSE)*(AL35/$AO$28)/12,0)*12,IF(C35="3114. Logements",ROUND(VLOOKUP(C35,'Informations générales'!$C$66:$E$70,3,FALSE)*(AL35/$AP$28)/12,0)*12,IF(C35="3115. Logements",ROUND(VLOOKUP(C35,'Informations générales'!$C$66:$E$70,3,FALSE)*(AL35/$AQ$28)/12,0)*12,"")))))</f>
        <v/>
      </c>
      <c r="AG35" s="202"/>
      <c r="AH35" s="113" t="str">
        <f>IF(C35="3111. Logements",ROUND(VLOOKUP(C35,'Informations générales'!$C$66:$H$70,5,FALSE)*(AL35/$AM$28)/12,0)*12,IF(C35="3112. Logements",ROUND(VLOOKUP(C35,'Informations générales'!$C$66:$H$70,5,FALSE)*(AL35/$AN$28)/12,0)*12,IF(C35="3113. Logements",ROUND(VLOOKUP(C35,'Informations générales'!$C$66:$H$70,5,FALSE)*(AL35/$AO$28)/12,0)*12,IF(C35="3114. Logements",ROUND(VLOOKUP(C35,'Informations générales'!$C$66:$H$70,5,FALSE)*(AL35/$AP$28)/12,0)*12,IF(C35="3115. Logements",ROUND(VLOOKUP(C35,'Informations générales'!$C$66:$H$70,5,FALSE)*(AL35/$AQ$28)/12,0)*12,"")))))</f>
        <v/>
      </c>
      <c r="AI35" s="114"/>
      <c r="AJ35" s="114"/>
      <c r="AK35" s="76"/>
      <c r="AL35" s="58">
        <f t="shared" si="15"/>
        <v>0</v>
      </c>
      <c r="AM35" s="58"/>
      <c r="AN35" s="58"/>
      <c r="AO35" s="58"/>
      <c r="AP35" s="58"/>
      <c r="AQ35" s="58"/>
      <c r="AR35" s="58">
        <f t="shared" si="3"/>
        <v>0</v>
      </c>
      <c r="AS35" s="58">
        <f t="shared" si="4"/>
        <v>0</v>
      </c>
      <c r="AT35" s="58">
        <f t="shared" si="5"/>
        <v>0</v>
      </c>
      <c r="AU35" s="58">
        <f t="shared" si="6"/>
        <v>0</v>
      </c>
      <c r="AV35" s="58">
        <f t="shared" si="7"/>
        <v>0</v>
      </c>
      <c r="AW35" s="58">
        <f t="shared" si="8"/>
        <v>0</v>
      </c>
      <c r="AX35" s="58">
        <f t="shared" si="9"/>
        <v>0</v>
      </c>
      <c r="AY35" s="58">
        <f t="shared" si="16"/>
        <v>0</v>
      </c>
      <c r="AZ35" s="62">
        <f t="shared" si="10"/>
        <v>0</v>
      </c>
      <c r="BA35" s="63">
        <f t="shared" si="11"/>
        <v>0</v>
      </c>
      <c r="BB35" s="63">
        <f t="shared" si="12"/>
        <v>0</v>
      </c>
    </row>
    <row r="36" spans="3:54" s="17" customFormat="1" ht="14.45" customHeight="1" x14ac:dyDescent="0.25">
      <c r="C36" s="215"/>
      <c r="D36" s="216"/>
      <c r="E36" s="88"/>
      <c r="F36" s="217"/>
      <c r="G36" s="234"/>
      <c r="H36" s="218"/>
      <c r="I36" s="76"/>
      <c r="J36" s="77"/>
      <c r="K36" s="76"/>
      <c r="L36" s="78"/>
      <c r="M36" s="78"/>
      <c r="N36" s="76" t="s">
        <v>39</v>
      </c>
      <c r="O36" s="110"/>
      <c r="P36" s="152"/>
      <c r="Q36" s="111" t="str">
        <f>IFERROR(MIN(VLOOKUP(ROUNDDOWN(P36,0),'Aide calcul'!$B$2:$C$282,2,FALSE),O36+1),"")</f>
        <v/>
      </c>
      <c r="R36" s="112" t="str">
        <f t="shared" si="13"/>
        <v/>
      </c>
      <c r="S36" s="152"/>
      <c r="T36" s="152"/>
      <c r="U36" s="152"/>
      <c r="V36" s="152"/>
      <c r="W36" s="152"/>
      <c r="X36" s="152"/>
      <c r="Y36" s="152"/>
      <c r="Z36" s="76"/>
      <c r="AA36" s="76"/>
      <c r="AB36" s="113" t="str">
        <f>IF(C36="3111. Logements",ROUND(VLOOKUP(C36,'Informations générales'!$C$66:$E$70,3,FALSE)*(AL36/$AM$28)/12,0)*12,IF(C36="3112. Logements",ROUND(VLOOKUP(C36,'Informations générales'!$C$66:$E$70,3,FALSE)*(AL36/$AN$28)/12,0)*12,IF(C36="3113. Logements",ROUND(VLOOKUP(C36,'Informations générales'!$C$66:$E$70,3,FALSE)*(AL36/$AO$28)/12,0)*12,IF(C36="3114. Logements",ROUND(VLOOKUP(C36,'Informations générales'!$C$66:$E$70,3,FALSE)*(AL36/$AP$28)/12,0)*12,IF(C36="3115. Logements",ROUND(VLOOKUP(C36,'Informations générales'!$C$66:$E$70,3,FALSE)*(AL36/$AQ$28)/12,0)*12,"")))))</f>
        <v/>
      </c>
      <c r="AC36" s="114"/>
      <c r="AD36" s="113">
        <f t="shared" si="14"/>
        <v>0</v>
      </c>
      <c r="AE36" s="114"/>
      <c r="AF36" s="203" t="str">
        <f>IF(C36="3111. Logements",ROUND(VLOOKUP(C36,'Informations générales'!$C$66:$E$70,3,FALSE)*(AL36/$AM$28)/12,0)*12,IF(C36="3112. Logements",ROUND(VLOOKUP(C36,'Informations générales'!$C$66:$E$70,3,FALSE)*(AL36/$AN$28)/12,0)*12,IF(C36="3113. Logements",ROUND(VLOOKUP(C36,'Informations générales'!$C$66:$E$70,3,FALSE)*(AL36/$AO$28)/12,0)*12,IF(C36="3114. Logements",ROUND(VLOOKUP(C36,'Informations générales'!$C$66:$E$70,3,FALSE)*(AL36/$AP$28)/12,0)*12,IF(C36="3115. Logements",ROUND(VLOOKUP(C36,'Informations générales'!$C$66:$E$70,3,FALSE)*(AL36/$AQ$28)/12,0)*12,"")))))</f>
        <v/>
      </c>
      <c r="AG36" s="202"/>
      <c r="AH36" s="113" t="str">
        <f>IF(C36="3111. Logements",ROUND(VLOOKUP(C36,'Informations générales'!$C$66:$H$70,5,FALSE)*(AL36/$AM$28)/12,0)*12,IF(C36="3112. Logements",ROUND(VLOOKUP(C36,'Informations générales'!$C$66:$H$70,5,FALSE)*(AL36/$AN$28)/12,0)*12,IF(C36="3113. Logements",ROUND(VLOOKUP(C36,'Informations générales'!$C$66:$H$70,5,FALSE)*(AL36/$AO$28)/12,0)*12,IF(C36="3114. Logements",ROUND(VLOOKUP(C36,'Informations générales'!$C$66:$H$70,5,FALSE)*(AL36/$AP$28)/12,0)*12,IF(C36="3115. Logements",ROUND(VLOOKUP(C36,'Informations générales'!$C$66:$H$70,5,FALSE)*(AL36/$AQ$28)/12,0)*12,"")))))</f>
        <v/>
      </c>
      <c r="AI36" s="114"/>
      <c r="AJ36" s="114"/>
      <c r="AK36" s="76"/>
      <c r="AL36" s="58">
        <f t="shared" si="15"/>
        <v>0</v>
      </c>
      <c r="AM36" s="58"/>
      <c r="AN36" s="58"/>
      <c r="AO36" s="58"/>
      <c r="AP36" s="58"/>
      <c r="AQ36" s="58"/>
      <c r="AR36" s="58">
        <f t="shared" si="3"/>
        <v>0</v>
      </c>
      <c r="AS36" s="58">
        <f t="shared" si="4"/>
        <v>0</v>
      </c>
      <c r="AT36" s="58">
        <f t="shared" si="5"/>
        <v>0</v>
      </c>
      <c r="AU36" s="58">
        <f t="shared" si="6"/>
        <v>0</v>
      </c>
      <c r="AV36" s="58">
        <f t="shared" si="7"/>
        <v>0</v>
      </c>
      <c r="AW36" s="58">
        <f t="shared" si="8"/>
        <v>0</v>
      </c>
      <c r="AX36" s="58">
        <f t="shared" si="9"/>
        <v>0</v>
      </c>
      <c r="AY36" s="58">
        <f t="shared" si="16"/>
        <v>0</v>
      </c>
      <c r="AZ36" s="62">
        <f t="shared" si="10"/>
        <v>0</v>
      </c>
      <c r="BA36" s="63">
        <f t="shared" si="11"/>
        <v>0</v>
      </c>
      <c r="BB36" s="63">
        <f t="shared" si="12"/>
        <v>0</v>
      </c>
    </row>
    <row r="37" spans="3:54" s="17" customFormat="1" ht="14.45" customHeight="1" x14ac:dyDescent="0.25">
      <c r="C37" s="215"/>
      <c r="D37" s="216"/>
      <c r="E37" s="88"/>
      <c r="F37" s="217"/>
      <c r="G37" s="234"/>
      <c r="H37" s="218"/>
      <c r="I37" s="76"/>
      <c r="J37" s="77"/>
      <c r="K37" s="76"/>
      <c r="L37" s="78"/>
      <c r="M37" s="78"/>
      <c r="N37" s="76" t="s">
        <v>39</v>
      </c>
      <c r="O37" s="110"/>
      <c r="P37" s="152"/>
      <c r="Q37" s="111" t="str">
        <f>IFERROR(MIN(VLOOKUP(ROUNDDOWN(P37,0),'Aide calcul'!$B$2:$C$282,2,FALSE),O37+1),"")</f>
        <v/>
      </c>
      <c r="R37" s="112" t="str">
        <f t="shared" si="13"/>
        <v/>
      </c>
      <c r="S37" s="152"/>
      <c r="T37" s="152"/>
      <c r="U37" s="152"/>
      <c r="V37" s="152"/>
      <c r="W37" s="152"/>
      <c r="X37" s="152"/>
      <c r="Y37" s="152"/>
      <c r="Z37" s="76"/>
      <c r="AA37" s="76"/>
      <c r="AB37" s="113" t="str">
        <f>IF(C37="3111. Logements",ROUND(VLOOKUP(C37,'Informations générales'!$C$66:$E$70,3,FALSE)*(AL37/$AM$28)/12,0)*12,IF(C37="3112. Logements",ROUND(VLOOKUP(C37,'Informations générales'!$C$66:$E$70,3,FALSE)*(AL37/$AN$28)/12,0)*12,IF(C37="3113. Logements",ROUND(VLOOKUP(C37,'Informations générales'!$C$66:$E$70,3,FALSE)*(AL37/$AO$28)/12,0)*12,IF(C37="3114. Logements",ROUND(VLOOKUP(C37,'Informations générales'!$C$66:$E$70,3,FALSE)*(AL37/$AP$28)/12,0)*12,IF(C37="3115. Logements",ROUND(VLOOKUP(C37,'Informations générales'!$C$66:$E$70,3,FALSE)*(AL37/$AQ$28)/12,0)*12,"")))))</f>
        <v/>
      </c>
      <c r="AC37" s="114"/>
      <c r="AD37" s="113">
        <f t="shared" si="14"/>
        <v>0</v>
      </c>
      <c r="AE37" s="114"/>
      <c r="AF37" s="203" t="str">
        <f>IF(C37="3111. Logements",ROUND(VLOOKUP(C37,'Informations générales'!$C$66:$E$70,3,FALSE)*(AL37/$AM$28)/12,0)*12,IF(C37="3112. Logements",ROUND(VLOOKUP(C37,'Informations générales'!$C$66:$E$70,3,FALSE)*(AL37/$AN$28)/12,0)*12,IF(C37="3113. Logements",ROUND(VLOOKUP(C37,'Informations générales'!$C$66:$E$70,3,FALSE)*(AL37/$AO$28)/12,0)*12,IF(C37="3114. Logements",ROUND(VLOOKUP(C37,'Informations générales'!$C$66:$E$70,3,FALSE)*(AL37/$AP$28)/12,0)*12,IF(C37="3115. Logements",ROUND(VLOOKUP(C37,'Informations générales'!$C$66:$E$70,3,FALSE)*(AL37/$AQ$28)/12,0)*12,"")))))</f>
        <v/>
      </c>
      <c r="AG37" s="202"/>
      <c r="AH37" s="113" t="str">
        <f>IF(C37="3111. Logements",ROUND(VLOOKUP(C37,'Informations générales'!$C$66:$H$70,5,FALSE)*(AL37/$AM$28)/12,0)*12,IF(C37="3112. Logements",ROUND(VLOOKUP(C37,'Informations générales'!$C$66:$H$70,5,FALSE)*(AL37/$AN$28)/12,0)*12,IF(C37="3113. Logements",ROUND(VLOOKUP(C37,'Informations générales'!$C$66:$H$70,5,FALSE)*(AL37/$AO$28)/12,0)*12,IF(C37="3114. Logements",ROUND(VLOOKUP(C37,'Informations générales'!$C$66:$H$70,5,FALSE)*(AL37/$AP$28)/12,0)*12,IF(C37="3115. Logements",ROUND(VLOOKUP(C37,'Informations générales'!$C$66:$H$70,5,FALSE)*(AL37/$AQ$28)/12,0)*12,"")))))</f>
        <v/>
      </c>
      <c r="AI37" s="114"/>
      <c r="AJ37" s="114"/>
      <c r="AK37" s="76"/>
      <c r="AL37" s="58">
        <f t="shared" si="15"/>
        <v>0</v>
      </c>
      <c r="AM37" s="58"/>
      <c r="AN37" s="58"/>
      <c r="AO37" s="58"/>
      <c r="AP37" s="58"/>
      <c r="AQ37" s="58"/>
      <c r="AR37" s="58">
        <f t="shared" si="3"/>
        <v>0</v>
      </c>
      <c r="AS37" s="58">
        <f t="shared" si="4"/>
        <v>0</v>
      </c>
      <c r="AT37" s="58">
        <f t="shared" si="5"/>
        <v>0</v>
      </c>
      <c r="AU37" s="58">
        <f t="shared" si="6"/>
        <v>0</v>
      </c>
      <c r="AV37" s="58">
        <f t="shared" si="7"/>
        <v>0</v>
      </c>
      <c r="AW37" s="58">
        <f t="shared" si="8"/>
        <v>0</v>
      </c>
      <c r="AX37" s="58">
        <f t="shared" si="9"/>
        <v>0</v>
      </c>
      <c r="AY37" s="58">
        <f t="shared" si="16"/>
        <v>0</v>
      </c>
      <c r="AZ37" s="62">
        <f t="shared" si="10"/>
        <v>0</v>
      </c>
      <c r="BA37" s="63">
        <f t="shared" si="11"/>
        <v>0</v>
      </c>
      <c r="BB37" s="63">
        <f t="shared" si="12"/>
        <v>0</v>
      </c>
    </row>
    <row r="38" spans="3:54" s="17" customFormat="1" ht="14.45" customHeight="1" x14ac:dyDescent="0.25">
      <c r="C38" s="215"/>
      <c r="D38" s="216"/>
      <c r="E38" s="88"/>
      <c r="F38" s="217"/>
      <c r="G38" s="234"/>
      <c r="H38" s="218"/>
      <c r="I38" s="76"/>
      <c r="J38" s="77"/>
      <c r="K38" s="76"/>
      <c r="L38" s="78"/>
      <c r="M38" s="78"/>
      <c r="N38" s="76" t="s">
        <v>39</v>
      </c>
      <c r="O38" s="110"/>
      <c r="P38" s="152"/>
      <c r="Q38" s="111" t="str">
        <f>IFERROR(MIN(VLOOKUP(ROUNDDOWN(P38,0),'Aide calcul'!$B$2:$C$282,2,FALSE),O38+1),"")</f>
        <v/>
      </c>
      <c r="R38" s="112" t="str">
        <f t="shared" si="13"/>
        <v/>
      </c>
      <c r="S38" s="152"/>
      <c r="T38" s="152"/>
      <c r="U38" s="152"/>
      <c r="V38" s="152"/>
      <c r="W38" s="152"/>
      <c r="X38" s="152"/>
      <c r="Y38" s="152"/>
      <c r="Z38" s="76"/>
      <c r="AA38" s="76"/>
      <c r="AB38" s="113" t="str">
        <f>IF(C38="3111. Logements",ROUND(VLOOKUP(C38,'Informations générales'!$C$66:$E$70,3,FALSE)*(AL38/$AM$28)/12,0)*12,IF(C38="3112. Logements",ROUND(VLOOKUP(C38,'Informations générales'!$C$66:$E$70,3,FALSE)*(AL38/$AN$28)/12,0)*12,IF(C38="3113. Logements",ROUND(VLOOKUP(C38,'Informations générales'!$C$66:$E$70,3,FALSE)*(AL38/$AO$28)/12,0)*12,IF(C38="3114. Logements",ROUND(VLOOKUP(C38,'Informations générales'!$C$66:$E$70,3,FALSE)*(AL38/$AP$28)/12,0)*12,IF(C38="3115. Logements",ROUND(VLOOKUP(C38,'Informations générales'!$C$66:$E$70,3,FALSE)*(AL38/$AQ$28)/12,0)*12,"")))))</f>
        <v/>
      </c>
      <c r="AC38" s="114"/>
      <c r="AD38" s="113">
        <f t="shared" si="14"/>
        <v>0</v>
      </c>
      <c r="AE38" s="114"/>
      <c r="AF38" s="203" t="str">
        <f>IF(C38="3111. Logements",ROUND(VLOOKUP(C38,'Informations générales'!$C$66:$E$70,3,FALSE)*(AL38/$AM$28)/12,0)*12,IF(C38="3112. Logements",ROUND(VLOOKUP(C38,'Informations générales'!$C$66:$E$70,3,FALSE)*(AL38/$AN$28)/12,0)*12,IF(C38="3113. Logements",ROUND(VLOOKUP(C38,'Informations générales'!$C$66:$E$70,3,FALSE)*(AL38/$AO$28)/12,0)*12,IF(C38="3114. Logements",ROUND(VLOOKUP(C38,'Informations générales'!$C$66:$E$70,3,FALSE)*(AL38/$AP$28)/12,0)*12,IF(C38="3115. Logements",ROUND(VLOOKUP(C38,'Informations générales'!$C$66:$E$70,3,FALSE)*(AL38/$AQ$28)/12,0)*12,"")))))</f>
        <v/>
      </c>
      <c r="AG38" s="202"/>
      <c r="AH38" s="113" t="str">
        <f>IF(C38="3111. Logements",ROUND(VLOOKUP(C38,'Informations générales'!$C$66:$H$70,5,FALSE)*(AL38/$AM$28)/12,0)*12,IF(C38="3112. Logements",ROUND(VLOOKUP(C38,'Informations générales'!$C$66:$H$70,5,FALSE)*(AL38/$AN$28)/12,0)*12,IF(C38="3113. Logements",ROUND(VLOOKUP(C38,'Informations générales'!$C$66:$H$70,5,FALSE)*(AL38/$AO$28)/12,0)*12,IF(C38="3114. Logements",ROUND(VLOOKUP(C38,'Informations générales'!$C$66:$H$70,5,FALSE)*(AL38/$AP$28)/12,0)*12,IF(C38="3115. Logements",ROUND(VLOOKUP(C38,'Informations générales'!$C$66:$H$70,5,FALSE)*(AL38/$AQ$28)/12,0)*12,"")))))</f>
        <v/>
      </c>
      <c r="AI38" s="114"/>
      <c r="AJ38" s="114"/>
      <c r="AK38" s="76"/>
      <c r="AL38" s="58">
        <f t="shared" si="15"/>
        <v>0</v>
      </c>
      <c r="AM38" s="58"/>
      <c r="AN38" s="58"/>
      <c r="AO38" s="58"/>
      <c r="AP38" s="58"/>
      <c r="AQ38" s="58"/>
      <c r="AR38" s="58">
        <f t="shared" si="3"/>
        <v>0</v>
      </c>
      <c r="AS38" s="58">
        <f t="shared" si="4"/>
        <v>0</v>
      </c>
      <c r="AT38" s="58">
        <f t="shared" si="5"/>
        <v>0</v>
      </c>
      <c r="AU38" s="58">
        <f t="shared" si="6"/>
        <v>0</v>
      </c>
      <c r="AV38" s="58">
        <f t="shared" si="7"/>
        <v>0</v>
      </c>
      <c r="AW38" s="58">
        <f t="shared" si="8"/>
        <v>0</v>
      </c>
      <c r="AX38" s="58">
        <f t="shared" si="9"/>
        <v>0</v>
      </c>
      <c r="AY38" s="58">
        <f t="shared" si="16"/>
        <v>0</v>
      </c>
      <c r="AZ38" s="62">
        <f t="shared" si="10"/>
        <v>0</v>
      </c>
      <c r="BA38" s="63">
        <f t="shared" si="11"/>
        <v>0</v>
      </c>
      <c r="BB38" s="63">
        <f t="shared" si="12"/>
        <v>0</v>
      </c>
    </row>
    <row r="39" spans="3:54" s="17" customFormat="1" ht="14.45" customHeight="1" x14ac:dyDescent="0.25">
      <c r="C39" s="215"/>
      <c r="D39" s="216"/>
      <c r="E39" s="88"/>
      <c r="F39" s="217"/>
      <c r="G39" s="234"/>
      <c r="H39" s="218"/>
      <c r="I39" s="76"/>
      <c r="J39" s="77"/>
      <c r="K39" s="76"/>
      <c r="L39" s="78"/>
      <c r="M39" s="78"/>
      <c r="N39" s="76" t="s">
        <v>39</v>
      </c>
      <c r="O39" s="110"/>
      <c r="P39" s="152"/>
      <c r="Q39" s="111" t="str">
        <f>IFERROR(MIN(VLOOKUP(ROUNDDOWN(P39,0),'Aide calcul'!$B$2:$C$282,2,FALSE),O39+1),"")</f>
        <v/>
      </c>
      <c r="R39" s="112" t="str">
        <f t="shared" si="13"/>
        <v/>
      </c>
      <c r="S39" s="152"/>
      <c r="T39" s="152"/>
      <c r="U39" s="152"/>
      <c r="V39" s="152"/>
      <c r="W39" s="152"/>
      <c r="X39" s="152"/>
      <c r="Y39" s="152"/>
      <c r="Z39" s="76"/>
      <c r="AA39" s="76"/>
      <c r="AB39" s="113" t="str">
        <f>IF(C39="3111. Logements",ROUND(VLOOKUP(C39,'Informations générales'!$C$66:$E$70,3,FALSE)*(AL39/$AM$28)/12,0)*12,IF(C39="3112. Logements",ROUND(VLOOKUP(C39,'Informations générales'!$C$66:$E$70,3,FALSE)*(AL39/$AN$28)/12,0)*12,IF(C39="3113. Logements",ROUND(VLOOKUP(C39,'Informations générales'!$C$66:$E$70,3,FALSE)*(AL39/$AO$28)/12,0)*12,IF(C39="3114. Logements",ROUND(VLOOKUP(C39,'Informations générales'!$C$66:$E$70,3,FALSE)*(AL39/$AP$28)/12,0)*12,IF(C39="3115. Logements",ROUND(VLOOKUP(C39,'Informations générales'!$C$66:$E$70,3,FALSE)*(AL39/$AQ$28)/12,0)*12,"")))))</f>
        <v/>
      </c>
      <c r="AC39" s="114"/>
      <c r="AD39" s="113">
        <f t="shared" si="14"/>
        <v>0</v>
      </c>
      <c r="AE39" s="114"/>
      <c r="AF39" s="203" t="str">
        <f>IF(C39="3111. Logements",ROUND(VLOOKUP(C39,'Informations générales'!$C$66:$E$70,3,FALSE)*(AL39/$AM$28)/12,0)*12,IF(C39="3112. Logements",ROUND(VLOOKUP(C39,'Informations générales'!$C$66:$E$70,3,FALSE)*(AL39/$AN$28)/12,0)*12,IF(C39="3113. Logements",ROUND(VLOOKUP(C39,'Informations générales'!$C$66:$E$70,3,FALSE)*(AL39/$AO$28)/12,0)*12,IF(C39="3114. Logements",ROUND(VLOOKUP(C39,'Informations générales'!$C$66:$E$70,3,FALSE)*(AL39/$AP$28)/12,0)*12,IF(C39="3115. Logements",ROUND(VLOOKUP(C39,'Informations générales'!$C$66:$E$70,3,FALSE)*(AL39/$AQ$28)/12,0)*12,"")))))</f>
        <v/>
      </c>
      <c r="AG39" s="202"/>
      <c r="AH39" s="113" t="str">
        <f>IF(C39="3111. Logements",ROUND(VLOOKUP(C39,'Informations générales'!$C$66:$H$70,5,FALSE)*(AL39/$AM$28)/12,0)*12,IF(C39="3112. Logements",ROUND(VLOOKUP(C39,'Informations générales'!$C$66:$H$70,5,FALSE)*(AL39/$AN$28)/12,0)*12,IF(C39="3113. Logements",ROUND(VLOOKUP(C39,'Informations générales'!$C$66:$H$70,5,FALSE)*(AL39/$AO$28)/12,0)*12,IF(C39="3114. Logements",ROUND(VLOOKUP(C39,'Informations générales'!$C$66:$H$70,5,FALSE)*(AL39/$AP$28)/12,0)*12,IF(C39="3115. Logements",ROUND(VLOOKUP(C39,'Informations générales'!$C$66:$H$70,5,FALSE)*(AL39/$AQ$28)/12,0)*12,"")))))</f>
        <v/>
      </c>
      <c r="AI39" s="114"/>
      <c r="AJ39" s="114"/>
      <c r="AK39" s="76"/>
      <c r="AL39" s="58">
        <f t="shared" si="15"/>
        <v>0</v>
      </c>
      <c r="AM39" s="58"/>
      <c r="AN39" s="58"/>
      <c r="AO39" s="58"/>
      <c r="AP39" s="58"/>
      <c r="AQ39" s="58"/>
      <c r="AR39" s="58">
        <f t="shared" si="3"/>
        <v>0</v>
      </c>
      <c r="AS39" s="58">
        <f t="shared" si="4"/>
        <v>0</v>
      </c>
      <c r="AT39" s="58">
        <f t="shared" si="5"/>
        <v>0</v>
      </c>
      <c r="AU39" s="58">
        <f t="shared" si="6"/>
        <v>0</v>
      </c>
      <c r="AV39" s="58">
        <f t="shared" si="7"/>
        <v>0</v>
      </c>
      <c r="AW39" s="58">
        <f t="shared" si="8"/>
        <v>0</v>
      </c>
      <c r="AX39" s="58">
        <f t="shared" si="9"/>
        <v>0</v>
      </c>
      <c r="AY39" s="58">
        <f t="shared" si="16"/>
        <v>0</v>
      </c>
      <c r="AZ39" s="62">
        <f t="shared" si="10"/>
        <v>0</v>
      </c>
      <c r="BA39" s="63">
        <f t="shared" si="11"/>
        <v>0</v>
      </c>
      <c r="BB39" s="63">
        <f t="shared" si="12"/>
        <v>0</v>
      </c>
    </row>
    <row r="40" spans="3:54" s="17" customFormat="1" ht="14.45" customHeight="1" x14ac:dyDescent="0.25">
      <c r="C40" s="215"/>
      <c r="D40" s="216"/>
      <c r="E40" s="88"/>
      <c r="F40" s="217"/>
      <c r="G40" s="234"/>
      <c r="H40" s="218"/>
      <c r="I40" s="76"/>
      <c r="J40" s="77"/>
      <c r="K40" s="76"/>
      <c r="L40" s="78"/>
      <c r="M40" s="78"/>
      <c r="N40" s="76" t="s">
        <v>39</v>
      </c>
      <c r="O40" s="110"/>
      <c r="P40" s="152"/>
      <c r="Q40" s="111" t="str">
        <f>IFERROR(MIN(VLOOKUP(ROUNDDOWN(P40,0),'Aide calcul'!$B$2:$C$282,2,FALSE),O40+1),"")</f>
        <v/>
      </c>
      <c r="R40" s="112" t="str">
        <f t="shared" si="13"/>
        <v/>
      </c>
      <c r="S40" s="152"/>
      <c r="T40" s="152"/>
      <c r="U40" s="152"/>
      <c r="V40" s="152"/>
      <c r="W40" s="152"/>
      <c r="X40" s="152"/>
      <c r="Y40" s="152"/>
      <c r="Z40" s="76"/>
      <c r="AA40" s="76"/>
      <c r="AB40" s="113" t="str">
        <f>IF(C40="3111. Logements",ROUND(VLOOKUP(C40,'Informations générales'!$C$66:$E$70,3,FALSE)*(AL40/$AM$28)/12,0)*12,IF(C40="3112. Logements",ROUND(VLOOKUP(C40,'Informations générales'!$C$66:$E$70,3,FALSE)*(AL40/$AN$28)/12,0)*12,IF(C40="3113. Logements",ROUND(VLOOKUP(C40,'Informations générales'!$C$66:$E$70,3,FALSE)*(AL40/$AO$28)/12,0)*12,IF(C40="3114. Logements",ROUND(VLOOKUP(C40,'Informations générales'!$C$66:$E$70,3,FALSE)*(AL40/$AP$28)/12,0)*12,IF(C40="3115. Logements",ROUND(VLOOKUP(C40,'Informations générales'!$C$66:$E$70,3,FALSE)*(AL40/$AQ$28)/12,0)*12,"")))))</f>
        <v/>
      </c>
      <c r="AC40" s="114"/>
      <c r="AD40" s="113">
        <f t="shared" si="14"/>
        <v>0</v>
      </c>
      <c r="AE40" s="114"/>
      <c r="AF40" s="203" t="str">
        <f>IF(C40="3111. Logements",ROUND(VLOOKUP(C40,'Informations générales'!$C$66:$E$70,3,FALSE)*(AL40/$AM$28)/12,0)*12,IF(C40="3112. Logements",ROUND(VLOOKUP(C40,'Informations générales'!$C$66:$E$70,3,FALSE)*(AL40/$AN$28)/12,0)*12,IF(C40="3113. Logements",ROUND(VLOOKUP(C40,'Informations générales'!$C$66:$E$70,3,FALSE)*(AL40/$AO$28)/12,0)*12,IF(C40="3114. Logements",ROUND(VLOOKUP(C40,'Informations générales'!$C$66:$E$70,3,FALSE)*(AL40/$AP$28)/12,0)*12,IF(C40="3115. Logements",ROUND(VLOOKUP(C40,'Informations générales'!$C$66:$E$70,3,FALSE)*(AL40/$AQ$28)/12,0)*12,"")))))</f>
        <v/>
      </c>
      <c r="AG40" s="202"/>
      <c r="AH40" s="113" t="str">
        <f>IF(C40="3111. Logements",ROUND(VLOOKUP(C40,'Informations générales'!$C$66:$H$70,5,FALSE)*(AL40/$AM$28)/12,0)*12,IF(C40="3112. Logements",ROUND(VLOOKUP(C40,'Informations générales'!$C$66:$H$70,5,FALSE)*(AL40/$AN$28)/12,0)*12,IF(C40="3113. Logements",ROUND(VLOOKUP(C40,'Informations générales'!$C$66:$H$70,5,FALSE)*(AL40/$AO$28)/12,0)*12,IF(C40="3114. Logements",ROUND(VLOOKUP(C40,'Informations générales'!$C$66:$H$70,5,FALSE)*(AL40/$AP$28)/12,0)*12,IF(C40="3115. Logements",ROUND(VLOOKUP(C40,'Informations générales'!$C$66:$H$70,5,FALSE)*(AL40/$AQ$28)/12,0)*12,"")))))</f>
        <v/>
      </c>
      <c r="AI40" s="114"/>
      <c r="AJ40" s="114"/>
      <c r="AK40" s="76"/>
      <c r="AL40" s="58">
        <f t="shared" si="15"/>
        <v>0</v>
      </c>
      <c r="AM40" s="58"/>
      <c r="AN40" s="58"/>
      <c r="AO40" s="58"/>
      <c r="AP40" s="58"/>
      <c r="AQ40" s="58"/>
      <c r="AR40" s="58">
        <f t="shared" si="3"/>
        <v>0</v>
      </c>
      <c r="AS40" s="58">
        <f t="shared" si="4"/>
        <v>0</v>
      </c>
      <c r="AT40" s="58">
        <f t="shared" si="5"/>
        <v>0</v>
      </c>
      <c r="AU40" s="58">
        <f t="shared" si="6"/>
        <v>0</v>
      </c>
      <c r="AV40" s="58">
        <f t="shared" si="7"/>
        <v>0</v>
      </c>
      <c r="AW40" s="58">
        <f t="shared" si="8"/>
        <v>0</v>
      </c>
      <c r="AX40" s="58">
        <f t="shared" si="9"/>
        <v>0</v>
      </c>
      <c r="AY40" s="58">
        <f t="shared" si="16"/>
        <v>0</v>
      </c>
      <c r="AZ40" s="62">
        <f t="shared" si="10"/>
        <v>0</v>
      </c>
      <c r="BA40" s="63">
        <f t="shared" si="11"/>
        <v>0</v>
      </c>
      <c r="BB40" s="63">
        <f t="shared" si="12"/>
        <v>0</v>
      </c>
    </row>
    <row r="41" spans="3:54" s="17" customFormat="1" ht="14.45" customHeight="1" x14ac:dyDescent="0.25">
      <c r="C41" s="215"/>
      <c r="D41" s="216"/>
      <c r="E41" s="88"/>
      <c r="F41" s="217"/>
      <c r="G41" s="234"/>
      <c r="H41" s="218"/>
      <c r="I41" s="76"/>
      <c r="J41" s="77"/>
      <c r="K41" s="76"/>
      <c r="L41" s="78"/>
      <c r="M41" s="78"/>
      <c r="N41" s="76" t="s">
        <v>39</v>
      </c>
      <c r="O41" s="110"/>
      <c r="P41" s="152"/>
      <c r="Q41" s="111" t="str">
        <f>IFERROR(MIN(VLOOKUP(ROUNDDOWN(P41,0),'Aide calcul'!$B$2:$C$282,2,FALSE),O41+1),"")</f>
        <v/>
      </c>
      <c r="R41" s="112" t="str">
        <f t="shared" si="13"/>
        <v/>
      </c>
      <c r="S41" s="152"/>
      <c r="T41" s="152"/>
      <c r="U41" s="152"/>
      <c r="V41" s="152"/>
      <c r="W41" s="152"/>
      <c r="X41" s="152"/>
      <c r="Y41" s="152"/>
      <c r="Z41" s="76"/>
      <c r="AA41" s="76"/>
      <c r="AB41" s="113" t="str">
        <f>IF(C41="3111. Logements",ROUND(VLOOKUP(C41,'Informations générales'!$C$66:$E$70,3,FALSE)*(AL41/$AM$28)/12,0)*12,IF(C41="3112. Logements",ROUND(VLOOKUP(C41,'Informations générales'!$C$66:$E$70,3,FALSE)*(AL41/$AN$28)/12,0)*12,IF(C41="3113. Logements",ROUND(VLOOKUP(C41,'Informations générales'!$C$66:$E$70,3,FALSE)*(AL41/$AO$28)/12,0)*12,IF(C41="3114. Logements",ROUND(VLOOKUP(C41,'Informations générales'!$C$66:$E$70,3,FALSE)*(AL41/$AP$28)/12,0)*12,IF(C41="3115. Logements",ROUND(VLOOKUP(C41,'Informations générales'!$C$66:$E$70,3,FALSE)*(AL41/$AQ$28)/12,0)*12,"")))))</f>
        <v/>
      </c>
      <c r="AC41" s="114"/>
      <c r="AD41" s="113">
        <f t="shared" si="14"/>
        <v>0</v>
      </c>
      <c r="AE41" s="114"/>
      <c r="AF41" s="203" t="str">
        <f>IF(C41="3111. Logements",ROUND(VLOOKUP(C41,'Informations générales'!$C$66:$E$70,3,FALSE)*(AL41/$AM$28)/12,0)*12,IF(C41="3112. Logements",ROUND(VLOOKUP(C41,'Informations générales'!$C$66:$E$70,3,FALSE)*(AL41/$AN$28)/12,0)*12,IF(C41="3113. Logements",ROUND(VLOOKUP(C41,'Informations générales'!$C$66:$E$70,3,FALSE)*(AL41/$AO$28)/12,0)*12,IF(C41="3114. Logements",ROUND(VLOOKUP(C41,'Informations générales'!$C$66:$E$70,3,FALSE)*(AL41/$AP$28)/12,0)*12,IF(C41="3115. Logements",ROUND(VLOOKUP(C41,'Informations générales'!$C$66:$E$70,3,FALSE)*(AL41/$AQ$28)/12,0)*12,"")))))</f>
        <v/>
      </c>
      <c r="AG41" s="202"/>
      <c r="AH41" s="113" t="str">
        <f>IF(C41="3111. Logements",ROUND(VLOOKUP(C41,'Informations générales'!$C$66:$H$70,5,FALSE)*(AL41/$AM$28)/12,0)*12,IF(C41="3112. Logements",ROUND(VLOOKUP(C41,'Informations générales'!$C$66:$H$70,5,FALSE)*(AL41/$AN$28)/12,0)*12,IF(C41="3113. Logements",ROUND(VLOOKUP(C41,'Informations générales'!$C$66:$H$70,5,FALSE)*(AL41/$AO$28)/12,0)*12,IF(C41="3114. Logements",ROUND(VLOOKUP(C41,'Informations générales'!$C$66:$H$70,5,FALSE)*(AL41/$AP$28)/12,0)*12,IF(C41="3115. Logements",ROUND(VLOOKUP(C41,'Informations générales'!$C$66:$H$70,5,FALSE)*(AL41/$AQ$28)/12,0)*12,"")))))</f>
        <v/>
      </c>
      <c r="AI41" s="114"/>
      <c r="AJ41" s="114"/>
      <c r="AK41" s="76"/>
      <c r="AL41" s="58">
        <f t="shared" si="15"/>
        <v>0</v>
      </c>
      <c r="AM41" s="58"/>
      <c r="AN41" s="58"/>
      <c r="AO41" s="58"/>
      <c r="AP41" s="58"/>
      <c r="AQ41" s="58"/>
      <c r="AR41" s="58">
        <f t="shared" si="3"/>
        <v>0</v>
      </c>
      <c r="AS41" s="58">
        <f t="shared" si="4"/>
        <v>0</v>
      </c>
      <c r="AT41" s="58">
        <f t="shared" si="5"/>
        <v>0</v>
      </c>
      <c r="AU41" s="58">
        <f t="shared" si="6"/>
        <v>0</v>
      </c>
      <c r="AV41" s="58">
        <f t="shared" si="7"/>
        <v>0</v>
      </c>
      <c r="AW41" s="58">
        <f t="shared" si="8"/>
        <v>0</v>
      </c>
      <c r="AX41" s="58">
        <f t="shared" si="9"/>
        <v>0</v>
      </c>
      <c r="AY41" s="58">
        <f t="shared" si="16"/>
        <v>0</v>
      </c>
      <c r="AZ41" s="62">
        <f t="shared" si="10"/>
        <v>0</v>
      </c>
      <c r="BA41" s="63">
        <f t="shared" si="11"/>
        <v>0</v>
      </c>
      <c r="BB41" s="63">
        <f t="shared" si="12"/>
        <v>0</v>
      </c>
    </row>
    <row r="42" spans="3:54" s="17" customFormat="1" ht="14.45" customHeight="1" x14ac:dyDescent="0.25">
      <c r="C42" s="215"/>
      <c r="D42" s="216"/>
      <c r="E42" s="88"/>
      <c r="F42" s="217"/>
      <c r="G42" s="234"/>
      <c r="H42" s="218"/>
      <c r="I42" s="76"/>
      <c r="J42" s="77"/>
      <c r="K42" s="76"/>
      <c r="L42" s="78"/>
      <c r="M42" s="78"/>
      <c r="N42" s="76" t="s">
        <v>39</v>
      </c>
      <c r="O42" s="110"/>
      <c r="P42" s="152"/>
      <c r="Q42" s="111" t="str">
        <f>IFERROR(MIN(VLOOKUP(ROUNDDOWN(P42,0),'Aide calcul'!$B$2:$C$282,2,FALSE),O42+1),"")</f>
        <v/>
      </c>
      <c r="R42" s="112" t="str">
        <f t="shared" si="13"/>
        <v/>
      </c>
      <c r="S42" s="152"/>
      <c r="T42" s="152"/>
      <c r="U42" s="152"/>
      <c r="V42" s="152"/>
      <c r="W42" s="152"/>
      <c r="X42" s="152"/>
      <c r="Y42" s="152"/>
      <c r="Z42" s="76"/>
      <c r="AA42" s="76"/>
      <c r="AB42" s="113" t="str">
        <f>IF(C42="3111. Logements",ROUND(VLOOKUP(C42,'Informations générales'!$C$66:$E$70,3,FALSE)*(AL42/$AM$28)/12,0)*12,IF(C42="3112. Logements",ROUND(VLOOKUP(C42,'Informations générales'!$C$66:$E$70,3,FALSE)*(AL42/$AN$28)/12,0)*12,IF(C42="3113. Logements",ROUND(VLOOKUP(C42,'Informations générales'!$C$66:$E$70,3,FALSE)*(AL42/$AO$28)/12,0)*12,IF(C42="3114. Logements",ROUND(VLOOKUP(C42,'Informations générales'!$C$66:$E$70,3,FALSE)*(AL42/$AP$28)/12,0)*12,IF(C42="3115. Logements",ROUND(VLOOKUP(C42,'Informations générales'!$C$66:$E$70,3,FALSE)*(AL42/$AQ$28)/12,0)*12,"")))))</f>
        <v/>
      </c>
      <c r="AC42" s="114"/>
      <c r="AD42" s="113">
        <f t="shared" si="14"/>
        <v>0</v>
      </c>
      <c r="AE42" s="114"/>
      <c r="AF42" s="203" t="str">
        <f>IF(C42="3111. Logements",ROUND(VLOOKUP(C42,'Informations générales'!$C$66:$E$70,3,FALSE)*(AL42/$AM$28)/12,0)*12,IF(C42="3112. Logements",ROUND(VLOOKUP(C42,'Informations générales'!$C$66:$E$70,3,FALSE)*(AL42/$AN$28)/12,0)*12,IF(C42="3113. Logements",ROUND(VLOOKUP(C42,'Informations générales'!$C$66:$E$70,3,FALSE)*(AL42/$AO$28)/12,0)*12,IF(C42="3114. Logements",ROUND(VLOOKUP(C42,'Informations générales'!$C$66:$E$70,3,FALSE)*(AL42/$AP$28)/12,0)*12,IF(C42="3115. Logements",ROUND(VLOOKUP(C42,'Informations générales'!$C$66:$E$70,3,FALSE)*(AL42/$AQ$28)/12,0)*12,"")))))</f>
        <v/>
      </c>
      <c r="AG42" s="202"/>
      <c r="AH42" s="113" t="str">
        <f>IF(C42="3111. Logements",ROUND(VLOOKUP(C42,'Informations générales'!$C$66:$H$70,5,FALSE)*(AL42/$AM$28)/12,0)*12,IF(C42="3112. Logements",ROUND(VLOOKUP(C42,'Informations générales'!$C$66:$H$70,5,FALSE)*(AL42/$AN$28)/12,0)*12,IF(C42="3113. Logements",ROUND(VLOOKUP(C42,'Informations générales'!$C$66:$H$70,5,FALSE)*(AL42/$AO$28)/12,0)*12,IF(C42="3114. Logements",ROUND(VLOOKUP(C42,'Informations générales'!$C$66:$H$70,5,FALSE)*(AL42/$AP$28)/12,0)*12,IF(C42="3115. Logements",ROUND(VLOOKUP(C42,'Informations générales'!$C$66:$H$70,5,FALSE)*(AL42/$AQ$28)/12,0)*12,"")))))</f>
        <v/>
      </c>
      <c r="AI42" s="114"/>
      <c r="AJ42" s="114"/>
      <c r="AK42" s="76"/>
      <c r="AL42" s="58">
        <f t="shared" si="15"/>
        <v>0</v>
      </c>
      <c r="AM42" s="58"/>
      <c r="AN42" s="58"/>
      <c r="AO42" s="58"/>
      <c r="AP42" s="58"/>
      <c r="AQ42" s="58"/>
      <c r="AR42" s="58">
        <f t="shared" si="3"/>
        <v>0</v>
      </c>
      <c r="AS42" s="58">
        <f t="shared" si="4"/>
        <v>0</v>
      </c>
      <c r="AT42" s="58">
        <f t="shared" si="5"/>
        <v>0</v>
      </c>
      <c r="AU42" s="58">
        <f t="shared" si="6"/>
        <v>0</v>
      </c>
      <c r="AV42" s="58">
        <f t="shared" si="7"/>
        <v>0</v>
      </c>
      <c r="AW42" s="58">
        <f t="shared" si="8"/>
        <v>0</v>
      </c>
      <c r="AX42" s="58">
        <f t="shared" si="9"/>
        <v>0</v>
      </c>
      <c r="AY42" s="58">
        <f t="shared" si="16"/>
        <v>0</v>
      </c>
      <c r="AZ42" s="62">
        <f t="shared" si="10"/>
        <v>0</v>
      </c>
      <c r="BA42" s="63">
        <f t="shared" si="11"/>
        <v>0</v>
      </c>
      <c r="BB42" s="63">
        <f t="shared" si="12"/>
        <v>0</v>
      </c>
    </row>
    <row r="43" spans="3:54" s="17" customFormat="1" ht="14.45" customHeight="1" x14ac:dyDescent="0.25">
      <c r="C43" s="215"/>
      <c r="D43" s="216"/>
      <c r="E43" s="88"/>
      <c r="F43" s="217"/>
      <c r="G43" s="234"/>
      <c r="H43" s="218"/>
      <c r="I43" s="76"/>
      <c r="J43" s="77"/>
      <c r="K43" s="76"/>
      <c r="L43" s="78"/>
      <c r="M43" s="78"/>
      <c r="N43" s="76" t="s">
        <v>39</v>
      </c>
      <c r="O43" s="110"/>
      <c r="P43" s="152"/>
      <c r="Q43" s="111" t="str">
        <f>IFERROR(MIN(VLOOKUP(ROUNDDOWN(P43,0),'Aide calcul'!$B$2:$C$282,2,FALSE),O43+1),"")</f>
        <v/>
      </c>
      <c r="R43" s="112" t="str">
        <f t="shared" si="13"/>
        <v/>
      </c>
      <c r="S43" s="152"/>
      <c r="T43" s="152"/>
      <c r="U43" s="152"/>
      <c r="V43" s="152"/>
      <c r="W43" s="152"/>
      <c r="X43" s="152"/>
      <c r="Y43" s="152"/>
      <c r="Z43" s="76"/>
      <c r="AA43" s="76"/>
      <c r="AB43" s="113" t="str">
        <f>IF(C43="3111. Logements",ROUND(VLOOKUP(C43,'Informations générales'!$C$66:$E$70,3,FALSE)*(AL43/$AM$28)/12,0)*12,IF(C43="3112. Logements",ROUND(VLOOKUP(C43,'Informations générales'!$C$66:$E$70,3,FALSE)*(AL43/$AN$28)/12,0)*12,IF(C43="3113. Logements",ROUND(VLOOKUP(C43,'Informations générales'!$C$66:$E$70,3,FALSE)*(AL43/$AO$28)/12,0)*12,IF(C43="3114. Logements",ROUND(VLOOKUP(C43,'Informations générales'!$C$66:$E$70,3,FALSE)*(AL43/$AP$28)/12,0)*12,IF(C43="3115. Logements",ROUND(VLOOKUP(C43,'Informations générales'!$C$66:$E$70,3,FALSE)*(AL43/$AQ$28)/12,0)*12,"")))))</f>
        <v/>
      </c>
      <c r="AC43" s="114"/>
      <c r="AD43" s="113">
        <f t="shared" si="14"/>
        <v>0</v>
      </c>
      <c r="AE43" s="114"/>
      <c r="AF43" s="203" t="str">
        <f>IF(C43="3111. Logements",ROUND(VLOOKUP(C43,'Informations générales'!$C$66:$E$70,3,FALSE)*(AL43/$AM$28)/12,0)*12,IF(C43="3112. Logements",ROUND(VLOOKUP(C43,'Informations générales'!$C$66:$E$70,3,FALSE)*(AL43/$AN$28)/12,0)*12,IF(C43="3113. Logements",ROUND(VLOOKUP(C43,'Informations générales'!$C$66:$E$70,3,FALSE)*(AL43/$AO$28)/12,0)*12,IF(C43="3114. Logements",ROUND(VLOOKUP(C43,'Informations générales'!$C$66:$E$70,3,FALSE)*(AL43/$AP$28)/12,0)*12,IF(C43="3115. Logements",ROUND(VLOOKUP(C43,'Informations générales'!$C$66:$E$70,3,FALSE)*(AL43/$AQ$28)/12,0)*12,"")))))</f>
        <v/>
      </c>
      <c r="AG43" s="202"/>
      <c r="AH43" s="113" t="str">
        <f>IF(C43="3111. Logements",ROUND(VLOOKUP(C43,'Informations générales'!$C$66:$H$70,5,FALSE)*(AL43/$AM$28)/12,0)*12,IF(C43="3112. Logements",ROUND(VLOOKUP(C43,'Informations générales'!$C$66:$H$70,5,FALSE)*(AL43/$AN$28)/12,0)*12,IF(C43="3113. Logements",ROUND(VLOOKUP(C43,'Informations générales'!$C$66:$H$70,5,FALSE)*(AL43/$AO$28)/12,0)*12,IF(C43="3114. Logements",ROUND(VLOOKUP(C43,'Informations générales'!$C$66:$H$70,5,FALSE)*(AL43/$AP$28)/12,0)*12,IF(C43="3115. Logements",ROUND(VLOOKUP(C43,'Informations générales'!$C$66:$H$70,5,FALSE)*(AL43/$AQ$28)/12,0)*12,"")))))</f>
        <v/>
      </c>
      <c r="AI43" s="114"/>
      <c r="AJ43" s="114"/>
      <c r="AK43" s="76"/>
      <c r="AL43" s="58">
        <f t="shared" si="15"/>
        <v>0</v>
      </c>
      <c r="AM43" s="58"/>
      <c r="AN43" s="58"/>
      <c r="AO43" s="58"/>
      <c r="AP43" s="58"/>
      <c r="AQ43" s="58"/>
      <c r="AR43" s="58">
        <f t="shared" si="3"/>
        <v>0</v>
      </c>
      <c r="AS43" s="58">
        <f t="shared" si="4"/>
        <v>0</v>
      </c>
      <c r="AT43" s="58">
        <f t="shared" si="5"/>
        <v>0</v>
      </c>
      <c r="AU43" s="58">
        <f t="shared" si="6"/>
        <v>0</v>
      </c>
      <c r="AV43" s="58">
        <f t="shared" si="7"/>
        <v>0</v>
      </c>
      <c r="AW43" s="58">
        <f t="shared" si="8"/>
        <v>0</v>
      </c>
      <c r="AX43" s="58">
        <f t="shared" si="9"/>
        <v>0</v>
      </c>
      <c r="AY43" s="58">
        <f t="shared" si="16"/>
        <v>0</v>
      </c>
      <c r="AZ43" s="62">
        <f t="shared" si="10"/>
        <v>0</v>
      </c>
      <c r="BA43" s="63">
        <f t="shared" si="11"/>
        <v>0</v>
      </c>
      <c r="BB43" s="63">
        <f t="shared" si="12"/>
        <v>0</v>
      </c>
    </row>
    <row r="44" spans="3:54" s="17" customFormat="1" ht="14.45" customHeight="1" x14ac:dyDescent="0.25">
      <c r="C44" s="215"/>
      <c r="D44" s="216"/>
      <c r="E44" s="88"/>
      <c r="F44" s="217"/>
      <c r="G44" s="234"/>
      <c r="H44" s="218"/>
      <c r="I44" s="76"/>
      <c r="J44" s="77"/>
      <c r="K44" s="76"/>
      <c r="L44" s="78"/>
      <c r="M44" s="78"/>
      <c r="N44" s="76" t="s">
        <v>39</v>
      </c>
      <c r="O44" s="110"/>
      <c r="P44" s="152"/>
      <c r="Q44" s="111" t="str">
        <f>IFERROR(MIN(VLOOKUP(ROUNDDOWN(P44,0),'Aide calcul'!$B$2:$C$282,2,FALSE),O44+1),"")</f>
        <v/>
      </c>
      <c r="R44" s="112" t="str">
        <f t="shared" si="13"/>
        <v/>
      </c>
      <c r="S44" s="152"/>
      <c r="T44" s="152"/>
      <c r="U44" s="152"/>
      <c r="V44" s="152"/>
      <c r="W44" s="152"/>
      <c r="X44" s="152"/>
      <c r="Y44" s="152"/>
      <c r="Z44" s="76"/>
      <c r="AA44" s="76"/>
      <c r="AB44" s="113" t="str">
        <f>IF(C44="3111. Logements",ROUND(VLOOKUP(C44,'Informations générales'!$C$66:$E$70,3,FALSE)*(AL44/$AM$28)/12,0)*12,IF(C44="3112. Logements",ROUND(VLOOKUP(C44,'Informations générales'!$C$66:$E$70,3,FALSE)*(AL44/$AN$28)/12,0)*12,IF(C44="3113. Logements",ROUND(VLOOKUP(C44,'Informations générales'!$C$66:$E$70,3,FALSE)*(AL44/$AO$28)/12,0)*12,IF(C44="3114. Logements",ROUND(VLOOKUP(C44,'Informations générales'!$C$66:$E$70,3,FALSE)*(AL44/$AP$28)/12,0)*12,IF(C44="3115. Logements",ROUND(VLOOKUP(C44,'Informations générales'!$C$66:$E$70,3,FALSE)*(AL44/$AQ$28)/12,0)*12,"")))))</f>
        <v/>
      </c>
      <c r="AC44" s="114"/>
      <c r="AD44" s="113">
        <f t="shared" si="14"/>
        <v>0</v>
      </c>
      <c r="AE44" s="114"/>
      <c r="AF44" s="203" t="str">
        <f>IF(C44="3111. Logements",ROUND(VLOOKUP(C44,'Informations générales'!$C$66:$E$70,3,FALSE)*(AL44/$AM$28)/12,0)*12,IF(C44="3112. Logements",ROUND(VLOOKUP(C44,'Informations générales'!$C$66:$E$70,3,FALSE)*(AL44/$AN$28)/12,0)*12,IF(C44="3113. Logements",ROUND(VLOOKUP(C44,'Informations générales'!$C$66:$E$70,3,FALSE)*(AL44/$AO$28)/12,0)*12,IF(C44="3114. Logements",ROUND(VLOOKUP(C44,'Informations générales'!$C$66:$E$70,3,FALSE)*(AL44/$AP$28)/12,0)*12,IF(C44="3115. Logements",ROUND(VLOOKUP(C44,'Informations générales'!$C$66:$E$70,3,FALSE)*(AL44/$AQ$28)/12,0)*12,"")))))</f>
        <v/>
      </c>
      <c r="AG44" s="202"/>
      <c r="AH44" s="113" t="str">
        <f>IF(C44="3111. Logements",ROUND(VLOOKUP(C44,'Informations générales'!$C$66:$H$70,5,FALSE)*(AL44/$AM$28)/12,0)*12,IF(C44="3112. Logements",ROUND(VLOOKUP(C44,'Informations générales'!$C$66:$H$70,5,FALSE)*(AL44/$AN$28)/12,0)*12,IF(C44="3113. Logements",ROUND(VLOOKUP(C44,'Informations générales'!$C$66:$H$70,5,FALSE)*(AL44/$AO$28)/12,0)*12,IF(C44="3114. Logements",ROUND(VLOOKUP(C44,'Informations générales'!$C$66:$H$70,5,FALSE)*(AL44/$AP$28)/12,0)*12,IF(C44="3115. Logements",ROUND(VLOOKUP(C44,'Informations générales'!$C$66:$H$70,5,FALSE)*(AL44/$AQ$28)/12,0)*12,"")))))</f>
        <v/>
      </c>
      <c r="AI44" s="114"/>
      <c r="AJ44" s="114"/>
      <c r="AK44" s="76"/>
      <c r="AL44" s="58">
        <f t="shared" si="15"/>
        <v>0</v>
      </c>
      <c r="AM44" s="58"/>
      <c r="AN44" s="58"/>
      <c r="AO44" s="58"/>
      <c r="AP44" s="58"/>
      <c r="AQ44" s="58"/>
      <c r="AR44" s="58">
        <f t="shared" si="3"/>
        <v>0</v>
      </c>
      <c r="AS44" s="58">
        <f t="shared" si="4"/>
        <v>0</v>
      </c>
      <c r="AT44" s="58">
        <f t="shared" si="5"/>
        <v>0</v>
      </c>
      <c r="AU44" s="58">
        <f t="shared" si="6"/>
        <v>0</v>
      </c>
      <c r="AV44" s="58">
        <f t="shared" si="7"/>
        <v>0</v>
      </c>
      <c r="AW44" s="58">
        <f t="shared" si="8"/>
        <v>0</v>
      </c>
      <c r="AX44" s="58">
        <f t="shared" si="9"/>
        <v>0</v>
      </c>
      <c r="AY44" s="58">
        <f t="shared" si="16"/>
        <v>0</v>
      </c>
      <c r="AZ44" s="62">
        <f t="shared" si="10"/>
        <v>0</v>
      </c>
      <c r="BA44" s="63">
        <f t="shared" si="11"/>
        <v>0</v>
      </c>
      <c r="BB44" s="63">
        <f t="shared" si="12"/>
        <v>0</v>
      </c>
    </row>
    <row r="45" spans="3:54" s="17" customFormat="1" ht="14.45" customHeight="1" x14ac:dyDescent="0.25">
      <c r="C45" s="215"/>
      <c r="D45" s="216"/>
      <c r="E45" s="88"/>
      <c r="F45" s="217"/>
      <c r="G45" s="234"/>
      <c r="H45" s="218"/>
      <c r="I45" s="76"/>
      <c r="J45" s="77"/>
      <c r="K45" s="76"/>
      <c r="L45" s="78"/>
      <c r="M45" s="78"/>
      <c r="N45" s="76" t="s">
        <v>39</v>
      </c>
      <c r="O45" s="110"/>
      <c r="P45" s="152"/>
      <c r="Q45" s="111" t="str">
        <f>IFERROR(MIN(VLOOKUP(ROUNDDOWN(P45,0),'Aide calcul'!$B$2:$C$282,2,FALSE),O45+1),"")</f>
        <v/>
      </c>
      <c r="R45" s="112" t="str">
        <f t="shared" si="13"/>
        <v/>
      </c>
      <c r="S45" s="152"/>
      <c r="T45" s="152"/>
      <c r="U45" s="152"/>
      <c r="V45" s="152"/>
      <c r="W45" s="152"/>
      <c r="X45" s="152"/>
      <c r="Y45" s="152"/>
      <c r="Z45" s="76"/>
      <c r="AA45" s="76"/>
      <c r="AB45" s="113" t="str">
        <f>IF(C45="3111. Logements",ROUND(VLOOKUP(C45,'Informations générales'!$C$66:$E$70,3,FALSE)*(AL45/$AM$28)/12,0)*12,IF(C45="3112. Logements",ROUND(VLOOKUP(C45,'Informations générales'!$C$66:$E$70,3,FALSE)*(AL45/$AN$28)/12,0)*12,IF(C45="3113. Logements",ROUND(VLOOKUP(C45,'Informations générales'!$C$66:$E$70,3,FALSE)*(AL45/$AO$28)/12,0)*12,IF(C45="3114. Logements",ROUND(VLOOKUP(C45,'Informations générales'!$C$66:$E$70,3,FALSE)*(AL45/$AP$28)/12,0)*12,IF(C45="3115. Logements",ROUND(VLOOKUP(C45,'Informations générales'!$C$66:$E$70,3,FALSE)*(AL45/$AQ$28)/12,0)*12,"")))))</f>
        <v/>
      </c>
      <c r="AC45" s="114"/>
      <c r="AD45" s="113">
        <f t="shared" si="14"/>
        <v>0</v>
      </c>
      <c r="AE45" s="114"/>
      <c r="AF45" s="203" t="str">
        <f>IF(C45="3111. Logements",ROUND(VLOOKUP(C45,'Informations générales'!$C$66:$E$70,3,FALSE)*(AL45/$AM$28)/12,0)*12,IF(C45="3112. Logements",ROUND(VLOOKUP(C45,'Informations générales'!$C$66:$E$70,3,FALSE)*(AL45/$AN$28)/12,0)*12,IF(C45="3113. Logements",ROUND(VLOOKUP(C45,'Informations générales'!$C$66:$E$70,3,FALSE)*(AL45/$AO$28)/12,0)*12,IF(C45="3114. Logements",ROUND(VLOOKUP(C45,'Informations générales'!$C$66:$E$70,3,FALSE)*(AL45/$AP$28)/12,0)*12,IF(C45="3115. Logements",ROUND(VLOOKUP(C45,'Informations générales'!$C$66:$E$70,3,FALSE)*(AL45/$AQ$28)/12,0)*12,"")))))</f>
        <v/>
      </c>
      <c r="AG45" s="202"/>
      <c r="AH45" s="113" t="str">
        <f>IF(C45="3111. Logements",ROUND(VLOOKUP(C45,'Informations générales'!$C$66:$H$70,5,FALSE)*(AL45/$AM$28)/12,0)*12,IF(C45="3112. Logements",ROUND(VLOOKUP(C45,'Informations générales'!$C$66:$H$70,5,FALSE)*(AL45/$AN$28)/12,0)*12,IF(C45="3113. Logements",ROUND(VLOOKUP(C45,'Informations générales'!$C$66:$H$70,5,FALSE)*(AL45/$AO$28)/12,0)*12,IF(C45="3114. Logements",ROUND(VLOOKUP(C45,'Informations générales'!$C$66:$H$70,5,FALSE)*(AL45/$AP$28)/12,0)*12,IF(C45="3115. Logements",ROUND(VLOOKUP(C45,'Informations générales'!$C$66:$H$70,5,FALSE)*(AL45/$AQ$28)/12,0)*12,"")))))</f>
        <v/>
      </c>
      <c r="AI45" s="114"/>
      <c r="AJ45" s="114"/>
      <c r="AK45" s="76"/>
      <c r="AL45" s="58">
        <f t="shared" si="15"/>
        <v>0</v>
      </c>
      <c r="AM45" s="58"/>
      <c r="AN45" s="58"/>
      <c r="AO45" s="58"/>
      <c r="AP45" s="58"/>
      <c r="AQ45" s="58"/>
      <c r="AR45" s="58">
        <f t="shared" si="3"/>
        <v>0</v>
      </c>
      <c r="AS45" s="58">
        <f t="shared" si="4"/>
        <v>0</v>
      </c>
      <c r="AT45" s="58">
        <f t="shared" si="5"/>
        <v>0</v>
      </c>
      <c r="AU45" s="58">
        <f t="shared" si="6"/>
        <v>0</v>
      </c>
      <c r="AV45" s="58">
        <f t="shared" si="7"/>
        <v>0</v>
      </c>
      <c r="AW45" s="58">
        <f t="shared" si="8"/>
        <v>0</v>
      </c>
      <c r="AX45" s="58">
        <f t="shared" si="9"/>
        <v>0</v>
      </c>
      <c r="AY45" s="58">
        <f t="shared" si="16"/>
        <v>0</v>
      </c>
      <c r="AZ45" s="62">
        <f t="shared" si="10"/>
        <v>0</v>
      </c>
      <c r="BA45" s="63">
        <f t="shared" si="11"/>
        <v>0</v>
      </c>
      <c r="BB45" s="63">
        <f t="shared" si="12"/>
        <v>0</v>
      </c>
    </row>
    <row r="46" spans="3:54" s="17" customFormat="1" ht="14.45" customHeight="1" x14ac:dyDescent="0.25">
      <c r="C46" s="215"/>
      <c r="D46" s="216"/>
      <c r="E46" s="88"/>
      <c r="F46" s="217"/>
      <c r="G46" s="234"/>
      <c r="H46" s="218"/>
      <c r="I46" s="76"/>
      <c r="J46" s="77"/>
      <c r="K46" s="76"/>
      <c r="L46" s="78"/>
      <c r="M46" s="78"/>
      <c r="N46" s="76" t="s">
        <v>39</v>
      </c>
      <c r="O46" s="110"/>
      <c r="P46" s="152"/>
      <c r="Q46" s="111" t="str">
        <f>IFERROR(MIN(VLOOKUP(ROUNDDOWN(P46,0),'Aide calcul'!$B$2:$C$282,2,FALSE),O46+1),"")</f>
        <v/>
      </c>
      <c r="R46" s="112" t="str">
        <f t="shared" si="13"/>
        <v/>
      </c>
      <c r="S46" s="152"/>
      <c r="T46" s="152"/>
      <c r="U46" s="152"/>
      <c r="V46" s="152"/>
      <c r="W46" s="152"/>
      <c r="X46" s="152"/>
      <c r="Y46" s="152"/>
      <c r="Z46" s="76"/>
      <c r="AA46" s="76"/>
      <c r="AB46" s="113" t="str">
        <f>IF(C46="3111. Logements",ROUND(VLOOKUP(C46,'Informations générales'!$C$66:$E$70,3,FALSE)*(AL46/$AM$28)/12,0)*12,IF(C46="3112. Logements",ROUND(VLOOKUP(C46,'Informations générales'!$C$66:$E$70,3,FALSE)*(AL46/$AN$28)/12,0)*12,IF(C46="3113. Logements",ROUND(VLOOKUP(C46,'Informations générales'!$C$66:$E$70,3,FALSE)*(AL46/$AO$28)/12,0)*12,IF(C46="3114. Logements",ROUND(VLOOKUP(C46,'Informations générales'!$C$66:$E$70,3,FALSE)*(AL46/$AP$28)/12,0)*12,IF(C46="3115. Logements",ROUND(VLOOKUP(C46,'Informations générales'!$C$66:$E$70,3,FALSE)*(AL46/$AQ$28)/12,0)*12,"")))))</f>
        <v/>
      </c>
      <c r="AC46" s="114"/>
      <c r="AD46" s="113">
        <f t="shared" si="14"/>
        <v>0</v>
      </c>
      <c r="AE46" s="114"/>
      <c r="AF46" s="203" t="str">
        <f>IF(C46="3111. Logements",ROUND(VLOOKUP(C46,'Informations générales'!$C$66:$E$70,3,FALSE)*(AL46/$AM$28)/12,0)*12,IF(C46="3112. Logements",ROUND(VLOOKUP(C46,'Informations générales'!$C$66:$E$70,3,FALSE)*(AL46/$AN$28)/12,0)*12,IF(C46="3113. Logements",ROUND(VLOOKUP(C46,'Informations générales'!$C$66:$E$70,3,FALSE)*(AL46/$AO$28)/12,0)*12,IF(C46="3114. Logements",ROUND(VLOOKUP(C46,'Informations générales'!$C$66:$E$70,3,FALSE)*(AL46/$AP$28)/12,0)*12,IF(C46="3115. Logements",ROUND(VLOOKUP(C46,'Informations générales'!$C$66:$E$70,3,FALSE)*(AL46/$AQ$28)/12,0)*12,"")))))</f>
        <v/>
      </c>
      <c r="AG46" s="202"/>
      <c r="AH46" s="113" t="str">
        <f>IF(C46="3111. Logements",ROUND(VLOOKUP(C46,'Informations générales'!$C$66:$H$70,5,FALSE)*(AL46/$AM$28)/12,0)*12,IF(C46="3112. Logements",ROUND(VLOOKUP(C46,'Informations générales'!$C$66:$H$70,5,FALSE)*(AL46/$AN$28)/12,0)*12,IF(C46="3113. Logements",ROUND(VLOOKUP(C46,'Informations générales'!$C$66:$H$70,5,FALSE)*(AL46/$AO$28)/12,0)*12,IF(C46="3114. Logements",ROUND(VLOOKUP(C46,'Informations générales'!$C$66:$H$70,5,FALSE)*(AL46/$AP$28)/12,0)*12,IF(C46="3115. Logements",ROUND(VLOOKUP(C46,'Informations générales'!$C$66:$H$70,5,FALSE)*(AL46/$AQ$28)/12,0)*12,"")))))</f>
        <v/>
      </c>
      <c r="AI46" s="114"/>
      <c r="AJ46" s="114"/>
      <c r="AK46" s="76"/>
      <c r="AL46" s="58">
        <f t="shared" si="15"/>
        <v>0</v>
      </c>
      <c r="AM46" s="58"/>
      <c r="AN46" s="58"/>
      <c r="AO46" s="58"/>
      <c r="AP46" s="58"/>
      <c r="AQ46" s="58"/>
      <c r="AR46" s="58">
        <f t="shared" si="3"/>
        <v>0</v>
      </c>
      <c r="AS46" s="58">
        <f t="shared" si="4"/>
        <v>0</v>
      </c>
      <c r="AT46" s="58">
        <f t="shared" si="5"/>
        <v>0</v>
      </c>
      <c r="AU46" s="58">
        <f t="shared" si="6"/>
        <v>0</v>
      </c>
      <c r="AV46" s="58">
        <f t="shared" si="7"/>
        <v>0</v>
      </c>
      <c r="AW46" s="58">
        <f t="shared" si="8"/>
        <v>0</v>
      </c>
      <c r="AX46" s="58">
        <f t="shared" si="9"/>
        <v>0</v>
      </c>
      <c r="AY46" s="58">
        <f t="shared" si="16"/>
        <v>0</v>
      </c>
      <c r="AZ46" s="62">
        <f t="shared" si="10"/>
        <v>0</v>
      </c>
      <c r="BA46" s="63">
        <f t="shared" si="11"/>
        <v>0</v>
      </c>
      <c r="BB46" s="63">
        <f t="shared" si="12"/>
        <v>0</v>
      </c>
    </row>
    <row r="47" spans="3:54" s="17" customFormat="1" ht="14.45" customHeight="1" x14ac:dyDescent="0.25">
      <c r="C47" s="215"/>
      <c r="D47" s="216"/>
      <c r="E47" s="88"/>
      <c r="F47" s="217"/>
      <c r="G47" s="234"/>
      <c r="H47" s="218"/>
      <c r="I47" s="76"/>
      <c r="J47" s="77"/>
      <c r="K47" s="76"/>
      <c r="L47" s="78"/>
      <c r="M47" s="78"/>
      <c r="N47" s="76" t="s">
        <v>39</v>
      </c>
      <c r="O47" s="110"/>
      <c r="P47" s="152"/>
      <c r="Q47" s="111" t="str">
        <f>IFERROR(MIN(VLOOKUP(ROUNDDOWN(P47,0),'Aide calcul'!$B$2:$C$282,2,FALSE),O47+1),"")</f>
        <v/>
      </c>
      <c r="R47" s="112" t="str">
        <f t="shared" si="13"/>
        <v/>
      </c>
      <c r="S47" s="152"/>
      <c r="T47" s="152"/>
      <c r="U47" s="152"/>
      <c r="V47" s="152"/>
      <c r="W47" s="152"/>
      <c r="X47" s="152"/>
      <c r="Y47" s="152"/>
      <c r="Z47" s="76"/>
      <c r="AA47" s="76"/>
      <c r="AB47" s="113" t="str">
        <f>IF(C47="3111. Logements",ROUND(VLOOKUP(C47,'Informations générales'!$C$66:$E$70,3,FALSE)*(AL47/$AM$28)/12,0)*12,IF(C47="3112. Logements",ROUND(VLOOKUP(C47,'Informations générales'!$C$66:$E$70,3,FALSE)*(AL47/$AN$28)/12,0)*12,IF(C47="3113. Logements",ROUND(VLOOKUP(C47,'Informations générales'!$C$66:$E$70,3,FALSE)*(AL47/$AO$28)/12,0)*12,IF(C47="3114. Logements",ROUND(VLOOKUP(C47,'Informations générales'!$C$66:$E$70,3,FALSE)*(AL47/$AP$28)/12,0)*12,IF(C47="3115. Logements",ROUND(VLOOKUP(C47,'Informations générales'!$C$66:$E$70,3,FALSE)*(AL47/$AQ$28)/12,0)*12,"")))))</f>
        <v/>
      </c>
      <c r="AC47" s="114"/>
      <c r="AD47" s="113">
        <f t="shared" si="14"/>
        <v>0</v>
      </c>
      <c r="AE47" s="114"/>
      <c r="AF47" s="203" t="str">
        <f>IF(C47="3111. Logements",ROUND(VLOOKUP(C47,'Informations générales'!$C$66:$E$70,3,FALSE)*(AL47/$AM$28)/12,0)*12,IF(C47="3112. Logements",ROUND(VLOOKUP(C47,'Informations générales'!$C$66:$E$70,3,FALSE)*(AL47/$AN$28)/12,0)*12,IF(C47="3113. Logements",ROUND(VLOOKUP(C47,'Informations générales'!$C$66:$E$70,3,FALSE)*(AL47/$AO$28)/12,0)*12,IF(C47="3114. Logements",ROUND(VLOOKUP(C47,'Informations générales'!$C$66:$E$70,3,FALSE)*(AL47/$AP$28)/12,0)*12,IF(C47="3115. Logements",ROUND(VLOOKUP(C47,'Informations générales'!$C$66:$E$70,3,FALSE)*(AL47/$AQ$28)/12,0)*12,"")))))</f>
        <v/>
      </c>
      <c r="AG47" s="202"/>
      <c r="AH47" s="113" t="str">
        <f>IF(C47="3111. Logements",ROUND(VLOOKUP(C47,'Informations générales'!$C$66:$H$70,5,FALSE)*(AL47/$AM$28)/12,0)*12,IF(C47="3112. Logements",ROUND(VLOOKUP(C47,'Informations générales'!$C$66:$H$70,5,FALSE)*(AL47/$AN$28)/12,0)*12,IF(C47="3113. Logements",ROUND(VLOOKUP(C47,'Informations générales'!$C$66:$H$70,5,FALSE)*(AL47/$AO$28)/12,0)*12,IF(C47="3114. Logements",ROUND(VLOOKUP(C47,'Informations générales'!$C$66:$H$70,5,FALSE)*(AL47/$AP$28)/12,0)*12,IF(C47="3115. Logements",ROUND(VLOOKUP(C47,'Informations générales'!$C$66:$H$70,5,FALSE)*(AL47/$AQ$28)/12,0)*12,"")))))</f>
        <v/>
      </c>
      <c r="AI47" s="114"/>
      <c r="AJ47" s="114"/>
      <c r="AK47" s="76"/>
      <c r="AL47" s="58">
        <f t="shared" si="15"/>
        <v>0</v>
      </c>
      <c r="AM47" s="58"/>
      <c r="AN47" s="58"/>
      <c r="AO47" s="58"/>
      <c r="AP47" s="58"/>
      <c r="AQ47" s="58"/>
      <c r="AR47" s="58">
        <f t="shared" si="3"/>
        <v>0</v>
      </c>
      <c r="AS47" s="58">
        <f t="shared" si="4"/>
        <v>0</v>
      </c>
      <c r="AT47" s="58">
        <f t="shared" si="5"/>
        <v>0</v>
      </c>
      <c r="AU47" s="58">
        <f t="shared" si="6"/>
        <v>0</v>
      </c>
      <c r="AV47" s="58">
        <f t="shared" si="7"/>
        <v>0</v>
      </c>
      <c r="AW47" s="58">
        <f t="shared" si="8"/>
        <v>0</v>
      </c>
      <c r="AX47" s="58">
        <f t="shared" si="9"/>
        <v>0</v>
      </c>
      <c r="AY47" s="58">
        <f t="shared" si="16"/>
        <v>0</v>
      </c>
      <c r="AZ47" s="62">
        <f t="shared" si="10"/>
        <v>0</v>
      </c>
      <c r="BA47" s="63">
        <f t="shared" si="11"/>
        <v>0</v>
      </c>
      <c r="BB47" s="63">
        <f t="shared" si="12"/>
        <v>0</v>
      </c>
    </row>
    <row r="48" spans="3:54" s="17" customFormat="1" ht="14.45" customHeight="1" x14ac:dyDescent="0.25">
      <c r="C48" s="215"/>
      <c r="D48" s="216"/>
      <c r="E48" s="88"/>
      <c r="F48" s="217"/>
      <c r="G48" s="234"/>
      <c r="H48" s="218"/>
      <c r="I48" s="76"/>
      <c r="J48" s="77"/>
      <c r="K48" s="76"/>
      <c r="L48" s="78"/>
      <c r="M48" s="78"/>
      <c r="N48" s="76" t="s">
        <v>39</v>
      </c>
      <c r="O48" s="110"/>
      <c r="P48" s="152"/>
      <c r="Q48" s="111" t="str">
        <f>IFERROR(MIN(VLOOKUP(ROUNDDOWN(P48,0),'Aide calcul'!$B$2:$C$282,2,FALSE),O48+1),"")</f>
        <v/>
      </c>
      <c r="R48" s="112" t="str">
        <f t="shared" si="13"/>
        <v/>
      </c>
      <c r="S48" s="152"/>
      <c r="T48" s="152"/>
      <c r="U48" s="152"/>
      <c r="V48" s="152"/>
      <c r="W48" s="152"/>
      <c r="X48" s="152"/>
      <c r="Y48" s="152"/>
      <c r="Z48" s="76"/>
      <c r="AA48" s="76"/>
      <c r="AB48" s="113" t="str">
        <f>IF(C48="3111. Logements",ROUND(VLOOKUP(C48,'Informations générales'!$C$66:$E$70,3,FALSE)*(AL48/$AM$28)/12,0)*12,IF(C48="3112. Logements",ROUND(VLOOKUP(C48,'Informations générales'!$C$66:$E$70,3,FALSE)*(AL48/$AN$28)/12,0)*12,IF(C48="3113. Logements",ROUND(VLOOKUP(C48,'Informations générales'!$C$66:$E$70,3,FALSE)*(AL48/$AO$28)/12,0)*12,IF(C48="3114. Logements",ROUND(VLOOKUP(C48,'Informations générales'!$C$66:$E$70,3,FALSE)*(AL48/$AP$28)/12,0)*12,IF(C48="3115. Logements",ROUND(VLOOKUP(C48,'Informations générales'!$C$66:$E$70,3,FALSE)*(AL48/$AQ$28)/12,0)*12,"")))))</f>
        <v/>
      </c>
      <c r="AC48" s="114"/>
      <c r="AD48" s="113">
        <f t="shared" si="14"/>
        <v>0</v>
      </c>
      <c r="AE48" s="114"/>
      <c r="AF48" s="203" t="str">
        <f>IF(C48="3111. Logements",ROUND(VLOOKUP(C48,'Informations générales'!$C$66:$E$70,3,FALSE)*(AL48/$AM$28)/12,0)*12,IF(C48="3112. Logements",ROUND(VLOOKUP(C48,'Informations générales'!$C$66:$E$70,3,FALSE)*(AL48/$AN$28)/12,0)*12,IF(C48="3113. Logements",ROUND(VLOOKUP(C48,'Informations générales'!$C$66:$E$70,3,FALSE)*(AL48/$AO$28)/12,0)*12,IF(C48="3114. Logements",ROUND(VLOOKUP(C48,'Informations générales'!$C$66:$E$70,3,FALSE)*(AL48/$AP$28)/12,0)*12,IF(C48="3115. Logements",ROUND(VLOOKUP(C48,'Informations générales'!$C$66:$E$70,3,FALSE)*(AL48/$AQ$28)/12,0)*12,"")))))</f>
        <v/>
      </c>
      <c r="AG48" s="202"/>
      <c r="AH48" s="113" t="str">
        <f>IF(C48="3111. Logements",ROUND(VLOOKUP(C48,'Informations générales'!$C$66:$H$70,5,FALSE)*(AL48/$AM$28)/12,0)*12,IF(C48="3112. Logements",ROUND(VLOOKUP(C48,'Informations générales'!$C$66:$H$70,5,FALSE)*(AL48/$AN$28)/12,0)*12,IF(C48="3113. Logements",ROUND(VLOOKUP(C48,'Informations générales'!$C$66:$H$70,5,FALSE)*(AL48/$AO$28)/12,0)*12,IF(C48="3114. Logements",ROUND(VLOOKUP(C48,'Informations générales'!$C$66:$H$70,5,FALSE)*(AL48/$AP$28)/12,0)*12,IF(C48="3115. Logements",ROUND(VLOOKUP(C48,'Informations générales'!$C$66:$H$70,5,FALSE)*(AL48/$AQ$28)/12,0)*12,"")))))</f>
        <v/>
      </c>
      <c r="AI48" s="114"/>
      <c r="AJ48" s="114"/>
      <c r="AK48" s="76"/>
      <c r="AL48" s="58">
        <f t="shared" si="15"/>
        <v>0</v>
      </c>
      <c r="AM48" s="58"/>
      <c r="AN48" s="58"/>
      <c r="AO48" s="58"/>
      <c r="AP48" s="58"/>
      <c r="AQ48" s="58"/>
      <c r="AR48" s="58">
        <f t="shared" si="3"/>
        <v>0</v>
      </c>
      <c r="AS48" s="58">
        <f t="shared" si="4"/>
        <v>0</v>
      </c>
      <c r="AT48" s="58">
        <f t="shared" si="5"/>
        <v>0</v>
      </c>
      <c r="AU48" s="58">
        <f t="shared" si="6"/>
        <v>0</v>
      </c>
      <c r="AV48" s="58">
        <f t="shared" si="7"/>
        <v>0</v>
      </c>
      <c r="AW48" s="58">
        <f t="shared" si="8"/>
        <v>0</v>
      </c>
      <c r="AX48" s="58">
        <f t="shared" si="9"/>
        <v>0</v>
      </c>
      <c r="AY48" s="58">
        <f t="shared" si="16"/>
        <v>0</v>
      </c>
      <c r="AZ48" s="62">
        <f t="shared" si="10"/>
        <v>0</v>
      </c>
      <c r="BA48" s="63">
        <f t="shared" si="11"/>
        <v>0</v>
      </c>
      <c r="BB48" s="63">
        <f t="shared" si="12"/>
        <v>0</v>
      </c>
    </row>
    <row r="49" spans="3:54" s="17" customFormat="1" x14ac:dyDescent="0.25">
      <c r="C49" s="215"/>
      <c r="D49" s="216"/>
      <c r="E49" s="88"/>
      <c r="F49" s="217"/>
      <c r="G49" s="234"/>
      <c r="H49" s="218"/>
      <c r="I49" s="76"/>
      <c r="J49" s="77"/>
      <c r="K49" s="76"/>
      <c r="L49" s="78"/>
      <c r="M49" s="78"/>
      <c r="N49" s="76" t="s">
        <v>39</v>
      </c>
      <c r="O49" s="110"/>
      <c r="P49" s="152"/>
      <c r="Q49" s="111" t="str">
        <f>IFERROR(MIN(VLOOKUP(ROUNDDOWN(P49,0),'Aide calcul'!$B$2:$C$282,2,FALSE),O49+1),"")</f>
        <v/>
      </c>
      <c r="R49" s="112" t="str">
        <f t="shared" si="13"/>
        <v/>
      </c>
      <c r="S49" s="152"/>
      <c r="T49" s="152"/>
      <c r="U49" s="152"/>
      <c r="V49" s="152"/>
      <c r="W49" s="152"/>
      <c r="X49" s="152"/>
      <c r="Y49" s="152"/>
      <c r="Z49" s="76"/>
      <c r="AA49" s="76"/>
      <c r="AB49" s="113" t="str">
        <f>IF(C49="3111. Logements",ROUND(VLOOKUP(C49,'Informations générales'!$C$66:$E$70,3,FALSE)*(AL49/$AM$28)/12,0)*12,IF(C49="3112. Logements",ROUND(VLOOKUP(C49,'Informations générales'!$C$66:$E$70,3,FALSE)*(AL49/$AN$28)/12,0)*12,IF(C49="3113. Logements",ROUND(VLOOKUP(C49,'Informations générales'!$C$66:$E$70,3,FALSE)*(AL49/$AO$28)/12,0)*12,IF(C49="3114. Logements",ROUND(VLOOKUP(C49,'Informations générales'!$C$66:$E$70,3,FALSE)*(AL49/$AP$28)/12,0)*12,IF(C49="3115. Logements",ROUND(VLOOKUP(C49,'Informations générales'!$C$66:$E$70,3,FALSE)*(AL49/$AQ$28)/12,0)*12,"")))))</f>
        <v/>
      </c>
      <c r="AC49" s="114"/>
      <c r="AD49" s="113">
        <f t="shared" si="14"/>
        <v>0</v>
      </c>
      <c r="AE49" s="114"/>
      <c r="AF49" s="203" t="str">
        <f>IF(C49="3111. Logements",ROUND(VLOOKUP(C49,'Informations générales'!$C$66:$E$70,3,FALSE)*(AL49/$AM$28)/12,0)*12,IF(C49="3112. Logements",ROUND(VLOOKUP(C49,'Informations générales'!$C$66:$E$70,3,FALSE)*(AL49/$AN$28)/12,0)*12,IF(C49="3113. Logements",ROUND(VLOOKUP(C49,'Informations générales'!$C$66:$E$70,3,FALSE)*(AL49/$AO$28)/12,0)*12,IF(C49="3114. Logements",ROUND(VLOOKUP(C49,'Informations générales'!$C$66:$E$70,3,FALSE)*(AL49/$AP$28)/12,0)*12,IF(C49="3115. Logements",ROUND(VLOOKUP(C49,'Informations générales'!$C$66:$E$70,3,FALSE)*(AL49/$AQ$28)/12,0)*12,"")))))</f>
        <v/>
      </c>
      <c r="AG49" s="202"/>
      <c r="AH49" s="113" t="str">
        <f>IF(C49="3111. Logements",ROUND(VLOOKUP(C49,'Informations générales'!$C$66:$H$70,5,FALSE)*(AL49/$AM$28)/12,0)*12,IF(C49="3112. Logements",ROUND(VLOOKUP(C49,'Informations générales'!$C$66:$H$70,5,FALSE)*(AL49/$AN$28)/12,0)*12,IF(C49="3113. Logements",ROUND(VLOOKUP(C49,'Informations générales'!$C$66:$H$70,5,FALSE)*(AL49/$AO$28)/12,0)*12,IF(C49="3114. Logements",ROUND(VLOOKUP(C49,'Informations générales'!$C$66:$H$70,5,FALSE)*(AL49/$AP$28)/12,0)*12,IF(C49="3115. Logements",ROUND(VLOOKUP(C49,'Informations générales'!$C$66:$H$70,5,FALSE)*(AL49/$AQ$28)/12,0)*12,"")))))</f>
        <v/>
      </c>
      <c r="AI49" s="114"/>
      <c r="AJ49" s="114"/>
      <c r="AK49" s="76"/>
      <c r="AL49" s="58">
        <f t="shared" si="15"/>
        <v>0</v>
      </c>
      <c r="AM49" s="58"/>
      <c r="AN49" s="58"/>
      <c r="AO49" s="58"/>
      <c r="AP49" s="58"/>
      <c r="AQ49" s="58"/>
      <c r="AR49" s="58">
        <f t="shared" si="3"/>
        <v>0</v>
      </c>
      <c r="AS49" s="58">
        <f t="shared" si="4"/>
        <v>0</v>
      </c>
      <c r="AT49" s="58">
        <f t="shared" si="5"/>
        <v>0</v>
      </c>
      <c r="AU49" s="58">
        <f t="shared" si="6"/>
        <v>0</v>
      </c>
      <c r="AV49" s="58">
        <f t="shared" si="7"/>
        <v>0</v>
      </c>
      <c r="AW49" s="58">
        <f t="shared" si="8"/>
        <v>0</v>
      </c>
      <c r="AX49" s="58">
        <f t="shared" si="9"/>
        <v>0</v>
      </c>
      <c r="AY49" s="58">
        <f t="shared" si="16"/>
        <v>0</v>
      </c>
      <c r="AZ49" s="62">
        <f t="shared" si="10"/>
        <v>0</v>
      </c>
      <c r="BA49" s="63">
        <f t="shared" si="11"/>
        <v>0</v>
      </c>
      <c r="BB49" s="63">
        <f t="shared" si="12"/>
        <v>0</v>
      </c>
    </row>
    <row r="50" spans="3:54" s="17" customFormat="1" x14ac:dyDescent="0.25">
      <c r="C50" s="215"/>
      <c r="D50" s="216"/>
      <c r="E50" s="88"/>
      <c r="F50" s="217"/>
      <c r="G50" s="234"/>
      <c r="H50" s="218"/>
      <c r="I50" s="76"/>
      <c r="J50" s="77"/>
      <c r="K50" s="76"/>
      <c r="L50" s="78"/>
      <c r="M50" s="78"/>
      <c r="N50" s="76" t="s">
        <v>39</v>
      </c>
      <c r="O50" s="110"/>
      <c r="P50" s="152"/>
      <c r="Q50" s="111" t="str">
        <f>IFERROR(MIN(VLOOKUP(ROUNDDOWN(P50,0),'Aide calcul'!$B$2:$C$282,2,FALSE),O50+1),"")</f>
        <v/>
      </c>
      <c r="R50" s="112" t="str">
        <f t="shared" si="13"/>
        <v/>
      </c>
      <c r="S50" s="152"/>
      <c r="T50" s="152"/>
      <c r="U50" s="152"/>
      <c r="V50" s="152"/>
      <c r="W50" s="152"/>
      <c r="X50" s="152"/>
      <c r="Y50" s="152"/>
      <c r="Z50" s="76"/>
      <c r="AA50" s="76"/>
      <c r="AB50" s="113" t="str">
        <f>IF(C50="3111. Logements",ROUND(VLOOKUP(C50,'Informations générales'!$C$66:$E$70,3,FALSE)*(AL50/$AM$28)/12,0)*12,IF(C50="3112. Logements",ROUND(VLOOKUP(C50,'Informations générales'!$C$66:$E$70,3,FALSE)*(AL50/$AN$28)/12,0)*12,IF(C50="3113. Logements",ROUND(VLOOKUP(C50,'Informations générales'!$C$66:$E$70,3,FALSE)*(AL50/$AO$28)/12,0)*12,IF(C50="3114. Logements",ROUND(VLOOKUP(C50,'Informations générales'!$C$66:$E$70,3,FALSE)*(AL50/$AP$28)/12,0)*12,IF(C50="3115. Logements",ROUND(VLOOKUP(C50,'Informations générales'!$C$66:$E$70,3,FALSE)*(AL50/$AQ$28)/12,0)*12,"")))))</f>
        <v/>
      </c>
      <c r="AC50" s="114"/>
      <c r="AD50" s="113">
        <f t="shared" si="14"/>
        <v>0</v>
      </c>
      <c r="AE50" s="114"/>
      <c r="AF50" s="203" t="str">
        <f>IF(C50="3111. Logements",ROUND(VLOOKUP(C50,'Informations générales'!$C$66:$E$70,3,FALSE)*(AL50/$AM$28)/12,0)*12,IF(C50="3112. Logements",ROUND(VLOOKUP(C50,'Informations générales'!$C$66:$E$70,3,FALSE)*(AL50/$AN$28)/12,0)*12,IF(C50="3113. Logements",ROUND(VLOOKUP(C50,'Informations générales'!$C$66:$E$70,3,FALSE)*(AL50/$AO$28)/12,0)*12,IF(C50="3114. Logements",ROUND(VLOOKUP(C50,'Informations générales'!$C$66:$E$70,3,FALSE)*(AL50/$AP$28)/12,0)*12,IF(C50="3115. Logements",ROUND(VLOOKUP(C50,'Informations générales'!$C$66:$E$70,3,FALSE)*(AL50/$AQ$28)/12,0)*12,"")))))</f>
        <v/>
      </c>
      <c r="AG50" s="202"/>
      <c r="AH50" s="113" t="str">
        <f>IF(C50="3111. Logements",ROUND(VLOOKUP(C50,'Informations générales'!$C$66:$H$70,5,FALSE)*(AL50/$AM$28)/12,0)*12,IF(C50="3112. Logements",ROUND(VLOOKUP(C50,'Informations générales'!$C$66:$H$70,5,FALSE)*(AL50/$AN$28)/12,0)*12,IF(C50="3113. Logements",ROUND(VLOOKUP(C50,'Informations générales'!$C$66:$H$70,5,FALSE)*(AL50/$AO$28)/12,0)*12,IF(C50="3114. Logements",ROUND(VLOOKUP(C50,'Informations générales'!$C$66:$H$70,5,FALSE)*(AL50/$AP$28)/12,0)*12,IF(C50="3115. Logements",ROUND(VLOOKUP(C50,'Informations générales'!$C$66:$H$70,5,FALSE)*(AL50/$AQ$28)/12,0)*12,"")))))</f>
        <v/>
      </c>
      <c r="AI50" s="114"/>
      <c r="AJ50" s="114"/>
      <c r="AK50" s="76"/>
      <c r="AL50" s="58">
        <f t="shared" si="15"/>
        <v>0</v>
      </c>
      <c r="AM50" s="58"/>
      <c r="AN50" s="58"/>
      <c r="AO50" s="58"/>
      <c r="AP50" s="58"/>
      <c r="AQ50" s="58"/>
      <c r="AR50" s="58">
        <f t="shared" si="3"/>
        <v>0</v>
      </c>
      <c r="AS50" s="58">
        <f t="shared" si="4"/>
        <v>0</v>
      </c>
      <c r="AT50" s="58">
        <f t="shared" si="5"/>
        <v>0</v>
      </c>
      <c r="AU50" s="58">
        <f t="shared" si="6"/>
        <v>0</v>
      </c>
      <c r="AV50" s="58">
        <f t="shared" si="7"/>
        <v>0</v>
      </c>
      <c r="AW50" s="58">
        <f t="shared" si="8"/>
        <v>0</v>
      </c>
      <c r="AX50" s="58">
        <f t="shared" si="9"/>
        <v>0</v>
      </c>
      <c r="AY50" s="58">
        <f t="shared" si="16"/>
        <v>0</v>
      </c>
      <c r="AZ50" s="62">
        <f t="shared" si="10"/>
        <v>0</v>
      </c>
      <c r="BA50" s="63">
        <f t="shared" si="11"/>
        <v>0</v>
      </c>
      <c r="BB50" s="63">
        <f t="shared" si="12"/>
        <v>0</v>
      </c>
    </row>
    <row r="51" spans="3:54" s="17" customFormat="1" x14ac:dyDescent="0.25">
      <c r="C51" s="215"/>
      <c r="D51" s="216"/>
      <c r="E51" s="88"/>
      <c r="F51" s="217"/>
      <c r="G51" s="234"/>
      <c r="H51" s="218"/>
      <c r="I51" s="76"/>
      <c r="J51" s="77"/>
      <c r="K51" s="76"/>
      <c r="L51" s="78"/>
      <c r="M51" s="78"/>
      <c r="N51" s="76" t="s">
        <v>39</v>
      </c>
      <c r="O51" s="110"/>
      <c r="P51" s="152"/>
      <c r="Q51" s="111" t="str">
        <f>IFERROR(MIN(VLOOKUP(ROUNDDOWN(P51,0),'Aide calcul'!$B$2:$C$282,2,FALSE),O51+1),"")</f>
        <v/>
      </c>
      <c r="R51" s="112" t="str">
        <f t="shared" si="13"/>
        <v/>
      </c>
      <c r="S51" s="152"/>
      <c r="T51" s="152"/>
      <c r="U51" s="152"/>
      <c r="V51" s="152"/>
      <c r="W51" s="152"/>
      <c r="X51" s="152"/>
      <c r="Y51" s="152"/>
      <c r="Z51" s="76"/>
      <c r="AA51" s="76"/>
      <c r="AB51" s="113" t="str">
        <f>IF(C51="3111. Logements",ROUND(VLOOKUP(C51,'Informations générales'!$C$66:$E$70,3,FALSE)*(AL51/$AM$28)/12,0)*12,IF(C51="3112. Logements",ROUND(VLOOKUP(C51,'Informations générales'!$C$66:$E$70,3,FALSE)*(AL51/$AN$28)/12,0)*12,IF(C51="3113. Logements",ROUND(VLOOKUP(C51,'Informations générales'!$C$66:$E$70,3,FALSE)*(AL51/$AO$28)/12,0)*12,IF(C51="3114. Logements",ROUND(VLOOKUP(C51,'Informations générales'!$C$66:$E$70,3,FALSE)*(AL51/$AP$28)/12,0)*12,IF(C51="3115. Logements",ROUND(VLOOKUP(C51,'Informations générales'!$C$66:$E$70,3,FALSE)*(AL51/$AQ$28)/12,0)*12,"")))))</f>
        <v/>
      </c>
      <c r="AC51" s="114"/>
      <c r="AD51" s="113">
        <f t="shared" si="14"/>
        <v>0</v>
      </c>
      <c r="AE51" s="114"/>
      <c r="AF51" s="203" t="str">
        <f>IF(C51="3111. Logements",ROUND(VLOOKUP(C51,'Informations générales'!$C$66:$E$70,3,FALSE)*(AL51/$AM$28)/12,0)*12,IF(C51="3112. Logements",ROUND(VLOOKUP(C51,'Informations générales'!$C$66:$E$70,3,FALSE)*(AL51/$AN$28)/12,0)*12,IF(C51="3113. Logements",ROUND(VLOOKUP(C51,'Informations générales'!$C$66:$E$70,3,FALSE)*(AL51/$AO$28)/12,0)*12,IF(C51="3114. Logements",ROUND(VLOOKUP(C51,'Informations générales'!$C$66:$E$70,3,FALSE)*(AL51/$AP$28)/12,0)*12,IF(C51="3115. Logements",ROUND(VLOOKUP(C51,'Informations générales'!$C$66:$E$70,3,FALSE)*(AL51/$AQ$28)/12,0)*12,"")))))</f>
        <v/>
      </c>
      <c r="AG51" s="202"/>
      <c r="AH51" s="113" t="str">
        <f>IF(C51="3111. Logements",ROUND(VLOOKUP(C51,'Informations générales'!$C$66:$H$70,5,FALSE)*(AL51/$AM$28)/12,0)*12,IF(C51="3112. Logements",ROUND(VLOOKUP(C51,'Informations générales'!$C$66:$H$70,5,FALSE)*(AL51/$AN$28)/12,0)*12,IF(C51="3113. Logements",ROUND(VLOOKUP(C51,'Informations générales'!$C$66:$H$70,5,FALSE)*(AL51/$AO$28)/12,0)*12,IF(C51="3114. Logements",ROUND(VLOOKUP(C51,'Informations générales'!$C$66:$H$70,5,FALSE)*(AL51/$AP$28)/12,0)*12,IF(C51="3115. Logements",ROUND(VLOOKUP(C51,'Informations générales'!$C$66:$H$70,5,FALSE)*(AL51/$AQ$28)/12,0)*12,"")))))</f>
        <v/>
      </c>
      <c r="AI51" s="114"/>
      <c r="AJ51" s="114"/>
      <c r="AK51" s="76"/>
      <c r="AL51" s="58">
        <f t="shared" si="15"/>
        <v>0</v>
      </c>
      <c r="AM51" s="58"/>
      <c r="AN51" s="58"/>
      <c r="AO51" s="58"/>
      <c r="AP51" s="58"/>
      <c r="AQ51" s="58"/>
      <c r="AR51" s="58">
        <f t="shared" si="3"/>
        <v>0</v>
      </c>
      <c r="AS51" s="58">
        <f t="shared" si="4"/>
        <v>0</v>
      </c>
      <c r="AT51" s="58">
        <f t="shared" si="5"/>
        <v>0</v>
      </c>
      <c r="AU51" s="58">
        <f t="shared" si="6"/>
        <v>0</v>
      </c>
      <c r="AV51" s="58">
        <f t="shared" si="7"/>
        <v>0</v>
      </c>
      <c r="AW51" s="58">
        <f t="shared" si="8"/>
        <v>0</v>
      </c>
      <c r="AX51" s="58">
        <f t="shared" si="9"/>
        <v>0</v>
      </c>
      <c r="AY51" s="58">
        <f t="shared" si="16"/>
        <v>0</v>
      </c>
      <c r="AZ51" s="62">
        <f t="shared" si="10"/>
        <v>0</v>
      </c>
      <c r="BA51" s="63">
        <f t="shared" si="11"/>
        <v>0</v>
      </c>
      <c r="BB51" s="63">
        <f t="shared" si="12"/>
        <v>0</v>
      </c>
    </row>
    <row r="52" spans="3:54" s="17" customFormat="1" x14ac:dyDescent="0.25">
      <c r="C52" s="215"/>
      <c r="D52" s="216"/>
      <c r="E52" s="88"/>
      <c r="F52" s="217"/>
      <c r="G52" s="234"/>
      <c r="H52" s="218"/>
      <c r="I52" s="76"/>
      <c r="J52" s="77"/>
      <c r="K52" s="76"/>
      <c r="L52" s="78"/>
      <c r="M52" s="78"/>
      <c r="N52" s="76" t="s">
        <v>39</v>
      </c>
      <c r="O52" s="110"/>
      <c r="P52" s="152"/>
      <c r="Q52" s="111" t="str">
        <f>IFERROR(MIN(VLOOKUP(ROUNDDOWN(P52,0),'Aide calcul'!$B$2:$C$282,2,FALSE),O52+1),"")</f>
        <v/>
      </c>
      <c r="R52" s="112" t="str">
        <f t="shared" si="13"/>
        <v/>
      </c>
      <c r="S52" s="152"/>
      <c r="T52" s="152"/>
      <c r="U52" s="152"/>
      <c r="V52" s="152"/>
      <c r="W52" s="152"/>
      <c r="X52" s="152"/>
      <c r="Y52" s="152"/>
      <c r="Z52" s="76"/>
      <c r="AA52" s="76"/>
      <c r="AB52" s="113" t="str">
        <f>IF(C52="3111. Logements",ROUND(VLOOKUP(C52,'Informations générales'!$C$66:$E$70,3,FALSE)*(AL52/$AM$28)/12,0)*12,IF(C52="3112. Logements",ROUND(VLOOKUP(C52,'Informations générales'!$C$66:$E$70,3,FALSE)*(AL52/$AN$28)/12,0)*12,IF(C52="3113. Logements",ROUND(VLOOKUP(C52,'Informations générales'!$C$66:$E$70,3,FALSE)*(AL52/$AO$28)/12,0)*12,IF(C52="3114. Logements",ROUND(VLOOKUP(C52,'Informations générales'!$C$66:$E$70,3,FALSE)*(AL52/$AP$28)/12,0)*12,IF(C52="3115. Logements",ROUND(VLOOKUP(C52,'Informations générales'!$C$66:$E$70,3,FALSE)*(AL52/$AQ$28)/12,0)*12,"")))))</f>
        <v/>
      </c>
      <c r="AC52" s="114"/>
      <c r="AD52" s="113">
        <f t="shared" si="14"/>
        <v>0</v>
      </c>
      <c r="AE52" s="114"/>
      <c r="AF52" s="203" t="str">
        <f>IF(C52="3111. Logements",ROUND(VLOOKUP(C52,'Informations générales'!$C$66:$E$70,3,FALSE)*(AL52/$AM$28)/12,0)*12,IF(C52="3112. Logements",ROUND(VLOOKUP(C52,'Informations générales'!$C$66:$E$70,3,FALSE)*(AL52/$AN$28)/12,0)*12,IF(C52="3113. Logements",ROUND(VLOOKUP(C52,'Informations générales'!$C$66:$E$70,3,FALSE)*(AL52/$AO$28)/12,0)*12,IF(C52="3114. Logements",ROUND(VLOOKUP(C52,'Informations générales'!$C$66:$E$70,3,FALSE)*(AL52/$AP$28)/12,0)*12,IF(C52="3115. Logements",ROUND(VLOOKUP(C52,'Informations générales'!$C$66:$E$70,3,FALSE)*(AL52/$AQ$28)/12,0)*12,"")))))</f>
        <v/>
      </c>
      <c r="AG52" s="202"/>
      <c r="AH52" s="113" t="str">
        <f>IF(C52="3111. Logements",ROUND(VLOOKUP(C52,'Informations générales'!$C$66:$H$70,5,FALSE)*(AL52/$AM$28)/12,0)*12,IF(C52="3112. Logements",ROUND(VLOOKUP(C52,'Informations générales'!$C$66:$H$70,5,FALSE)*(AL52/$AN$28)/12,0)*12,IF(C52="3113. Logements",ROUND(VLOOKUP(C52,'Informations générales'!$C$66:$H$70,5,FALSE)*(AL52/$AO$28)/12,0)*12,IF(C52="3114. Logements",ROUND(VLOOKUP(C52,'Informations générales'!$C$66:$H$70,5,FALSE)*(AL52/$AP$28)/12,0)*12,IF(C52="3115. Logements",ROUND(VLOOKUP(C52,'Informations générales'!$C$66:$H$70,5,FALSE)*(AL52/$AQ$28)/12,0)*12,"")))))</f>
        <v/>
      </c>
      <c r="AI52" s="114"/>
      <c r="AJ52" s="114"/>
      <c r="AK52" s="76"/>
      <c r="AL52" s="58">
        <f t="shared" si="15"/>
        <v>0</v>
      </c>
      <c r="AM52" s="58"/>
      <c r="AN52" s="58"/>
      <c r="AO52" s="58"/>
      <c r="AP52" s="58"/>
      <c r="AQ52" s="58"/>
      <c r="AR52" s="58">
        <f t="shared" si="3"/>
        <v>0</v>
      </c>
      <c r="AS52" s="58">
        <f t="shared" si="4"/>
        <v>0</v>
      </c>
      <c r="AT52" s="58">
        <f t="shared" si="5"/>
        <v>0</v>
      </c>
      <c r="AU52" s="58">
        <f t="shared" si="6"/>
        <v>0</v>
      </c>
      <c r="AV52" s="58">
        <f t="shared" si="7"/>
        <v>0</v>
      </c>
      <c r="AW52" s="58">
        <f t="shared" si="8"/>
        <v>0</v>
      </c>
      <c r="AX52" s="58">
        <f t="shared" si="9"/>
        <v>0</v>
      </c>
      <c r="AY52" s="58">
        <f t="shared" si="16"/>
        <v>0</v>
      </c>
      <c r="AZ52" s="62">
        <f t="shared" si="10"/>
        <v>0</v>
      </c>
      <c r="BA52" s="63">
        <f t="shared" si="11"/>
        <v>0</v>
      </c>
      <c r="BB52" s="63">
        <f t="shared" si="12"/>
        <v>0</v>
      </c>
    </row>
    <row r="53" spans="3:54" s="17" customFormat="1" x14ac:dyDescent="0.25">
      <c r="C53" s="215"/>
      <c r="D53" s="216"/>
      <c r="E53" s="88"/>
      <c r="F53" s="217"/>
      <c r="G53" s="234"/>
      <c r="H53" s="218"/>
      <c r="I53" s="76"/>
      <c r="J53" s="77"/>
      <c r="K53" s="76"/>
      <c r="L53" s="78"/>
      <c r="M53" s="78"/>
      <c r="N53" s="76" t="s">
        <v>39</v>
      </c>
      <c r="O53" s="110"/>
      <c r="P53" s="152"/>
      <c r="Q53" s="111" t="str">
        <f>IFERROR(MIN(VLOOKUP(ROUNDDOWN(P53,0),'Aide calcul'!$B$2:$C$282,2,FALSE),O53+1),"")</f>
        <v/>
      </c>
      <c r="R53" s="112" t="str">
        <f t="shared" si="13"/>
        <v/>
      </c>
      <c r="S53" s="152"/>
      <c r="T53" s="152"/>
      <c r="U53" s="152"/>
      <c r="V53" s="152"/>
      <c r="W53" s="152"/>
      <c r="X53" s="152"/>
      <c r="Y53" s="152"/>
      <c r="Z53" s="76"/>
      <c r="AA53" s="76"/>
      <c r="AB53" s="113" t="str">
        <f>IF(C53="3111. Logements",ROUND(VLOOKUP(C53,'Informations générales'!$C$66:$E$70,3,FALSE)*(AL53/$AM$28)/12,0)*12,IF(C53="3112. Logements",ROUND(VLOOKUP(C53,'Informations générales'!$C$66:$E$70,3,FALSE)*(AL53/$AN$28)/12,0)*12,IF(C53="3113. Logements",ROUND(VLOOKUP(C53,'Informations générales'!$C$66:$E$70,3,FALSE)*(AL53/$AO$28)/12,0)*12,IF(C53="3114. Logements",ROUND(VLOOKUP(C53,'Informations générales'!$C$66:$E$70,3,FALSE)*(AL53/$AP$28)/12,0)*12,IF(C53="3115. Logements",ROUND(VLOOKUP(C53,'Informations générales'!$C$66:$E$70,3,FALSE)*(AL53/$AQ$28)/12,0)*12,"")))))</f>
        <v/>
      </c>
      <c r="AC53" s="114"/>
      <c r="AD53" s="113">
        <f t="shared" si="14"/>
        <v>0</v>
      </c>
      <c r="AE53" s="114"/>
      <c r="AF53" s="203" t="str">
        <f>IF(C53="3111. Logements",ROUND(VLOOKUP(C53,'Informations générales'!$C$66:$E$70,3,FALSE)*(AL53/$AM$28)/12,0)*12,IF(C53="3112. Logements",ROUND(VLOOKUP(C53,'Informations générales'!$C$66:$E$70,3,FALSE)*(AL53/$AN$28)/12,0)*12,IF(C53="3113. Logements",ROUND(VLOOKUP(C53,'Informations générales'!$C$66:$E$70,3,FALSE)*(AL53/$AO$28)/12,0)*12,IF(C53="3114. Logements",ROUND(VLOOKUP(C53,'Informations générales'!$C$66:$E$70,3,FALSE)*(AL53/$AP$28)/12,0)*12,IF(C53="3115. Logements",ROUND(VLOOKUP(C53,'Informations générales'!$C$66:$E$70,3,FALSE)*(AL53/$AQ$28)/12,0)*12,"")))))</f>
        <v/>
      </c>
      <c r="AG53" s="202"/>
      <c r="AH53" s="113" t="str">
        <f>IF(C53="3111. Logements",ROUND(VLOOKUP(C53,'Informations générales'!$C$66:$H$70,5,FALSE)*(AL53/$AM$28)/12,0)*12,IF(C53="3112. Logements",ROUND(VLOOKUP(C53,'Informations générales'!$C$66:$H$70,5,FALSE)*(AL53/$AN$28)/12,0)*12,IF(C53="3113. Logements",ROUND(VLOOKUP(C53,'Informations générales'!$C$66:$H$70,5,FALSE)*(AL53/$AO$28)/12,0)*12,IF(C53="3114. Logements",ROUND(VLOOKUP(C53,'Informations générales'!$C$66:$H$70,5,FALSE)*(AL53/$AP$28)/12,0)*12,IF(C53="3115. Logements",ROUND(VLOOKUP(C53,'Informations générales'!$C$66:$H$70,5,FALSE)*(AL53/$AQ$28)/12,0)*12,"")))))</f>
        <v/>
      </c>
      <c r="AI53" s="114"/>
      <c r="AJ53" s="114"/>
      <c r="AK53" s="76"/>
      <c r="AL53" s="58">
        <f t="shared" si="15"/>
        <v>0</v>
      </c>
      <c r="AM53" s="58"/>
      <c r="AN53" s="58"/>
      <c r="AO53" s="58"/>
      <c r="AP53" s="58"/>
      <c r="AQ53" s="58"/>
      <c r="AR53" s="58">
        <f t="shared" si="3"/>
        <v>0</v>
      </c>
      <c r="AS53" s="58">
        <f t="shared" si="4"/>
        <v>0</v>
      </c>
      <c r="AT53" s="58">
        <f t="shared" si="5"/>
        <v>0</v>
      </c>
      <c r="AU53" s="58">
        <f t="shared" si="6"/>
        <v>0</v>
      </c>
      <c r="AV53" s="58">
        <f t="shared" si="7"/>
        <v>0</v>
      </c>
      <c r="AW53" s="58">
        <f t="shared" si="8"/>
        <v>0</v>
      </c>
      <c r="AX53" s="58">
        <f t="shared" si="9"/>
        <v>0</v>
      </c>
      <c r="AY53" s="58">
        <f t="shared" si="16"/>
        <v>0</v>
      </c>
      <c r="AZ53" s="62">
        <f t="shared" si="10"/>
        <v>0</v>
      </c>
      <c r="BA53" s="63">
        <f t="shared" si="11"/>
        <v>0</v>
      </c>
      <c r="BB53" s="63">
        <f t="shared" si="12"/>
        <v>0</v>
      </c>
    </row>
    <row r="54" spans="3:54" s="17" customFormat="1" x14ac:dyDescent="0.25">
      <c r="C54" s="215"/>
      <c r="D54" s="216"/>
      <c r="E54" s="88"/>
      <c r="F54" s="217"/>
      <c r="G54" s="234"/>
      <c r="H54" s="218"/>
      <c r="I54" s="76"/>
      <c r="J54" s="77"/>
      <c r="K54" s="76"/>
      <c r="L54" s="78"/>
      <c r="M54" s="78"/>
      <c r="N54" s="76" t="s">
        <v>39</v>
      </c>
      <c r="O54" s="110"/>
      <c r="P54" s="152"/>
      <c r="Q54" s="111" t="str">
        <f>IFERROR(MIN(VLOOKUP(ROUNDDOWN(P54,0),'Aide calcul'!$B$2:$C$282,2,FALSE),O54+1),"")</f>
        <v/>
      </c>
      <c r="R54" s="112" t="str">
        <f t="shared" si="13"/>
        <v/>
      </c>
      <c r="S54" s="152"/>
      <c r="T54" s="152"/>
      <c r="U54" s="152"/>
      <c r="V54" s="152"/>
      <c r="W54" s="152"/>
      <c r="X54" s="152"/>
      <c r="Y54" s="152"/>
      <c r="Z54" s="76"/>
      <c r="AA54" s="76"/>
      <c r="AB54" s="113" t="str">
        <f>IF(C54="3111. Logements",ROUND(VLOOKUP(C54,'Informations générales'!$C$66:$E$70,3,FALSE)*(AL54/$AM$28)/12,0)*12,IF(C54="3112. Logements",ROUND(VLOOKUP(C54,'Informations générales'!$C$66:$E$70,3,FALSE)*(AL54/$AN$28)/12,0)*12,IF(C54="3113. Logements",ROUND(VLOOKUP(C54,'Informations générales'!$C$66:$E$70,3,FALSE)*(AL54/$AO$28)/12,0)*12,IF(C54="3114. Logements",ROUND(VLOOKUP(C54,'Informations générales'!$C$66:$E$70,3,FALSE)*(AL54/$AP$28)/12,0)*12,IF(C54="3115. Logements",ROUND(VLOOKUP(C54,'Informations générales'!$C$66:$E$70,3,FALSE)*(AL54/$AQ$28)/12,0)*12,"")))))</f>
        <v/>
      </c>
      <c r="AC54" s="114"/>
      <c r="AD54" s="113">
        <f t="shared" si="14"/>
        <v>0</v>
      </c>
      <c r="AE54" s="114"/>
      <c r="AF54" s="203" t="str">
        <f>IF(C54="3111. Logements",ROUND(VLOOKUP(C54,'Informations générales'!$C$66:$E$70,3,FALSE)*(AL54/$AM$28)/12,0)*12,IF(C54="3112. Logements",ROUND(VLOOKUP(C54,'Informations générales'!$C$66:$E$70,3,FALSE)*(AL54/$AN$28)/12,0)*12,IF(C54="3113. Logements",ROUND(VLOOKUP(C54,'Informations générales'!$C$66:$E$70,3,FALSE)*(AL54/$AO$28)/12,0)*12,IF(C54="3114. Logements",ROUND(VLOOKUP(C54,'Informations générales'!$C$66:$E$70,3,FALSE)*(AL54/$AP$28)/12,0)*12,IF(C54="3115. Logements",ROUND(VLOOKUP(C54,'Informations générales'!$C$66:$E$70,3,FALSE)*(AL54/$AQ$28)/12,0)*12,"")))))</f>
        <v/>
      </c>
      <c r="AG54" s="202"/>
      <c r="AH54" s="113" t="str">
        <f>IF(C54="3111. Logements",ROUND(VLOOKUP(C54,'Informations générales'!$C$66:$H$70,5,FALSE)*(AL54/$AM$28)/12,0)*12,IF(C54="3112. Logements",ROUND(VLOOKUP(C54,'Informations générales'!$C$66:$H$70,5,FALSE)*(AL54/$AN$28)/12,0)*12,IF(C54="3113. Logements",ROUND(VLOOKUP(C54,'Informations générales'!$C$66:$H$70,5,FALSE)*(AL54/$AO$28)/12,0)*12,IF(C54="3114. Logements",ROUND(VLOOKUP(C54,'Informations générales'!$C$66:$H$70,5,FALSE)*(AL54/$AP$28)/12,0)*12,IF(C54="3115. Logements",ROUND(VLOOKUP(C54,'Informations générales'!$C$66:$H$70,5,FALSE)*(AL54/$AQ$28)/12,0)*12,"")))))</f>
        <v/>
      </c>
      <c r="AI54" s="114"/>
      <c r="AJ54" s="114"/>
      <c r="AK54" s="76"/>
      <c r="AL54" s="58">
        <f t="shared" si="15"/>
        <v>0</v>
      </c>
      <c r="AM54" s="58"/>
      <c r="AN54" s="58"/>
      <c r="AO54" s="58"/>
      <c r="AP54" s="58"/>
      <c r="AQ54" s="58"/>
      <c r="AR54" s="58">
        <f t="shared" si="3"/>
        <v>0</v>
      </c>
      <c r="AS54" s="58">
        <f t="shared" si="4"/>
        <v>0</v>
      </c>
      <c r="AT54" s="58">
        <f t="shared" si="5"/>
        <v>0</v>
      </c>
      <c r="AU54" s="58">
        <f t="shared" si="6"/>
        <v>0</v>
      </c>
      <c r="AV54" s="58">
        <f t="shared" si="7"/>
        <v>0</v>
      </c>
      <c r="AW54" s="58">
        <f t="shared" si="8"/>
        <v>0</v>
      </c>
      <c r="AX54" s="58">
        <f t="shared" si="9"/>
        <v>0</v>
      </c>
      <c r="AY54" s="58">
        <f t="shared" si="16"/>
        <v>0</v>
      </c>
      <c r="AZ54" s="62">
        <f t="shared" si="10"/>
        <v>0</v>
      </c>
      <c r="BA54" s="63">
        <f t="shared" si="11"/>
        <v>0</v>
      </c>
      <c r="BB54" s="63">
        <f t="shared" si="12"/>
        <v>0</v>
      </c>
    </row>
    <row r="55" spans="3:54" s="17" customFormat="1" x14ac:dyDescent="0.25">
      <c r="C55" s="215"/>
      <c r="D55" s="216"/>
      <c r="E55" s="88"/>
      <c r="F55" s="217"/>
      <c r="G55" s="234"/>
      <c r="H55" s="218"/>
      <c r="I55" s="76"/>
      <c r="J55" s="77"/>
      <c r="K55" s="76"/>
      <c r="L55" s="78"/>
      <c r="M55" s="78"/>
      <c r="N55" s="76" t="s">
        <v>39</v>
      </c>
      <c r="O55" s="110"/>
      <c r="P55" s="152"/>
      <c r="Q55" s="111" t="str">
        <f>IFERROR(MIN(VLOOKUP(ROUNDDOWN(P55,0),'Aide calcul'!$B$2:$C$282,2,FALSE),O55+1),"")</f>
        <v/>
      </c>
      <c r="R55" s="112" t="str">
        <f t="shared" si="13"/>
        <v/>
      </c>
      <c r="S55" s="152"/>
      <c r="T55" s="152"/>
      <c r="U55" s="152"/>
      <c r="V55" s="152"/>
      <c r="W55" s="152"/>
      <c r="X55" s="152"/>
      <c r="Y55" s="152"/>
      <c r="Z55" s="76"/>
      <c r="AA55" s="76"/>
      <c r="AB55" s="113" t="str">
        <f>IF(C55="3111. Logements",ROUND(VLOOKUP(C55,'Informations générales'!$C$66:$E$70,3,FALSE)*(AL55/$AM$28)/12,0)*12,IF(C55="3112. Logements",ROUND(VLOOKUP(C55,'Informations générales'!$C$66:$E$70,3,FALSE)*(AL55/$AN$28)/12,0)*12,IF(C55="3113. Logements",ROUND(VLOOKUP(C55,'Informations générales'!$C$66:$E$70,3,FALSE)*(AL55/$AO$28)/12,0)*12,IF(C55="3114. Logements",ROUND(VLOOKUP(C55,'Informations générales'!$C$66:$E$70,3,FALSE)*(AL55/$AP$28)/12,0)*12,IF(C55="3115. Logements",ROUND(VLOOKUP(C55,'Informations générales'!$C$66:$E$70,3,FALSE)*(AL55/$AQ$28)/12,0)*12,"")))))</f>
        <v/>
      </c>
      <c r="AC55" s="114"/>
      <c r="AD55" s="113">
        <f t="shared" si="14"/>
        <v>0</v>
      </c>
      <c r="AE55" s="114"/>
      <c r="AF55" s="203" t="str">
        <f>IF(C55="3111. Logements",ROUND(VLOOKUP(C55,'Informations générales'!$C$66:$E$70,3,FALSE)*(AL55/$AM$28)/12,0)*12,IF(C55="3112. Logements",ROUND(VLOOKUP(C55,'Informations générales'!$C$66:$E$70,3,FALSE)*(AL55/$AN$28)/12,0)*12,IF(C55="3113. Logements",ROUND(VLOOKUP(C55,'Informations générales'!$C$66:$E$70,3,FALSE)*(AL55/$AO$28)/12,0)*12,IF(C55="3114. Logements",ROUND(VLOOKUP(C55,'Informations générales'!$C$66:$E$70,3,FALSE)*(AL55/$AP$28)/12,0)*12,IF(C55="3115. Logements",ROUND(VLOOKUP(C55,'Informations générales'!$C$66:$E$70,3,FALSE)*(AL55/$AQ$28)/12,0)*12,"")))))</f>
        <v/>
      </c>
      <c r="AG55" s="202"/>
      <c r="AH55" s="113" t="str">
        <f>IF(C55="3111. Logements",ROUND(VLOOKUP(C55,'Informations générales'!$C$66:$H$70,5,FALSE)*(AL55/$AM$28)/12,0)*12,IF(C55="3112. Logements",ROUND(VLOOKUP(C55,'Informations générales'!$C$66:$H$70,5,FALSE)*(AL55/$AN$28)/12,0)*12,IF(C55="3113. Logements",ROUND(VLOOKUP(C55,'Informations générales'!$C$66:$H$70,5,FALSE)*(AL55/$AO$28)/12,0)*12,IF(C55="3114. Logements",ROUND(VLOOKUP(C55,'Informations générales'!$C$66:$H$70,5,FALSE)*(AL55/$AP$28)/12,0)*12,IF(C55="3115. Logements",ROUND(VLOOKUP(C55,'Informations générales'!$C$66:$H$70,5,FALSE)*(AL55/$AQ$28)/12,0)*12,"")))))</f>
        <v/>
      </c>
      <c r="AI55" s="114"/>
      <c r="AJ55" s="114"/>
      <c r="AK55" s="76"/>
      <c r="AL55" s="58">
        <f t="shared" si="15"/>
        <v>0</v>
      </c>
      <c r="AM55" s="58"/>
      <c r="AN55" s="58"/>
      <c r="AO55" s="58"/>
      <c r="AP55" s="58"/>
      <c r="AQ55" s="58"/>
      <c r="AR55" s="58">
        <f t="shared" si="3"/>
        <v>0</v>
      </c>
      <c r="AS55" s="58">
        <f t="shared" si="4"/>
        <v>0</v>
      </c>
      <c r="AT55" s="58">
        <f t="shared" si="5"/>
        <v>0</v>
      </c>
      <c r="AU55" s="58">
        <f t="shared" si="6"/>
        <v>0</v>
      </c>
      <c r="AV55" s="58">
        <f t="shared" si="7"/>
        <v>0</v>
      </c>
      <c r="AW55" s="58">
        <f t="shared" si="8"/>
        <v>0</v>
      </c>
      <c r="AX55" s="58">
        <f t="shared" si="9"/>
        <v>0</v>
      </c>
      <c r="AY55" s="58">
        <f t="shared" si="16"/>
        <v>0</v>
      </c>
      <c r="AZ55" s="62">
        <f t="shared" si="10"/>
        <v>0</v>
      </c>
      <c r="BA55" s="63">
        <f t="shared" si="11"/>
        <v>0</v>
      </c>
      <c r="BB55" s="63">
        <f t="shared" si="12"/>
        <v>0</v>
      </c>
    </row>
    <row r="56" spans="3:54" s="17" customFormat="1" x14ac:dyDescent="0.25">
      <c r="C56" s="215"/>
      <c r="D56" s="216"/>
      <c r="E56" s="88"/>
      <c r="F56" s="217"/>
      <c r="G56" s="234"/>
      <c r="H56" s="218"/>
      <c r="I56" s="76"/>
      <c r="J56" s="77"/>
      <c r="K56" s="76"/>
      <c r="L56" s="78"/>
      <c r="M56" s="78"/>
      <c r="N56" s="76" t="s">
        <v>39</v>
      </c>
      <c r="O56" s="110"/>
      <c r="P56" s="152"/>
      <c r="Q56" s="111" t="str">
        <f>IFERROR(MIN(VLOOKUP(ROUNDDOWN(P56,0),'Aide calcul'!$B$2:$C$282,2,FALSE),O56+1),"")</f>
        <v/>
      </c>
      <c r="R56" s="112" t="str">
        <f t="shared" si="13"/>
        <v/>
      </c>
      <c r="S56" s="152"/>
      <c r="T56" s="152"/>
      <c r="U56" s="152"/>
      <c r="V56" s="152"/>
      <c r="W56" s="152"/>
      <c r="X56" s="152"/>
      <c r="Y56" s="152"/>
      <c r="Z56" s="76"/>
      <c r="AA56" s="76"/>
      <c r="AB56" s="113" t="str">
        <f>IF(C56="3111. Logements",ROUND(VLOOKUP(C56,'Informations générales'!$C$66:$E$70,3,FALSE)*(AL56/$AM$28)/12,0)*12,IF(C56="3112. Logements",ROUND(VLOOKUP(C56,'Informations générales'!$C$66:$E$70,3,FALSE)*(AL56/$AN$28)/12,0)*12,IF(C56="3113. Logements",ROUND(VLOOKUP(C56,'Informations générales'!$C$66:$E$70,3,FALSE)*(AL56/$AO$28)/12,0)*12,IF(C56="3114. Logements",ROUND(VLOOKUP(C56,'Informations générales'!$C$66:$E$70,3,FALSE)*(AL56/$AP$28)/12,0)*12,IF(C56="3115. Logements",ROUND(VLOOKUP(C56,'Informations générales'!$C$66:$E$70,3,FALSE)*(AL56/$AQ$28)/12,0)*12,"")))))</f>
        <v/>
      </c>
      <c r="AC56" s="114"/>
      <c r="AD56" s="113">
        <f t="shared" si="14"/>
        <v>0</v>
      </c>
      <c r="AE56" s="114"/>
      <c r="AF56" s="203" t="str">
        <f>IF(C56="3111. Logements",ROUND(VLOOKUP(C56,'Informations générales'!$C$66:$E$70,3,FALSE)*(AL56/$AM$28)/12,0)*12,IF(C56="3112. Logements",ROUND(VLOOKUP(C56,'Informations générales'!$C$66:$E$70,3,FALSE)*(AL56/$AN$28)/12,0)*12,IF(C56="3113. Logements",ROUND(VLOOKUP(C56,'Informations générales'!$C$66:$E$70,3,FALSE)*(AL56/$AO$28)/12,0)*12,IF(C56="3114. Logements",ROUND(VLOOKUP(C56,'Informations générales'!$C$66:$E$70,3,FALSE)*(AL56/$AP$28)/12,0)*12,IF(C56="3115. Logements",ROUND(VLOOKUP(C56,'Informations générales'!$C$66:$E$70,3,FALSE)*(AL56/$AQ$28)/12,0)*12,"")))))</f>
        <v/>
      </c>
      <c r="AG56" s="202"/>
      <c r="AH56" s="113" t="str">
        <f>IF(C56="3111. Logements",ROUND(VLOOKUP(C56,'Informations générales'!$C$66:$H$70,5,FALSE)*(AL56/$AM$28)/12,0)*12,IF(C56="3112. Logements",ROUND(VLOOKUP(C56,'Informations générales'!$C$66:$H$70,5,FALSE)*(AL56/$AN$28)/12,0)*12,IF(C56="3113. Logements",ROUND(VLOOKUP(C56,'Informations générales'!$C$66:$H$70,5,FALSE)*(AL56/$AO$28)/12,0)*12,IF(C56="3114. Logements",ROUND(VLOOKUP(C56,'Informations générales'!$C$66:$H$70,5,FALSE)*(AL56/$AP$28)/12,0)*12,IF(C56="3115. Logements",ROUND(VLOOKUP(C56,'Informations générales'!$C$66:$H$70,5,FALSE)*(AL56/$AQ$28)/12,0)*12,"")))))</f>
        <v/>
      </c>
      <c r="AI56" s="114"/>
      <c r="AJ56" s="114"/>
      <c r="AK56" s="76"/>
      <c r="AL56" s="58">
        <f t="shared" si="15"/>
        <v>0</v>
      </c>
      <c r="AM56" s="58"/>
      <c r="AN56" s="58"/>
      <c r="AO56" s="58"/>
      <c r="AP56" s="58"/>
      <c r="AQ56" s="58"/>
      <c r="AR56" s="58">
        <f t="shared" si="3"/>
        <v>0</v>
      </c>
      <c r="AS56" s="58">
        <f t="shared" si="4"/>
        <v>0</v>
      </c>
      <c r="AT56" s="58">
        <f t="shared" si="5"/>
        <v>0</v>
      </c>
      <c r="AU56" s="58">
        <f t="shared" si="6"/>
        <v>0</v>
      </c>
      <c r="AV56" s="58">
        <f t="shared" si="7"/>
        <v>0</v>
      </c>
      <c r="AW56" s="58">
        <f t="shared" si="8"/>
        <v>0</v>
      </c>
      <c r="AX56" s="58">
        <f t="shared" si="9"/>
        <v>0</v>
      </c>
      <c r="AY56" s="58">
        <f t="shared" si="16"/>
        <v>0</v>
      </c>
      <c r="AZ56" s="62">
        <f t="shared" si="10"/>
        <v>0</v>
      </c>
      <c r="BA56" s="63">
        <f t="shared" si="11"/>
        <v>0</v>
      </c>
      <c r="BB56" s="63">
        <f t="shared" si="12"/>
        <v>0</v>
      </c>
    </row>
    <row r="57" spans="3:54" s="17" customFormat="1" x14ac:dyDescent="0.25">
      <c r="C57" s="215"/>
      <c r="D57" s="216"/>
      <c r="E57" s="88"/>
      <c r="F57" s="217"/>
      <c r="G57" s="234"/>
      <c r="H57" s="218"/>
      <c r="I57" s="76"/>
      <c r="J57" s="77"/>
      <c r="K57" s="76"/>
      <c r="L57" s="78"/>
      <c r="M57" s="78"/>
      <c r="N57" s="76" t="s">
        <v>39</v>
      </c>
      <c r="O57" s="110"/>
      <c r="P57" s="152"/>
      <c r="Q57" s="111" t="str">
        <f>IFERROR(MIN(VLOOKUP(ROUNDDOWN(P57,0),'Aide calcul'!$B$2:$C$282,2,FALSE),O57+1),"")</f>
        <v/>
      </c>
      <c r="R57" s="112" t="str">
        <f t="shared" si="13"/>
        <v/>
      </c>
      <c r="S57" s="152"/>
      <c r="T57" s="152"/>
      <c r="U57" s="152"/>
      <c r="V57" s="152"/>
      <c r="W57" s="152"/>
      <c r="X57" s="152"/>
      <c r="Y57" s="152"/>
      <c r="Z57" s="76"/>
      <c r="AA57" s="76"/>
      <c r="AB57" s="113" t="str">
        <f>IF(C57="3111. Logements",ROUND(VLOOKUP(C57,'Informations générales'!$C$66:$E$70,3,FALSE)*(AL57/$AM$28)/12,0)*12,IF(C57="3112. Logements",ROUND(VLOOKUP(C57,'Informations générales'!$C$66:$E$70,3,FALSE)*(AL57/$AN$28)/12,0)*12,IF(C57="3113. Logements",ROUND(VLOOKUP(C57,'Informations générales'!$C$66:$E$70,3,FALSE)*(AL57/$AO$28)/12,0)*12,IF(C57="3114. Logements",ROUND(VLOOKUP(C57,'Informations générales'!$C$66:$E$70,3,FALSE)*(AL57/$AP$28)/12,0)*12,IF(C57="3115. Logements",ROUND(VLOOKUP(C57,'Informations générales'!$C$66:$E$70,3,FALSE)*(AL57/$AQ$28)/12,0)*12,"")))))</f>
        <v/>
      </c>
      <c r="AC57" s="114"/>
      <c r="AD57" s="113">
        <f t="shared" si="14"/>
        <v>0</v>
      </c>
      <c r="AE57" s="114"/>
      <c r="AF57" s="203" t="str">
        <f>IF(C57="3111. Logements",ROUND(VLOOKUP(C57,'Informations générales'!$C$66:$E$70,3,FALSE)*(AL57/$AM$28)/12,0)*12,IF(C57="3112. Logements",ROUND(VLOOKUP(C57,'Informations générales'!$C$66:$E$70,3,FALSE)*(AL57/$AN$28)/12,0)*12,IF(C57="3113. Logements",ROUND(VLOOKUP(C57,'Informations générales'!$C$66:$E$70,3,FALSE)*(AL57/$AO$28)/12,0)*12,IF(C57="3114. Logements",ROUND(VLOOKUP(C57,'Informations générales'!$C$66:$E$70,3,FALSE)*(AL57/$AP$28)/12,0)*12,IF(C57="3115. Logements",ROUND(VLOOKUP(C57,'Informations générales'!$C$66:$E$70,3,FALSE)*(AL57/$AQ$28)/12,0)*12,"")))))</f>
        <v/>
      </c>
      <c r="AG57" s="202"/>
      <c r="AH57" s="113" t="str">
        <f>IF(C57="3111. Logements",ROUND(VLOOKUP(C57,'Informations générales'!$C$66:$H$70,5,FALSE)*(AL57/$AM$28)/12,0)*12,IF(C57="3112. Logements",ROUND(VLOOKUP(C57,'Informations générales'!$C$66:$H$70,5,FALSE)*(AL57/$AN$28)/12,0)*12,IF(C57="3113. Logements",ROUND(VLOOKUP(C57,'Informations générales'!$C$66:$H$70,5,FALSE)*(AL57/$AO$28)/12,0)*12,IF(C57="3114. Logements",ROUND(VLOOKUP(C57,'Informations générales'!$C$66:$H$70,5,FALSE)*(AL57/$AP$28)/12,0)*12,IF(C57="3115. Logements",ROUND(VLOOKUP(C57,'Informations générales'!$C$66:$H$70,5,FALSE)*(AL57/$AQ$28)/12,0)*12,"")))))</f>
        <v/>
      </c>
      <c r="AI57" s="114"/>
      <c r="AJ57" s="114"/>
      <c r="AK57" s="76"/>
      <c r="AL57" s="58">
        <f t="shared" si="15"/>
        <v>0</v>
      </c>
      <c r="AM57" s="58"/>
      <c r="AN57" s="58"/>
      <c r="AO57" s="58"/>
      <c r="AP57" s="58"/>
      <c r="AQ57" s="58"/>
      <c r="AR57" s="58">
        <f t="shared" si="3"/>
        <v>0</v>
      </c>
      <c r="AS57" s="58">
        <f t="shared" si="4"/>
        <v>0</v>
      </c>
      <c r="AT57" s="58">
        <f t="shared" si="5"/>
        <v>0</v>
      </c>
      <c r="AU57" s="58">
        <f t="shared" si="6"/>
        <v>0</v>
      </c>
      <c r="AV57" s="58">
        <f t="shared" si="7"/>
        <v>0</v>
      </c>
      <c r="AW57" s="58">
        <f t="shared" si="8"/>
        <v>0</v>
      </c>
      <c r="AX57" s="58">
        <f t="shared" si="9"/>
        <v>0</v>
      </c>
      <c r="AY57" s="58">
        <f t="shared" si="16"/>
        <v>0</v>
      </c>
      <c r="AZ57" s="62">
        <f t="shared" si="10"/>
        <v>0</v>
      </c>
      <c r="BA57" s="63">
        <f t="shared" si="11"/>
        <v>0</v>
      </c>
      <c r="BB57" s="63">
        <f t="shared" si="12"/>
        <v>0</v>
      </c>
    </row>
    <row r="58" spans="3:54" s="17" customFormat="1" x14ac:dyDescent="0.25">
      <c r="C58" s="215"/>
      <c r="D58" s="216"/>
      <c r="E58" s="88"/>
      <c r="F58" s="217"/>
      <c r="G58" s="234"/>
      <c r="H58" s="218"/>
      <c r="I58" s="76"/>
      <c r="J58" s="77"/>
      <c r="K58" s="76"/>
      <c r="L58" s="78"/>
      <c r="M58" s="78"/>
      <c r="N58" s="76" t="s">
        <v>39</v>
      </c>
      <c r="O58" s="110"/>
      <c r="P58" s="152"/>
      <c r="Q58" s="111" t="str">
        <f>IFERROR(MIN(VLOOKUP(ROUNDDOWN(P58,0),'Aide calcul'!$B$2:$C$282,2,FALSE),O58+1),"")</f>
        <v/>
      </c>
      <c r="R58" s="112" t="str">
        <f t="shared" si="13"/>
        <v/>
      </c>
      <c r="S58" s="152"/>
      <c r="T58" s="152"/>
      <c r="U58" s="152"/>
      <c r="V58" s="152"/>
      <c r="W58" s="152"/>
      <c r="X58" s="152"/>
      <c r="Y58" s="152"/>
      <c r="Z58" s="76"/>
      <c r="AA58" s="76"/>
      <c r="AB58" s="113" t="str">
        <f>IF(C58="3111. Logements",ROUND(VLOOKUP(C58,'Informations générales'!$C$66:$E$70,3,FALSE)*(AL58/$AM$28)/12,0)*12,IF(C58="3112. Logements",ROUND(VLOOKUP(C58,'Informations générales'!$C$66:$E$70,3,FALSE)*(AL58/$AN$28)/12,0)*12,IF(C58="3113. Logements",ROUND(VLOOKUP(C58,'Informations générales'!$C$66:$E$70,3,FALSE)*(AL58/$AO$28)/12,0)*12,IF(C58="3114. Logements",ROUND(VLOOKUP(C58,'Informations générales'!$C$66:$E$70,3,FALSE)*(AL58/$AP$28)/12,0)*12,IF(C58="3115. Logements",ROUND(VLOOKUP(C58,'Informations générales'!$C$66:$E$70,3,FALSE)*(AL58/$AQ$28)/12,0)*12,"")))))</f>
        <v/>
      </c>
      <c r="AC58" s="114"/>
      <c r="AD58" s="113">
        <f t="shared" si="14"/>
        <v>0</v>
      </c>
      <c r="AE58" s="114"/>
      <c r="AF58" s="203" t="str">
        <f>IF(C58="3111. Logements",ROUND(VLOOKUP(C58,'Informations générales'!$C$66:$E$70,3,FALSE)*(AL58/$AM$28)/12,0)*12,IF(C58="3112. Logements",ROUND(VLOOKUP(C58,'Informations générales'!$C$66:$E$70,3,FALSE)*(AL58/$AN$28)/12,0)*12,IF(C58="3113. Logements",ROUND(VLOOKUP(C58,'Informations générales'!$C$66:$E$70,3,FALSE)*(AL58/$AO$28)/12,0)*12,IF(C58="3114. Logements",ROUND(VLOOKUP(C58,'Informations générales'!$C$66:$E$70,3,FALSE)*(AL58/$AP$28)/12,0)*12,IF(C58="3115. Logements",ROUND(VLOOKUP(C58,'Informations générales'!$C$66:$E$70,3,FALSE)*(AL58/$AQ$28)/12,0)*12,"")))))</f>
        <v/>
      </c>
      <c r="AG58" s="202"/>
      <c r="AH58" s="113" t="str">
        <f>IF(C58="3111. Logements",ROUND(VLOOKUP(C58,'Informations générales'!$C$66:$H$70,5,FALSE)*(AL58/$AM$28)/12,0)*12,IF(C58="3112. Logements",ROUND(VLOOKUP(C58,'Informations générales'!$C$66:$H$70,5,FALSE)*(AL58/$AN$28)/12,0)*12,IF(C58="3113. Logements",ROUND(VLOOKUP(C58,'Informations générales'!$C$66:$H$70,5,FALSE)*(AL58/$AO$28)/12,0)*12,IF(C58="3114. Logements",ROUND(VLOOKUP(C58,'Informations générales'!$C$66:$H$70,5,FALSE)*(AL58/$AP$28)/12,0)*12,IF(C58="3115. Logements",ROUND(VLOOKUP(C58,'Informations générales'!$C$66:$H$70,5,FALSE)*(AL58/$AQ$28)/12,0)*12,"")))))</f>
        <v/>
      </c>
      <c r="AI58" s="114"/>
      <c r="AJ58" s="114"/>
      <c r="AK58" s="76"/>
      <c r="AL58" s="58">
        <f t="shared" si="15"/>
        <v>0</v>
      </c>
      <c r="AM58" s="58"/>
      <c r="AN58" s="58"/>
      <c r="AO58" s="58"/>
      <c r="AP58" s="58"/>
      <c r="AQ58" s="58"/>
      <c r="AR58" s="58">
        <f t="shared" si="3"/>
        <v>0</v>
      </c>
      <c r="AS58" s="58">
        <f t="shared" si="4"/>
        <v>0</v>
      </c>
      <c r="AT58" s="58">
        <f t="shared" si="5"/>
        <v>0</v>
      </c>
      <c r="AU58" s="58">
        <f t="shared" si="6"/>
        <v>0</v>
      </c>
      <c r="AV58" s="58">
        <f t="shared" si="7"/>
        <v>0</v>
      </c>
      <c r="AW58" s="58">
        <f t="shared" si="8"/>
        <v>0</v>
      </c>
      <c r="AX58" s="58">
        <f t="shared" si="9"/>
        <v>0</v>
      </c>
      <c r="AY58" s="58">
        <f t="shared" si="16"/>
        <v>0</v>
      </c>
      <c r="AZ58" s="62">
        <f t="shared" si="10"/>
        <v>0</v>
      </c>
      <c r="BA58" s="63">
        <f t="shared" si="11"/>
        <v>0</v>
      </c>
      <c r="BB58" s="63">
        <f t="shared" si="12"/>
        <v>0</v>
      </c>
    </row>
    <row r="59" spans="3:54" s="17" customFormat="1" x14ac:dyDescent="0.25">
      <c r="C59" s="215"/>
      <c r="D59" s="216"/>
      <c r="E59" s="88"/>
      <c r="F59" s="217"/>
      <c r="G59" s="234"/>
      <c r="H59" s="218"/>
      <c r="I59" s="76"/>
      <c r="J59" s="77"/>
      <c r="K59" s="76"/>
      <c r="L59" s="78"/>
      <c r="M59" s="78"/>
      <c r="N59" s="76" t="s">
        <v>39</v>
      </c>
      <c r="O59" s="110"/>
      <c r="P59" s="152"/>
      <c r="Q59" s="111" t="str">
        <f>IFERROR(MIN(VLOOKUP(ROUNDDOWN(P59,0),'Aide calcul'!$B$2:$C$282,2,FALSE),O59+1),"")</f>
        <v/>
      </c>
      <c r="R59" s="112" t="str">
        <f t="shared" si="13"/>
        <v/>
      </c>
      <c r="S59" s="152"/>
      <c r="T59" s="152"/>
      <c r="U59" s="152"/>
      <c r="V59" s="152"/>
      <c r="W59" s="152"/>
      <c r="X59" s="152"/>
      <c r="Y59" s="152"/>
      <c r="Z59" s="76"/>
      <c r="AA59" s="76"/>
      <c r="AB59" s="113" t="str">
        <f>IF(C59="3111. Logements",ROUND(VLOOKUP(C59,'Informations générales'!$C$66:$E$70,3,FALSE)*(AL59/$AM$28)/12,0)*12,IF(C59="3112. Logements",ROUND(VLOOKUP(C59,'Informations générales'!$C$66:$E$70,3,FALSE)*(AL59/$AN$28)/12,0)*12,IF(C59="3113. Logements",ROUND(VLOOKUP(C59,'Informations générales'!$C$66:$E$70,3,FALSE)*(AL59/$AO$28)/12,0)*12,IF(C59="3114. Logements",ROUND(VLOOKUP(C59,'Informations générales'!$C$66:$E$70,3,FALSE)*(AL59/$AP$28)/12,0)*12,IF(C59="3115. Logements",ROUND(VLOOKUP(C59,'Informations générales'!$C$66:$E$70,3,FALSE)*(AL59/$AQ$28)/12,0)*12,"")))))</f>
        <v/>
      </c>
      <c r="AC59" s="114"/>
      <c r="AD59" s="113">
        <f t="shared" si="14"/>
        <v>0</v>
      </c>
      <c r="AE59" s="114"/>
      <c r="AF59" s="203" t="str">
        <f>IF(C59="3111. Logements",ROUND(VLOOKUP(C59,'Informations générales'!$C$66:$E$70,3,FALSE)*(AL59/$AM$28)/12,0)*12,IF(C59="3112. Logements",ROUND(VLOOKUP(C59,'Informations générales'!$C$66:$E$70,3,FALSE)*(AL59/$AN$28)/12,0)*12,IF(C59="3113. Logements",ROUND(VLOOKUP(C59,'Informations générales'!$C$66:$E$70,3,FALSE)*(AL59/$AO$28)/12,0)*12,IF(C59="3114. Logements",ROUND(VLOOKUP(C59,'Informations générales'!$C$66:$E$70,3,FALSE)*(AL59/$AP$28)/12,0)*12,IF(C59="3115. Logements",ROUND(VLOOKUP(C59,'Informations générales'!$C$66:$E$70,3,FALSE)*(AL59/$AQ$28)/12,0)*12,"")))))</f>
        <v/>
      </c>
      <c r="AG59" s="202"/>
      <c r="AH59" s="113" t="str">
        <f>IF(C59="3111. Logements",ROUND(VLOOKUP(C59,'Informations générales'!$C$66:$H$70,5,FALSE)*(AL59/$AM$28)/12,0)*12,IF(C59="3112. Logements",ROUND(VLOOKUP(C59,'Informations générales'!$C$66:$H$70,5,FALSE)*(AL59/$AN$28)/12,0)*12,IF(C59="3113. Logements",ROUND(VLOOKUP(C59,'Informations générales'!$C$66:$H$70,5,FALSE)*(AL59/$AO$28)/12,0)*12,IF(C59="3114. Logements",ROUND(VLOOKUP(C59,'Informations générales'!$C$66:$H$70,5,FALSE)*(AL59/$AP$28)/12,0)*12,IF(C59="3115. Logements",ROUND(VLOOKUP(C59,'Informations générales'!$C$66:$H$70,5,FALSE)*(AL59/$AQ$28)/12,0)*12,"")))))</f>
        <v/>
      </c>
      <c r="AI59" s="114"/>
      <c r="AJ59" s="114"/>
      <c r="AK59" s="76"/>
      <c r="AL59" s="58">
        <f t="shared" si="15"/>
        <v>0</v>
      </c>
      <c r="AM59" s="58"/>
      <c r="AN59" s="58"/>
      <c r="AO59" s="58"/>
      <c r="AP59" s="58"/>
      <c r="AQ59" s="58"/>
      <c r="AR59" s="58">
        <f t="shared" si="3"/>
        <v>0</v>
      </c>
      <c r="AS59" s="58">
        <f t="shared" si="4"/>
        <v>0</v>
      </c>
      <c r="AT59" s="58">
        <f t="shared" si="5"/>
        <v>0</v>
      </c>
      <c r="AU59" s="58">
        <f t="shared" si="6"/>
        <v>0</v>
      </c>
      <c r="AV59" s="58">
        <f t="shared" si="7"/>
        <v>0</v>
      </c>
      <c r="AW59" s="58">
        <f t="shared" si="8"/>
        <v>0</v>
      </c>
      <c r="AX59" s="58">
        <f t="shared" si="9"/>
        <v>0</v>
      </c>
      <c r="AY59" s="58">
        <f t="shared" si="16"/>
        <v>0</v>
      </c>
      <c r="AZ59" s="62">
        <f t="shared" si="10"/>
        <v>0</v>
      </c>
      <c r="BA59" s="63">
        <f t="shared" si="11"/>
        <v>0</v>
      </c>
      <c r="BB59" s="63">
        <f t="shared" si="12"/>
        <v>0</v>
      </c>
    </row>
    <row r="60" spans="3:54" s="17" customFormat="1" x14ac:dyDescent="0.25">
      <c r="C60" s="215"/>
      <c r="D60" s="216"/>
      <c r="E60" s="88"/>
      <c r="F60" s="217"/>
      <c r="G60" s="234"/>
      <c r="H60" s="218"/>
      <c r="I60" s="76"/>
      <c r="J60" s="77"/>
      <c r="K60" s="76"/>
      <c r="L60" s="78"/>
      <c r="M60" s="78"/>
      <c r="N60" s="76" t="s">
        <v>39</v>
      </c>
      <c r="O60" s="110"/>
      <c r="P60" s="152"/>
      <c r="Q60" s="111" t="str">
        <f>IFERROR(MIN(VLOOKUP(ROUNDDOWN(P60,0),'Aide calcul'!$B$2:$C$282,2,FALSE),O60+1),"")</f>
        <v/>
      </c>
      <c r="R60" s="112" t="str">
        <f t="shared" si="13"/>
        <v/>
      </c>
      <c r="S60" s="152"/>
      <c r="T60" s="152"/>
      <c r="U60" s="152"/>
      <c r="V60" s="152"/>
      <c r="W60" s="152"/>
      <c r="X60" s="152"/>
      <c r="Y60" s="152"/>
      <c r="Z60" s="76"/>
      <c r="AA60" s="76"/>
      <c r="AB60" s="113" t="str">
        <f>IF(C60="3111. Logements",ROUND(VLOOKUP(C60,'Informations générales'!$C$66:$E$70,3,FALSE)*(AL60/$AM$28)/12,0)*12,IF(C60="3112. Logements",ROUND(VLOOKUP(C60,'Informations générales'!$C$66:$E$70,3,FALSE)*(AL60/$AN$28)/12,0)*12,IF(C60="3113. Logements",ROUND(VLOOKUP(C60,'Informations générales'!$C$66:$E$70,3,FALSE)*(AL60/$AO$28)/12,0)*12,IF(C60="3114. Logements",ROUND(VLOOKUP(C60,'Informations générales'!$C$66:$E$70,3,FALSE)*(AL60/$AP$28)/12,0)*12,IF(C60="3115. Logements",ROUND(VLOOKUP(C60,'Informations générales'!$C$66:$E$70,3,FALSE)*(AL60/$AQ$28)/12,0)*12,"")))))</f>
        <v/>
      </c>
      <c r="AC60" s="114"/>
      <c r="AD60" s="113">
        <f t="shared" si="14"/>
        <v>0</v>
      </c>
      <c r="AE60" s="114"/>
      <c r="AF60" s="203" t="str">
        <f>IF(C60="3111. Logements",ROUND(VLOOKUP(C60,'Informations générales'!$C$66:$E$70,3,FALSE)*(AL60/$AM$28)/12,0)*12,IF(C60="3112. Logements",ROUND(VLOOKUP(C60,'Informations générales'!$C$66:$E$70,3,FALSE)*(AL60/$AN$28)/12,0)*12,IF(C60="3113. Logements",ROUND(VLOOKUP(C60,'Informations générales'!$C$66:$E$70,3,FALSE)*(AL60/$AO$28)/12,0)*12,IF(C60="3114. Logements",ROUND(VLOOKUP(C60,'Informations générales'!$C$66:$E$70,3,FALSE)*(AL60/$AP$28)/12,0)*12,IF(C60="3115. Logements",ROUND(VLOOKUP(C60,'Informations générales'!$C$66:$E$70,3,FALSE)*(AL60/$AQ$28)/12,0)*12,"")))))</f>
        <v/>
      </c>
      <c r="AG60" s="202"/>
      <c r="AH60" s="113" t="str">
        <f>IF(C60="3111. Logements",ROUND(VLOOKUP(C60,'Informations générales'!$C$66:$H$70,5,FALSE)*(AL60/$AM$28)/12,0)*12,IF(C60="3112. Logements",ROUND(VLOOKUP(C60,'Informations générales'!$C$66:$H$70,5,FALSE)*(AL60/$AN$28)/12,0)*12,IF(C60="3113. Logements",ROUND(VLOOKUP(C60,'Informations générales'!$C$66:$H$70,5,FALSE)*(AL60/$AO$28)/12,0)*12,IF(C60="3114. Logements",ROUND(VLOOKUP(C60,'Informations générales'!$C$66:$H$70,5,FALSE)*(AL60/$AP$28)/12,0)*12,IF(C60="3115. Logements",ROUND(VLOOKUP(C60,'Informations générales'!$C$66:$H$70,5,FALSE)*(AL60/$AQ$28)/12,0)*12,"")))))</f>
        <v/>
      </c>
      <c r="AI60" s="114"/>
      <c r="AJ60" s="114"/>
      <c r="AK60" s="76"/>
      <c r="AL60" s="58">
        <f t="shared" si="15"/>
        <v>0</v>
      </c>
      <c r="AM60" s="58"/>
      <c r="AN60" s="58"/>
      <c r="AO60" s="58"/>
      <c r="AP60" s="58"/>
      <c r="AQ60" s="58"/>
      <c r="AR60" s="58">
        <f t="shared" si="3"/>
        <v>0</v>
      </c>
      <c r="AS60" s="58">
        <f t="shared" si="4"/>
        <v>0</v>
      </c>
      <c r="AT60" s="58">
        <f t="shared" si="5"/>
        <v>0</v>
      </c>
      <c r="AU60" s="58">
        <f t="shared" si="6"/>
        <v>0</v>
      </c>
      <c r="AV60" s="58">
        <f t="shared" si="7"/>
        <v>0</v>
      </c>
      <c r="AW60" s="58">
        <f t="shared" si="8"/>
        <v>0</v>
      </c>
      <c r="AX60" s="58">
        <f t="shared" si="9"/>
        <v>0</v>
      </c>
      <c r="AY60" s="58">
        <f t="shared" si="16"/>
        <v>0</v>
      </c>
      <c r="AZ60" s="62">
        <f t="shared" si="10"/>
        <v>0</v>
      </c>
      <c r="BA60" s="63">
        <f t="shared" si="11"/>
        <v>0</v>
      </c>
      <c r="BB60" s="63">
        <f t="shared" si="12"/>
        <v>0</v>
      </c>
    </row>
    <row r="61" spans="3:54" s="17" customFormat="1" x14ac:dyDescent="0.25">
      <c r="C61" s="215"/>
      <c r="D61" s="216"/>
      <c r="E61" s="88"/>
      <c r="F61" s="217"/>
      <c r="G61" s="234"/>
      <c r="H61" s="218"/>
      <c r="I61" s="76"/>
      <c r="J61" s="77"/>
      <c r="K61" s="76"/>
      <c r="L61" s="78"/>
      <c r="M61" s="78"/>
      <c r="N61" s="76" t="s">
        <v>39</v>
      </c>
      <c r="O61" s="110"/>
      <c r="P61" s="152"/>
      <c r="Q61" s="111" t="str">
        <f>IFERROR(MIN(VLOOKUP(ROUNDDOWN(P61,0),'Aide calcul'!$B$2:$C$282,2,FALSE),O61+1),"")</f>
        <v/>
      </c>
      <c r="R61" s="112" t="str">
        <f t="shared" si="13"/>
        <v/>
      </c>
      <c r="S61" s="152"/>
      <c r="T61" s="152"/>
      <c r="U61" s="152"/>
      <c r="V61" s="152"/>
      <c r="W61" s="152"/>
      <c r="X61" s="152"/>
      <c r="Y61" s="152"/>
      <c r="Z61" s="76"/>
      <c r="AA61" s="76"/>
      <c r="AB61" s="113" t="str">
        <f>IF(C61="3111. Logements",ROUND(VLOOKUP(C61,'Informations générales'!$C$66:$E$70,3,FALSE)*(AL61/$AM$28)/12,0)*12,IF(C61="3112. Logements",ROUND(VLOOKUP(C61,'Informations générales'!$C$66:$E$70,3,FALSE)*(AL61/$AN$28)/12,0)*12,IF(C61="3113. Logements",ROUND(VLOOKUP(C61,'Informations générales'!$C$66:$E$70,3,FALSE)*(AL61/$AO$28)/12,0)*12,IF(C61="3114. Logements",ROUND(VLOOKUP(C61,'Informations générales'!$C$66:$E$70,3,FALSE)*(AL61/$AP$28)/12,0)*12,IF(C61="3115. Logements",ROUND(VLOOKUP(C61,'Informations générales'!$C$66:$E$70,3,FALSE)*(AL61/$AQ$28)/12,0)*12,"")))))</f>
        <v/>
      </c>
      <c r="AC61" s="114"/>
      <c r="AD61" s="113">
        <f t="shared" si="14"/>
        <v>0</v>
      </c>
      <c r="AE61" s="114"/>
      <c r="AF61" s="203" t="str">
        <f>IF(C61="3111. Logements",ROUND(VLOOKUP(C61,'Informations générales'!$C$66:$E$70,3,FALSE)*(AL61/$AM$28)/12,0)*12,IF(C61="3112. Logements",ROUND(VLOOKUP(C61,'Informations générales'!$C$66:$E$70,3,FALSE)*(AL61/$AN$28)/12,0)*12,IF(C61="3113. Logements",ROUND(VLOOKUP(C61,'Informations générales'!$C$66:$E$70,3,FALSE)*(AL61/$AO$28)/12,0)*12,IF(C61="3114. Logements",ROUND(VLOOKUP(C61,'Informations générales'!$C$66:$E$70,3,FALSE)*(AL61/$AP$28)/12,0)*12,IF(C61="3115. Logements",ROUND(VLOOKUP(C61,'Informations générales'!$C$66:$E$70,3,FALSE)*(AL61/$AQ$28)/12,0)*12,"")))))</f>
        <v/>
      </c>
      <c r="AG61" s="202"/>
      <c r="AH61" s="113" t="str">
        <f>IF(C61="3111. Logements",ROUND(VLOOKUP(C61,'Informations générales'!$C$66:$H$70,5,FALSE)*(AL61/$AM$28)/12,0)*12,IF(C61="3112. Logements",ROUND(VLOOKUP(C61,'Informations générales'!$C$66:$H$70,5,FALSE)*(AL61/$AN$28)/12,0)*12,IF(C61="3113. Logements",ROUND(VLOOKUP(C61,'Informations générales'!$C$66:$H$70,5,FALSE)*(AL61/$AO$28)/12,0)*12,IF(C61="3114. Logements",ROUND(VLOOKUP(C61,'Informations générales'!$C$66:$H$70,5,FALSE)*(AL61/$AP$28)/12,0)*12,IF(C61="3115. Logements",ROUND(VLOOKUP(C61,'Informations générales'!$C$66:$H$70,5,FALSE)*(AL61/$AQ$28)/12,0)*12,"")))))</f>
        <v/>
      </c>
      <c r="AI61" s="114"/>
      <c r="AJ61" s="114"/>
      <c r="AK61" s="76"/>
      <c r="AL61" s="58">
        <f t="shared" si="15"/>
        <v>0</v>
      </c>
      <c r="AM61" s="58"/>
      <c r="AN61" s="58"/>
      <c r="AO61" s="58"/>
      <c r="AP61" s="58"/>
      <c r="AQ61" s="58"/>
      <c r="AR61" s="58">
        <f t="shared" si="3"/>
        <v>0</v>
      </c>
      <c r="AS61" s="58">
        <f t="shared" si="4"/>
        <v>0</v>
      </c>
      <c r="AT61" s="58">
        <f t="shared" si="5"/>
        <v>0</v>
      </c>
      <c r="AU61" s="58">
        <f t="shared" si="6"/>
        <v>0</v>
      </c>
      <c r="AV61" s="58">
        <f t="shared" si="7"/>
        <v>0</v>
      </c>
      <c r="AW61" s="58">
        <f t="shared" si="8"/>
        <v>0</v>
      </c>
      <c r="AX61" s="58">
        <f t="shared" si="9"/>
        <v>0</v>
      </c>
      <c r="AY61" s="58">
        <f t="shared" si="16"/>
        <v>0</v>
      </c>
      <c r="AZ61" s="62">
        <f t="shared" si="10"/>
        <v>0</v>
      </c>
      <c r="BA61" s="63">
        <f t="shared" si="11"/>
        <v>0</v>
      </c>
      <c r="BB61" s="63">
        <f t="shared" si="12"/>
        <v>0</v>
      </c>
    </row>
    <row r="62" spans="3:54" s="17" customFormat="1" x14ac:dyDescent="0.25">
      <c r="C62" s="215"/>
      <c r="D62" s="216"/>
      <c r="E62" s="88"/>
      <c r="F62" s="217"/>
      <c r="G62" s="234"/>
      <c r="H62" s="218"/>
      <c r="I62" s="76"/>
      <c r="J62" s="77"/>
      <c r="K62" s="76"/>
      <c r="L62" s="78"/>
      <c r="M62" s="78"/>
      <c r="N62" s="76" t="s">
        <v>39</v>
      </c>
      <c r="O62" s="110"/>
      <c r="P62" s="152"/>
      <c r="Q62" s="111" t="str">
        <f>IFERROR(MIN(VLOOKUP(ROUNDDOWN(P62,0),'Aide calcul'!$B$2:$C$282,2,FALSE),O62+1),"")</f>
        <v/>
      </c>
      <c r="R62" s="112" t="str">
        <f t="shared" si="13"/>
        <v/>
      </c>
      <c r="S62" s="152"/>
      <c r="T62" s="152"/>
      <c r="U62" s="152"/>
      <c r="V62" s="152"/>
      <c r="W62" s="152"/>
      <c r="X62" s="152"/>
      <c r="Y62" s="152"/>
      <c r="Z62" s="76"/>
      <c r="AA62" s="76"/>
      <c r="AB62" s="113" t="str">
        <f>IF(C62="3111. Logements",ROUND(VLOOKUP(C62,'Informations générales'!$C$66:$E$70,3,FALSE)*(AL62/$AM$28)/12,0)*12,IF(C62="3112. Logements",ROUND(VLOOKUP(C62,'Informations générales'!$C$66:$E$70,3,FALSE)*(AL62/$AN$28)/12,0)*12,IF(C62="3113. Logements",ROUND(VLOOKUP(C62,'Informations générales'!$C$66:$E$70,3,FALSE)*(AL62/$AO$28)/12,0)*12,IF(C62="3114. Logements",ROUND(VLOOKUP(C62,'Informations générales'!$C$66:$E$70,3,FALSE)*(AL62/$AP$28)/12,0)*12,IF(C62="3115. Logements",ROUND(VLOOKUP(C62,'Informations générales'!$C$66:$E$70,3,FALSE)*(AL62/$AQ$28)/12,0)*12,"")))))</f>
        <v/>
      </c>
      <c r="AC62" s="114"/>
      <c r="AD62" s="113">
        <f t="shared" si="14"/>
        <v>0</v>
      </c>
      <c r="AE62" s="114"/>
      <c r="AF62" s="203" t="str">
        <f>IF(C62="3111. Logements",ROUND(VLOOKUP(C62,'Informations générales'!$C$66:$E$70,3,FALSE)*(AL62/$AM$28)/12,0)*12,IF(C62="3112. Logements",ROUND(VLOOKUP(C62,'Informations générales'!$C$66:$E$70,3,FALSE)*(AL62/$AN$28)/12,0)*12,IF(C62="3113. Logements",ROUND(VLOOKUP(C62,'Informations générales'!$C$66:$E$70,3,FALSE)*(AL62/$AO$28)/12,0)*12,IF(C62="3114. Logements",ROUND(VLOOKUP(C62,'Informations générales'!$C$66:$E$70,3,FALSE)*(AL62/$AP$28)/12,0)*12,IF(C62="3115. Logements",ROUND(VLOOKUP(C62,'Informations générales'!$C$66:$E$70,3,FALSE)*(AL62/$AQ$28)/12,0)*12,"")))))</f>
        <v/>
      </c>
      <c r="AG62" s="202"/>
      <c r="AH62" s="113" t="str">
        <f>IF(C62="3111. Logements",ROUND(VLOOKUP(C62,'Informations générales'!$C$66:$H$70,5,FALSE)*(AL62/$AM$28)/12,0)*12,IF(C62="3112. Logements",ROUND(VLOOKUP(C62,'Informations générales'!$C$66:$H$70,5,FALSE)*(AL62/$AN$28)/12,0)*12,IF(C62="3113. Logements",ROUND(VLOOKUP(C62,'Informations générales'!$C$66:$H$70,5,FALSE)*(AL62/$AO$28)/12,0)*12,IF(C62="3114. Logements",ROUND(VLOOKUP(C62,'Informations générales'!$C$66:$H$70,5,FALSE)*(AL62/$AP$28)/12,0)*12,IF(C62="3115. Logements",ROUND(VLOOKUP(C62,'Informations générales'!$C$66:$H$70,5,FALSE)*(AL62/$AQ$28)/12,0)*12,"")))))</f>
        <v/>
      </c>
      <c r="AI62" s="114"/>
      <c r="AJ62" s="114"/>
      <c r="AK62" s="76"/>
      <c r="AL62" s="58">
        <f t="shared" si="15"/>
        <v>0</v>
      </c>
      <c r="AM62" s="58"/>
      <c r="AN62" s="58"/>
      <c r="AO62" s="58"/>
      <c r="AP62" s="58"/>
      <c r="AQ62" s="58"/>
      <c r="AR62" s="58">
        <f t="shared" si="3"/>
        <v>0</v>
      </c>
      <c r="AS62" s="58">
        <f t="shared" si="4"/>
        <v>0</v>
      </c>
      <c r="AT62" s="58">
        <f t="shared" si="5"/>
        <v>0</v>
      </c>
      <c r="AU62" s="58">
        <f t="shared" si="6"/>
        <v>0</v>
      </c>
      <c r="AV62" s="58">
        <f t="shared" si="7"/>
        <v>0</v>
      </c>
      <c r="AW62" s="58">
        <f t="shared" si="8"/>
        <v>0</v>
      </c>
      <c r="AX62" s="58">
        <f t="shared" si="9"/>
        <v>0</v>
      </c>
      <c r="AY62" s="58">
        <f t="shared" si="16"/>
        <v>0</v>
      </c>
      <c r="AZ62" s="62">
        <f t="shared" si="10"/>
        <v>0</v>
      </c>
      <c r="BA62" s="63">
        <f t="shared" si="11"/>
        <v>0</v>
      </c>
      <c r="BB62" s="63">
        <f t="shared" si="12"/>
        <v>0</v>
      </c>
    </row>
    <row r="63" spans="3:54" s="17" customFormat="1" x14ac:dyDescent="0.25">
      <c r="C63" s="215"/>
      <c r="D63" s="216"/>
      <c r="E63" s="88"/>
      <c r="F63" s="217"/>
      <c r="G63" s="234"/>
      <c r="H63" s="218"/>
      <c r="I63" s="76"/>
      <c r="J63" s="77"/>
      <c r="K63" s="76"/>
      <c r="L63" s="78"/>
      <c r="M63" s="78"/>
      <c r="N63" s="76" t="s">
        <v>39</v>
      </c>
      <c r="O63" s="110"/>
      <c r="P63" s="152"/>
      <c r="Q63" s="111" t="str">
        <f>IFERROR(MIN(VLOOKUP(ROUNDDOWN(P63,0),'Aide calcul'!$B$2:$C$282,2,FALSE),O63+1),"")</f>
        <v/>
      </c>
      <c r="R63" s="112" t="str">
        <f t="shared" si="13"/>
        <v/>
      </c>
      <c r="S63" s="152"/>
      <c r="T63" s="152"/>
      <c r="U63" s="152"/>
      <c r="V63" s="152"/>
      <c r="W63" s="152"/>
      <c r="X63" s="152"/>
      <c r="Y63" s="152"/>
      <c r="Z63" s="76"/>
      <c r="AA63" s="76"/>
      <c r="AB63" s="113" t="str">
        <f>IF(C63="3111. Logements",ROUND(VLOOKUP(C63,'Informations générales'!$C$66:$E$70,3,FALSE)*(AL63/$AM$28)/12,0)*12,IF(C63="3112. Logements",ROUND(VLOOKUP(C63,'Informations générales'!$C$66:$E$70,3,FALSE)*(AL63/$AN$28)/12,0)*12,IF(C63="3113. Logements",ROUND(VLOOKUP(C63,'Informations générales'!$C$66:$E$70,3,FALSE)*(AL63/$AO$28)/12,0)*12,IF(C63="3114. Logements",ROUND(VLOOKUP(C63,'Informations générales'!$C$66:$E$70,3,FALSE)*(AL63/$AP$28)/12,0)*12,IF(C63="3115. Logements",ROUND(VLOOKUP(C63,'Informations générales'!$C$66:$E$70,3,FALSE)*(AL63/$AQ$28)/12,0)*12,"")))))</f>
        <v/>
      </c>
      <c r="AC63" s="114"/>
      <c r="AD63" s="113">
        <f t="shared" si="14"/>
        <v>0</v>
      </c>
      <c r="AE63" s="114"/>
      <c r="AF63" s="203" t="str">
        <f>IF(C63="3111. Logements",ROUND(VLOOKUP(C63,'Informations générales'!$C$66:$E$70,3,FALSE)*(AL63/$AM$28)/12,0)*12,IF(C63="3112. Logements",ROUND(VLOOKUP(C63,'Informations générales'!$C$66:$E$70,3,FALSE)*(AL63/$AN$28)/12,0)*12,IF(C63="3113. Logements",ROUND(VLOOKUP(C63,'Informations générales'!$C$66:$E$70,3,FALSE)*(AL63/$AO$28)/12,0)*12,IF(C63="3114. Logements",ROUND(VLOOKUP(C63,'Informations générales'!$C$66:$E$70,3,FALSE)*(AL63/$AP$28)/12,0)*12,IF(C63="3115. Logements",ROUND(VLOOKUP(C63,'Informations générales'!$C$66:$E$70,3,FALSE)*(AL63/$AQ$28)/12,0)*12,"")))))</f>
        <v/>
      </c>
      <c r="AG63" s="202"/>
      <c r="AH63" s="113" t="str">
        <f>IF(C63="3111. Logements",ROUND(VLOOKUP(C63,'Informations générales'!$C$66:$H$70,5,FALSE)*(AL63/$AM$28)/12,0)*12,IF(C63="3112. Logements",ROUND(VLOOKUP(C63,'Informations générales'!$C$66:$H$70,5,FALSE)*(AL63/$AN$28)/12,0)*12,IF(C63="3113. Logements",ROUND(VLOOKUP(C63,'Informations générales'!$C$66:$H$70,5,FALSE)*(AL63/$AO$28)/12,0)*12,IF(C63="3114. Logements",ROUND(VLOOKUP(C63,'Informations générales'!$C$66:$H$70,5,FALSE)*(AL63/$AP$28)/12,0)*12,IF(C63="3115. Logements",ROUND(VLOOKUP(C63,'Informations générales'!$C$66:$H$70,5,FALSE)*(AL63/$AQ$28)/12,0)*12,"")))))</f>
        <v/>
      </c>
      <c r="AI63" s="114"/>
      <c r="AJ63" s="114"/>
      <c r="AK63" s="76"/>
      <c r="AL63" s="58">
        <f t="shared" si="15"/>
        <v>0</v>
      </c>
      <c r="AM63" s="58"/>
      <c r="AN63" s="58"/>
      <c r="AO63" s="58"/>
      <c r="AP63" s="58"/>
      <c r="AQ63" s="58"/>
      <c r="AR63" s="58">
        <f t="shared" si="3"/>
        <v>0</v>
      </c>
      <c r="AS63" s="58">
        <f t="shared" si="4"/>
        <v>0</v>
      </c>
      <c r="AT63" s="58">
        <f t="shared" si="5"/>
        <v>0</v>
      </c>
      <c r="AU63" s="58">
        <f t="shared" si="6"/>
        <v>0</v>
      </c>
      <c r="AV63" s="58">
        <f t="shared" si="7"/>
        <v>0</v>
      </c>
      <c r="AW63" s="58">
        <f t="shared" si="8"/>
        <v>0</v>
      </c>
      <c r="AX63" s="58">
        <f t="shared" si="9"/>
        <v>0</v>
      </c>
      <c r="AY63" s="58">
        <f t="shared" si="16"/>
        <v>0</v>
      </c>
      <c r="AZ63" s="62">
        <f t="shared" si="10"/>
        <v>0</v>
      </c>
      <c r="BA63" s="63">
        <f t="shared" si="11"/>
        <v>0</v>
      </c>
      <c r="BB63" s="63">
        <f t="shared" si="12"/>
        <v>0</v>
      </c>
    </row>
    <row r="64" spans="3:54" s="17" customFormat="1" x14ac:dyDescent="0.25">
      <c r="C64" s="215"/>
      <c r="D64" s="216"/>
      <c r="E64" s="88"/>
      <c r="F64" s="217"/>
      <c r="G64" s="234"/>
      <c r="H64" s="218"/>
      <c r="I64" s="76"/>
      <c r="J64" s="77"/>
      <c r="K64" s="76"/>
      <c r="L64" s="78"/>
      <c r="M64" s="78"/>
      <c r="N64" s="76" t="s">
        <v>39</v>
      </c>
      <c r="O64" s="110"/>
      <c r="P64" s="152"/>
      <c r="Q64" s="111" t="str">
        <f>IFERROR(MIN(VLOOKUP(ROUNDDOWN(P64,0),'Aide calcul'!$B$2:$C$282,2,FALSE),O64+1),"")</f>
        <v/>
      </c>
      <c r="R64" s="112" t="str">
        <f t="shared" si="13"/>
        <v/>
      </c>
      <c r="S64" s="152"/>
      <c r="T64" s="152"/>
      <c r="U64" s="152"/>
      <c r="V64" s="152"/>
      <c r="W64" s="152"/>
      <c r="X64" s="152"/>
      <c r="Y64" s="152"/>
      <c r="Z64" s="76"/>
      <c r="AA64" s="76"/>
      <c r="AB64" s="113" t="str">
        <f>IF(C64="3111. Logements",ROUND(VLOOKUP(C64,'Informations générales'!$C$66:$E$70,3,FALSE)*(AL64/$AM$28)/12,0)*12,IF(C64="3112. Logements",ROUND(VLOOKUP(C64,'Informations générales'!$C$66:$E$70,3,FALSE)*(AL64/$AN$28)/12,0)*12,IF(C64="3113. Logements",ROUND(VLOOKUP(C64,'Informations générales'!$C$66:$E$70,3,FALSE)*(AL64/$AO$28)/12,0)*12,IF(C64="3114. Logements",ROUND(VLOOKUP(C64,'Informations générales'!$C$66:$E$70,3,FALSE)*(AL64/$AP$28)/12,0)*12,IF(C64="3115. Logements",ROUND(VLOOKUP(C64,'Informations générales'!$C$66:$E$70,3,FALSE)*(AL64/$AQ$28)/12,0)*12,"")))))</f>
        <v/>
      </c>
      <c r="AC64" s="114"/>
      <c r="AD64" s="113">
        <f t="shared" si="14"/>
        <v>0</v>
      </c>
      <c r="AE64" s="114"/>
      <c r="AF64" s="203" t="str">
        <f>IF(C64="3111. Logements",ROUND(VLOOKUP(C64,'Informations générales'!$C$66:$E$70,3,FALSE)*(AL64/$AM$28)/12,0)*12,IF(C64="3112. Logements",ROUND(VLOOKUP(C64,'Informations générales'!$C$66:$E$70,3,FALSE)*(AL64/$AN$28)/12,0)*12,IF(C64="3113. Logements",ROUND(VLOOKUP(C64,'Informations générales'!$C$66:$E$70,3,FALSE)*(AL64/$AO$28)/12,0)*12,IF(C64="3114. Logements",ROUND(VLOOKUP(C64,'Informations générales'!$C$66:$E$70,3,FALSE)*(AL64/$AP$28)/12,0)*12,IF(C64="3115. Logements",ROUND(VLOOKUP(C64,'Informations générales'!$C$66:$E$70,3,FALSE)*(AL64/$AQ$28)/12,0)*12,"")))))</f>
        <v/>
      </c>
      <c r="AG64" s="202"/>
      <c r="AH64" s="113" t="str">
        <f>IF(C64="3111. Logements",ROUND(VLOOKUP(C64,'Informations générales'!$C$66:$H$70,5,FALSE)*(AL64/$AM$28)/12,0)*12,IF(C64="3112. Logements",ROUND(VLOOKUP(C64,'Informations générales'!$C$66:$H$70,5,FALSE)*(AL64/$AN$28)/12,0)*12,IF(C64="3113. Logements",ROUND(VLOOKUP(C64,'Informations générales'!$C$66:$H$70,5,FALSE)*(AL64/$AO$28)/12,0)*12,IF(C64="3114. Logements",ROUND(VLOOKUP(C64,'Informations générales'!$C$66:$H$70,5,FALSE)*(AL64/$AP$28)/12,0)*12,IF(C64="3115. Logements",ROUND(VLOOKUP(C64,'Informations générales'!$C$66:$H$70,5,FALSE)*(AL64/$AQ$28)/12,0)*12,"")))))</f>
        <v/>
      </c>
      <c r="AI64" s="114"/>
      <c r="AJ64" s="114"/>
      <c r="AK64" s="76"/>
      <c r="AL64" s="58">
        <f t="shared" si="15"/>
        <v>0</v>
      </c>
      <c r="AM64" s="58"/>
      <c r="AN64" s="58"/>
      <c r="AO64" s="58"/>
      <c r="AP64" s="58"/>
      <c r="AQ64" s="58"/>
      <c r="AR64" s="58">
        <f t="shared" si="3"/>
        <v>0</v>
      </c>
      <c r="AS64" s="58">
        <f t="shared" si="4"/>
        <v>0</v>
      </c>
      <c r="AT64" s="58">
        <f t="shared" si="5"/>
        <v>0</v>
      </c>
      <c r="AU64" s="58">
        <f t="shared" si="6"/>
        <v>0</v>
      </c>
      <c r="AV64" s="58">
        <f t="shared" si="7"/>
        <v>0</v>
      </c>
      <c r="AW64" s="58">
        <f t="shared" si="8"/>
        <v>0</v>
      </c>
      <c r="AX64" s="58">
        <f t="shared" si="9"/>
        <v>0</v>
      </c>
      <c r="AY64" s="58">
        <f t="shared" si="16"/>
        <v>0</v>
      </c>
      <c r="AZ64" s="62">
        <f t="shared" si="10"/>
        <v>0</v>
      </c>
      <c r="BA64" s="63">
        <f t="shared" si="11"/>
        <v>0</v>
      </c>
      <c r="BB64" s="63">
        <f t="shared" si="12"/>
        <v>0</v>
      </c>
    </row>
    <row r="65" spans="3:54" s="17" customFormat="1" x14ac:dyDescent="0.25">
      <c r="C65" s="215"/>
      <c r="D65" s="216"/>
      <c r="E65" s="88"/>
      <c r="F65" s="217"/>
      <c r="G65" s="234"/>
      <c r="H65" s="218"/>
      <c r="I65" s="76"/>
      <c r="J65" s="77"/>
      <c r="K65" s="76"/>
      <c r="L65" s="78"/>
      <c r="M65" s="78"/>
      <c r="N65" s="76" t="s">
        <v>39</v>
      </c>
      <c r="O65" s="110"/>
      <c r="P65" s="152"/>
      <c r="Q65" s="111" t="str">
        <f>IFERROR(MIN(VLOOKUP(ROUNDDOWN(P65,0),'Aide calcul'!$B$2:$C$282,2,FALSE),O65+1),"")</f>
        <v/>
      </c>
      <c r="R65" s="112" t="str">
        <f t="shared" si="13"/>
        <v/>
      </c>
      <c r="S65" s="152"/>
      <c r="T65" s="152"/>
      <c r="U65" s="152"/>
      <c r="V65" s="152"/>
      <c r="W65" s="152"/>
      <c r="X65" s="152"/>
      <c r="Y65" s="152"/>
      <c r="Z65" s="76"/>
      <c r="AA65" s="76"/>
      <c r="AB65" s="113" t="str">
        <f>IF(C65="3111. Logements",ROUND(VLOOKUP(C65,'Informations générales'!$C$66:$E$70,3,FALSE)*(AL65/$AM$28)/12,0)*12,IF(C65="3112. Logements",ROUND(VLOOKUP(C65,'Informations générales'!$C$66:$E$70,3,FALSE)*(AL65/$AN$28)/12,0)*12,IF(C65="3113. Logements",ROUND(VLOOKUP(C65,'Informations générales'!$C$66:$E$70,3,FALSE)*(AL65/$AO$28)/12,0)*12,IF(C65="3114. Logements",ROUND(VLOOKUP(C65,'Informations générales'!$C$66:$E$70,3,FALSE)*(AL65/$AP$28)/12,0)*12,IF(C65="3115. Logements",ROUND(VLOOKUP(C65,'Informations générales'!$C$66:$E$70,3,FALSE)*(AL65/$AQ$28)/12,0)*12,"")))))</f>
        <v/>
      </c>
      <c r="AC65" s="114"/>
      <c r="AD65" s="113">
        <f t="shared" si="14"/>
        <v>0</v>
      </c>
      <c r="AE65" s="114"/>
      <c r="AF65" s="203" t="str">
        <f>IF(C65="3111. Logements",ROUND(VLOOKUP(C65,'Informations générales'!$C$66:$E$70,3,FALSE)*(AL65/$AM$28)/12,0)*12,IF(C65="3112. Logements",ROUND(VLOOKUP(C65,'Informations générales'!$C$66:$E$70,3,FALSE)*(AL65/$AN$28)/12,0)*12,IF(C65="3113. Logements",ROUND(VLOOKUP(C65,'Informations générales'!$C$66:$E$70,3,FALSE)*(AL65/$AO$28)/12,0)*12,IF(C65="3114. Logements",ROUND(VLOOKUP(C65,'Informations générales'!$C$66:$E$70,3,FALSE)*(AL65/$AP$28)/12,0)*12,IF(C65="3115. Logements",ROUND(VLOOKUP(C65,'Informations générales'!$C$66:$E$70,3,FALSE)*(AL65/$AQ$28)/12,0)*12,"")))))</f>
        <v/>
      </c>
      <c r="AG65" s="202"/>
      <c r="AH65" s="113" t="str">
        <f>IF(C65="3111. Logements",ROUND(VLOOKUP(C65,'Informations générales'!$C$66:$H$70,5,FALSE)*(AL65/$AM$28)/12,0)*12,IF(C65="3112. Logements",ROUND(VLOOKUP(C65,'Informations générales'!$C$66:$H$70,5,FALSE)*(AL65/$AN$28)/12,0)*12,IF(C65="3113. Logements",ROUND(VLOOKUP(C65,'Informations générales'!$C$66:$H$70,5,FALSE)*(AL65/$AO$28)/12,0)*12,IF(C65="3114. Logements",ROUND(VLOOKUP(C65,'Informations générales'!$C$66:$H$70,5,FALSE)*(AL65/$AP$28)/12,0)*12,IF(C65="3115. Logements",ROUND(VLOOKUP(C65,'Informations générales'!$C$66:$H$70,5,FALSE)*(AL65/$AQ$28)/12,0)*12,"")))))</f>
        <v/>
      </c>
      <c r="AI65" s="114"/>
      <c r="AJ65" s="114"/>
      <c r="AK65" s="76"/>
      <c r="AL65" s="58">
        <f t="shared" si="15"/>
        <v>0</v>
      </c>
      <c r="AM65" s="58"/>
      <c r="AN65" s="58"/>
      <c r="AO65" s="58"/>
      <c r="AP65" s="58"/>
      <c r="AQ65" s="58"/>
      <c r="AR65" s="58">
        <f t="shared" si="3"/>
        <v>0</v>
      </c>
      <c r="AS65" s="58">
        <f t="shared" si="4"/>
        <v>0</v>
      </c>
      <c r="AT65" s="58">
        <f t="shared" si="5"/>
        <v>0</v>
      </c>
      <c r="AU65" s="58">
        <f t="shared" si="6"/>
        <v>0</v>
      </c>
      <c r="AV65" s="58">
        <f t="shared" si="7"/>
        <v>0</v>
      </c>
      <c r="AW65" s="58">
        <f t="shared" si="8"/>
        <v>0</v>
      </c>
      <c r="AX65" s="58">
        <f t="shared" si="9"/>
        <v>0</v>
      </c>
      <c r="AY65" s="58">
        <f t="shared" si="16"/>
        <v>0</v>
      </c>
      <c r="AZ65" s="62">
        <f t="shared" si="10"/>
        <v>0</v>
      </c>
      <c r="BA65" s="63">
        <f t="shared" si="11"/>
        <v>0</v>
      </c>
      <c r="BB65" s="63">
        <f t="shared" si="12"/>
        <v>0</v>
      </c>
    </row>
    <row r="66" spans="3:54" s="17" customFormat="1" x14ac:dyDescent="0.25">
      <c r="C66" s="215"/>
      <c r="D66" s="216"/>
      <c r="E66" s="88"/>
      <c r="F66" s="217"/>
      <c r="G66" s="234"/>
      <c r="H66" s="218"/>
      <c r="I66" s="76"/>
      <c r="J66" s="77"/>
      <c r="K66" s="76"/>
      <c r="L66" s="78"/>
      <c r="M66" s="78"/>
      <c r="N66" s="76" t="s">
        <v>39</v>
      </c>
      <c r="O66" s="110"/>
      <c r="P66" s="152"/>
      <c r="Q66" s="111" t="str">
        <f>IFERROR(MIN(VLOOKUP(ROUNDDOWN(P66,0),'Aide calcul'!$B$2:$C$282,2,FALSE),O66+1),"")</f>
        <v/>
      </c>
      <c r="R66" s="112" t="str">
        <f t="shared" si="13"/>
        <v/>
      </c>
      <c r="S66" s="152"/>
      <c r="T66" s="152"/>
      <c r="U66" s="152"/>
      <c r="V66" s="152"/>
      <c r="W66" s="152"/>
      <c r="X66" s="152"/>
      <c r="Y66" s="152"/>
      <c r="Z66" s="76"/>
      <c r="AA66" s="76"/>
      <c r="AB66" s="113" t="str">
        <f>IF(C66="3111. Logements",ROUND(VLOOKUP(C66,'Informations générales'!$C$66:$E$70,3,FALSE)*(AL66/$AM$28)/12,0)*12,IF(C66="3112. Logements",ROUND(VLOOKUP(C66,'Informations générales'!$C$66:$E$70,3,FALSE)*(AL66/$AN$28)/12,0)*12,IF(C66="3113. Logements",ROUND(VLOOKUP(C66,'Informations générales'!$C$66:$E$70,3,FALSE)*(AL66/$AO$28)/12,0)*12,IF(C66="3114. Logements",ROUND(VLOOKUP(C66,'Informations générales'!$C$66:$E$70,3,FALSE)*(AL66/$AP$28)/12,0)*12,IF(C66="3115. Logements",ROUND(VLOOKUP(C66,'Informations générales'!$C$66:$E$70,3,FALSE)*(AL66/$AQ$28)/12,0)*12,"")))))</f>
        <v/>
      </c>
      <c r="AC66" s="114"/>
      <c r="AD66" s="113">
        <f t="shared" si="14"/>
        <v>0</v>
      </c>
      <c r="AE66" s="114"/>
      <c r="AF66" s="203" t="str">
        <f>IF(C66="3111. Logements",ROUND(VLOOKUP(C66,'Informations générales'!$C$66:$E$70,3,FALSE)*(AL66/$AM$28)/12,0)*12,IF(C66="3112. Logements",ROUND(VLOOKUP(C66,'Informations générales'!$C$66:$E$70,3,FALSE)*(AL66/$AN$28)/12,0)*12,IF(C66="3113. Logements",ROUND(VLOOKUP(C66,'Informations générales'!$C$66:$E$70,3,FALSE)*(AL66/$AO$28)/12,0)*12,IF(C66="3114. Logements",ROUND(VLOOKUP(C66,'Informations générales'!$C$66:$E$70,3,FALSE)*(AL66/$AP$28)/12,0)*12,IF(C66="3115. Logements",ROUND(VLOOKUP(C66,'Informations générales'!$C$66:$E$70,3,FALSE)*(AL66/$AQ$28)/12,0)*12,"")))))</f>
        <v/>
      </c>
      <c r="AG66" s="202"/>
      <c r="AH66" s="113" t="str">
        <f>IF(C66="3111. Logements",ROUND(VLOOKUP(C66,'Informations générales'!$C$66:$H$70,5,FALSE)*(AL66/$AM$28)/12,0)*12,IF(C66="3112. Logements",ROUND(VLOOKUP(C66,'Informations générales'!$C$66:$H$70,5,FALSE)*(AL66/$AN$28)/12,0)*12,IF(C66="3113. Logements",ROUND(VLOOKUP(C66,'Informations générales'!$C$66:$H$70,5,FALSE)*(AL66/$AO$28)/12,0)*12,IF(C66="3114. Logements",ROUND(VLOOKUP(C66,'Informations générales'!$C$66:$H$70,5,FALSE)*(AL66/$AP$28)/12,0)*12,IF(C66="3115. Logements",ROUND(VLOOKUP(C66,'Informations générales'!$C$66:$H$70,5,FALSE)*(AL66/$AQ$28)/12,0)*12,"")))))</f>
        <v/>
      </c>
      <c r="AI66" s="114"/>
      <c r="AJ66" s="114"/>
      <c r="AK66" s="76"/>
      <c r="AL66" s="58">
        <f t="shared" si="15"/>
        <v>0</v>
      </c>
      <c r="AM66" s="58"/>
      <c r="AN66" s="58"/>
      <c r="AO66" s="58"/>
      <c r="AP66" s="58"/>
      <c r="AQ66" s="58"/>
      <c r="AR66" s="58">
        <f t="shared" si="3"/>
        <v>0</v>
      </c>
      <c r="AS66" s="58">
        <f t="shared" si="4"/>
        <v>0</v>
      </c>
      <c r="AT66" s="58">
        <f t="shared" si="5"/>
        <v>0</v>
      </c>
      <c r="AU66" s="58">
        <f t="shared" si="6"/>
        <v>0</v>
      </c>
      <c r="AV66" s="58">
        <f t="shared" si="7"/>
        <v>0</v>
      </c>
      <c r="AW66" s="58">
        <f t="shared" si="8"/>
        <v>0</v>
      </c>
      <c r="AX66" s="58">
        <f t="shared" si="9"/>
        <v>0</v>
      </c>
      <c r="AY66" s="58">
        <f t="shared" si="16"/>
        <v>0</v>
      </c>
      <c r="AZ66" s="62">
        <f t="shared" si="10"/>
        <v>0</v>
      </c>
      <c r="BA66" s="63">
        <f t="shared" si="11"/>
        <v>0</v>
      </c>
      <c r="BB66" s="63">
        <f t="shared" si="12"/>
        <v>0</v>
      </c>
    </row>
    <row r="67" spans="3:54" s="17" customFormat="1" x14ac:dyDescent="0.25">
      <c r="C67" s="215"/>
      <c r="D67" s="216"/>
      <c r="E67" s="88"/>
      <c r="F67" s="217"/>
      <c r="G67" s="234"/>
      <c r="H67" s="218"/>
      <c r="I67" s="76"/>
      <c r="J67" s="77"/>
      <c r="K67" s="76"/>
      <c r="L67" s="78"/>
      <c r="M67" s="78"/>
      <c r="N67" s="76" t="s">
        <v>39</v>
      </c>
      <c r="O67" s="110"/>
      <c r="P67" s="152"/>
      <c r="Q67" s="111" t="str">
        <f>IFERROR(MIN(VLOOKUP(ROUNDDOWN(P67,0),'Aide calcul'!$B$2:$C$282,2,FALSE),O67+1),"")</f>
        <v/>
      </c>
      <c r="R67" s="112" t="str">
        <f t="shared" si="13"/>
        <v/>
      </c>
      <c r="S67" s="152"/>
      <c r="T67" s="152"/>
      <c r="U67" s="152"/>
      <c r="V67" s="152"/>
      <c r="W67" s="152"/>
      <c r="X67" s="152"/>
      <c r="Y67" s="152"/>
      <c r="Z67" s="76"/>
      <c r="AA67" s="76"/>
      <c r="AB67" s="113" t="str">
        <f>IF(C67="3111. Logements",ROUND(VLOOKUP(C67,'Informations générales'!$C$66:$E$70,3,FALSE)*(AL67/$AM$28)/12,0)*12,IF(C67="3112. Logements",ROUND(VLOOKUP(C67,'Informations générales'!$C$66:$E$70,3,FALSE)*(AL67/$AN$28)/12,0)*12,IF(C67="3113. Logements",ROUND(VLOOKUP(C67,'Informations générales'!$C$66:$E$70,3,FALSE)*(AL67/$AO$28)/12,0)*12,IF(C67="3114. Logements",ROUND(VLOOKUP(C67,'Informations générales'!$C$66:$E$70,3,FALSE)*(AL67/$AP$28)/12,0)*12,IF(C67="3115. Logements",ROUND(VLOOKUP(C67,'Informations générales'!$C$66:$E$70,3,FALSE)*(AL67/$AQ$28)/12,0)*12,"")))))</f>
        <v/>
      </c>
      <c r="AC67" s="114"/>
      <c r="AD67" s="113">
        <f t="shared" si="14"/>
        <v>0</v>
      </c>
      <c r="AE67" s="114"/>
      <c r="AF67" s="203" t="str">
        <f>IF(C67="3111. Logements",ROUND(VLOOKUP(C67,'Informations générales'!$C$66:$E$70,3,FALSE)*(AL67/$AM$28)/12,0)*12,IF(C67="3112. Logements",ROUND(VLOOKUP(C67,'Informations générales'!$C$66:$E$70,3,FALSE)*(AL67/$AN$28)/12,0)*12,IF(C67="3113. Logements",ROUND(VLOOKUP(C67,'Informations générales'!$C$66:$E$70,3,FALSE)*(AL67/$AO$28)/12,0)*12,IF(C67="3114. Logements",ROUND(VLOOKUP(C67,'Informations générales'!$C$66:$E$70,3,FALSE)*(AL67/$AP$28)/12,0)*12,IF(C67="3115. Logements",ROUND(VLOOKUP(C67,'Informations générales'!$C$66:$E$70,3,FALSE)*(AL67/$AQ$28)/12,0)*12,"")))))</f>
        <v/>
      </c>
      <c r="AG67" s="202"/>
      <c r="AH67" s="113" t="str">
        <f>IF(C67="3111. Logements",ROUND(VLOOKUP(C67,'Informations générales'!$C$66:$H$70,5,FALSE)*(AL67/$AM$28)/12,0)*12,IF(C67="3112. Logements",ROUND(VLOOKUP(C67,'Informations générales'!$C$66:$H$70,5,FALSE)*(AL67/$AN$28)/12,0)*12,IF(C67="3113. Logements",ROUND(VLOOKUP(C67,'Informations générales'!$C$66:$H$70,5,FALSE)*(AL67/$AO$28)/12,0)*12,IF(C67="3114. Logements",ROUND(VLOOKUP(C67,'Informations générales'!$C$66:$H$70,5,FALSE)*(AL67/$AP$28)/12,0)*12,IF(C67="3115. Logements",ROUND(VLOOKUP(C67,'Informations générales'!$C$66:$H$70,5,FALSE)*(AL67/$AQ$28)/12,0)*12,"")))))</f>
        <v/>
      </c>
      <c r="AI67" s="114"/>
      <c r="AJ67" s="114"/>
      <c r="AK67" s="76"/>
      <c r="AL67" s="58">
        <f t="shared" si="15"/>
        <v>0</v>
      </c>
      <c r="AM67" s="58"/>
      <c r="AN67" s="58"/>
      <c r="AO67" s="58"/>
      <c r="AP67" s="58"/>
      <c r="AQ67" s="58"/>
      <c r="AR67" s="58">
        <f t="shared" si="3"/>
        <v>0</v>
      </c>
      <c r="AS67" s="58">
        <f t="shared" si="4"/>
        <v>0</v>
      </c>
      <c r="AT67" s="58">
        <f t="shared" si="5"/>
        <v>0</v>
      </c>
      <c r="AU67" s="58">
        <f t="shared" si="6"/>
        <v>0</v>
      </c>
      <c r="AV67" s="58">
        <f t="shared" si="7"/>
        <v>0</v>
      </c>
      <c r="AW67" s="58">
        <f t="shared" si="8"/>
        <v>0</v>
      </c>
      <c r="AX67" s="58">
        <f t="shared" si="9"/>
        <v>0</v>
      </c>
      <c r="AY67" s="58">
        <f t="shared" si="16"/>
        <v>0</v>
      </c>
      <c r="AZ67" s="62">
        <f t="shared" si="10"/>
        <v>0</v>
      </c>
      <c r="BA67" s="63">
        <f t="shared" si="11"/>
        <v>0</v>
      </c>
      <c r="BB67" s="63">
        <f t="shared" si="12"/>
        <v>0</v>
      </c>
    </row>
    <row r="68" spans="3:54" s="17" customFormat="1" x14ac:dyDescent="0.25">
      <c r="C68" s="215"/>
      <c r="D68" s="216"/>
      <c r="E68" s="88"/>
      <c r="F68" s="217"/>
      <c r="G68" s="234"/>
      <c r="H68" s="218"/>
      <c r="I68" s="76"/>
      <c r="J68" s="77"/>
      <c r="K68" s="76"/>
      <c r="L68" s="78"/>
      <c r="M68" s="78"/>
      <c r="N68" s="76" t="s">
        <v>39</v>
      </c>
      <c r="O68" s="110"/>
      <c r="P68" s="152"/>
      <c r="Q68" s="111" t="str">
        <f>IFERROR(MIN(VLOOKUP(ROUNDDOWN(P68,0),'Aide calcul'!$B$2:$C$282,2,FALSE),O68+1),"")</f>
        <v/>
      </c>
      <c r="R68" s="112" t="str">
        <f t="shared" si="13"/>
        <v/>
      </c>
      <c r="S68" s="152"/>
      <c r="T68" s="152"/>
      <c r="U68" s="152"/>
      <c r="V68" s="152"/>
      <c r="W68" s="152"/>
      <c r="X68" s="152"/>
      <c r="Y68" s="152"/>
      <c r="Z68" s="76"/>
      <c r="AA68" s="76"/>
      <c r="AB68" s="113" t="str">
        <f>IF(C68="3111. Logements",ROUND(VLOOKUP(C68,'Informations générales'!$C$66:$E$70,3,FALSE)*(AL68/$AM$28)/12,0)*12,IF(C68="3112. Logements",ROUND(VLOOKUP(C68,'Informations générales'!$C$66:$E$70,3,FALSE)*(AL68/$AN$28)/12,0)*12,IF(C68="3113. Logements",ROUND(VLOOKUP(C68,'Informations générales'!$C$66:$E$70,3,FALSE)*(AL68/$AO$28)/12,0)*12,IF(C68="3114. Logements",ROUND(VLOOKUP(C68,'Informations générales'!$C$66:$E$70,3,FALSE)*(AL68/$AP$28)/12,0)*12,IF(C68="3115. Logements",ROUND(VLOOKUP(C68,'Informations générales'!$C$66:$E$70,3,FALSE)*(AL68/$AQ$28)/12,0)*12,"")))))</f>
        <v/>
      </c>
      <c r="AC68" s="114"/>
      <c r="AD68" s="113">
        <f t="shared" si="14"/>
        <v>0</v>
      </c>
      <c r="AE68" s="114"/>
      <c r="AF68" s="203" t="str">
        <f>IF(C68="3111. Logements",ROUND(VLOOKUP(C68,'Informations générales'!$C$66:$E$70,3,FALSE)*(AL68/$AM$28)/12,0)*12,IF(C68="3112. Logements",ROUND(VLOOKUP(C68,'Informations générales'!$C$66:$E$70,3,FALSE)*(AL68/$AN$28)/12,0)*12,IF(C68="3113. Logements",ROUND(VLOOKUP(C68,'Informations générales'!$C$66:$E$70,3,FALSE)*(AL68/$AO$28)/12,0)*12,IF(C68="3114. Logements",ROUND(VLOOKUP(C68,'Informations générales'!$C$66:$E$70,3,FALSE)*(AL68/$AP$28)/12,0)*12,IF(C68="3115. Logements",ROUND(VLOOKUP(C68,'Informations générales'!$C$66:$E$70,3,FALSE)*(AL68/$AQ$28)/12,0)*12,"")))))</f>
        <v/>
      </c>
      <c r="AG68" s="202"/>
      <c r="AH68" s="113" t="str">
        <f>IF(C68="3111. Logements",ROUND(VLOOKUP(C68,'Informations générales'!$C$66:$H$70,5,FALSE)*(AL68/$AM$28)/12,0)*12,IF(C68="3112. Logements",ROUND(VLOOKUP(C68,'Informations générales'!$C$66:$H$70,5,FALSE)*(AL68/$AN$28)/12,0)*12,IF(C68="3113. Logements",ROUND(VLOOKUP(C68,'Informations générales'!$C$66:$H$70,5,FALSE)*(AL68/$AO$28)/12,0)*12,IF(C68="3114. Logements",ROUND(VLOOKUP(C68,'Informations générales'!$C$66:$H$70,5,FALSE)*(AL68/$AP$28)/12,0)*12,IF(C68="3115. Logements",ROUND(VLOOKUP(C68,'Informations générales'!$C$66:$H$70,5,FALSE)*(AL68/$AQ$28)/12,0)*12,"")))))</f>
        <v/>
      </c>
      <c r="AI68" s="114"/>
      <c r="AJ68" s="114"/>
      <c r="AK68" s="76"/>
      <c r="AL68" s="58">
        <f t="shared" si="15"/>
        <v>0</v>
      </c>
      <c r="AM68" s="58"/>
      <c r="AN68" s="58"/>
      <c r="AO68" s="58"/>
      <c r="AP68" s="58"/>
      <c r="AQ68" s="58"/>
      <c r="AR68" s="58">
        <f t="shared" si="3"/>
        <v>0</v>
      </c>
      <c r="AS68" s="58">
        <f t="shared" si="4"/>
        <v>0</v>
      </c>
      <c r="AT68" s="58">
        <f t="shared" si="5"/>
        <v>0</v>
      </c>
      <c r="AU68" s="58">
        <f t="shared" si="6"/>
        <v>0</v>
      </c>
      <c r="AV68" s="58">
        <f t="shared" si="7"/>
        <v>0</v>
      </c>
      <c r="AW68" s="58">
        <f t="shared" si="8"/>
        <v>0</v>
      </c>
      <c r="AX68" s="58">
        <f t="shared" si="9"/>
        <v>0</v>
      </c>
      <c r="AY68" s="58">
        <f t="shared" si="16"/>
        <v>0</v>
      </c>
      <c r="AZ68" s="62">
        <f t="shared" si="10"/>
        <v>0</v>
      </c>
      <c r="BA68" s="63">
        <f t="shared" si="11"/>
        <v>0</v>
      </c>
      <c r="BB68" s="63">
        <f t="shared" si="12"/>
        <v>0</v>
      </c>
    </row>
    <row r="69" spans="3:54" s="17" customFormat="1" x14ac:dyDescent="0.25">
      <c r="C69" s="215"/>
      <c r="D69" s="216"/>
      <c r="E69" s="88"/>
      <c r="F69" s="217"/>
      <c r="G69" s="234"/>
      <c r="H69" s="218"/>
      <c r="I69" s="76"/>
      <c r="J69" s="77"/>
      <c r="K69" s="76"/>
      <c r="L69" s="78"/>
      <c r="M69" s="78"/>
      <c r="N69" s="76" t="s">
        <v>39</v>
      </c>
      <c r="O69" s="110"/>
      <c r="P69" s="152"/>
      <c r="Q69" s="111" t="str">
        <f>IFERROR(MIN(VLOOKUP(ROUNDDOWN(P69,0),'Aide calcul'!$B$2:$C$282,2,FALSE),O69+1),"")</f>
        <v/>
      </c>
      <c r="R69" s="112" t="str">
        <f t="shared" si="13"/>
        <v/>
      </c>
      <c r="S69" s="152"/>
      <c r="T69" s="152"/>
      <c r="U69" s="152"/>
      <c r="V69" s="152"/>
      <c r="W69" s="152"/>
      <c r="X69" s="152"/>
      <c r="Y69" s="152"/>
      <c r="Z69" s="76"/>
      <c r="AA69" s="76"/>
      <c r="AB69" s="113" t="str">
        <f>IF(C69="3111. Logements",ROUND(VLOOKUP(C69,'Informations générales'!$C$66:$E$70,3,FALSE)*(AL69/$AM$28)/12,0)*12,IF(C69="3112. Logements",ROUND(VLOOKUP(C69,'Informations générales'!$C$66:$E$70,3,FALSE)*(AL69/$AN$28)/12,0)*12,IF(C69="3113. Logements",ROUND(VLOOKUP(C69,'Informations générales'!$C$66:$E$70,3,FALSE)*(AL69/$AO$28)/12,0)*12,IF(C69="3114. Logements",ROUND(VLOOKUP(C69,'Informations générales'!$C$66:$E$70,3,FALSE)*(AL69/$AP$28)/12,0)*12,IF(C69="3115. Logements",ROUND(VLOOKUP(C69,'Informations générales'!$C$66:$E$70,3,FALSE)*(AL69/$AQ$28)/12,0)*12,"")))))</f>
        <v/>
      </c>
      <c r="AC69" s="114"/>
      <c r="AD69" s="113">
        <f t="shared" si="14"/>
        <v>0</v>
      </c>
      <c r="AE69" s="114"/>
      <c r="AF69" s="203" t="str">
        <f>IF(C69="3111. Logements",ROUND(VLOOKUP(C69,'Informations générales'!$C$66:$E$70,3,FALSE)*(AL69/$AM$28)/12,0)*12,IF(C69="3112. Logements",ROUND(VLOOKUP(C69,'Informations générales'!$C$66:$E$70,3,FALSE)*(AL69/$AN$28)/12,0)*12,IF(C69="3113. Logements",ROUND(VLOOKUP(C69,'Informations générales'!$C$66:$E$70,3,FALSE)*(AL69/$AO$28)/12,0)*12,IF(C69="3114. Logements",ROUND(VLOOKUP(C69,'Informations générales'!$C$66:$E$70,3,FALSE)*(AL69/$AP$28)/12,0)*12,IF(C69="3115. Logements",ROUND(VLOOKUP(C69,'Informations générales'!$C$66:$E$70,3,FALSE)*(AL69/$AQ$28)/12,0)*12,"")))))</f>
        <v/>
      </c>
      <c r="AG69" s="202"/>
      <c r="AH69" s="113" t="str">
        <f>IF(C69="3111. Logements",ROUND(VLOOKUP(C69,'Informations générales'!$C$66:$H$70,5,FALSE)*(AL69/$AM$28)/12,0)*12,IF(C69="3112. Logements",ROUND(VLOOKUP(C69,'Informations générales'!$C$66:$H$70,5,FALSE)*(AL69/$AN$28)/12,0)*12,IF(C69="3113. Logements",ROUND(VLOOKUP(C69,'Informations générales'!$C$66:$H$70,5,FALSE)*(AL69/$AO$28)/12,0)*12,IF(C69="3114. Logements",ROUND(VLOOKUP(C69,'Informations générales'!$C$66:$H$70,5,FALSE)*(AL69/$AP$28)/12,0)*12,IF(C69="3115. Logements",ROUND(VLOOKUP(C69,'Informations générales'!$C$66:$H$70,5,FALSE)*(AL69/$AQ$28)/12,0)*12,"")))))</f>
        <v/>
      </c>
      <c r="AI69" s="114"/>
      <c r="AJ69" s="114"/>
      <c r="AK69" s="76"/>
      <c r="AL69" s="58">
        <f t="shared" si="15"/>
        <v>0</v>
      </c>
      <c r="AM69" s="58"/>
      <c r="AN69" s="58"/>
      <c r="AO69" s="58"/>
      <c r="AP69" s="58"/>
      <c r="AQ69" s="58"/>
      <c r="AR69" s="58">
        <f t="shared" si="3"/>
        <v>0</v>
      </c>
      <c r="AS69" s="58">
        <f t="shared" si="4"/>
        <v>0</v>
      </c>
      <c r="AT69" s="58">
        <f t="shared" si="5"/>
        <v>0</v>
      </c>
      <c r="AU69" s="58">
        <f t="shared" si="6"/>
        <v>0</v>
      </c>
      <c r="AV69" s="58">
        <f t="shared" si="7"/>
        <v>0</v>
      </c>
      <c r="AW69" s="58">
        <f t="shared" si="8"/>
        <v>0</v>
      </c>
      <c r="AX69" s="58">
        <f t="shared" si="9"/>
        <v>0</v>
      </c>
      <c r="AY69" s="58">
        <f t="shared" si="16"/>
        <v>0</v>
      </c>
      <c r="AZ69" s="62">
        <f t="shared" si="10"/>
        <v>0</v>
      </c>
      <c r="BA69" s="63">
        <f t="shared" si="11"/>
        <v>0</v>
      </c>
      <c r="BB69" s="63">
        <f t="shared" si="12"/>
        <v>0</v>
      </c>
    </row>
    <row r="70" spans="3:54" s="17" customFormat="1" x14ac:dyDescent="0.25">
      <c r="C70" s="215"/>
      <c r="D70" s="216"/>
      <c r="E70" s="88"/>
      <c r="F70" s="217"/>
      <c r="G70" s="234"/>
      <c r="H70" s="218"/>
      <c r="I70" s="76"/>
      <c r="J70" s="77"/>
      <c r="K70" s="76"/>
      <c r="L70" s="78"/>
      <c r="M70" s="78"/>
      <c r="N70" s="76" t="s">
        <v>39</v>
      </c>
      <c r="O70" s="110"/>
      <c r="P70" s="152"/>
      <c r="Q70" s="111" t="str">
        <f>IFERROR(MIN(VLOOKUP(ROUNDDOWN(P70,0),'Aide calcul'!$B$2:$C$282,2,FALSE),O70+1),"")</f>
        <v/>
      </c>
      <c r="R70" s="112" t="str">
        <f t="shared" si="13"/>
        <v/>
      </c>
      <c r="S70" s="152"/>
      <c r="T70" s="152"/>
      <c r="U70" s="152"/>
      <c r="V70" s="152"/>
      <c r="W70" s="152"/>
      <c r="X70" s="152"/>
      <c r="Y70" s="152"/>
      <c r="Z70" s="76"/>
      <c r="AA70" s="76"/>
      <c r="AB70" s="113" t="str">
        <f>IF(C70="3111. Logements",ROUND(VLOOKUP(C70,'Informations générales'!$C$66:$E$70,3,FALSE)*(AL70/$AM$28)/12,0)*12,IF(C70="3112. Logements",ROUND(VLOOKUP(C70,'Informations générales'!$C$66:$E$70,3,FALSE)*(AL70/$AN$28)/12,0)*12,IF(C70="3113. Logements",ROUND(VLOOKUP(C70,'Informations générales'!$C$66:$E$70,3,FALSE)*(AL70/$AO$28)/12,0)*12,IF(C70="3114. Logements",ROUND(VLOOKUP(C70,'Informations générales'!$C$66:$E$70,3,FALSE)*(AL70/$AP$28)/12,0)*12,IF(C70="3115. Logements",ROUND(VLOOKUP(C70,'Informations générales'!$C$66:$E$70,3,FALSE)*(AL70/$AQ$28)/12,0)*12,"")))))</f>
        <v/>
      </c>
      <c r="AC70" s="114"/>
      <c r="AD70" s="113">
        <f t="shared" si="14"/>
        <v>0</v>
      </c>
      <c r="AE70" s="114"/>
      <c r="AF70" s="203" t="str">
        <f>IF(C70="3111. Logements",ROUND(VLOOKUP(C70,'Informations générales'!$C$66:$E$70,3,FALSE)*(AL70/$AM$28)/12,0)*12,IF(C70="3112. Logements",ROUND(VLOOKUP(C70,'Informations générales'!$C$66:$E$70,3,FALSE)*(AL70/$AN$28)/12,0)*12,IF(C70="3113. Logements",ROUND(VLOOKUP(C70,'Informations générales'!$C$66:$E$70,3,FALSE)*(AL70/$AO$28)/12,0)*12,IF(C70="3114. Logements",ROUND(VLOOKUP(C70,'Informations générales'!$C$66:$E$70,3,FALSE)*(AL70/$AP$28)/12,0)*12,IF(C70="3115. Logements",ROUND(VLOOKUP(C70,'Informations générales'!$C$66:$E$70,3,FALSE)*(AL70/$AQ$28)/12,0)*12,"")))))</f>
        <v/>
      </c>
      <c r="AG70" s="202"/>
      <c r="AH70" s="113" t="str">
        <f>IF(C70="3111. Logements",ROUND(VLOOKUP(C70,'Informations générales'!$C$66:$H$70,5,FALSE)*(AL70/$AM$28)/12,0)*12,IF(C70="3112. Logements",ROUND(VLOOKUP(C70,'Informations générales'!$C$66:$H$70,5,FALSE)*(AL70/$AN$28)/12,0)*12,IF(C70="3113. Logements",ROUND(VLOOKUP(C70,'Informations générales'!$C$66:$H$70,5,FALSE)*(AL70/$AO$28)/12,0)*12,IF(C70="3114. Logements",ROUND(VLOOKUP(C70,'Informations générales'!$C$66:$H$70,5,FALSE)*(AL70/$AP$28)/12,0)*12,IF(C70="3115. Logements",ROUND(VLOOKUP(C70,'Informations générales'!$C$66:$H$70,5,FALSE)*(AL70/$AQ$28)/12,0)*12,"")))))</f>
        <v/>
      </c>
      <c r="AI70" s="114"/>
      <c r="AJ70" s="114"/>
      <c r="AK70" s="76"/>
      <c r="AL70" s="58">
        <f t="shared" si="15"/>
        <v>0</v>
      </c>
      <c r="AM70" s="58"/>
      <c r="AN70" s="58"/>
      <c r="AO70" s="58"/>
      <c r="AP70" s="58"/>
      <c r="AQ70" s="58"/>
      <c r="AR70" s="58">
        <f t="shared" si="3"/>
        <v>0</v>
      </c>
      <c r="AS70" s="58">
        <f t="shared" si="4"/>
        <v>0</v>
      </c>
      <c r="AT70" s="58">
        <f t="shared" si="5"/>
        <v>0</v>
      </c>
      <c r="AU70" s="58">
        <f t="shared" si="6"/>
        <v>0</v>
      </c>
      <c r="AV70" s="58">
        <f t="shared" si="7"/>
        <v>0</v>
      </c>
      <c r="AW70" s="58">
        <f t="shared" si="8"/>
        <v>0</v>
      </c>
      <c r="AX70" s="58">
        <f t="shared" si="9"/>
        <v>0</v>
      </c>
      <c r="AY70" s="58">
        <f t="shared" si="16"/>
        <v>0</v>
      </c>
      <c r="AZ70" s="62">
        <f t="shared" si="10"/>
        <v>0</v>
      </c>
      <c r="BA70" s="63">
        <f t="shared" si="11"/>
        <v>0</v>
      </c>
      <c r="BB70" s="63">
        <f t="shared" si="12"/>
        <v>0</v>
      </c>
    </row>
    <row r="71" spans="3:54" s="17" customFormat="1" x14ac:dyDescent="0.25">
      <c r="C71" s="215"/>
      <c r="D71" s="216"/>
      <c r="E71" s="88"/>
      <c r="F71" s="217"/>
      <c r="G71" s="234"/>
      <c r="H71" s="218"/>
      <c r="I71" s="76"/>
      <c r="J71" s="77"/>
      <c r="K71" s="76"/>
      <c r="L71" s="78"/>
      <c r="M71" s="78"/>
      <c r="N71" s="76" t="s">
        <v>39</v>
      </c>
      <c r="O71" s="110"/>
      <c r="P71" s="152"/>
      <c r="Q71" s="111" t="str">
        <f>IFERROR(MIN(VLOOKUP(ROUNDDOWN(P71,0),'Aide calcul'!$B$2:$C$282,2,FALSE),O71+1),"")</f>
        <v/>
      </c>
      <c r="R71" s="112" t="str">
        <f t="shared" si="13"/>
        <v/>
      </c>
      <c r="S71" s="152"/>
      <c r="T71" s="152"/>
      <c r="U71" s="152"/>
      <c r="V71" s="152"/>
      <c r="W71" s="152"/>
      <c r="X71" s="152"/>
      <c r="Y71" s="152"/>
      <c r="Z71" s="76"/>
      <c r="AA71" s="76"/>
      <c r="AB71" s="113" t="str">
        <f>IF(C71="3111. Logements",ROUND(VLOOKUP(C71,'Informations générales'!$C$66:$E$70,3,FALSE)*(AL71/$AM$28)/12,0)*12,IF(C71="3112. Logements",ROUND(VLOOKUP(C71,'Informations générales'!$C$66:$E$70,3,FALSE)*(AL71/$AN$28)/12,0)*12,IF(C71="3113. Logements",ROUND(VLOOKUP(C71,'Informations générales'!$C$66:$E$70,3,FALSE)*(AL71/$AO$28)/12,0)*12,IF(C71="3114. Logements",ROUND(VLOOKUP(C71,'Informations générales'!$C$66:$E$70,3,FALSE)*(AL71/$AP$28)/12,0)*12,IF(C71="3115. Logements",ROUND(VLOOKUP(C71,'Informations générales'!$C$66:$E$70,3,FALSE)*(AL71/$AQ$28)/12,0)*12,"")))))</f>
        <v/>
      </c>
      <c r="AC71" s="114"/>
      <c r="AD71" s="113">
        <f t="shared" si="14"/>
        <v>0</v>
      </c>
      <c r="AE71" s="114"/>
      <c r="AF71" s="203" t="str">
        <f>IF(C71="3111. Logements",ROUND(VLOOKUP(C71,'Informations générales'!$C$66:$E$70,3,FALSE)*(AL71/$AM$28)/12,0)*12,IF(C71="3112. Logements",ROUND(VLOOKUP(C71,'Informations générales'!$C$66:$E$70,3,FALSE)*(AL71/$AN$28)/12,0)*12,IF(C71="3113. Logements",ROUND(VLOOKUP(C71,'Informations générales'!$C$66:$E$70,3,FALSE)*(AL71/$AO$28)/12,0)*12,IF(C71="3114. Logements",ROUND(VLOOKUP(C71,'Informations générales'!$C$66:$E$70,3,FALSE)*(AL71/$AP$28)/12,0)*12,IF(C71="3115. Logements",ROUND(VLOOKUP(C71,'Informations générales'!$C$66:$E$70,3,FALSE)*(AL71/$AQ$28)/12,0)*12,"")))))</f>
        <v/>
      </c>
      <c r="AG71" s="202"/>
      <c r="AH71" s="113" t="str">
        <f>IF(C71="3111. Logements",ROUND(VLOOKUP(C71,'Informations générales'!$C$66:$H$70,5,FALSE)*(AL71/$AM$28)/12,0)*12,IF(C71="3112. Logements",ROUND(VLOOKUP(C71,'Informations générales'!$C$66:$H$70,5,FALSE)*(AL71/$AN$28)/12,0)*12,IF(C71="3113. Logements",ROUND(VLOOKUP(C71,'Informations générales'!$C$66:$H$70,5,FALSE)*(AL71/$AO$28)/12,0)*12,IF(C71="3114. Logements",ROUND(VLOOKUP(C71,'Informations générales'!$C$66:$H$70,5,FALSE)*(AL71/$AP$28)/12,0)*12,IF(C71="3115. Logements",ROUND(VLOOKUP(C71,'Informations générales'!$C$66:$H$70,5,FALSE)*(AL71/$AQ$28)/12,0)*12,"")))))</f>
        <v/>
      </c>
      <c r="AI71" s="114"/>
      <c r="AJ71" s="114"/>
      <c r="AK71" s="76"/>
      <c r="AL71" s="58">
        <f t="shared" si="15"/>
        <v>0</v>
      </c>
      <c r="AM71" s="58"/>
      <c r="AN71" s="58"/>
      <c r="AO71" s="58"/>
      <c r="AP71" s="58"/>
      <c r="AQ71" s="58"/>
      <c r="AR71" s="58">
        <f t="shared" si="3"/>
        <v>0</v>
      </c>
      <c r="AS71" s="58">
        <f t="shared" si="4"/>
        <v>0</v>
      </c>
      <c r="AT71" s="58">
        <f t="shared" si="5"/>
        <v>0</v>
      </c>
      <c r="AU71" s="58">
        <f t="shared" si="6"/>
        <v>0</v>
      </c>
      <c r="AV71" s="58">
        <f t="shared" si="7"/>
        <v>0</v>
      </c>
      <c r="AW71" s="58">
        <f t="shared" si="8"/>
        <v>0</v>
      </c>
      <c r="AX71" s="58">
        <f t="shared" si="9"/>
        <v>0</v>
      </c>
      <c r="AY71" s="58">
        <f t="shared" si="16"/>
        <v>0</v>
      </c>
      <c r="AZ71" s="62">
        <f t="shared" si="10"/>
        <v>0</v>
      </c>
      <c r="BA71" s="63">
        <f t="shared" si="11"/>
        <v>0</v>
      </c>
      <c r="BB71" s="63">
        <f t="shared" si="12"/>
        <v>0</v>
      </c>
    </row>
    <row r="72" spans="3:54" s="17" customFormat="1" x14ac:dyDescent="0.25">
      <c r="C72" s="215"/>
      <c r="D72" s="216"/>
      <c r="E72" s="88"/>
      <c r="F72" s="217"/>
      <c r="G72" s="234"/>
      <c r="H72" s="218"/>
      <c r="I72" s="76"/>
      <c r="J72" s="77"/>
      <c r="K72" s="76"/>
      <c r="L72" s="78"/>
      <c r="M72" s="78"/>
      <c r="N72" s="76" t="s">
        <v>39</v>
      </c>
      <c r="O72" s="110"/>
      <c r="P72" s="152"/>
      <c r="Q72" s="111" t="str">
        <f>IFERROR(MIN(VLOOKUP(ROUNDDOWN(P72,0),'Aide calcul'!$B$2:$C$282,2,FALSE),O72+1),"")</f>
        <v/>
      </c>
      <c r="R72" s="112" t="str">
        <f t="shared" si="13"/>
        <v/>
      </c>
      <c r="S72" s="152"/>
      <c r="T72" s="152"/>
      <c r="U72" s="152"/>
      <c r="V72" s="152"/>
      <c r="W72" s="152"/>
      <c r="X72" s="152"/>
      <c r="Y72" s="152"/>
      <c r="Z72" s="76"/>
      <c r="AA72" s="76"/>
      <c r="AB72" s="113" t="str">
        <f>IF(C72="3111. Logements",ROUND(VLOOKUP(C72,'Informations générales'!$C$66:$E$70,3,FALSE)*(AL72/$AM$28)/12,0)*12,IF(C72="3112. Logements",ROUND(VLOOKUP(C72,'Informations générales'!$C$66:$E$70,3,FALSE)*(AL72/$AN$28)/12,0)*12,IF(C72="3113. Logements",ROUND(VLOOKUP(C72,'Informations générales'!$C$66:$E$70,3,FALSE)*(AL72/$AO$28)/12,0)*12,IF(C72="3114. Logements",ROUND(VLOOKUP(C72,'Informations générales'!$C$66:$E$70,3,FALSE)*(AL72/$AP$28)/12,0)*12,IF(C72="3115. Logements",ROUND(VLOOKUP(C72,'Informations générales'!$C$66:$E$70,3,FALSE)*(AL72/$AQ$28)/12,0)*12,"")))))</f>
        <v/>
      </c>
      <c r="AC72" s="114"/>
      <c r="AD72" s="113">
        <f t="shared" si="14"/>
        <v>0</v>
      </c>
      <c r="AE72" s="114"/>
      <c r="AF72" s="203" t="str">
        <f>IF(C72="3111. Logements",ROUND(VLOOKUP(C72,'Informations générales'!$C$66:$E$70,3,FALSE)*(AL72/$AM$28)/12,0)*12,IF(C72="3112. Logements",ROUND(VLOOKUP(C72,'Informations générales'!$C$66:$E$70,3,FALSE)*(AL72/$AN$28)/12,0)*12,IF(C72="3113. Logements",ROUND(VLOOKUP(C72,'Informations générales'!$C$66:$E$70,3,FALSE)*(AL72/$AO$28)/12,0)*12,IF(C72="3114. Logements",ROUND(VLOOKUP(C72,'Informations générales'!$C$66:$E$70,3,FALSE)*(AL72/$AP$28)/12,0)*12,IF(C72="3115. Logements",ROUND(VLOOKUP(C72,'Informations générales'!$C$66:$E$70,3,FALSE)*(AL72/$AQ$28)/12,0)*12,"")))))</f>
        <v/>
      </c>
      <c r="AG72" s="202"/>
      <c r="AH72" s="113" t="str">
        <f>IF(C72="3111. Logements",ROUND(VLOOKUP(C72,'Informations générales'!$C$66:$H$70,5,FALSE)*(AL72/$AM$28)/12,0)*12,IF(C72="3112. Logements",ROUND(VLOOKUP(C72,'Informations générales'!$C$66:$H$70,5,FALSE)*(AL72/$AN$28)/12,0)*12,IF(C72="3113. Logements",ROUND(VLOOKUP(C72,'Informations générales'!$C$66:$H$70,5,FALSE)*(AL72/$AO$28)/12,0)*12,IF(C72="3114. Logements",ROUND(VLOOKUP(C72,'Informations générales'!$C$66:$H$70,5,FALSE)*(AL72/$AP$28)/12,0)*12,IF(C72="3115. Logements",ROUND(VLOOKUP(C72,'Informations générales'!$C$66:$H$70,5,FALSE)*(AL72/$AQ$28)/12,0)*12,"")))))</f>
        <v/>
      </c>
      <c r="AI72" s="114"/>
      <c r="AJ72" s="114"/>
      <c r="AK72" s="76"/>
      <c r="AL72" s="58">
        <f t="shared" si="15"/>
        <v>0</v>
      </c>
      <c r="AM72" s="58"/>
      <c r="AN72" s="58"/>
      <c r="AO72" s="58"/>
      <c r="AP72" s="58"/>
      <c r="AQ72" s="58"/>
      <c r="AR72" s="58">
        <f t="shared" si="3"/>
        <v>0</v>
      </c>
      <c r="AS72" s="58">
        <f t="shared" si="4"/>
        <v>0</v>
      </c>
      <c r="AT72" s="58">
        <f t="shared" si="5"/>
        <v>0</v>
      </c>
      <c r="AU72" s="58">
        <f t="shared" si="6"/>
        <v>0</v>
      </c>
      <c r="AV72" s="58">
        <f t="shared" si="7"/>
        <v>0</v>
      </c>
      <c r="AW72" s="58">
        <f t="shared" si="8"/>
        <v>0</v>
      </c>
      <c r="AX72" s="58">
        <f t="shared" si="9"/>
        <v>0</v>
      </c>
      <c r="AY72" s="58">
        <f t="shared" si="16"/>
        <v>0</v>
      </c>
      <c r="AZ72" s="62">
        <f t="shared" si="10"/>
        <v>0</v>
      </c>
      <c r="BA72" s="63">
        <f t="shared" si="11"/>
        <v>0</v>
      </c>
      <c r="BB72" s="63">
        <f t="shared" si="12"/>
        <v>0</v>
      </c>
    </row>
    <row r="73" spans="3:54" s="17" customFormat="1" x14ac:dyDescent="0.25">
      <c r="C73" s="215"/>
      <c r="D73" s="216"/>
      <c r="E73" s="88"/>
      <c r="F73" s="217"/>
      <c r="G73" s="234"/>
      <c r="H73" s="218"/>
      <c r="I73" s="76"/>
      <c r="J73" s="77"/>
      <c r="K73" s="76"/>
      <c r="L73" s="78"/>
      <c r="M73" s="78"/>
      <c r="N73" s="76" t="s">
        <v>39</v>
      </c>
      <c r="O73" s="110"/>
      <c r="P73" s="152"/>
      <c r="Q73" s="111" t="str">
        <f>IFERROR(MIN(VLOOKUP(ROUNDDOWN(P73,0),'Aide calcul'!$B$2:$C$282,2,FALSE),O73+1),"")</f>
        <v/>
      </c>
      <c r="R73" s="112" t="str">
        <f t="shared" si="13"/>
        <v/>
      </c>
      <c r="S73" s="152"/>
      <c r="T73" s="152"/>
      <c r="U73" s="152"/>
      <c r="V73" s="152"/>
      <c r="W73" s="152"/>
      <c r="X73" s="152"/>
      <c r="Y73" s="152"/>
      <c r="Z73" s="76"/>
      <c r="AA73" s="76"/>
      <c r="AB73" s="113" t="str">
        <f>IF(C73="3111. Logements",ROUND(VLOOKUP(C73,'Informations générales'!$C$66:$E$70,3,FALSE)*(AL73/$AM$28)/12,0)*12,IF(C73="3112. Logements",ROUND(VLOOKUP(C73,'Informations générales'!$C$66:$E$70,3,FALSE)*(AL73/$AN$28)/12,0)*12,IF(C73="3113. Logements",ROUND(VLOOKUP(C73,'Informations générales'!$C$66:$E$70,3,FALSE)*(AL73/$AO$28)/12,0)*12,IF(C73="3114. Logements",ROUND(VLOOKUP(C73,'Informations générales'!$C$66:$E$70,3,FALSE)*(AL73/$AP$28)/12,0)*12,IF(C73="3115. Logements",ROUND(VLOOKUP(C73,'Informations générales'!$C$66:$E$70,3,FALSE)*(AL73/$AQ$28)/12,0)*12,"")))))</f>
        <v/>
      </c>
      <c r="AC73" s="114"/>
      <c r="AD73" s="113">
        <f t="shared" si="14"/>
        <v>0</v>
      </c>
      <c r="AE73" s="114"/>
      <c r="AF73" s="203" t="str">
        <f>IF(C73="3111. Logements",ROUND(VLOOKUP(C73,'Informations générales'!$C$66:$E$70,3,FALSE)*(AL73/$AM$28)/12,0)*12,IF(C73="3112. Logements",ROUND(VLOOKUP(C73,'Informations générales'!$C$66:$E$70,3,FALSE)*(AL73/$AN$28)/12,0)*12,IF(C73="3113. Logements",ROUND(VLOOKUP(C73,'Informations générales'!$C$66:$E$70,3,FALSE)*(AL73/$AO$28)/12,0)*12,IF(C73="3114. Logements",ROUND(VLOOKUP(C73,'Informations générales'!$C$66:$E$70,3,FALSE)*(AL73/$AP$28)/12,0)*12,IF(C73="3115. Logements",ROUND(VLOOKUP(C73,'Informations générales'!$C$66:$E$70,3,FALSE)*(AL73/$AQ$28)/12,0)*12,"")))))</f>
        <v/>
      </c>
      <c r="AG73" s="202"/>
      <c r="AH73" s="113" t="str">
        <f>IF(C73="3111. Logements",ROUND(VLOOKUP(C73,'Informations générales'!$C$66:$H$70,5,FALSE)*(AL73/$AM$28)/12,0)*12,IF(C73="3112. Logements",ROUND(VLOOKUP(C73,'Informations générales'!$C$66:$H$70,5,FALSE)*(AL73/$AN$28)/12,0)*12,IF(C73="3113. Logements",ROUND(VLOOKUP(C73,'Informations générales'!$C$66:$H$70,5,FALSE)*(AL73/$AO$28)/12,0)*12,IF(C73="3114. Logements",ROUND(VLOOKUP(C73,'Informations générales'!$C$66:$H$70,5,FALSE)*(AL73/$AP$28)/12,0)*12,IF(C73="3115. Logements",ROUND(VLOOKUP(C73,'Informations générales'!$C$66:$H$70,5,FALSE)*(AL73/$AQ$28)/12,0)*12,"")))))</f>
        <v/>
      </c>
      <c r="AI73" s="114"/>
      <c r="AJ73" s="114"/>
      <c r="AK73" s="76"/>
      <c r="AL73" s="58">
        <f t="shared" si="15"/>
        <v>0</v>
      </c>
      <c r="AM73" s="58"/>
      <c r="AN73" s="58"/>
      <c r="AO73" s="58"/>
      <c r="AP73" s="58"/>
      <c r="AQ73" s="58"/>
      <c r="AR73" s="58">
        <f t="shared" si="3"/>
        <v>0</v>
      </c>
      <c r="AS73" s="58">
        <f t="shared" si="4"/>
        <v>0</v>
      </c>
      <c r="AT73" s="58">
        <f t="shared" si="5"/>
        <v>0</v>
      </c>
      <c r="AU73" s="58">
        <f t="shared" si="6"/>
        <v>0</v>
      </c>
      <c r="AV73" s="58">
        <f t="shared" si="7"/>
        <v>0</v>
      </c>
      <c r="AW73" s="58">
        <f t="shared" si="8"/>
        <v>0</v>
      </c>
      <c r="AX73" s="58">
        <f t="shared" si="9"/>
        <v>0</v>
      </c>
      <c r="AY73" s="58">
        <f t="shared" si="16"/>
        <v>0</v>
      </c>
      <c r="AZ73" s="62">
        <f t="shared" si="10"/>
        <v>0</v>
      </c>
      <c r="BA73" s="63">
        <f t="shared" si="11"/>
        <v>0</v>
      </c>
      <c r="BB73" s="63">
        <f t="shared" si="12"/>
        <v>0</v>
      </c>
    </row>
    <row r="74" spans="3:54" s="17" customFormat="1" x14ac:dyDescent="0.25">
      <c r="C74" s="215"/>
      <c r="D74" s="216"/>
      <c r="E74" s="88"/>
      <c r="F74" s="217"/>
      <c r="G74" s="234"/>
      <c r="H74" s="218"/>
      <c r="I74" s="76"/>
      <c r="J74" s="77"/>
      <c r="K74" s="76"/>
      <c r="L74" s="78"/>
      <c r="M74" s="78"/>
      <c r="N74" s="76" t="s">
        <v>39</v>
      </c>
      <c r="O74" s="110"/>
      <c r="P74" s="152"/>
      <c r="Q74" s="111" t="str">
        <f>IFERROR(MIN(VLOOKUP(ROUNDDOWN(P74,0),'Aide calcul'!$B$2:$C$282,2,FALSE),O74+1),"")</f>
        <v/>
      </c>
      <c r="R74" s="112" t="str">
        <f t="shared" si="13"/>
        <v/>
      </c>
      <c r="S74" s="152"/>
      <c r="T74" s="152"/>
      <c r="U74" s="152"/>
      <c r="V74" s="152"/>
      <c r="W74" s="152"/>
      <c r="X74" s="152"/>
      <c r="Y74" s="152"/>
      <c r="Z74" s="76"/>
      <c r="AA74" s="76"/>
      <c r="AB74" s="113" t="str">
        <f>IF(C74="3111. Logements",ROUND(VLOOKUP(C74,'Informations générales'!$C$66:$E$70,3,FALSE)*(AL74/$AM$28)/12,0)*12,IF(C74="3112. Logements",ROUND(VLOOKUP(C74,'Informations générales'!$C$66:$E$70,3,FALSE)*(AL74/$AN$28)/12,0)*12,IF(C74="3113. Logements",ROUND(VLOOKUP(C74,'Informations générales'!$C$66:$E$70,3,FALSE)*(AL74/$AO$28)/12,0)*12,IF(C74="3114. Logements",ROUND(VLOOKUP(C74,'Informations générales'!$C$66:$E$70,3,FALSE)*(AL74/$AP$28)/12,0)*12,IF(C74="3115. Logements",ROUND(VLOOKUP(C74,'Informations générales'!$C$66:$E$70,3,FALSE)*(AL74/$AQ$28)/12,0)*12,"")))))</f>
        <v/>
      </c>
      <c r="AC74" s="114"/>
      <c r="AD74" s="113">
        <f t="shared" si="14"/>
        <v>0</v>
      </c>
      <c r="AE74" s="114"/>
      <c r="AF74" s="203" t="str">
        <f>IF(C74="3111. Logements",ROUND(VLOOKUP(C74,'Informations générales'!$C$66:$E$70,3,FALSE)*(AL74/$AM$28)/12,0)*12,IF(C74="3112. Logements",ROUND(VLOOKUP(C74,'Informations générales'!$C$66:$E$70,3,FALSE)*(AL74/$AN$28)/12,0)*12,IF(C74="3113. Logements",ROUND(VLOOKUP(C74,'Informations générales'!$C$66:$E$70,3,FALSE)*(AL74/$AO$28)/12,0)*12,IF(C74="3114. Logements",ROUND(VLOOKUP(C74,'Informations générales'!$C$66:$E$70,3,FALSE)*(AL74/$AP$28)/12,0)*12,IF(C74="3115. Logements",ROUND(VLOOKUP(C74,'Informations générales'!$C$66:$E$70,3,FALSE)*(AL74/$AQ$28)/12,0)*12,"")))))</f>
        <v/>
      </c>
      <c r="AG74" s="202"/>
      <c r="AH74" s="113" t="str">
        <f>IF(C74="3111. Logements",ROUND(VLOOKUP(C74,'Informations générales'!$C$66:$H$70,5,FALSE)*(AL74/$AM$28)/12,0)*12,IF(C74="3112. Logements",ROUND(VLOOKUP(C74,'Informations générales'!$C$66:$H$70,5,FALSE)*(AL74/$AN$28)/12,0)*12,IF(C74="3113. Logements",ROUND(VLOOKUP(C74,'Informations générales'!$C$66:$H$70,5,FALSE)*(AL74/$AO$28)/12,0)*12,IF(C74="3114. Logements",ROUND(VLOOKUP(C74,'Informations générales'!$C$66:$H$70,5,FALSE)*(AL74/$AP$28)/12,0)*12,IF(C74="3115. Logements",ROUND(VLOOKUP(C74,'Informations générales'!$C$66:$H$70,5,FALSE)*(AL74/$AQ$28)/12,0)*12,"")))))</f>
        <v/>
      </c>
      <c r="AI74" s="114"/>
      <c r="AJ74" s="114"/>
      <c r="AK74" s="76"/>
      <c r="AL74" s="58">
        <f t="shared" si="15"/>
        <v>0</v>
      </c>
      <c r="AM74" s="58"/>
      <c r="AN74" s="58"/>
      <c r="AO74" s="58"/>
      <c r="AP74" s="58"/>
      <c r="AQ74" s="58"/>
      <c r="AR74" s="58">
        <f t="shared" si="3"/>
        <v>0</v>
      </c>
      <c r="AS74" s="58">
        <f t="shared" si="4"/>
        <v>0</v>
      </c>
      <c r="AT74" s="58">
        <f t="shared" si="5"/>
        <v>0</v>
      </c>
      <c r="AU74" s="58">
        <f t="shared" si="6"/>
        <v>0</v>
      </c>
      <c r="AV74" s="58">
        <f t="shared" si="7"/>
        <v>0</v>
      </c>
      <c r="AW74" s="58">
        <f t="shared" si="8"/>
        <v>0</v>
      </c>
      <c r="AX74" s="58">
        <f t="shared" si="9"/>
        <v>0</v>
      </c>
      <c r="AY74" s="58">
        <f t="shared" si="16"/>
        <v>0</v>
      </c>
      <c r="AZ74" s="62">
        <f t="shared" si="10"/>
        <v>0</v>
      </c>
      <c r="BA74" s="63">
        <f t="shared" si="11"/>
        <v>0</v>
      </c>
      <c r="BB74" s="63">
        <f t="shared" si="12"/>
        <v>0</v>
      </c>
    </row>
    <row r="75" spans="3:54" s="17" customFormat="1" x14ac:dyDescent="0.25">
      <c r="C75" s="215"/>
      <c r="D75" s="216"/>
      <c r="E75" s="88"/>
      <c r="F75" s="217"/>
      <c r="G75" s="234"/>
      <c r="H75" s="218"/>
      <c r="I75" s="76"/>
      <c r="J75" s="77"/>
      <c r="K75" s="76"/>
      <c r="L75" s="78"/>
      <c r="M75" s="78"/>
      <c r="N75" s="76" t="s">
        <v>39</v>
      </c>
      <c r="O75" s="110"/>
      <c r="P75" s="152"/>
      <c r="Q75" s="111" t="str">
        <f>IFERROR(MIN(VLOOKUP(ROUNDDOWN(P75,0),'Aide calcul'!$B$2:$C$282,2,FALSE),O75+1),"")</f>
        <v/>
      </c>
      <c r="R75" s="112" t="str">
        <f t="shared" si="13"/>
        <v/>
      </c>
      <c r="S75" s="152"/>
      <c r="T75" s="152"/>
      <c r="U75" s="152"/>
      <c r="V75" s="152"/>
      <c r="W75" s="152"/>
      <c r="X75" s="152"/>
      <c r="Y75" s="152"/>
      <c r="Z75" s="76"/>
      <c r="AA75" s="76"/>
      <c r="AB75" s="113" t="str">
        <f>IF(C75="3111. Logements",ROUND(VLOOKUP(C75,'Informations générales'!$C$66:$E$70,3,FALSE)*(AL75/$AM$28)/12,0)*12,IF(C75="3112. Logements",ROUND(VLOOKUP(C75,'Informations générales'!$C$66:$E$70,3,FALSE)*(AL75/$AN$28)/12,0)*12,IF(C75="3113. Logements",ROUND(VLOOKUP(C75,'Informations générales'!$C$66:$E$70,3,FALSE)*(AL75/$AO$28)/12,0)*12,IF(C75="3114. Logements",ROUND(VLOOKUP(C75,'Informations générales'!$C$66:$E$70,3,FALSE)*(AL75/$AP$28)/12,0)*12,IF(C75="3115. Logements",ROUND(VLOOKUP(C75,'Informations générales'!$C$66:$E$70,3,FALSE)*(AL75/$AQ$28)/12,0)*12,"")))))</f>
        <v/>
      </c>
      <c r="AC75" s="114"/>
      <c r="AD75" s="113">
        <f t="shared" si="14"/>
        <v>0</v>
      </c>
      <c r="AE75" s="114"/>
      <c r="AF75" s="203" t="str">
        <f>IF(C75="3111. Logements",ROUND(VLOOKUP(C75,'Informations générales'!$C$66:$E$70,3,FALSE)*(AL75/$AM$28)/12,0)*12,IF(C75="3112. Logements",ROUND(VLOOKUP(C75,'Informations générales'!$C$66:$E$70,3,FALSE)*(AL75/$AN$28)/12,0)*12,IF(C75="3113. Logements",ROUND(VLOOKUP(C75,'Informations générales'!$C$66:$E$70,3,FALSE)*(AL75/$AO$28)/12,0)*12,IF(C75="3114. Logements",ROUND(VLOOKUP(C75,'Informations générales'!$C$66:$E$70,3,FALSE)*(AL75/$AP$28)/12,0)*12,IF(C75="3115. Logements",ROUND(VLOOKUP(C75,'Informations générales'!$C$66:$E$70,3,FALSE)*(AL75/$AQ$28)/12,0)*12,"")))))</f>
        <v/>
      </c>
      <c r="AG75" s="202"/>
      <c r="AH75" s="113" t="str">
        <f>IF(C75="3111. Logements",ROUND(VLOOKUP(C75,'Informations générales'!$C$66:$H$70,5,FALSE)*(AL75/$AM$28)/12,0)*12,IF(C75="3112. Logements",ROUND(VLOOKUP(C75,'Informations générales'!$C$66:$H$70,5,FALSE)*(AL75/$AN$28)/12,0)*12,IF(C75="3113. Logements",ROUND(VLOOKUP(C75,'Informations générales'!$C$66:$H$70,5,FALSE)*(AL75/$AO$28)/12,0)*12,IF(C75="3114. Logements",ROUND(VLOOKUP(C75,'Informations générales'!$C$66:$H$70,5,FALSE)*(AL75/$AP$28)/12,0)*12,IF(C75="3115. Logements",ROUND(VLOOKUP(C75,'Informations générales'!$C$66:$H$70,5,FALSE)*(AL75/$AQ$28)/12,0)*12,"")))))</f>
        <v/>
      </c>
      <c r="AI75" s="114"/>
      <c r="AJ75" s="114"/>
      <c r="AK75" s="76"/>
      <c r="AL75" s="58">
        <f t="shared" si="15"/>
        <v>0</v>
      </c>
      <c r="AM75" s="58"/>
      <c r="AN75" s="58"/>
      <c r="AO75" s="58"/>
      <c r="AP75" s="58"/>
      <c r="AQ75" s="58"/>
      <c r="AR75" s="58">
        <f t="shared" si="3"/>
        <v>0</v>
      </c>
      <c r="AS75" s="58">
        <f t="shared" si="4"/>
        <v>0</v>
      </c>
      <c r="AT75" s="58">
        <f t="shared" si="5"/>
        <v>0</v>
      </c>
      <c r="AU75" s="58">
        <f t="shared" si="6"/>
        <v>0</v>
      </c>
      <c r="AV75" s="58">
        <f t="shared" si="7"/>
        <v>0</v>
      </c>
      <c r="AW75" s="58">
        <f t="shared" si="8"/>
        <v>0</v>
      </c>
      <c r="AX75" s="58">
        <f t="shared" si="9"/>
        <v>0</v>
      </c>
      <c r="AY75" s="58">
        <f t="shared" si="16"/>
        <v>0</v>
      </c>
      <c r="AZ75" s="62">
        <f t="shared" si="10"/>
        <v>0</v>
      </c>
      <c r="BA75" s="63">
        <f t="shared" si="11"/>
        <v>0</v>
      </c>
      <c r="BB75" s="63">
        <f t="shared" si="12"/>
        <v>0</v>
      </c>
    </row>
    <row r="76" spans="3:54" s="17" customFormat="1" x14ac:dyDescent="0.25">
      <c r="C76" s="215"/>
      <c r="D76" s="216"/>
      <c r="E76" s="88"/>
      <c r="F76" s="217"/>
      <c r="G76" s="234"/>
      <c r="H76" s="218"/>
      <c r="I76" s="76"/>
      <c r="J76" s="77"/>
      <c r="K76" s="76"/>
      <c r="L76" s="78"/>
      <c r="M76" s="78"/>
      <c r="N76" s="76" t="s">
        <v>39</v>
      </c>
      <c r="O76" s="110"/>
      <c r="P76" s="152"/>
      <c r="Q76" s="111" t="str">
        <f>IFERROR(MIN(VLOOKUP(ROUNDDOWN(P76,0),'Aide calcul'!$B$2:$C$282,2,FALSE),O76+1),"")</f>
        <v/>
      </c>
      <c r="R76" s="112" t="str">
        <f t="shared" si="13"/>
        <v/>
      </c>
      <c r="S76" s="152"/>
      <c r="T76" s="152"/>
      <c r="U76" s="152"/>
      <c r="V76" s="152"/>
      <c r="W76" s="152"/>
      <c r="X76" s="152"/>
      <c r="Y76" s="152"/>
      <c r="Z76" s="76"/>
      <c r="AA76" s="76"/>
      <c r="AB76" s="113" t="str">
        <f>IF(C76="3111. Logements",ROUND(VLOOKUP(C76,'Informations générales'!$C$66:$E$70,3,FALSE)*(AL76/$AM$28)/12,0)*12,IF(C76="3112. Logements",ROUND(VLOOKUP(C76,'Informations générales'!$C$66:$E$70,3,FALSE)*(AL76/$AN$28)/12,0)*12,IF(C76="3113. Logements",ROUND(VLOOKUP(C76,'Informations générales'!$C$66:$E$70,3,FALSE)*(AL76/$AO$28)/12,0)*12,IF(C76="3114. Logements",ROUND(VLOOKUP(C76,'Informations générales'!$C$66:$E$70,3,FALSE)*(AL76/$AP$28)/12,0)*12,IF(C76="3115. Logements",ROUND(VLOOKUP(C76,'Informations générales'!$C$66:$E$70,3,FALSE)*(AL76/$AQ$28)/12,0)*12,"")))))</f>
        <v/>
      </c>
      <c r="AC76" s="114"/>
      <c r="AD76" s="113">
        <f t="shared" si="14"/>
        <v>0</v>
      </c>
      <c r="AE76" s="114"/>
      <c r="AF76" s="203" t="str">
        <f>IF(C76="3111. Logements",ROUND(VLOOKUP(C76,'Informations générales'!$C$66:$E$70,3,FALSE)*(AL76/$AM$28)/12,0)*12,IF(C76="3112. Logements",ROUND(VLOOKUP(C76,'Informations générales'!$C$66:$E$70,3,FALSE)*(AL76/$AN$28)/12,0)*12,IF(C76="3113. Logements",ROUND(VLOOKUP(C76,'Informations générales'!$C$66:$E$70,3,FALSE)*(AL76/$AO$28)/12,0)*12,IF(C76="3114. Logements",ROUND(VLOOKUP(C76,'Informations générales'!$C$66:$E$70,3,FALSE)*(AL76/$AP$28)/12,0)*12,IF(C76="3115. Logements",ROUND(VLOOKUP(C76,'Informations générales'!$C$66:$E$70,3,FALSE)*(AL76/$AQ$28)/12,0)*12,"")))))</f>
        <v/>
      </c>
      <c r="AG76" s="202"/>
      <c r="AH76" s="113" t="str">
        <f>IF(C76="3111. Logements",ROUND(VLOOKUP(C76,'Informations générales'!$C$66:$H$70,5,FALSE)*(AL76/$AM$28)/12,0)*12,IF(C76="3112. Logements",ROUND(VLOOKUP(C76,'Informations générales'!$C$66:$H$70,5,FALSE)*(AL76/$AN$28)/12,0)*12,IF(C76="3113. Logements",ROUND(VLOOKUP(C76,'Informations générales'!$C$66:$H$70,5,FALSE)*(AL76/$AO$28)/12,0)*12,IF(C76="3114. Logements",ROUND(VLOOKUP(C76,'Informations générales'!$C$66:$H$70,5,FALSE)*(AL76/$AP$28)/12,0)*12,IF(C76="3115. Logements",ROUND(VLOOKUP(C76,'Informations générales'!$C$66:$H$70,5,FALSE)*(AL76/$AQ$28)/12,0)*12,"")))))</f>
        <v/>
      </c>
      <c r="AI76" s="114"/>
      <c r="AJ76" s="114"/>
      <c r="AK76" s="76"/>
      <c r="AL76" s="58">
        <f t="shared" si="15"/>
        <v>0</v>
      </c>
      <c r="AM76" s="58"/>
      <c r="AN76" s="58"/>
      <c r="AO76" s="58"/>
      <c r="AP76" s="58"/>
      <c r="AQ76" s="58"/>
      <c r="AR76" s="58">
        <f t="shared" si="3"/>
        <v>0</v>
      </c>
      <c r="AS76" s="58">
        <f t="shared" si="4"/>
        <v>0</v>
      </c>
      <c r="AT76" s="58">
        <f t="shared" si="5"/>
        <v>0</v>
      </c>
      <c r="AU76" s="58">
        <f t="shared" si="6"/>
        <v>0</v>
      </c>
      <c r="AV76" s="58">
        <f t="shared" si="7"/>
        <v>0</v>
      </c>
      <c r="AW76" s="58">
        <f t="shared" si="8"/>
        <v>0</v>
      </c>
      <c r="AX76" s="58">
        <f t="shared" si="9"/>
        <v>0</v>
      </c>
      <c r="AY76" s="58">
        <f t="shared" si="16"/>
        <v>0</v>
      </c>
      <c r="AZ76" s="62">
        <f t="shared" si="10"/>
        <v>0</v>
      </c>
      <c r="BA76" s="63">
        <f t="shared" si="11"/>
        <v>0</v>
      </c>
      <c r="BB76" s="63">
        <f t="shared" si="12"/>
        <v>0</v>
      </c>
    </row>
    <row r="77" spans="3:54" s="17" customFormat="1" x14ac:dyDescent="0.25">
      <c r="C77" s="215"/>
      <c r="D77" s="216"/>
      <c r="E77" s="88"/>
      <c r="F77" s="217"/>
      <c r="G77" s="234"/>
      <c r="H77" s="218"/>
      <c r="I77" s="76"/>
      <c r="J77" s="77"/>
      <c r="K77" s="76"/>
      <c r="L77" s="78"/>
      <c r="M77" s="78"/>
      <c r="N77" s="76" t="s">
        <v>39</v>
      </c>
      <c r="O77" s="110"/>
      <c r="P77" s="152"/>
      <c r="Q77" s="111" t="str">
        <f>IFERROR(MIN(VLOOKUP(ROUNDDOWN(P77,0),'Aide calcul'!$B$2:$C$282,2,FALSE),O77+1),"")</f>
        <v/>
      </c>
      <c r="R77" s="112" t="str">
        <f t="shared" si="13"/>
        <v/>
      </c>
      <c r="S77" s="152"/>
      <c r="T77" s="152"/>
      <c r="U77" s="152"/>
      <c r="V77" s="152"/>
      <c r="W77" s="152"/>
      <c r="X77" s="152"/>
      <c r="Y77" s="152"/>
      <c r="Z77" s="76"/>
      <c r="AA77" s="76"/>
      <c r="AB77" s="113" t="str">
        <f>IF(C77="3111. Logements",ROUND(VLOOKUP(C77,'Informations générales'!$C$66:$E$70,3,FALSE)*(AL77/$AM$28)/12,0)*12,IF(C77="3112. Logements",ROUND(VLOOKUP(C77,'Informations générales'!$C$66:$E$70,3,FALSE)*(AL77/$AN$28)/12,0)*12,IF(C77="3113. Logements",ROUND(VLOOKUP(C77,'Informations générales'!$C$66:$E$70,3,FALSE)*(AL77/$AO$28)/12,0)*12,IF(C77="3114. Logements",ROUND(VLOOKUP(C77,'Informations générales'!$C$66:$E$70,3,FALSE)*(AL77/$AP$28)/12,0)*12,IF(C77="3115. Logements",ROUND(VLOOKUP(C77,'Informations générales'!$C$66:$E$70,3,FALSE)*(AL77/$AQ$28)/12,0)*12,"")))))</f>
        <v/>
      </c>
      <c r="AC77" s="114"/>
      <c r="AD77" s="113">
        <f t="shared" si="14"/>
        <v>0</v>
      </c>
      <c r="AE77" s="114"/>
      <c r="AF77" s="203" t="str">
        <f>IF(C77="3111. Logements",ROUND(VLOOKUP(C77,'Informations générales'!$C$66:$E$70,3,FALSE)*(AL77/$AM$28)/12,0)*12,IF(C77="3112. Logements",ROUND(VLOOKUP(C77,'Informations générales'!$C$66:$E$70,3,FALSE)*(AL77/$AN$28)/12,0)*12,IF(C77="3113. Logements",ROUND(VLOOKUP(C77,'Informations générales'!$C$66:$E$70,3,FALSE)*(AL77/$AO$28)/12,0)*12,IF(C77="3114. Logements",ROUND(VLOOKUP(C77,'Informations générales'!$C$66:$E$70,3,FALSE)*(AL77/$AP$28)/12,0)*12,IF(C77="3115. Logements",ROUND(VLOOKUP(C77,'Informations générales'!$C$66:$E$70,3,FALSE)*(AL77/$AQ$28)/12,0)*12,"")))))</f>
        <v/>
      </c>
      <c r="AG77" s="202"/>
      <c r="AH77" s="113" t="str">
        <f>IF(C77="3111. Logements",ROUND(VLOOKUP(C77,'Informations générales'!$C$66:$H$70,5,FALSE)*(AL77/$AM$28)/12,0)*12,IF(C77="3112. Logements",ROUND(VLOOKUP(C77,'Informations générales'!$C$66:$H$70,5,FALSE)*(AL77/$AN$28)/12,0)*12,IF(C77="3113. Logements",ROUND(VLOOKUP(C77,'Informations générales'!$C$66:$H$70,5,FALSE)*(AL77/$AO$28)/12,0)*12,IF(C77="3114. Logements",ROUND(VLOOKUP(C77,'Informations générales'!$C$66:$H$70,5,FALSE)*(AL77/$AP$28)/12,0)*12,IF(C77="3115. Logements",ROUND(VLOOKUP(C77,'Informations générales'!$C$66:$H$70,5,FALSE)*(AL77/$AQ$28)/12,0)*12,"")))))</f>
        <v/>
      </c>
      <c r="AI77" s="114"/>
      <c r="AJ77" s="114"/>
      <c r="AK77" s="76"/>
      <c r="AL77" s="58">
        <f t="shared" si="15"/>
        <v>0</v>
      </c>
      <c r="AM77" s="58"/>
      <c r="AN77" s="58"/>
      <c r="AO77" s="58"/>
      <c r="AP77" s="58"/>
      <c r="AQ77" s="58"/>
      <c r="AR77" s="58">
        <f t="shared" si="3"/>
        <v>0</v>
      </c>
      <c r="AS77" s="58">
        <f t="shared" si="4"/>
        <v>0</v>
      </c>
      <c r="AT77" s="58">
        <f t="shared" si="5"/>
        <v>0</v>
      </c>
      <c r="AU77" s="58">
        <f t="shared" si="6"/>
        <v>0</v>
      </c>
      <c r="AV77" s="58">
        <f t="shared" si="7"/>
        <v>0</v>
      </c>
      <c r="AW77" s="58">
        <f t="shared" si="8"/>
        <v>0</v>
      </c>
      <c r="AX77" s="58">
        <f t="shared" si="9"/>
        <v>0</v>
      </c>
      <c r="AY77" s="58">
        <f t="shared" si="16"/>
        <v>0</v>
      </c>
      <c r="AZ77" s="62">
        <f t="shared" si="10"/>
        <v>0</v>
      </c>
      <c r="BA77" s="63">
        <f t="shared" si="11"/>
        <v>0</v>
      </c>
      <c r="BB77" s="63">
        <f t="shared" si="12"/>
        <v>0</v>
      </c>
    </row>
    <row r="78" spans="3:54" s="17" customFormat="1" x14ac:dyDescent="0.25">
      <c r="C78" s="215"/>
      <c r="D78" s="216"/>
      <c r="E78" s="88"/>
      <c r="F78" s="217"/>
      <c r="G78" s="234"/>
      <c r="H78" s="218"/>
      <c r="I78" s="76"/>
      <c r="J78" s="77"/>
      <c r="K78" s="76"/>
      <c r="L78" s="78"/>
      <c r="M78" s="78"/>
      <c r="N78" s="76" t="s">
        <v>39</v>
      </c>
      <c r="O78" s="110"/>
      <c r="P78" s="152"/>
      <c r="Q78" s="111" t="str">
        <f>IFERROR(MIN(VLOOKUP(ROUNDDOWN(P78,0),'Aide calcul'!$B$2:$C$282,2,FALSE),O78+1),"")</f>
        <v/>
      </c>
      <c r="R78" s="112" t="str">
        <f t="shared" si="13"/>
        <v/>
      </c>
      <c r="S78" s="152"/>
      <c r="T78" s="152"/>
      <c r="U78" s="152"/>
      <c r="V78" s="152"/>
      <c r="W78" s="152"/>
      <c r="X78" s="152"/>
      <c r="Y78" s="152"/>
      <c r="Z78" s="76"/>
      <c r="AA78" s="76"/>
      <c r="AB78" s="113" t="str">
        <f>IF(C78="3111. Logements",ROUND(VLOOKUP(C78,'Informations générales'!$C$66:$E$70,3,FALSE)*(AL78/$AM$28)/12,0)*12,IF(C78="3112. Logements",ROUND(VLOOKUP(C78,'Informations générales'!$C$66:$E$70,3,FALSE)*(AL78/$AN$28)/12,0)*12,IF(C78="3113. Logements",ROUND(VLOOKUP(C78,'Informations générales'!$C$66:$E$70,3,FALSE)*(AL78/$AO$28)/12,0)*12,IF(C78="3114. Logements",ROUND(VLOOKUP(C78,'Informations générales'!$C$66:$E$70,3,FALSE)*(AL78/$AP$28)/12,0)*12,IF(C78="3115. Logements",ROUND(VLOOKUP(C78,'Informations générales'!$C$66:$E$70,3,FALSE)*(AL78/$AQ$28)/12,0)*12,"")))))</f>
        <v/>
      </c>
      <c r="AC78" s="114"/>
      <c r="AD78" s="113">
        <f t="shared" si="14"/>
        <v>0</v>
      </c>
      <c r="AE78" s="114"/>
      <c r="AF78" s="203" t="str">
        <f>IF(C78="3111. Logements",ROUND(VLOOKUP(C78,'Informations générales'!$C$66:$E$70,3,FALSE)*(AL78/$AM$28)/12,0)*12,IF(C78="3112. Logements",ROUND(VLOOKUP(C78,'Informations générales'!$C$66:$E$70,3,FALSE)*(AL78/$AN$28)/12,0)*12,IF(C78="3113. Logements",ROUND(VLOOKUP(C78,'Informations générales'!$C$66:$E$70,3,FALSE)*(AL78/$AO$28)/12,0)*12,IF(C78="3114. Logements",ROUND(VLOOKUP(C78,'Informations générales'!$C$66:$E$70,3,FALSE)*(AL78/$AP$28)/12,0)*12,IF(C78="3115. Logements",ROUND(VLOOKUP(C78,'Informations générales'!$C$66:$E$70,3,FALSE)*(AL78/$AQ$28)/12,0)*12,"")))))</f>
        <v/>
      </c>
      <c r="AG78" s="202"/>
      <c r="AH78" s="113" t="str">
        <f>IF(C78="3111. Logements",ROUND(VLOOKUP(C78,'Informations générales'!$C$66:$H$70,5,FALSE)*(AL78/$AM$28)/12,0)*12,IF(C78="3112. Logements",ROUND(VLOOKUP(C78,'Informations générales'!$C$66:$H$70,5,FALSE)*(AL78/$AN$28)/12,0)*12,IF(C78="3113. Logements",ROUND(VLOOKUP(C78,'Informations générales'!$C$66:$H$70,5,FALSE)*(AL78/$AO$28)/12,0)*12,IF(C78="3114. Logements",ROUND(VLOOKUP(C78,'Informations générales'!$C$66:$H$70,5,FALSE)*(AL78/$AP$28)/12,0)*12,IF(C78="3115. Logements",ROUND(VLOOKUP(C78,'Informations générales'!$C$66:$H$70,5,FALSE)*(AL78/$AQ$28)/12,0)*12,"")))))</f>
        <v/>
      </c>
      <c r="AI78" s="114"/>
      <c r="AJ78" s="114"/>
      <c r="AK78" s="76"/>
      <c r="AL78" s="58">
        <f t="shared" si="15"/>
        <v>0</v>
      </c>
      <c r="AM78" s="58"/>
      <c r="AN78" s="58"/>
      <c r="AO78" s="58"/>
      <c r="AP78" s="58"/>
      <c r="AQ78" s="58"/>
      <c r="AR78" s="58">
        <f t="shared" si="3"/>
        <v>0</v>
      </c>
      <c r="AS78" s="58">
        <f t="shared" si="4"/>
        <v>0</v>
      </c>
      <c r="AT78" s="58">
        <f t="shared" si="5"/>
        <v>0</v>
      </c>
      <c r="AU78" s="58">
        <f t="shared" si="6"/>
        <v>0</v>
      </c>
      <c r="AV78" s="58">
        <f t="shared" si="7"/>
        <v>0</v>
      </c>
      <c r="AW78" s="58">
        <f t="shared" si="8"/>
        <v>0</v>
      </c>
      <c r="AX78" s="58">
        <f t="shared" si="9"/>
        <v>0</v>
      </c>
      <c r="AY78" s="58">
        <f t="shared" si="16"/>
        <v>0</v>
      </c>
      <c r="AZ78" s="62">
        <f t="shared" si="10"/>
        <v>0</v>
      </c>
      <c r="BA78" s="63">
        <f t="shared" si="11"/>
        <v>0</v>
      </c>
      <c r="BB78" s="63">
        <f t="shared" si="12"/>
        <v>0</v>
      </c>
    </row>
    <row r="79" spans="3:54" s="17" customFormat="1" x14ac:dyDescent="0.25">
      <c r="C79" s="215"/>
      <c r="D79" s="216"/>
      <c r="E79" s="88"/>
      <c r="F79" s="217"/>
      <c r="G79" s="234"/>
      <c r="H79" s="218"/>
      <c r="I79" s="76"/>
      <c r="J79" s="77"/>
      <c r="K79" s="76"/>
      <c r="L79" s="78"/>
      <c r="M79" s="78"/>
      <c r="N79" s="76" t="s">
        <v>39</v>
      </c>
      <c r="O79" s="110"/>
      <c r="P79" s="152"/>
      <c r="Q79" s="111" t="str">
        <f>IFERROR(MIN(VLOOKUP(ROUNDDOWN(P79,0),'Aide calcul'!$B$2:$C$282,2,FALSE),O79+1),"")</f>
        <v/>
      </c>
      <c r="R79" s="112" t="str">
        <f t="shared" si="13"/>
        <v/>
      </c>
      <c r="S79" s="152"/>
      <c r="T79" s="152"/>
      <c r="U79" s="152"/>
      <c r="V79" s="152"/>
      <c r="W79" s="152"/>
      <c r="X79" s="152"/>
      <c r="Y79" s="152"/>
      <c r="Z79" s="76"/>
      <c r="AA79" s="76"/>
      <c r="AB79" s="113" t="str">
        <f>IF(C79="3111. Logements",ROUND(VLOOKUP(C79,'Informations générales'!$C$66:$E$70,3,FALSE)*(AL79/$AM$28)/12,0)*12,IF(C79="3112. Logements",ROUND(VLOOKUP(C79,'Informations générales'!$C$66:$E$70,3,FALSE)*(AL79/$AN$28)/12,0)*12,IF(C79="3113. Logements",ROUND(VLOOKUP(C79,'Informations générales'!$C$66:$E$70,3,FALSE)*(AL79/$AO$28)/12,0)*12,IF(C79="3114. Logements",ROUND(VLOOKUP(C79,'Informations générales'!$C$66:$E$70,3,FALSE)*(AL79/$AP$28)/12,0)*12,IF(C79="3115. Logements",ROUND(VLOOKUP(C79,'Informations générales'!$C$66:$E$70,3,FALSE)*(AL79/$AQ$28)/12,0)*12,"")))))</f>
        <v/>
      </c>
      <c r="AC79" s="114"/>
      <c r="AD79" s="113">
        <f t="shared" si="14"/>
        <v>0</v>
      </c>
      <c r="AE79" s="114"/>
      <c r="AF79" s="203" t="str">
        <f>IF(C79="3111. Logements",ROUND(VLOOKUP(C79,'Informations générales'!$C$66:$E$70,3,FALSE)*(AL79/$AM$28)/12,0)*12,IF(C79="3112. Logements",ROUND(VLOOKUP(C79,'Informations générales'!$C$66:$E$70,3,FALSE)*(AL79/$AN$28)/12,0)*12,IF(C79="3113. Logements",ROUND(VLOOKUP(C79,'Informations générales'!$C$66:$E$70,3,FALSE)*(AL79/$AO$28)/12,0)*12,IF(C79="3114. Logements",ROUND(VLOOKUP(C79,'Informations générales'!$C$66:$E$70,3,FALSE)*(AL79/$AP$28)/12,0)*12,IF(C79="3115. Logements",ROUND(VLOOKUP(C79,'Informations générales'!$C$66:$E$70,3,FALSE)*(AL79/$AQ$28)/12,0)*12,"")))))</f>
        <v/>
      </c>
      <c r="AG79" s="202"/>
      <c r="AH79" s="113" t="str">
        <f>IF(C79="3111. Logements",ROUND(VLOOKUP(C79,'Informations générales'!$C$66:$H$70,5,FALSE)*(AL79/$AM$28)/12,0)*12,IF(C79="3112. Logements",ROUND(VLOOKUP(C79,'Informations générales'!$C$66:$H$70,5,FALSE)*(AL79/$AN$28)/12,0)*12,IF(C79="3113. Logements",ROUND(VLOOKUP(C79,'Informations générales'!$C$66:$H$70,5,FALSE)*(AL79/$AO$28)/12,0)*12,IF(C79="3114. Logements",ROUND(VLOOKUP(C79,'Informations générales'!$C$66:$H$70,5,FALSE)*(AL79/$AP$28)/12,0)*12,IF(C79="3115. Logements",ROUND(VLOOKUP(C79,'Informations générales'!$C$66:$H$70,5,FALSE)*(AL79/$AQ$28)/12,0)*12,"")))))</f>
        <v/>
      </c>
      <c r="AI79" s="114"/>
      <c r="AJ79" s="114"/>
      <c r="AK79" s="76"/>
      <c r="AL79" s="58">
        <f t="shared" si="15"/>
        <v>0</v>
      </c>
      <c r="AM79" s="58"/>
      <c r="AN79" s="58"/>
      <c r="AO79" s="58"/>
      <c r="AP79" s="58"/>
      <c r="AQ79" s="58"/>
      <c r="AR79" s="58">
        <f t="shared" si="3"/>
        <v>0</v>
      </c>
      <c r="AS79" s="58">
        <f t="shared" si="4"/>
        <v>0</v>
      </c>
      <c r="AT79" s="58">
        <f t="shared" si="5"/>
        <v>0</v>
      </c>
      <c r="AU79" s="58">
        <f t="shared" si="6"/>
        <v>0</v>
      </c>
      <c r="AV79" s="58">
        <f t="shared" si="7"/>
        <v>0</v>
      </c>
      <c r="AW79" s="58">
        <f t="shared" si="8"/>
        <v>0</v>
      </c>
      <c r="AX79" s="58">
        <f t="shared" si="9"/>
        <v>0</v>
      </c>
      <c r="AY79" s="58">
        <f t="shared" si="16"/>
        <v>0</v>
      </c>
      <c r="AZ79" s="62">
        <f t="shared" si="10"/>
        <v>0</v>
      </c>
      <c r="BA79" s="63">
        <f t="shared" si="11"/>
        <v>0</v>
      </c>
      <c r="BB79" s="63">
        <f t="shared" si="12"/>
        <v>0</v>
      </c>
    </row>
    <row r="80" spans="3:54" s="17" customFormat="1" x14ac:dyDescent="0.25">
      <c r="C80" s="215"/>
      <c r="D80" s="216"/>
      <c r="E80" s="88"/>
      <c r="F80" s="217"/>
      <c r="G80" s="234"/>
      <c r="H80" s="218"/>
      <c r="I80" s="76"/>
      <c r="J80" s="77"/>
      <c r="K80" s="76"/>
      <c r="L80" s="78"/>
      <c r="M80" s="78"/>
      <c r="N80" s="76" t="s">
        <v>39</v>
      </c>
      <c r="O80" s="110"/>
      <c r="P80" s="152"/>
      <c r="Q80" s="111" t="str">
        <f>IFERROR(MIN(VLOOKUP(ROUNDDOWN(P80,0),'Aide calcul'!$B$2:$C$282,2,FALSE),O80+1),"")</f>
        <v/>
      </c>
      <c r="R80" s="112" t="str">
        <f t="shared" si="13"/>
        <v/>
      </c>
      <c r="S80" s="152"/>
      <c r="T80" s="152"/>
      <c r="U80" s="152"/>
      <c r="V80" s="152"/>
      <c r="W80" s="152"/>
      <c r="X80" s="152"/>
      <c r="Y80" s="152"/>
      <c r="Z80" s="76"/>
      <c r="AA80" s="76"/>
      <c r="AB80" s="113" t="str">
        <f>IF(C80="3111. Logements",ROUND(VLOOKUP(C80,'Informations générales'!$C$66:$E$70,3,FALSE)*(AL80/$AM$28)/12,0)*12,IF(C80="3112. Logements",ROUND(VLOOKUP(C80,'Informations générales'!$C$66:$E$70,3,FALSE)*(AL80/$AN$28)/12,0)*12,IF(C80="3113. Logements",ROUND(VLOOKUP(C80,'Informations générales'!$C$66:$E$70,3,FALSE)*(AL80/$AO$28)/12,0)*12,IF(C80="3114. Logements",ROUND(VLOOKUP(C80,'Informations générales'!$C$66:$E$70,3,FALSE)*(AL80/$AP$28)/12,0)*12,IF(C80="3115. Logements",ROUND(VLOOKUP(C80,'Informations générales'!$C$66:$E$70,3,FALSE)*(AL80/$AQ$28)/12,0)*12,"")))))</f>
        <v/>
      </c>
      <c r="AC80" s="114"/>
      <c r="AD80" s="113">
        <f t="shared" si="14"/>
        <v>0</v>
      </c>
      <c r="AE80" s="114"/>
      <c r="AF80" s="203" t="str">
        <f>IF(C80="3111. Logements",ROUND(VLOOKUP(C80,'Informations générales'!$C$66:$E$70,3,FALSE)*(AL80/$AM$28)/12,0)*12,IF(C80="3112. Logements",ROUND(VLOOKUP(C80,'Informations générales'!$C$66:$E$70,3,FALSE)*(AL80/$AN$28)/12,0)*12,IF(C80="3113. Logements",ROUND(VLOOKUP(C80,'Informations générales'!$C$66:$E$70,3,FALSE)*(AL80/$AO$28)/12,0)*12,IF(C80="3114. Logements",ROUND(VLOOKUP(C80,'Informations générales'!$C$66:$E$70,3,FALSE)*(AL80/$AP$28)/12,0)*12,IF(C80="3115. Logements",ROUND(VLOOKUP(C80,'Informations générales'!$C$66:$E$70,3,FALSE)*(AL80/$AQ$28)/12,0)*12,"")))))</f>
        <v/>
      </c>
      <c r="AG80" s="202"/>
      <c r="AH80" s="113" t="str">
        <f>IF(C80="3111. Logements",ROUND(VLOOKUP(C80,'Informations générales'!$C$66:$H$70,5,FALSE)*(AL80/$AM$28)/12,0)*12,IF(C80="3112. Logements",ROUND(VLOOKUP(C80,'Informations générales'!$C$66:$H$70,5,FALSE)*(AL80/$AN$28)/12,0)*12,IF(C80="3113. Logements",ROUND(VLOOKUP(C80,'Informations générales'!$C$66:$H$70,5,FALSE)*(AL80/$AO$28)/12,0)*12,IF(C80="3114. Logements",ROUND(VLOOKUP(C80,'Informations générales'!$C$66:$H$70,5,FALSE)*(AL80/$AP$28)/12,0)*12,IF(C80="3115. Logements",ROUND(VLOOKUP(C80,'Informations générales'!$C$66:$H$70,5,FALSE)*(AL80/$AQ$28)/12,0)*12,"")))))</f>
        <v/>
      </c>
      <c r="AI80" s="114"/>
      <c r="AJ80" s="114"/>
      <c r="AK80" s="76"/>
      <c r="AL80" s="58">
        <f t="shared" si="15"/>
        <v>0</v>
      </c>
      <c r="AM80" s="58"/>
      <c r="AN80" s="58"/>
      <c r="AO80" s="58"/>
      <c r="AP80" s="58"/>
      <c r="AQ80" s="58"/>
      <c r="AR80" s="58">
        <f t="shared" si="3"/>
        <v>0</v>
      </c>
      <c r="AS80" s="58">
        <f t="shared" si="4"/>
        <v>0</v>
      </c>
      <c r="AT80" s="58">
        <f t="shared" si="5"/>
        <v>0</v>
      </c>
      <c r="AU80" s="58">
        <f t="shared" si="6"/>
        <v>0</v>
      </c>
      <c r="AV80" s="58">
        <f t="shared" si="7"/>
        <v>0</v>
      </c>
      <c r="AW80" s="58">
        <f t="shared" si="8"/>
        <v>0</v>
      </c>
      <c r="AX80" s="58">
        <f t="shared" si="9"/>
        <v>0</v>
      </c>
      <c r="AY80" s="58">
        <f t="shared" si="16"/>
        <v>0</v>
      </c>
      <c r="AZ80" s="62">
        <f t="shared" si="10"/>
        <v>0</v>
      </c>
      <c r="BA80" s="63">
        <f t="shared" si="11"/>
        <v>0</v>
      </c>
      <c r="BB80" s="63">
        <f t="shared" si="12"/>
        <v>0</v>
      </c>
    </row>
    <row r="81" spans="3:54" s="17" customFormat="1" x14ac:dyDescent="0.25">
      <c r="C81" s="215"/>
      <c r="D81" s="216"/>
      <c r="E81" s="88"/>
      <c r="F81" s="217"/>
      <c r="G81" s="234"/>
      <c r="H81" s="218"/>
      <c r="I81" s="76"/>
      <c r="J81" s="77"/>
      <c r="K81" s="76"/>
      <c r="L81" s="78"/>
      <c r="M81" s="78"/>
      <c r="N81" s="76" t="s">
        <v>39</v>
      </c>
      <c r="O81" s="110"/>
      <c r="P81" s="152"/>
      <c r="Q81" s="111" t="str">
        <f>IFERROR(MIN(VLOOKUP(ROUNDDOWN(P81,0),'Aide calcul'!$B$2:$C$282,2,FALSE),O81+1),"")</f>
        <v/>
      </c>
      <c r="R81" s="112" t="str">
        <f t="shared" si="13"/>
        <v/>
      </c>
      <c r="S81" s="152"/>
      <c r="T81" s="152"/>
      <c r="U81" s="152"/>
      <c r="V81" s="152"/>
      <c r="W81" s="152"/>
      <c r="X81" s="152"/>
      <c r="Y81" s="152"/>
      <c r="Z81" s="76"/>
      <c r="AA81" s="76"/>
      <c r="AB81" s="113" t="str">
        <f>IF(C81="3111. Logements",ROUND(VLOOKUP(C81,'Informations générales'!$C$66:$E$70,3,FALSE)*(AL81/$AM$28)/12,0)*12,IF(C81="3112. Logements",ROUND(VLOOKUP(C81,'Informations générales'!$C$66:$E$70,3,FALSE)*(AL81/$AN$28)/12,0)*12,IF(C81="3113. Logements",ROUND(VLOOKUP(C81,'Informations générales'!$C$66:$E$70,3,FALSE)*(AL81/$AO$28)/12,0)*12,IF(C81="3114. Logements",ROUND(VLOOKUP(C81,'Informations générales'!$C$66:$E$70,3,FALSE)*(AL81/$AP$28)/12,0)*12,IF(C81="3115. Logements",ROUND(VLOOKUP(C81,'Informations générales'!$C$66:$E$70,3,FALSE)*(AL81/$AQ$28)/12,0)*12,"")))))</f>
        <v/>
      </c>
      <c r="AC81" s="114"/>
      <c r="AD81" s="113">
        <f t="shared" si="14"/>
        <v>0</v>
      </c>
      <c r="AE81" s="114"/>
      <c r="AF81" s="203" t="str">
        <f>IF(C81="3111. Logements",ROUND(VLOOKUP(C81,'Informations générales'!$C$66:$E$70,3,FALSE)*(AL81/$AM$28)/12,0)*12,IF(C81="3112. Logements",ROUND(VLOOKUP(C81,'Informations générales'!$C$66:$E$70,3,FALSE)*(AL81/$AN$28)/12,0)*12,IF(C81="3113. Logements",ROUND(VLOOKUP(C81,'Informations générales'!$C$66:$E$70,3,FALSE)*(AL81/$AO$28)/12,0)*12,IF(C81="3114. Logements",ROUND(VLOOKUP(C81,'Informations générales'!$C$66:$E$70,3,FALSE)*(AL81/$AP$28)/12,0)*12,IF(C81="3115. Logements",ROUND(VLOOKUP(C81,'Informations générales'!$C$66:$E$70,3,FALSE)*(AL81/$AQ$28)/12,0)*12,"")))))</f>
        <v/>
      </c>
      <c r="AG81" s="202"/>
      <c r="AH81" s="113" t="str">
        <f>IF(C81="3111. Logements",ROUND(VLOOKUP(C81,'Informations générales'!$C$66:$H$70,5,FALSE)*(AL81/$AM$28)/12,0)*12,IF(C81="3112. Logements",ROUND(VLOOKUP(C81,'Informations générales'!$C$66:$H$70,5,FALSE)*(AL81/$AN$28)/12,0)*12,IF(C81="3113. Logements",ROUND(VLOOKUP(C81,'Informations générales'!$C$66:$H$70,5,FALSE)*(AL81/$AO$28)/12,0)*12,IF(C81="3114. Logements",ROUND(VLOOKUP(C81,'Informations générales'!$C$66:$H$70,5,FALSE)*(AL81/$AP$28)/12,0)*12,IF(C81="3115. Logements",ROUND(VLOOKUP(C81,'Informations générales'!$C$66:$H$70,5,FALSE)*(AL81/$AQ$28)/12,0)*12,"")))))</f>
        <v/>
      </c>
      <c r="AI81" s="114"/>
      <c r="AJ81" s="114"/>
      <c r="AK81" s="76"/>
      <c r="AL81" s="58">
        <f t="shared" si="15"/>
        <v>0</v>
      </c>
      <c r="AM81" s="58"/>
      <c r="AN81" s="58"/>
      <c r="AO81" s="58"/>
      <c r="AP81" s="58"/>
      <c r="AQ81" s="58"/>
      <c r="AR81" s="58">
        <f t="shared" si="3"/>
        <v>0</v>
      </c>
      <c r="AS81" s="58">
        <f t="shared" si="4"/>
        <v>0</v>
      </c>
      <c r="AT81" s="58">
        <f t="shared" si="5"/>
        <v>0</v>
      </c>
      <c r="AU81" s="58">
        <f t="shared" si="6"/>
        <v>0</v>
      </c>
      <c r="AV81" s="58">
        <f t="shared" si="7"/>
        <v>0</v>
      </c>
      <c r="AW81" s="58">
        <f t="shared" si="8"/>
        <v>0</v>
      </c>
      <c r="AX81" s="58">
        <f t="shared" si="9"/>
        <v>0</v>
      </c>
      <c r="AY81" s="58">
        <f t="shared" si="16"/>
        <v>0</v>
      </c>
      <c r="AZ81" s="62">
        <f t="shared" si="10"/>
        <v>0</v>
      </c>
      <c r="BA81" s="63">
        <f t="shared" si="11"/>
        <v>0</v>
      </c>
      <c r="BB81" s="63">
        <f t="shared" si="12"/>
        <v>0</v>
      </c>
    </row>
    <row r="82" spans="3:54" s="17" customFormat="1" x14ac:dyDescent="0.25">
      <c r="C82" s="215"/>
      <c r="D82" s="216"/>
      <c r="E82" s="88"/>
      <c r="F82" s="217"/>
      <c r="G82" s="234"/>
      <c r="H82" s="218"/>
      <c r="I82" s="76"/>
      <c r="J82" s="77"/>
      <c r="K82" s="76"/>
      <c r="L82" s="78"/>
      <c r="M82" s="78"/>
      <c r="N82" s="76" t="s">
        <v>39</v>
      </c>
      <c r="O82" s="110"/>
      <c r="P82" s="152"/>
      <c r="Q82" s="111" t="str">
        <f>IFERROR(MIN(VLOOKUP(ROUNDDOWN(P82,0),'Aide calcul'!$B$2:$C$282,2,FALSE),O82+1),"")</f>
        <v/>
      </c>
      <c r="R82" s="112" t="str">
        <f t="shared" si="13"/>
        <v/>
      </c>
      <c r="S82" s="152"/>
      <c r="T82" s="152"/>
      <c r="U82" s="152"/>
      <c r="V82" s="152"/>
      <c r="W82" s="152"/>
      <c r="X82" s="152"/>
      <c r="Y82" s="152"/>
      <c r="Z82" s="76"/>
      <c r="AA82" s="76"/>
      <c r="AB82" s="113" t="str">
        <f>IF(C82="3111. Logements",ROUND(VLOOKUP(C82,'Informations générales'!$C$66:$E$70,3,FALSE)*(AL82/$AM$28)/12,0)*12,IF(C82="3112. Logements",ROUND(VLOOKUP(C82,'Informations générales'!$C$66:$E$70,3,FALSE)*(AL82/$AN$28)/12,0)*12,IF(C82="3113. Logements",ROUND(VLOOKUP(C82,'Informations générales'!$C$66:$E$70,3,FALSE)*(AL82/$AO$28)/12,0)*12,IF(C82="3114. Logements",ROUND(VLOOKUP(C82,'Informations générales'!$C$66:$E$70,3,FALSE)*(AL82/$AP$28)/12,0)*12,IF(C82="3115. Logements",ROUND(VLOOKUP(C82,'Informations générales'!$C$66:$E$70,3,FALSE)*(AL82/$AQ$28)/12,0)*12,"")))))</f>
        <v/>
      </c>
      <c r="AC82" s="114"/>
      <c r="AD82" s="113">
        <f t="shared" si="14"/>
        <v>0</v>
      </c>
      <c r="AE82" s="114"/>
      <c r="AF82" s="203" t="str">
        <f>IF(C82="3111. Logements",ROUND(VLOOKUP(C82,'Informations générales'!$C$66:$E$70,3,FALSE)*(AL82/$AM$28)/12,0)*12,IF(C82="3112. Logements",ROUND(VLOOKUP(C82,'Informations générales'!$C$66:$E$70,3,FALSE)*(AL82/$AN$28)/12,0)*12,IF(C82="3113. Logements",ROUND(VLOOKUP(C82,'Informations générales'!$C$66:$E$70,3,FALSE)*(AL82/$AO$28)/12,0)*12,IF(C82="3114. Logements",ROUND(VLOOKUP(C82,'Informations générales'!$C$66:$E$70,3,FALSE)*(AL82/$AP$28)/12,0)*12,IF(C82="3115. Logements",ROUND(VLOOKUP(C82,'Informations générales'!$C$66:$E$70,3,FALSE)*(AL82/$AQ$28)/12,0)*12,"")))))</f>
        <v/>
      </c>
      <c r="AG82" s="202"/>
      <c r="AH82" s="113" t="str">
        <f>IF(C82="3111. Logements",ROUND(VLOOKUP(C82,'Informations générales'!$C$66:$H$70,5,FALSE)*(AL82/$AM$28)/12,0)*12,IF(C82="3112. Logements",ROUND(VLOOKUP(C82,'Informations générales'!$C$66:$H$70,5,FALSE)*(AL82/$AN$28)/12,0)*12,IF(C82="3113. Logements",ROUND(VLOOKUP(C82,'Informations générales'!$C$66:$H$70,5,FALSE)*(AL82/$AO$28)/12,0)*12,IF(C82="3114. Logements",ROUND(VLOOKUP(C82,'Informations générales'!$C$66:$H$70,5,FALSE)*(AL82/$AP$28)/12,0)*12,IF(C82="3115. Logements",ROUND(VLOOKUP(C82,'Informations générales'!$C$66:$H$70,5,FALSE)*(AL82/$AQ$28)/12,0)*12,"")))))</f>
        <v/>
      </c>
      <c r="AI82" s="114"/>
      <c r="AJ82" s="114"/>
      <c r="AK82" s="76"/>
      <c r="AL82" s="58">
        <f t="shared" si="15"/>
        <v>0</v>
      </c>
      <c r="AM82" s="58"/>
      <c r="AN82" s="58"/>
      <c r="AO82" s="58"/>
      <c r="AP82" s="58"/>
      <c r="AQ82" s="58"/>
      <c r="AR82" s="58">
        <f t="shared" si="3"/>
        <v>0</v>
      </c>
      <c r="AS82" s="58">
        <f t="shared" si="4"/>
        <v>0</v>
      </c>
      <c r="AT82" s="58">
        <f t="shared" si="5"/>
        <v>0</v>
      </c>
      <c r="AU82" s="58">
        <f t="shared" si="6"/>
        <v>0</v>
      </c>
      <c r="AV82" s="58">
        <f t="shared" si="7"/>
        <v>0</v>
      </c>
      <c r="AW82" s="58">
        <f t="shared" si="8"/>
        <v>0</v>
      </c>
      <c r="AX82" s="58">
        <f t="shared" si="9"/>
        <v>0</v>
      </c>
      <c r="AY82" s="58">
        <f t="shared" si="16"/>
        <v>0</v>
      </c>
      <c r="AZ82" s="62">
        <f t="shared" si="10"/>
        <v>0</v>
      </c>
      <c r="BA82" s="63">
        <f t="shared" si="11"/>
        <v>0</v>
      </c>
      <c r="BB82" s="63">
        <f t="shared" si="12"/>
        <v>0</v>
      </c>
    </row>
    <row r="83" spans="3:54" s="17" customFormat="1" x14ac:dyDescent="0.25">
      <c r="C83" s="215"/>
      <c r="D83" s="216"/>
      <c r="E83" s="88"/>
      <c r="F83" s="217"/>
      <c r="G83" s="234"/>
      <c r="H83" s="218"/>
      <c r="I83" s="76"/>
      <c r="J83" s="77"/>
      <c r="K83" s="76"/>
      <c r="L83" s="78"/>
      <c r="M83" s="78"/>
      <c r="N83" s="76" t="s">
        <v>39</v>
      </c>
      <c r="O83" s="110"/>
      <c r="P83" s="152"/>
      <c r="Q83" s="111" t="str">
        <f>IFERROR(MIN(VLOOKUP(ROUNDDOWN(P83,0),'Aide calcul'!$B$2:$C$282,2,FALSE),O83+1),"")</f>
        <v/>
      </c>
      <c r="R83" s="112" t="str">
        <f t="shared" si="13"/>
        <v/>
      </c>
      <c r="S83" s="152"/>
      <c r="T83" s="152"/>
      <c r="U83" s="152"/>
      <c r="V83" s="152"/>
      <c r="W83" s="152"/>
      <c r="X83" s="152"/>
      <c r="Y83" s="152"/>
      <c r="Z83" s="76"/>
      <c r="AA83" s="76"/>
      <c r="AB83" s="113" t="str">
        <f>IF(C83="3111. Logements",ROUND(VLOOKUP(C83,'Informations générales'!$C$66:$E$70,3,FALSE)*(AL83/$AM$28)/12,0)*12,IF(C83="3112. Logements",ROUND(VLOOKUP(C83,'Informations générales'!$C$66:$E$70,3,FALSE)*(AL83/$AN$28)/12,0)*12,IF(C83="3113. Logements",ROUND(VLOOKUP(C83,'Informations générales'!$C$66:$E$70,3,FALSE)*(AL83/$AO$28)/12,0)*12,IF(C83="3114. Logements",ROUND(VLOOKUP(C83,'Informations générales'!$C$66:$E$70,3,FALSE)*(AL83/$AP$28)/12,0)*12,IF(C83="3115. Logements",ROUND(VLOOKUP(C83,'Informations générales'!$C$66:$E$70,3,FALSE)*(AL83/$AQ$28)/12,0)*12,"")))))</f>
        <v/>
      </c>
      <c r="AC83" s="114"/>
      <c r="AD83" s="113">
        <f t="shared" si="14"/>
        <v>0</v>
      </c>
      <c r="AE83" s="114"/>
      <c r="AF83" s="203" t="str">
        <f>IF(C83="3111. Logements",ROUND(VLOOKUP(C83,'Informations générales'!$C$66:$E$70,3,FALSE)*(AL83/$AM$28)/12,0)*12,IF(C83="3112. Logements",ROUND(VLOOKUP(C83,'Informations générales'!$C$66:$E$70,3,FALSE)*(AL83/$AN$28)/12,0)*12,IF(C83="3113. Logements",ROUND(VLOOKUP(C83,'Informations générales'!$C$66:$E$70,3,FALSE)*(AL83/$AO$28)/12,0)*12,IF(C83="3114. Logements",ROUND(VLOOKUP(C83,'Informations générales'!$C$66:$E$70,3,FALSE)*(AL83/$AP$28)/12,0)*12,IF(C83="3115. Logements",ROUND(VLOOKUP(C83,'Informations générales'!$C$66:$E$70,3,FALSE)*(AL83/$AQ$28)/12,0)*12,"")))))</f>
        <v/>
      </c>
      <c r="AG83" s="202"/>
      <c r="AH83" s="113" t="str">
        <f>IF(C83="3111. Logements",ROUND(VLOOKUP(C83,'Informations générales'!$C$66:$H$70,5,FALSE)*(AL83/$AM$28)/12,0)*12,IF(C83="3112. Logements",ROUND(VLOOKUP(C83,'Informations générales'!$C$66:$H$70,5,FALSE)*(AL83/$AN$28)/12,0)*12,IF(C83="3113. Logements",ROUND(VLOOKUP(C83,'Informations générales'!$C$66:$H$70,5,FALSE)*(AL83/$AO$28)/12,0)*12,IF(C83="3114. Logements",ROUND(VLOOKUP(C83,'Informations générales'!$C$66:$H$70,5,FALSE)*(AL83/$AP$28)/12,0)*12,IF(C83="3115. Logements",ROUND(VLOOKUP(C83,'Informations générales'!$C$66:$H$70,5,FALSE)*(AL83/$AQ$28)/12,0)*12,"")))))</f>
        <v/>
      </c>
      <c r="AI83" s="114"/>
      <c r="AJ83" s="114"/>
      <c r="AK83" s="76"/>
      <c r="AL83" s="58">
        <f t="shared" si="15"/>
        <v>0</v>
      </c>
      <c r="AM83" s="58"/>
      <c r="AN83" s="58"/>
      <c r="AO83" s="58"/>
      <c r="AP83" s="58"/>
      <c r="AQ83" s="58"/>
      <c r="AR83" s="58">
        <f t="shared" si="3"/>
        <v>0</v>
      </c>
      <c r="AS83" s="58">
        <f t="shared" si="4"/>
        <v>0</v>
      </c>
      <c r="AT83" s="58">
        <f t="shared" si="5"/>
        <v>0</v>
      </c>
      <c r="AU83" s="58">
        <f t="shared" si="6"/>
        <v>0</v>
      </c>
      <c r="AV83" s="58">
        <f t="shared" si="7"/>
        <v>0</v>
      </c>
      <c r="AW83" s="58">
        <f t="shared" si="8"/>
        <v>0</v>
      </c>
      <c r="AX83" s="58">
        <f t="shared" si="9"/>
        <v>0</v>
      </c>
      <c r="AY83" s="58">
        <f t="shared" si="16"/>
        <v>0</v>
      </c>
      <c r="AZ83" s="62">
        <f t="shared" si="10"/>
        <v>0</v>
      </c>
      <c r="BA83" s="63">
        <f t="shared" si="11"/>
        <v>0</v>
      </c>
      <c r="BB83" s="63">
        <f t="shared" si="12"/>
        <v>0</v>
      </c>
    </row>
    <row r="84" spans="3:54" s="17" customFormat="1" x14ac:dyDescent="0.25">
      <c r="C84" s="215"/>
      <c r="D84" s="216"/>
      <c r="E84" s="88"/>
      <c r="F84" s="217"/>
      <c r="G84" s="234"/>
      <c r="H84" s="218"/>
      <c r="I84" s="76"/>
      <c r="J84" s="77"/>
      <c r="K84" s="76"/>
      <c r="L84" s="78"/>
      <c r="M84" s="78"/>
      <c r="N84" s="76" t="s">
        <v>39</v>
      </c>
      <c r="O84" s="110"/>
      <c r="P84" s="152"/>
      <c r="Q84" s="111" t="str">
        <f>IFERROR(MIN(VLOOKUP(ROUNDDOWN(P84,0),'Aide calcul'!$B$2:$C$282,2,FALSE),O84+1),"")</f>
        <v/>
      </c>
      <c r="R84" s="112" t="str">
        <f t="shared" si="13"/>
        <v/>
      </c>
      <c r="S84" s="152"/>
      <c r="T84" s="152"/>
      <c r="U84" s="152"/>
      <c r="V84" s="152"/>
      <c r="W84" s="152"/>
      <c r="X84" s="152"/>
      <c r="Y84" s="152"/>
      <c r="Z84" s="76"/>
      <c r="AA84" s="76"/>
      <c r="AB84" s="113" t="str">
        <f>IF(C84="3111. Logements",ROUND(VLOOKUP(C84,'Informations générales'!$C$66:$E$70,3,FALSE)*(AL84/$AM$28)/12,0)*12,IF(C84="3112. Logements",ROUND(VLOOKUP(C84,'Informations générales'!$C$66:$E$70,3,FALSE)*(AL84/$AN$28)/12,0)*12,IF(C84="3113. Logements",ROUND(VLOOKUP(C84,'Informations générales'!$C$66:$E$70,3,FALSE)*(AL84/$AO$28)/12,0)*12,IF(C84="3114. Logements",ROUND(VLOOKUP(C84,'Informations générales'!$C$66:$E$70,3,FALSE)*(AL84/$AP$28)/12,0)*12,IF(C84="3115. Logements",ROUND(VLOOKUP(C84,'Informations générales'!$C$66:$E$70,3,FALSE)*(AL84/$AQ$28)/12,0)*12,"")))))</f>
        <v/>
      </c>
      <c r="AC84" s="114"/>
      <c r="AD84" s="113">
        <f t="shared" si="14"/>
        <v>0</v>
      </c>
      <c r="AE84" s="114"/>
      <c r="AF84" s="203" t="str">
        <f>IF(C84="3111. Logements",ROUND(VLOOKUP(C84,'Informations générales'!$C$66:$E$70,3,FALSE)*(AL84/$AM$28)/12,0)*12,IF(C84="3112. Logements",ROUND(VLOOKUP(C84,'Informations générales'!$C$66:$E$70,3,FALSE)*(AL84/$AN$28)/12,0)*12,IF(C84="3113. Logements",ROUND(VLOOKUP(C84,'Informations générales'!$C$66:$E$70,3,FALSE)*(AL84/$AO$28)/12,0)*12,IF(C84="3114. Logements",ROUND(VLOOKUP(C84,'Informations générales'!$C$66:$E$70,3,FALSE)*(AL84/$AP$28)/12,0)*12,IF(C84="3115. Logements",ROUND(VLOOKUP(C84,'Informations générales'!$C$66:$E$70,3,FALSE)*(AL84/$AQ$28)/12,0)*12,"")))))</f>
        <v/>
      </c>
      <c r="AG84" s="202"/>
      <c r="AH84" s="113" t="str">
        <f>IF(C84="3111. Logements",ROUND(VLOOKUP(C84,'Informations générales'!$C$66:$H$70,5,FALSE)*(AL84/$AM$28)/12,0)*12,IF(C84="3112. Logements",ROUND(VLOOKUP(C84,'Informations générales'!$C$66:$H$70,5,FALSE)*(AL84/$AN$28)/12,0)*12,IF(C84="3113. Logements",ROUND(VLOOKUP(C84,'Informations générales'!$C$66:$H$70,5,FALSE)*(AL84/$AO$28)/12,0)*12,IF(C84="3114. Logements",ROUND(VLOOKUP(C84,'Informations générales'!$C$66:$H$70,5,FALSE)*(AL84/$AP$28)/12,0)*12,IF(C84="3115. Logements",ROUND(VLOOKUP(C84,'Informations générales'!$C$66:$H$70,5,FALSE)*(AL84/$AQ$28)/12,0)*12,"")))))</f>
        <v/>
      </c>
      <c r="AI84" s="114"/>
      <c r="AJ84" s="114"/>
      <c r="AK84" s="76"/>
      <c r="AL84" s="58">
        <f t="shared" si="15"/>
        <v>0</v>
      </c>
      <c r="AM84" s="58"/>
      <c r="AN84" s="58"/>
      <c r="AO84" s="58"/>
      <c r="AP84" s="58"/>
      <c r="AQ84" s="58"/>
      <c r="AR84" s="58">
        <f t="shared" si="3"/>
        <v>0</v>
      </c>
      <c r="AS84" s="58">
        <f t="shared" si="4"/>
        <v>0</v>
      </c>
      <c r="AT84" s="58">
        <f t="shared" si="5"/>
        <v>0</v>
      </c>
      <c r="AU84" s="58">
        <f t="shared" si="6"/>
        <v>0</v>
      </c>
      <c r="AV84" s="58">
        <f t="shared" si="7"/>
        <v>0</v>
      </c>
      <c r="AW84" s="58">
        <f t="shared" si="8"/>
        <v>0</v>
      </c>
      <c r="AX84" s="58">
        <f t="shared" si="9"/>
        <v>0</v>
      </c>
      <c r="AY84" s="58">
        <f t="shared" si="16"/>
        <v>0</v>
      </c>
      <c r="AZ84" s="62">
        <f t="shared" si="10"/>
        <v>0</v>
      </c>
      <c r="BA84" s="63">
        <f t="shared" si="11"/>
        <v>0</v>
      </c>
      <c r="BB84" s="63">
        <f t="shared" si="12"/>
        <v>0</v>
      </c>
    </row>
    <row r="85" spans="3:54" s="17" customFormat="1" x14ac:dyDescent="0.25">
      <c r="C85" s="215"/>
      <c r="D85" s="216"/>
      <c r="E85" s="88"/>
      <c r="F85" s="217"/>
      <c r="G85" s="234"/>
      <c r="H85" s="218"/>
      <c r="I85" s="76"/>
      <c r="J85" s="77"/>
      <c r="K85" s="76"/>
      <c r="L85" s="78"/>
      <c r="M85" s="78"/>
      <c r="N85" s="76" t="s">
        <v>39</v>
      </c>
      <c r="O85" s="110"/>
      <c r="P85" s="152"/>
      <c r="Q85" s="111" t="str">
        <f>IFERROR(MIN(VLOOKUP(ROUNDDOWN(P85,0),'Aide calcul'!$B$2:$C$282,2,FALSE),O85+1),"")</f>
        <v/>
      </c>
      <c r="R85" s="112" t="str">
        <f t="shared" si="13"/>
        <v/>
      </c>
      <c r="S85" s="152"/>
      <c r="T85" s="152"/>
      <c r="U85" s="152"/>
      <c r="V85" s="152"/>
      <c r="W85" s="152"/>
      <c r="X85" s="152"/>
      <c r="Y85" s="152"/>
      <c r="Z85" s="76"/>
      <c r="AA85" s="76"/>
      <c r="AB85" s="113" t="str">
        <f>IF(C85="3111. Logements",ROUND(VLOOKUP(C85,'Informations générales'!$C$66:$E$70,3,FALSE)*(AL85/$AM$28)/12,0)*12,IF(C85="3112. Logements",ROUND(VLOOKUP(C85,'Informations générales'!$C$66:$E$70,3,FALSE)*(AL85/$AN$28)/12,0)*12,IF(C85="3113. Logements",ROUND(VLOOKUP(C85,'Informations générales'!$C$66:$E$70,3,FALSE)*(AL85/$AO$28)/12,0)*12,IF(C85="3114. Logements",ROUND(VLOOKUP(C85,'Informations générales'!$C$66:$E$70,3,FALSE)*(AL85/$AP$28)/12,0)*12,IF(C85="3115. Logements",ROUND(VLOOKUP(C85,'Informations générales'!$C$66:$E$70,3,FALSE)*(AL85/$AQ$28)/12,0)*12,"")))))</f>
        <v/>
      </c>
      <c r="AC85" s="114"/>
      <c r="AD85" s="113">
        <f t="shared" si="14"/>
        <v>0</v>
      </c>
      <c r="AE85" s="114"/>
      <c r="AF85" s="203" t="str">
        <f>IF(C85="3111. Logements",ROUND(VLOOKUP(C85,'Informations générales'!$C$66:$E$70,3,FALSE)*(AL85/$AM$28)/12,0)*12,IF(C85="3112. Logements",ROUND(VLOOKUP(C85,'Informations générales'!$C$66:$E$70,3,FALSE)*(AL85/$AN$28)/12,0)*12,IF(C85="3113. Logements",ROUND(VLOOKUP(C85,'Informations générales'!$C$66:$E$70,3,FALSE)*(AL85/$AO$28)/12,0)*12,IF(C85="3114. Logements",ROUND(VLOOKUP(C85,'Informations générales'!$C$66:$E$70,3,FALSE)*(AL85/$AP$28)/12,0)*12,IF(C85="3115. Logements",ROUND(VLOOKUP(C85,'Informations générales'!$C$66:$E$70,3,FALSE)*(AL85/$AQ$28)/12,0)*12,"")))))</f>
        <v/>
      </c>
      <c r="AG85" s="202"/>
      <c r="AH85" s="113" t="str">
        <f>IF(C85="3111. Logements",ROUND(VLOOKUP(C85,'Informations générales'!$C$66:$H$70,5,FALSE)*(AL85/$AM$28)/12,0)*12,IF(C85="3112. Logements",ROUND(VLOOKUP(C85,'Informations générales'!$C$66:$H$70,5,FALSE)*(AL85/$AN$28)/12,0)*12,IF(C85="3113. Logements",ROUND(VLOOKUP(C85,'Informations générales'!$C$66:$H$70,5,FALSE)*(AL85/$AO$28)/12,0)*12,IF(C85="3114. Logements",ROUND(VLOOKUP(C85,'Informations générales'!$C$66:$H$70,5,FALSE)*(AL85/$AP$28)/12,0)*12,IF(C85="3115. Logements",ROUND(VLOOKUP(C85,'Informations générales'!$C$66:$H$70,5,FALSE)*(AL85/$AQ$28)/12,0)*12,"")))))</f>
        <v/>
      </c>
      <c r="AI85" s="114"/>
      <c r="AJ85" s="114"/>
      <c r="AK85" s="76"/>
      <c r="AL85" s="58">
        <f t="shared" si="15"/>
        <v>0</v>
      </c>
      <c r="AM85" s="58"/>
      <c r="AN85" s="58"/>
      <c r="AO85" s="58"/>
      <c r="AP85" s="58"/>
      <c r="AQ85" s="58"/>
      <c r="AR85" s="58">
        <f t="shared" si="3"/>
        <v>0</v>
      </c>
      <c r="AS85" s="58">
        <f t="shared" si="4"/>
        <v>0</v>
      </c>
      <c r="AT85" s="58">
        <f t="shared" si="5"/>
        <v>0</v>
      </c>
      <c r="AU85" s="58">
        <f t="shared" si="6"/>
        <v>0</v>
      </c>
      <c r="AV85" s="58">
        <f t="shared" si="7"/>
        <v>0</v>
      </c>
      <c r="AW85" s="58">
        <f t="shared" si="8"/>
        <v>0</v>
      </c>
      <c r="AX85" s="58">
        <f t="shared" si="9"/>
        <v>0</v>
      </c>
      <c r="AY85" s="58">
        <f t="shared" si="16"/>
        <v>0</v>
      </c>
      <c r="AZ85" s="62">
        <f t="shared" si="10"/>
        <v>0</v>
      </c>
      <c r="BA85" s="63">
        <f t="shared" si="11"/>
        <v>0</v>
      </c>
      <c r="BB85" s="63">
        <f t="shared" si="12"/>
        <v>0</v>
      </c>
    </row>
    <row r="86" spans="3:54" s="17" customFormat="1" x14ac:dyDescent="0.25">
      <c r="C86" s="215"/>
      <c r="D86" s="216"/>
      <c r="E86" s="88"/>
      <c r="F86" s="217"/>
      <c r="G86" s="234"/>
      <c r="H86" s="218"/>
      <c r="I86" s="76"/>
      <c r="J86" s="77"/>
      <c r="K86" s="76"/>
      <c r="L86" s="78"/>
      <c r="M86" s="78"/>
      <c r="N86" s="76" t="s">
        <v>39</v>
      </c>
      <c r="O86" s="110"/>
      <c r="P86" s="152"/>
      <c r="Q86" s="111" t="str">
        <f>IFERROR(MIN(VLOOKUP(ROUNDDOWN(P86,0),'Aide calcul'!$B$2:$C$282,2,FALSE),O86+1),"")</f>
        <v/>
      </c>
      <c r="R86" s="112" t="str">
        <f t="shared" si="13"/>
        <v/>
      </c>
      <c r="S86" s="152"/>
      <c r="T86" s="152"/>
      <c r="U86" s="152"/>
      <c r="V86" s="152"/>
      <c r="W86" s="152"/>
      <c r="X86" s="152"/>
      <c r="Y86" s="152"/>
      <c r="Z86" s="76"/>
      <c r="AA86" s="76"/>
      <c r="AB86" s="113" t="str">
        <f>IF(C86="3111. Logements",ROUND(VLOOKUP(C86,'Informations générales'!$C$66:$E$70,3,FALSE)*(AL86/$AM$28)/12,0)*12,IF(C86="3112. Logements",ROUND(VLOOKUP(C86,'Informations générales'!$C$66:$E$70,3,FALSE)*(AL86/$AN$28)/12,0)*12,IF(C86="3113. Logements",ROUND(VLOOKUP(C86,'Informations générales'!$C$66:$E$70,3,FALSE)*(AL86/$AO$28)/12,0)*12,IF(C86="3114. Logements",ROUND(VLOOKUP(C86,'Informations générales'!$C$66:$E$70,3,FALSE)*(AL86/$AP$28)/12,0)*12,IF(C86="3115. Logements",ROUND(VLOOKUP(C86,'Informations générales'!$C$66:$E$70,3,FALSE)*(AL86/$AQ$28)/12,0)*12,"")))))</f>
        <v/>
      </c>
      <c r="AC86" s="114"/>
      <c r="AD86" s="113">
        <f t="shared" si="14"/>
        <v>0</v>
      </c>
      <c r="AE86" s="114"/>
      <c r="AF86" s="203" t="str">
        <f>IF(C86="3111. Logements",ROUND(VLOOKUP(C86,'Informations générales'!$C$66:$E$70,3,FALSE)*(AL86/$AM$28)/12,0)*12,IF(C86="3112. Logements",ROUND(VLOOKUP(C86,'Informations générales'!$C$66:$E$70,3,FALSE)*(AL86/$AN$28)/12,0)*12,IF(C86="3113. Logements",ROUND(VLOOKUP(C86,'Informations générales'!$C$66:$E$70,3,FALSE)*(AL86/$AO$28)/12,0)*12,IF(C86="3114. Logements",ROUND(VLOOKUP(C86,'Informations générales'!$C$66:$E$70,3,FALSE)*(AL86/$AP$28)/12,0)*12,IF(C86="3115. Logements",ROUND(VLOOKUP(C86,'Informations générales'!$C$66:$E$70,3,FALSE)*(AL86/$AQ$28)/12,0)*12,"")))))</f>
        <v/>
      </c>
      <c r="AG86" s="202"/>
      <c r="AH86" s="113" t="str">
        <f>IF(C86="3111. Logements",ROUND(VLOOKUP(C86,'Informations générales'!$C$66:$H$70,5,FALSE)*(AL86/$AM$28)/12,0)*12,IF(C86="3112. Logements",ROUND(VLOOKUP(C86,'Informations générales'!$C$66:$H$70,5,FALSE)*(AL86/$AN$28)/12,0)*12,IF(C86="3113. Logements",ROUND(VLOOKUP(C86,'Informations générales'!$C$66:$H$70,5,FALSE)*(AL86/$AO$28)/12,0)*12,IF(C86="3114. Logements",ROUND(VLOOKUP(C86,'Informations générales'!$C$66:$H$70,5,FALSE)*(AL86/$AP$28)/12,0)*12,IF(C86="3115. Logements",ROUND(VLOOKUP(C86,'Informations générales'!$C$66:$H$70,5,FALSE)*(AL86/$AQ$28)/12,0)*12,"")))))</f>
        <v/>
      </c>
      <c r="AI86" s="114"/>
      <c r="AJ86" s="114"/>
      <c r="AK86" s="76"/>
      <c r="AL86" s="58">
        <f t="shared" si="15"/>
        <v>0</v>
      </c>
      <c r="AM86" s="58"/>
      <c r="AN86" s="58"/>
      <c r="AO86" s="58"/>
      <c r="AP86" s="58"/>
      <c r="AQ86" s="58"/>
      <c r="AR86" s="58">
        <f t="shared" si="3"/>
        <v>0</v>
      </c>
      <c r="AS86" s="58">
        <f t="shared" si="4"/>
        <v>0</v>
      </c>
      <c r="AT86" s="58">
        <f t="shared" si="5"/>
        <v>0</v>
      </c>
      <c r="AU86" s="58">
        <f t="shared" si="6"/>
        <v>0</v>
      </c>
      <c r="AV86" s="58">
        <f t="shared" si="7"/>
        <v>0</v>
      </c>
      <c r="AW86" s="58">
        <f t="shared" si="8"/>
        <v>0</v>
      </c>
      <c r="AX86" s="58">
        <f t="shared" si="9"/>
        <v>0</v>
      </c>
      <c r="AY86" s="58">
        <f t="shared" si="16"/>
        <v>0</v>
      </c>
      <c r="AZ86" s="62">
        <f t="shared" si="10"/>
        <v>0</v>
      </c>
      <c r="BA86" s="63">
        <f t="shared" si="11"/>
        <v>0</v>
      </c>
      <c r="BB86" s="63">
        <f t="shared" si="12"/>
        <v>0</v>
      </c>
    </row>
    <row r="87" spans="3:54" s="17" customFormat="1" x14ac:dyDescent="0.25">
      <c r="C87" s="215"/>
      <c r="D87" s="216"/>
      <c r="E87" s="88"/>
      <c r="F87" s="217"/>
      <c r="G87" s="234"/>
      <c r="H87" s="218"/>
      <c r="I87" s="76"/>
      <c r="J87" s="77"/>
      <c r="K87" s="76"/>
      <c r="L87" s="78"/>
      <c r="M87" s="78"/>
      <c r="N87" s="76" t="s">
        <v>39</v>
      </c>
      <c r="O87" s="110"/>
      <c r="P87" s="152"/>
      <c r="Q87" s="111" t="str">
        <f>IFERROR(MIN(VLOOKUP(ROUNDDOWN(P87,0),'Aide calcul'!$B$2:$C$282,2,FALSE),O87+1),"")</f>
        <v/>
      </c>
      <c r="R87" s="112" t="str">
        <f t="shared" si="13"/>
        <v/>
      </c>
      <c r="S87" s="152"/>
      <c r="T87" s="152"/>
      <c r="U87" s="152"/>
      <c r="V87" s="152"/>
      <c r="W87" s="152"/>
      <c r="X87" s="152"/>
      <c r="Y87" s="152"/>
      <c r="Z87" s="76"/>
      <c r="AA87" s="76"/>
      <c r="AB87" s="113" t="str">
        <f>IF(C87="3111. Logements",ROUND(VLOOKUP(C87,'Informations générales'!$C$66:$E$70,3,FALSE)*(AL87/$AM$28)/12,0)*12,IF(C87="3112. Logements",ROUND(VLOOKUP(C87,'Informations générales'!$C$66:$E$70,3,FALSE)*(AL87/$AN$28)/12,0)*12,IF(C87="3113. Logements",ROUND(VLOOKUP(C87,'Informations générales'!$C$66:$E$70,3,FALSE)*(AL87/$AO$28)/12,0)*12,IF(C87="3114. Logements",ROUND(VLOOKUP(C87,'Informations générales'!$C$66:$E$70,3,FALSE)*(AL87/$AP$28)/12,0)*12,IF(C87="3115. Logements",ROUND(VLOOKUP(C87,'Informations générales'!$C$66:$E$70,3,FALSE)*(AL87/$AQ$28)/12,0)*12,"")))))</f>
        <v/>
      </c>
      <c r="AC87" s="114"/>
      <c r="AD87" s="113">
        <f t="shared" si="14"/>
        <v>0</v>
      </c>
      <c r="AE87" s="114"/>
      <c r="AF87" s="203" t="str">
        <f>IF(C87="3111. Logements",ROUND(VLOOKUP(C87,'Informations générales'!$C$66:$E$70,3,FALSE)*(AL87/$AM$28)/12,0)*12,IF(C87="3112. Logements",ROUND(VLOOKUP(C87,'Informations générales'!$C$66:$E$70,3,FALSE)*(AL87/$AN$28)/12,0)*12,IF(C87="3113. Logements",ROUND(VLOOKUP(C87,'Informations générales'!$C$66:$E$70,3,FALSE)*(AL87/$AO$28)/12,0)*12,IF(C87="3114. Logements",ROUND(VLOOKUP(C87,'Informations générales'!$C$66:$E$70,3,FALSE)*(AL87/$AP$28)/12,0)*12,IF(C87="3115. Logements",ROUND(VLOOKUP(C87,'Informations générales'!$C$66:$E$70,3,FALSE)*(AL87/$AQ$28)/12,0)*12,"")))))</f>
        <v/>
      </c>
      <c r="AG87" s="202"/>
      <c r="AH87" s="113" t="str">
        <f>IF(C87="3111. Logements",ROUND(VLOOKUP(C87,'Informations générales'!$C$66:$H$70,5,FALSE)*(AL87/$AM$28)/12,0)*12,IF(C87="3112. Logements",ROUND(VLOOKUP(C87,'Informations générales'!$C$66:$H$70,5,FALSE)*(AL87/$AN$28)/12,0)*12,IF(C87="3113. Logements",ROUND(VLOOKUP(C87,'Informations générales'!$C$66:$H$70,5,FALSE)*(AL87/$AO$28)/12,0)*12,IF(C87="3114. Logements",ROUND(VLOOKUP(C87,'Informations générales'!$C$66:$H$70,5,FALSE)*(AL87/$AP$28)/12,0)*12,IF(C87="3115. Logements",ROUND(VLOOKUP(C87,'Informations générales'!$C$66:$H$70,5,FALSE)*(AL87/$AQ$28)/12,0)*12,"")))))</f>
        <v/>
      </c>
      <c r="AI87" s="114"/>
      <c r="AJ87" s="114"/>
      <c r="AK87" s="76"/>
      <c r="AL87" s="58">
        <f t="shared" si="15"/>
        <v>0</v>
      </c>
      <c r="AM87" s="58"/>
      <c r="AN87" s="58"/>
      <c r="AO87" s="58"/>
      <c r="AP87" s="58"/>
      <c r="AQ87" s="58"/>
      <c r="AR87" s="58">
        <f t="shared" si="3"/>
        <v>0</v>
      </c>
      <c r="AS87" s="58">
        <f t="shared" si="4"/>
        <v>0</v>
      </c>
      <c r="AT87" s="58">
        <f t="shared" si="5"/>
        <v>0</v>
      </c>
      <c r="AU87" s="58">
        <f t="shared" si="6"/>
        <v>0</v>
      </c>
      <c r="AV87" s="58">
        <f t="shared" si="7"/>
        <v>0</v>
      </c>
      <c r="AW87" s="58">
        <f t="shared" si="8"/>
        <v>0</v>
      </c>
      <c r="AX87" s="58">
        <f t="shared" si="9"/>
        <v>0</v>
      </c>
      <c r="AY87" s="58">
        <f t="shared" si="16"/>
        <v>0</v>
      </c>
      <c r="AZ87" s="62">
        <f t="shared" si="10"/>
        <v>0</v>
      </c>
      <c r="BA87" s="63">
        <f t="shared" si="11"/>
        <v>0</v>
      </c>
      <c r="BB87" s="63">
        <f t="shared" si="12"/>
        <v>0</v>
      </c>
    </row>
    <row r="88" spans="3:54" s="17" customFormat="1" x14ac:dyDescent="0.25">
      <c r="C88" s="215"/>
      <c r="D88" s="216"/>
      <c r="E88" s="88"/>
      <c r="F88" s="217"/>
      <c r="G88" s="234"/>
      <c r="H88" s="218"/>
      <c r="I88" s="76"/>
      <c r="J88" s="77"/>
      <c r="K88" s="76"/>
      <c r="L88" s="78"/>
      <c r="M88" s="78"/>
      <c r="N88" s="76" t="s">
        <v>39</v>
      </c>
      <c r="O88" s="110"/>
      <c r="P88" s="152"/>
      <c r="Q88" s="111" t="str">
        <f>IFERROR(MIN(VLOOKUP(ROUNDDOWN(P88,0),'Aide calcul'!$B$2:$C$282,2,FALSE),O88+1),"")</f>
        <v/>
      </c>
      <c r="R88" s="112" t="str">
        <f t="shared" si="13"/>
        <v/>
      </c>
      <c r="S88" s="152"/>
      <c r="T88" s="152"/>
      <c r="U88" s="152"/>
      <c r="V88" s="152"/>
      <c r="W88" s="152"/>
      <c r="X88" s="152"/>
      <c r="Y88" s="152"/>
      <c r="Z88" s="76"/>
      <c r="AA88" s="76"/>
      <c r="AB88" s="113" t="str">
        <f>IF(C88="3111. Logements",ROUND(VLOOKUP(C88,'Informations générales'!$C$66:$E$70,3,FALSE)*(AL88/$AM$28)/12,0)*12,IF(C88="3112. Logements",ROUND(VLOOKUP(C88,'Informations générales'!$C$66:$E$70,3,FALSE)*(AL88/$AN$28)/12,0)*12,IF(C88="3113. Logements",ROUND(VLOOKUP(C88,'Informations générales'!$C$66:$E$70,3,FALSE)*(AL88/$AO$28)/12,0)*12,IF(C88="3114. Logements",ROUND(VLOOKUP(C88,'Informations générales'!$C$66:$E$70,3,FALSE)*(AL88/$AP$28)/12,0)*12,IF(C88="3115. Logements",ROUND(VLOOKUP(C88,'Informations générales'!$C$66:$E$70,3,FALSE)*(AL88/$AQ$28)/12,0)*12,"")))))</f>
        <v/>
      </c>
      <c r="AC88" s="114"/>
      <c r="AD88" s="113">
        <f t="shared" si="14"/>
        <v>0</v>
      </c>
      <c r="AE88" s="114"/>
      <c r="AF88" s="203" t="str">
        <f>IF(C88="3111. Logements",ROUND(VLOOKUP(C88,'Informations générales'!$C$66:$E$70,3,FALSE)*(AL88/$AM$28)/12,0)*12,IF(C88="3112. Logements",ROUND(VLOOKUP(C88,'Informations générales'!$C$66:$E$70,3,FALSE)*(AL88/$AN$28)/12,0)*12,IF(C88="3113. Logements",ROUND(VLOOKUP(C88,'Informations générales'!$C$66:$E$70,3,FALSE)*(AL88/$AO$28)/12,0)*12,IF(C88="3114. Logements",ROUND(VLOOKUP(C88,'Informations générales'!$C$66:$E$70,3,FALSE)*(AL88/$AP$28)/12,0)*12,IF(C88="3115. Logements",ROUND(VLOOKUP(C88,'Informations générales'!$C$66:$E$70,3,FALSE)*(AL88/$AQ$28)/12,0)*12,"")))))</f>
        <v/>
      </c>
      <c r="AG88" s="202"/>
      <c r="AH88" s="113" t="str">
        <f>IF(C88="3111. Logements",ROUND(VLOOKUP(C88,'Informations générales'!$C$66:$H$70,5,FALSE)*(AL88/$AM$28)/12,0)*12,IF(C88="3112. Logements",ROUND(VLOOKUP(C88,'Informations générales'!$C$66:$H$70,5,FALSE)*(AL88/$AN$28)/12,0)*12,IF(C88="3113. Logements",ROUND(VLOOKUP(C88,'Informations générales'!$C$66:$H$70,5,FALSE)*(AL88/$AO$28)/12,0)*12,IF(C88="3114. Logements",ROUND(VLOOKUP(C88,'Informations générales'!$C$66:$H$70,5,FALSE)*(AL88/$AP$28)/12,0)*12,IF(C88="3115. Logements",ROUND(VLOOKUP(C88,'Informations générales'!$C$66:$H$70,5,FALSE)*(AL88/$AQ$28)/12,0)*12,"")))))</f>
        <v/>
      </c>
      <c r="AI88" s="114"/>
      <c r="AJ88" s="114"/>
      <c r="AK88" s="76"/>
      <c r="AL88" s="58">
        <f t="shared" si="15"/>
        <v>0</v>
      </c>
      <c r="AM88" s="58"/>
      <c r="AN88" s="58"/>
      <c r="AO88" s="58"/>
      <c r="AP88" s="58"/>
      <c r="AQ88" s="58"/>
      <c r="AR88" s="58">
        <f t="shared" si="3"/>
        <v>0</v>
      </c>
      <c r="AS88" s="58">
        <f t="shared" si="4"/>
        <v>0</v>
      </c>
      <c r="AT88" s="58">
        <f t="shared" si="5"/>
        <v>0</v>
      </c>
      <c r="AU88" s="58">
        <f t="shared" si="6"/>
        <v>0</v>
      </c>
      <c r="AV88" s="58">
        <f t="shared" si="7"/>
        <v>0</v>
      </c>
      <c r="AW88" s="58">
        <f t="shared" si="8"/>
        <v>0</v>
      </c>
      <c r="AX88" s="58">
        <f t="shared" si="9"/>
        <v>0</v>
      </c>
      <c r="AY88" s="58">
        <f t="shared" si="16"/>
        <v>0</v>
      </c>
      <c r="AZ88" s="62">
        <f t="shared" si="10"/>
        <v>0</v>
      </c>
      <c r="BA88" s="63">
        <f t="shared" si="11"/>
        <v>0</v>
      </c>
      <c r="BB88" s="63">
        <f t="shared" si="12"/>
        <v>0</v>
      </c>
    </row>
    <row r="89" spans="3:54" s="17" customFormat="1" x14ac:dyDescent="0.25">
      <c r="C89" s="215"/>
      <c r="D89" s="216"/>
      <c r="E89" s="88"/>
      <c r="F89" s="217"/>
      <c r="G89" s="234"/>
      <c r="H89" s="218"/>
      <c r="I89" s="76"/>
      <c r="J89" s="77"/>
      <c r="K89" s="76"/>
      <c r="L89" s="78"/>
      <c r="M89" s="78"/>
      <c r="N89" s="76" t="s">
        <v>39</v>
      </c>
      <c r="O89" s="110"/>
      <c r="P89" s="152"/>
      <c r="Q89" s="111" t="str">
        <f>IFERROR(MIN(VLOOKUP(ROUNDDOWN(P89,0),'Aide calcul'!$B$2:$C$282,2,FALSE),O89+1),"")</f>
        <v/>
      </c>
      <c r="R89" s="112" t="str">
        <f t="shared" si="13"/>
        <v/>
      </c>
      <c r="S89" s="152"/>
      <c r="T89" s="152"/>
      <c r="U89" s="152"/>
      <c r="V89" s="152"/>
      <c r="W89" s="152"/>
      <c r="X89" s="152"/>
      <c r="Y89" s="152"/>
      <c r="Z89" s="76"/>
      <c r="AA89" s="76"/>
      <c r="AB89" s="113" t="str">
        <f>IF(C89="3111. Logements",ROUND(VLOOKUP(C89,'Informations générales'!$C$66:$E$70,3,FALSE)*(AL89/$AM$28)/12,0)*12,IF(C89="3112. Logements",ROUND(VLOOKUP(C89,'Informations générales'!$C$66:$E$70,3,FALSE)*(AL89/$AN$28)/12,0)*12,IF(C89="3113. Logements",ROUND(VLOOKUP(C89,'Informations générales'!$C$66:$E$70,3,FALSE)*(AL89/$AO$28)/12,0)*12,IF(C89="3114. Logements",ROUND(VLOOKUP(C89,'Informations générales'!$C$66:$E$70,3,FALSE)*(AL89/$AP$28)/12,0)*12,IF(C89="3115. Logements",ROUND(VLOOKUP(C89,'Informations générales'!$C$66:$E$70,3,FALSE)*(AL89/$AQ$28)/12,0)*12,"")))))</f>
        <v/>
      </c>
      <c r="AC89" s="114"/>
      <c r="AD89" s="113">
        <f t="shared" si="14"/>
        <v>0</v>
      </c>
      <c r="AE89" s="114"/>
      <c r="AF89" s="203" t="str">
        <f>IF(C89="3111. Logements",ROUND(VLOOKUP(C89,'Informations générales'!$C$66:$E$70,3,FALSE)*(AL89/$AM$28)/12,0)*12,IF(C89="3112. Logements",ROUND(VLOOKUP(C89,'Informations générales'!$C$66:$E$70,3,FALSE)*(AL89/$AN$28)/12,0)*12,IF(C89="3113. Logements",ROUND(VLOOKUP(C89,'Informations générales'!$C$66:$E$70,3,FALSE)*(AL89/$AO$28)/12,0)*12,IF(C89="3114. Logements",ROUND(VLOOKUP(C89,'Informations générales'!$C$66:$E$70,3,FALSE)*(AL89/$AP$28)/12,0)*12,IF(C89="3115. Logements",ROUND(VLOOKUP(C89,'Informations générales'!$C$66:$E$70,3,FALSE)*(AL89/$AQ$28)/12,0)*12,"")))))</f>
        <v/>
      </c>
      <c r="AG89" s="202"/>
      <c r="AH89" s="113" t="str">
        <f>IF(C89="3111. Logements",ROUND(VLOOKUP(C89,'Informations générales'!$C$66:$H$70,5,FALSE)*(AL89/$AM$28)/12,0)*12,IF(C89="3112. Logements",ROUND(VLOOKUP(C89,'Informations générales'!$C$66:$H$70,5,FALSE)*(AL89/$AN$28)/12,0)*12,IF(C89="3113. Logements",ROUND(VLOOKUP(C89,'Informations générales'!$C$66:$H$70,5,FALSE)*(AL89/$AO$28)/12,0)*12,IF(C89="3114. Logements",ROUND(VLOOKUP(C89,'Informations générales'!$C$66:$H$70,5,FALSE)*(AL89/$AP$28)/12,0)*12,IF(C89="3115. Logements",ROUND(VLOOKUP(C89,'Informations générales'!$C$66:$H$70,5,FALSE)*(AL89/$AQ$28)/12,0)*12,"")))))</f>
        <v/>
      </c>
      <c r="AI89" s="114"/>
      <c r="AJ89" s="114"/>
      <c r="AK89" s="76"/>
      <c r="AL89" s="58">
        <f t="shared" si="15"/>
        <v>0</v>
      </c>
      <c r="AM89" s="58"/>
      <c r="AN89" s="58"/>
      <c r="AO89" s="58"/>
      <c r="AP89" s="58"/>
      <c r="AQ89" s="58"/>
      <c r="AR89" s="58">
        <f t="shared" si="3"/>
        <v>0</v>
      </c>
      <c r="AS89" s="58">
        <f t="shared" si="4"/>
        <v>0</v>
      </c>
      <c r="AT89" s="58">
        <f t="shared" si="5"/>
        <v>0</v>
      </c>
      <c r="AU89" s="58">
        <f t="shared" si="6"/>
        <v>0</v>
      </c>
      <c r="AV89" s="58">
        <f t="shared" si="7"/>
        <v>0</v>
      </c>
      <c r="AW89" s="58">
        <f t="shared" si="8"/>
        <v>0</v>
      </c>
      <c r="AX89" s="58">
        <f t="shared" si="9"/>
        <v>0</v>
      </c>
      <c r="AY89" s="58">
        <f t="shared" si="16"/>
        <v>0</v>
      </c>
      <c r="AZ89" s="62">
        <f t="shared" si="10"/>
        <v>0</v>
      </c>
      <c r="BA89" s="63">
        <f t="shared" si="11"/>
        <v>0</v>
      </c>
      <c r="BB89" s="63">
        <f t="shared" si="12"/>
        <v>0</v>
      </c>
    </row>
    <row r="90" spans="3:54" s="17" customFormat="1" x14ac:dyDescent="0.25">
      <c r="C90" s="215"/>
      <c r="D90" s="216"/>
      <c r="E90" s="88"/>
      <c r="F90" s="217"/>
      <c r="G90" s="234"/>
      <c r="H90" s="218"/>
      <c r="I90" s="76"/>
      <c r="J90" s="77"/>
      <c r="K90" s="76"/>
      <c r="L90" s="78"/>
      <c r="M90" s="78"/>
      <c r="N90" s="76" t="s">
        <v>39</v>
      </c>
      <c r="O90" s="110"/>
      <c r="P90" s="152"/>
      <c r="Q90" s="111" t="str">
        <f>IFERROR(MIN(VLOOKUP(ROUNDDOWN(P90,0),'Aide calcul'!$B$2:$C$282,2,FALSE),O90+1),"")</f>
        <v/>
      </c>
      <c r="R90" s="112" t="str">
        <f t="shared" si="13"/>
        <v/>
      </c>
      <c r="S90" s="152"/>
      <c r="T90" s="152"/>
      <c r="U90" s="152"/>
      <c r="V90" s="152"/>
      <c r="W90" s="152"/>
      <c r="X90" s="152"/>
      <c r="Y90" s="152"/>
      <c r="Z90" s="76"/>
      <c r="AA90" s="76"/>
      <c r="AB90" s="113" t="str">
        <f>IF(C90="3111. Logements",ROUND(VLOOKUP(C90,'Informations générales'!$C$66:$E$70,3,FALSE)*(AL90/$AM$28)/12,0)*12,IF(C90="3112. Logements",ROUND(VLOOKUP(C90,'Informations générales'!$C$66:$E$70,3,FALSE)*(AL90/$AN$28)/12,0)*12,IF(C90="3113. Logements",ROUND(VLOOKUP(C90,'Informations générales'!$C$66:$E$70,3,FALSE)*(AL90/$AO$28)/12,0)*12,IF(C90="3114. Logements",ROUND(VLOOKUP(C90,'Informations générales'!$C$66:$E$70,3,FALSE)*(AL90/$AP$28)/12,0)*12,IF(C90="3115. Logements",ROUND(VLOOKUP(C90,'Informations générales'!$C$66:$E$70,3,FALSE)*(AL90/$AQ$28)/12,0)*12,"")))))</f>
        <v/>
      </c>
      <c r="AC90" s="114"/>
      <c r="AD90" s="113">
        <f t="shared" si="14"/>
        <v>0</v>
      </c>
      <c r="AE90" s="114"/>
      <c r="AF90" s="203" t="str">
        <f>IF(C90="3111. Logements",ROUND(VLOOKUP(C90,'Informations générales'!$C$66:$E$70,3,FALSE)*(AL90/$AM$28)/12,0)*12,IF(C90="3112. Logements",ROUND(VLOOKUP(C90,'Informations générales'!$C$66:$E$70,3,FALSE)*(AL90/$AN$28)/12,0)*12,IF(C90="3113. Logements",ROUND(VLOOKUP(C90,'Informations générales'!$C$66:$E$70,3,FALSE)*(AL90/$AO$28)/12,0)*12,IF(C90="3114. Logements",ROUND(VLOOKUP(C90,'Informations générales'!$C$66:$E$70,3,FALSE)*(AL90/$AP$28)/12,0)*12,IF(C90="3115. Logements",ROUND(VLOOKUP(C90,'Informations générales'!$C$66:$E$70,3,FALSE)*(AL90/$AQ$28)/12,0)*12,"")))))</f>
        <v/>
      </c>
      <c r="AG90" s="202"/>
      <c r="AH90" s="113" t="str">
        <f>IF(C90="3111. Logements",ROUND(VLOOKUP(C90,'Informations générales'!$C$66:$H$70,5,FALSE)*(AL90/$AM$28)/12,0)*12,IF(C90="3112. Logements",ROUND(VLOOKUP(C90,'Informations générales'!$C$66:$H$70,5,FALSE)*(AL90/$AN$28)/12,0)*12,IF(C90="3113. Logements",ROUND(VLOOKUP(C90,'Informations générales'!$C$66:$H$70,5,FALSE)*(AL90/$AO$28)/12,0)*12,IF(C90="3114. Logements",ROUND(VLOOKUP(C90,'Informations générales'!$C$66:$H$70,5,FALSE)*(AL90/$AP$28)/12,0)*12,IF(C90="3115. Logements",ROUND(VLOOKUP(C90,'Informations générales'!$C$66:$H$70,5,FALSE)*(AL90/$AQ$28)/12,0)*12,"")))))</f>
        <v/>
      </c>
      <c r="AI90" s="114"/>
      <c r="AJ90" s="114"/>
      <c r="AK90" s="76"/>
      <c r="AL90" s="58">
        <f t="shared" si="15"/>
        <v>0</v>
      </c>
      <c r="AM90" s="58"/>
      <c r="AN90" s="58"/>
      <c r="AO90" s="58"/>
      <c r="AP90" s="58"/>
      <c r="AQ90" s="58"/>
      <c r="AR90" s="58">
        <f t="shared" si="3"/>
        <v>0</v>
      </c>
      <c r="AS90" s="58">
        <f t="shared" si="4"/>
        <v>0</v>
      </c>
      <c r="AT90" s="58">
        <f t="shared" si="5"/>
        <v>0</v>
      </c>
      <c r="AU90" s="58">
        <f t="shared" si="6"/>
        <v>0</v>
      </c>
      <c r="AV90" s="58">
        <f t="shared" si="7"/>
        <v>0</v>
      </c>
      <c r="AW90" s="58">
        <f t="shared" si="8"/>
        <v>0</v>
      </c>
      <c r="AX90" s="58">
        <f t="shared" si="9"/>
        <v>0</v>
      </c>
      <c r="AY90" s="58">
        <f t="shared" si="16"/>
        <v>0</v>
      </c>
      <c r="AZ90" s="62">
        <f t="shared" si="10"/>
        <v>0</v>
      </c>
      <c r="BA90" s="63">
        <f t="shared" si="11"/>
        <v>0</v>
      </c>
      <c r="BB90" s="63">
        <f t="shared" si="12"/>
        <v>0</v>
      </c>
    </row>
    <row r="91" spans="3:54" s="17" customFormat="1" x14ac:dyDescent="0.25">
      <c r="C91" s="215"/>
      <c r="D91" s="216"/>
      <c r="E91" s="88"/>
      <c r="F91" s="217"/>
      <c r="G91" s="234"/>
      <c r="H91" s="218"/>
      <c r="I91" s="76"/>
      <c r="J91" s="77"/>
      <c r="K91" s="76"/>
      <c r="L91" s="78"/>
      <c r="M91" s="78"/>
      <c r="N91" s="76" t="s">
        <v>39</v>
      </c>
      <c r="O91" s="110"/>
      <c r="P91" s="152"/>
      <c r="Q91" s="111" t="str">
        <f>IFERROR(MIN(VLOOKUP(ROUNDDOWN(P91,0),'Aide calcul'!$B$2:$C$282,2,FALSE),O91+1),"")</f>
        <v/>
      </c>
      <c r="R91" s="112" t="str">
        <f t="shared" si="13"/>
        <v/>
      </c>
      <c r="S91" s="152"/>
      <c r="T91" s="152"/>
      <c r="U91" s="152"/>
      <c r="V91" s="152"/>
      <c r="W91" s="152"/>
      <c r="X91" s="152"/>
      <c r="Y91" s="152"/>
      <c r="Z91" s="76"/>
      <c r="AA91" s="76"/>
      <c r="AB91" s="113" t="str">
        <f>IF(C91="3111. Logements",ROUND(VLOOKUP(C91,'Informations générales'!$C$66:$E$70,3,FALSE)*(AL91/$AM$28)/12,0)*12,IF(C91="3112. Logements",ROUND(VLOOKUP(C91,'Informations générales'!$C$66:$E$70,3,FALSE)*(AL91/$AN$28)/12,0)*12,IF(C91="3113. Logements",ROUND(VLOOKUP(C91,'Informations générales'!$C$66:$E$70,3,FALSE)*(AL91/$AO$28)/12,0)*12,IF(C91="3114. Logements",ROUND(VLOOKUP(C91,'Informations générales'!$C$66:$E$70,3,FALSE)*(AL91/$AP$28)/12,0)*12,IF(C91="3115. Logements",ROUND(VLOOKUP(C91,'Informations générales'!$C$66:$E$70,3,FALSE)*(AL91/$AQ$28)/12,0)*12,"")))))</f>
        <v/>
      </c>
      <c r="AC91" s="114"/>
      <c r="AD91" s="113">
        <f t="shared" si="14"/>
        <v>0</v>
      </c>
      <c r="AE91" s="114"/>
      <c r="AF91" s="203" t="str">
        <f>IF(C91="3111. Logements",ROUND(VLOOKUP(C91,'Informations générales'!$C$66:$E$70,3,FALSE)*(AL91/$AM$28)/12,0)*12,IF(C91="3112. Logements",ROUND(VLOOKUP(C91,'Informations générales'!$C$66:$E$70,3,FALSE)*(AL91/$AN$28)/12,0)*12,IF(C91="3113. Logements",ROUND(VLOOKUP(C91,'Informations générales'!$C$66:$E$70,3,FALSE)*(AL91/$AO$28)/12,0)*12,IF(C91="3114. Logements",ROUND(VLOOKUP(C91,'Informations générales'!$C$66:$E$70,3,FALSE)*(AL91/$AP$28)/12,0)*12,IF(C91="3115. Logements",ROUND(VLOOKUP(C91,'Informations générales'!$C$66:$E$70,3,FALSE)*(AL91/$AQ$28)/12,0)*12,"")))))</f>
        <v/>
      </c>
      <c r="AG91" s="202"/>
      <c r="AH91" s="113" t="str">
        <f>IF(C91="3111. Logements",ROUND(VLOOKUP(C91,'Informations générales'!$C$66:$H$70,5,FALSE)*(AL91/$AM$28)/12,0)*12,IF(C91="3112. Logements",ROUND(VLOOKUP(C91,'Informations générales'!$C$66:$H$70,5,FALSE)*(AL91/$AN$28)/12,0)*12,IF(C91="3113. Logements",ROUND(VLOOKUP(C91,'Informations générales'!$C$66:$H$70,5,FALSE)*(AL91/$AO$28)/12,0)*12,IF(C91="3114. Logements",ROUND(VLOOKUP(C91,'Informations générales'!$C$66:$H$70,5,FALSE)*(AL91/$AP$28)/12,0)*12,IF(C91="3115. Logements",ROUND(VLOOKUP(C91,'Informations générales'!$C$66:$H$70,5,FALSE)*(AL91/$AQ$28)/12,0)*12,"")))))</f>
        <v/>
      </c>
      <c r="AI91" s="114"/>
      <c r="AJ91" s="114"/>
      <c r="AK91" s="76"/>
      <c r="AL91" s="58">
        <f t="shared" si="15"/>
        <v>0</v>
      </c>
      <c r="AM91" s="58"/>
      <c r="AN91" s="58"/>
      <c r="AO91" s="58"/>
      <c r="AP91" s="58"/>
      <c r="AQ91" s="58"/>
      <c r="AR91" s="58">
        <f t="shared" si="3"/>
        <v>0</v>
      </c>
      <c r="AS91" s="58">
        <f t="shared" si="4"/>
        <v>0</v>
      </c>
      <c r="AT91" s="58">
        <f t="shared" si="5"/>
        <v>0</v>
      </c>
      <c r="AU91" s="58">
        <f t="shared" si="6"/>
        <v>0</v>
      </c>
      <c r="AV91" s="58">
        <f t="shared" si="7"/>
        <v>0</v>
      </c>
      <c r="AW91" s="58">
        <f t="shared" si="8"/>
        <v>0</v>
      </c>
      <c r="AX91" s="58">
        <f t="shared" si="9"/>
        <v>0</v>
      </c>
      <c r="AY91" s="58">
        <f t="shared" si="16"/>
        <v>0</v>
      </c>
      <c r="AZ91" s="62">
        <f t="shared" si="10"/>
        <v>0</v>
      </c>
      <c r="BA91" s="63">
        <f t="shared" si="11"/>
        <v>0</v>
      </c>
      <c r="BB91" s="63">
        <f t="shared" si="12"/>
        <v>0</v>
      </c>
    </row>
    <row r="92" spans="3:54" s="17" customFormat="1" x14ac:dyDescent="0.25">
      <c r="C92" s="215"/>
      <c r="D92" s="216"/>
      <c r="E92" s="88"/>
      <c r="F92" s="217"/>
      <c r="G92" s="234"/>
      <c r="H92" s="218"/>
      <c r="I92" s="76"/>
      <c r="J92" s="77"/>
      <c r="K92" s="76"/>
      <c r="L92" s="78"/>
      <c r="M92" s="78"/>
      <c r="N92" s="76" t="s">
        <v>39</v>
      </c>
      <c r="O92" s="110"/>
      <c r="P92" s="152"/>
      <c r="Q92" s="111" t="str">
        <f>IFERROR(MIN(VLOOKUP(ROUNDDOWN(P92,0),'Aide calcul'!$B$2:$C$282,2,FALSE),O92+1),"")</f>
        <v/>
      </c>
      <c r="R92" s="112" t="str">
        <f t="shared" si="13"/>
        <v/>
      </c>
      <c r="S92" s="152"/>
      <c r="T92" s="152"/>
      <c r="U92" s="152"/>
      <c r="V92" s="152"/>
      <c r="W92" s="152"/>
      <c r="X92" s="152"/>
      <c r="Y92" s="152"/>
      <c r="Z92" s="76"/>
      <c r="AA92" s="76"/>
      <c r="AB92" s="113" t="str">
        <f>IF(C92="3111. Logements",ROUND(VLOOKUP(C92,'Informations générales'!$C$66:$E$70,3,FALSE)*(AL92/$AM$28)/12,0)*12,IF(C92="3112. Logements",ROUND(VLOOKUP(C92,'Informations générales'!$C$66:$E$70,3,FALSE)*(AL92/$AN$28)/12,0)*12,IF(C92="3113. Logements",ROUND(VLOOKUP(C92,'Informations générales'!$C$66:$E$70,3,FALSE)*(AL92/$AO$28)/12,0)*12,IF(C92="3114. Logements",ROUND(VLOOKUP(C92,'Informations générales'!$C$66:$E$70,3,FALSE)*(AL92/$AP$28)/12,0)*12,IF(C92="3115. Logements",ROUND(VLOOKUP(C92,'Informations générales'!$C$66:$E$70,3,FALSE)*(AL92/$AQ$28)/12,0)*12,"")))))</f>
        <v/>
      </c>
      <c r="AC92" s="114"/>
      <c r="AD92" s="113">
        <f t="shared" si="14"/>
        <v>0</v>
      </c>
      <c r="AE92" s="114"/>
      <c r="AF92" s="203" t="str">
        <f>IF(C92="3111. Logements",ROUND(VLOOKUP(C92,'Informations générales'!$C$66:$E$70,3,FALSE)*(AL92/$AM$28)/12,0)*12,IF(C92="3112. Logements",ROUND(VLOOKUP(C92,'Informations générales'!$C$66:$E$70,3,FALSE)*(AL92/$AN$28)/12,0)*12,IF(C92="3113. Logements",ROUND(VLOOKUP(C92,'Informations générales'!$C$66:$E$70,3,FALSE)*(AL92/$AO$28)/12,0)*12,IF(C92="3114. Logements",ROUND(VLOOKUP(C92,'Informations générales'!$C$66:$E$70,3,FALSE)*(AL92/$AP$28)/12,0)*12,IF(C92="3115. Logements",ROUND(VLOOKUP(C92,'Informations générales'!$C$66:$E$70,3,FALSE)*(AL92/$AQ$28)/12,0)*12,"")))))</f>
        <v/>
      </c>
      <c r="AG92" s="202"/>
      <c r="AH92" s="113" t="str">
        <f>IF(C92="3111. Logements",ROUND(VLOOKUP(C92,'Informations générales'!$C$66:$H$70,5,FALSE)*(AL92/$AM$28)/12,0)*12,IF(C92="3112. Logements",ROUND(VLOOKUP(C92,'Informations générales'!$C$66:$H$70,5,FALSE)*(AL92/$AN$28)/12,0)*12,IF(C92="3113. Logements",ROUND(VLOOKUP(C92,'Informations générales'!$C$66:$H$70,5,FALSE)*(AL92/$AO$28)/12,0)*12,IF(C92="3114. Logements",ROUND(VLOOKUP(C92,'Informations générales'!$C$66:$H$70,5,FALSE)*(AL92/$AP$28)/12,0)*12,IF(C92="3115. Logements",ROUND(VLOOKUP(C92,'Informations générales'!$C$66:$H$70,5,FALSE)*(AL92/$AQ$28)/12,0)*12,"")))))</f>
        <v/>
      </c>
      <c r="AI92" s="114"/>
      <c r="AJ92" s="114"/>
      <c r="AK92" s="76"/>
      <c r="AL92" s="58">
        <f t="shared" si="15"/>
        <v>0</v>
      </c>
      <c r="AM92" s="58"/>
      <c r="AN92" s="58"/>
      <c r="AO92" s="58"/>
      <c r="AP92" s="58"/>
      <c r="AQ92" s="58"/>
      <c r="AR92" s="58">
        <f t="shared" ref="AR92:AR155" si="17">S92*$E$13</f>
        <v>0</v>
      </c>
      <c r="AS92" s="58">
        <f t="shared" ref="AS92:AS155" si="18">T92*$E$14</f>
        <v>0</v>
      </c>
      <c r="AT92" s="58">
        <f t="shared" ref="AT92:AT155" si="19">U92*$E$15</f>
        <v>0</v>
      </c>
      <c r="AU92" s="58">
        <f t="shared" ref="AU92:AU155" si="20">V92*$E$16</f>
        <v>0</v>
      </c>
      <c r="AV92" s="58">
        <f t="shared" ref="AV92:AV155" si="21">W92*$E$17</f>
        <v>0</v>
      </c>
      <c r="AW92" s="58">
        <f t="shared" ref="AW92:AW155" si="22">X92*$E$18</f>
        <v>0</v>
      </c>
      <c r="AX92" s="58">
        <f t="shared" ref="AX92:AX155" si="23">Y92*$E$19</f>
        <v>0</v>
      </c>
      <c r="AY92" s="58">
        <f t="shared" si="16"/>
        <v>0</v>
      </c>
      <c r="AZ92" s="62">
        <f t="shared" ref="AZ92:AZ155" si="24">IFERROR(I92*$E$12,0)</f>
        <v>0</v>
      </c>
      <c r="BA92" s="63">
        <f t="shared" ref="BA92:BA155" si="25">IFERROR(VLOOKUP(Z92,$H$12:$I$22,2,FALSE),0)</f>
        <v>0</v>
      </c>
      <c r="BB92" s="63">
        <f t="shared" ref="BB92:BB155" si="26">IFERROR(VLOOKUP(AA92,$L$12:$N$19,3,FALSE),0)</f>
        <v>0</v>
      </c>
    </row>
    <row r="93" spans="3:54" s="17" customFormat="1" x14ac:dyDescent="0.25">
      <c r="C93" s="215"/>
      <c r="D93" s="216"/>
      <c r="E93" s="88"/>
      <c r="F93" s="217"/>
      <c r="G93" s="234"/>
      <c r="H93" s="218"/>
      <c r="I93" s="76"/>
      <c r="J93" s="77"/>
      <c r="K93" s="76"/>
      <c r="L93" s="78"/>
      <c r="M93" s="78"/>
      <c r="N93" s="76" t="s">
        <v>39</v>
      </c>
      <c r="O93" s="110"/>
      <c r="P93" s="152"/>
      <c r="Q93" s="111" t="str">
        <f>IFERROR(MIN(VLOOKUP(ROUNDDOWN(P93,0),'Aide calcul'!$B$2:$C$282,2,FALSE),O93+1),"")</f>
        <v/>
      </c>
      <c r="R93" s="112" t="str">
        <f t="shared" ref="R93:R156" si="27">IFERROR(TRUNC(Q93-0.5),"")</f>
        <v/>
      </c>
      <c r="S93" s="152"/>
      <c r="T93" s="152"/>
      <c r="U93" s="152"/>
      <c r="V93" s="152"/>
      <c r="W93" s="152"/>
      <c r="X93" s="152"/>
      <c r="Y93" s="152"/>
      <c r="Z93" s="76"/>
      <c r="AA93" s="76"/>
      <c r="AB93" s="113" t="str">
        <f>IF(C93="3111. Logements",ROUND(VLOOKUP(C93,'Informations générales'!$C$66:$E$70,3,FALSE)*(AL93/$AM$28)/12,0)*12,IF(C93="3112. Logements",ROUND(VLOOKUP(C93,'Informations générales'!$C$66:$E$70,3,FALSE)*(AL93/$AN$28)/12,0)*12,IF(C93="3113. Logements",ROUND(VLOOKUP(C93,'Informations générales'!$C$66:$E$70,3,FALSE)*(AL93/$AO$28)/12,0)*12,IF(C93="3114. Logements",ROUND(VLOOKUP(C93,'Informations générales'!$C$66:$E$70,3,FALSE)*(AL93/$AP$28)/12,0)*12,IF(C93="3115. Logements",ROUND(VLOOKUP(C93,'Informations générales'!$C$66:$E$70,3,FALSE)*(AL93/$AQ$28)/12,0)*12,"")))))</f>
        <v/>
      </c>
      <c r="AC93" s="114"/>
      <c r="AD93" s="113">
        <f t="shared" ref="AD93:AD156" si="28">MIN(AB93,AC93)</f>
        <v>0</v>
      </c>
      <c r="AE93" s="114"/>
      <c r="AF93" s="203" t="str">
        <f>IF(C93="3111. Logements",ROUND(VLOOKUP(C93,'Informations générales'!$C$66:$E$70,3,FALSE)*(AL93/$AM$28)/12,0)*12,IF(C93="3112. Logements",ROUND(VLOOKUP(C93,'Informations générales'!$C$66:$E$70,3,FALSE)*(AL93/$AN$28)/12,0)*12,IF(C93="3113. Logements",ROUND(VLOOKUP(C93,'Informations générales'!$C$66:$E$70,3,FALSE)*(AL93/$AO$28)/12,0)*12,IF(C93="3114. Logements",ROUND(VLOOKUP(C93,'Informations générales'!$C$66:$E$70,3,FALSE)*(AL93/$AP$28)/12,0)*12,IF(C93="3115. Logements",ROUND(VLOOKUP(C93,'Informations générales'!$C$66:$E$70,3,FALSE)*(AL93/$AQ$28)/12,0)*12,"")))))</f>
        <v/>
      </c>
      <c r="AG93" s="202"/>
      <c r="AH93" s="113" t="str">
        <f>IF(C93="3111. Logements",ROUND(VLOOKUP(C93,'Informations générales'!$C$66:$H$70,5,FALSE)*(AL93/$AM$28)/12,0)*12,IF(C93="3112. Logements",ROUND(VLOOKUP(C93,'Informations générales'!$C$66:$H$70,5,FALSE)*(AL93/$AN$28)/12,0)*12,IF(C93="3113. Logements",ROUND(VLOOKUP(C93,'Informations générales'!$C$66:$H$70,5,FALSE)*(AL93/$AO$28)/12,0)*12,IF(C93="3114. Logements",ROUND(VLOOKUP(C93,'Informations générales'!$C$66:$H$70,5,FALSE)*(AL93/$AP$28)/12,0)*12,IF(C93="3115. Logements",ROUND(VLOOKUP(C93,'Informations générales'!$C$66:$H$70,5,FALSE)*(AL93/$AQ$28)/12,0)*12,"")))))</f>
        <v/>
      </c>
      <c r="AI93" s="114"/>
      <c r="AJ93" s="114"/>
      <c r="AK93" s="76"/>
      <c r="AL93" s="58">
        <f t="shared" ref="AL93:AL156" si="29">AY93*(SUM(1,AZ93,BA93,BB93))</f>
        <v>0</v>
      </c>
      <c r="AM93" s="58"/>
      <c r="AN93" s="58"/>
      <c r="AO93" s="58"/>
      <c r="AP93" s="58"/>
      <c r="AQ93" s="58"/>
      <c r="AR93" s="58">
        <f t="shared" si="17"/>
        <v>0</v>
      </c>
      <c r="AS93" s="58">
        <f t="shared" si="18"/>
        <v>0</v>
      </c>
      <c r="AT93" s="58">
        <f t="shared" si="19"/>
        <v>0</v>
      </c>
      <c r="AU93" s="58">
        <f t="shared" si="20"/>
        <v>0</v>
      </c>
      <c r="AV93" s="58">
        <f t="shared" si="21"/>
        <v>0</v>
      </c>
      <c r="AW93" s="58">
        <f t="shared" si="22"/>
        <v>0</v>
      </c>
      <c r="AX93" s="58">
        <f t="shared" si="23"/>
        <v>0</v>
      </c>
      <c r="AY93" s="58">
        <f t="shared" ref="AY93:AY156" si="30">SUM(AR93:AX93)</f>
        <v>0</v>
      </c>
      <c r="AZ93" s="62">
        <f t="shared" si="24"/>
        <v>0</v>
      </c>
      <c r="BA93" s="63">
        <f t="shared" si="25"/>
        <v>0</v>
      </c>
      <c r="BB93" s="63">
        <f t="shared" si="26"/>
        <v>0</v>
      </c>
    </row>
    <row r="94" spans="3:54" s="17" customFormat="1" x14ac:dyDescent="0.25">
      <c r="C94" s="215"/>
      <c r="D94" s="216"/>
      <c r="E94" s="88"/>
      <c r="F94" s="217"/>
      <c r="G94" s="234"/>
      <c r="H94" s="218"/>
      <c r="I94" s="76"/>
      <c r="J94" s="77"/>
      <c r="K94" s="76"/>
      <c r="L94" s="78"/>
      <c r="M94" s="78"/>
      <c r="N94" s="76" t="s">
        <v>39</v>
      </c>
      <c r="O94" s="110"/>
      <c r="P94" s="152"/>
      <c r="Q94" s="111" t="str">
        <f>IFERROR(MIN(VLOOKUP(ROUNDDOWN(P94,0),'Aide calcul'!$B$2:$C$282,2,FALSE),O94+1),"")</f>
        <v/>
      </c>
      <c r="R94" s="112" t="str">
        <f t="shared" si="27"/>
        <v/>
      </c>
      <c r="S94" s="152"/>
      <c r="T94" s="152"/>
      <c r="U94" s="152"/>
      <c r="V94" s="152"/>
      <c r="W94" s="152"/>
      <c r="X94" s="152"/>
      <c r="Y94" s="152"/>
      <c r="Z94" s="76"/>
      <c r="AA94" s="76"/>
      <c r="AB94" s="113" t="str">
        <f>IF(C94="3111. Logements",ROUND(VLOOKUP(C94,'Informations générales'!$C$66:$E$70,3,FALSE)*(AL94/$AM$28)/12,0)*12,IF(C94="3112. Logements",ROUND(VLOOKUP(C94,'Informations générales'!$C$66:$E$70,3,FALSE)*(AL94/$AN$28)/12,0)*12,IF(C94="3113. Logements",ROUND(VLOOKUP(C94,'Informations générales'!$C$66:$E$70,3,FALSE)*(AL94/$AO$28)/12,0)*12,IF(C94="3114. Logements",ROUND(VLOOKUP(C94,'Informations générales'!$C$66:$E$70,3,FALSE)*(AL94/$AP$28)/12,0)*12,IF(C94="3115. Logements",ROUND(VLOOKUP(C94,'Informations générales'!$C$66:$E$70,3,FALSE)*(AL94/$AQ$28)/12,0)*12,"")))))</f>
        <v/>
      </c>
      <c r="AC94" s="114"/>
      <c r="AD94" s="113">
        <f t="shared" si="28"/>
        <v>0</v>
      </c>
      <c r="AE94" s="114"/>
      <c r="AF94" s="203" t="str">
        <f>IF(C94="3111. Logements",ROUND(VLOOKUP(C94,'Informations générales'!$C$66:$E$70,3,FALSE)*(AL94/$AM$28)/12,0)*12,IF(C94="3112. Logements",ROUND(VLOOKUP(C94,'Informations générales'!$C$66:$E$70,3,FALSE)*(AL94/$AN$28)/12,0)*12,IF(C94="3113. Logements",ROUND(VLOOKUP(C94,'Informations générales'!$C$66:$E$70,3,FALSE)*(AL94/$AO$28)/12,0)*12,IF(C94="3114. Logements",ROUND(VLOOKUP(C94,'Informations générales'!$C$66:$E$70,3,FALSE)*(AL94/$AP$28)/12,0)*12,IF(C94="3115. Logements",ROUND(VLOOKUP(C94,'Informations générales'!$C$66:$E$70,3,FALSE)*(AL94/$AQ$28)/12,0)*12,"")))))</f>
        <v/>
      </c>
      <c r="AG94" s="202"/>
      <c r="AH94" s="113" t="str">
        <f>IF(C94="3111. Logements",ROUND(VLOOKUP(C94,'Informations générales'!$C$66:$H$70,5,FALSE)*(AL94/$AM$28)/12,0)*12,IF(C94="3112. Logements",ROUND(VLOOKUP(C94,'Informations générales'!$C$66:$H$70,5,FALSE)*(AL94/$AN$28)/12,0)*12,IF(C94="3113. Logements",ROUND(VLOOKUP(C94,'Informations générales'!$C$66:$H$70,5,FALSE)*(AL94/$AO$28)/12,0)*12,IF(C94="3114. Logements",ROUND(VLOOKUP(C94,'Informations générales'!$C$66:$H$70,5,FALSE)*(AL94/$AP$28)/12,0)*12,IF(C94="3115. Logements",ROUND(VLOOKUP(C94,'Informations générales'!$C$66:$H$70,5,FALSE)*(AL94/$AQ$28)/12,0)*12,"")))))</f>
        <v/>
      </c>
      <c r="AI94" s="114"/>
      <c r="AJ94" s="114"/>
      <c r="AK94" s="76"/>
      <c r="AL94" s="58">
        <f t="shared" si="29"/>
        <v>0</v>
      </c>
      <c r="AM94" s="58"/>
      <c r="AN94" s="58"/>
      <c r="AO94" s="58"/>
      <c r="AP94" s="58"/>
      <c r="AQ94" s="58"/>
      <c r="AR94" s="58">
        <f t="shared" si="17"/>
        <v>0</v>
      </c>
      <c r="AS94" s="58">
        <f t="shared" si="18"/>
        <v>0</v>
      </c>
      <c r="AT94" s="58">
        <f t="shared" si="19"/>
        <v>0</v>
      </c>
      <c r="AU94" s="58">
        <f t="shared" si="20"/>
        <v>0</v>
      </c>
      <c r="AV94" s="58">
        <f t="shared" si="21"/>
        <v>0</v>
      </c>
      <c r="AW94" s="58">
        <f t="shared" si="22"/>
        <v>0</v>
      </c>
      <c r="AX94" s="58">
        <f t="shared" si="23"/>
        <v>0</v>
      </c>
      <c r="AY94" s="58">
        <f t="shared" si="30"/>
        <v>0</v>
      </c>
      <c r="AZ94" s="62">
        <f t="shared" si="24"/>
        <v>0</v>
      </c>
      <c r="BA94" s="63">
        <f t="shared" si="25"/>
        <v>0</v>
      </c>
      <c r="BB94" s="63">
        <f t="shared" si="26"/>
        <v>0</v>
      </c>
    </row>
    <row r="95" spans="3:54" s="17" customFormat="1" x14ac:dyDescent="0.25">
      <c r="C95" s="215"/>
      <c r="D95" s="216"/>
      <c r="E95" s="88"/>
      <c r="F95" s="217"/>
      <c r="G95" s="234"/>
      <c r="H95" s="218"/>
      <c r="I95" s="76"/>
      <c r="J95" s="77"/>
      <c r="K95" s="76"/>
      <c r="L95" s="78"/>
      <c r="M95" s="78"/>
      <c r="N95" s="76" t="s">
        <v>39</v>
      </c>
      <c r="O95" s="110"/>
      <c r="P95" s="152"/>
      <c r="Q95" s="111" t="str">
        <f>IFERROR(MIN(VLOOKUP(ROUNDDOWN(P95,0),'Aide calcul'!$B$2:$C$282,2,FALSE),O95+1),"")</f>
        <v/>
      </c>
      <c r="R95" s="112" t="str">
        <f t="shared" si="27"/>
        <v/>
      </c>
      <c r="S95" s="152"/>
      <c r="T95" s="152"/>
      <c r="U95" s="152"/>
      <c r="V95" s="152"/>
      <c r="W95" s="152"/>
      <c r="X95" s="152"/>
      <c r="Y95" s="152"/>
      <c r="Z95" s="76"/>
      <c r="AA95" s="76"/>
      <c r="AB95" s="113" t="str">
        <f>IF(C95="3111. Logements",ROUND(VLOOKUP(C95,'Informations générales'!$C$66:$E$70,3,FALSE)*(AL95/$AM$28)/12,0)*12,IF(C95="3112. Logements",ROUND(VLOOKUP(C95,'Informations générales'!$C$66:$E$70,3,FALSE)*(AL95/$AN$28)/12,0)*12,IF(C95="3113. Logements",ROUND(VLOOKUP(C95,'Informations générales'!$C$66:$E$70,3,FALSE)*(AL95/$AO$28)/12,0)*12,IF(C95="3114. Logements",ROUND(VLOOKUP(C95,'Informations générales'!$C$66:$E$70,3,FALSE)*(AL95/$AP$28)/12,0)*12,IF(C95="3115. Logements",ROUND(VLOOKUP(C95,'Informations générales'!$C$66:$E$70,3,FALSE)*(AL95/$AQ$28)/12,0)*12,"")))))</f>
        <v/>
      </c>
      <c r="AC95" s="114"/>
      <c r="AD95" s="113">
        <f t="shared" si="28"/>
        <v>0</v>
      </c>
      <c r="AE95" s="114"/>
      <c r="AF95" s="203" t="str">
        <f>IF(C95="3111. Logements",ROUND(VLOOKUP(C95,'Informations générales'!$C$66:$E$70,3,FALSE)*(AL95/$AM$28)/12,0)*12,IF(C95="3112. Logements",ROUND(VLOOKUP(C95,'Informations générales'!$C$66:$E$70,3,FALSE)*(AL95/$AN$28)/12,0)*12,IF(C95="3113. Logements",ROUND(VLOOKUP(C95,'Informations générales'!$C$66:$E$70,3,FALSE)*(AL95/$AO$28)/12,0)*12,IF(C95="3114. Logements",ROUND(VLOOKUP(C95,'Informations générales'!$C$66:$E$70,3,FALSE)*(AL95/$AP$28)/12,0)*12,IF(C95="3115. Logements",ROUND(VLOOKUP(C95,'Informations générales'!$C$66:$E$70,3,FALSE)*(AL95/$AQ$28)/12,0)*12,"")))))</f>
        <v/>
      </c>
      <c r="AG95" s="202"/>
      <c r="AH95" s="113" t="str">
        <f>IF(C95="3111. Logements",ROUND(VLOOKUP(C95,'Informations générales'!$C$66:$H$70,5,FALSE)*(AL95/$AM$28)/12,0)*12,IF(C95="3112. Logements",ROUND(VLOOKUP(C95,'Informations générales'!$C$66:$H$70,5,FALSE)*(AL95/$AN$28)/12,0)*12,IF(C95="3113. Logements",ROUND(VLOOKUP(C95,'Informations générales'!$C$66:$H$70,5,FALSE)*(AL95/$AO$28)/12,0)*12,IF(C95="3114. Logements",ROUND(VLOOKUP(C95,'Informations générales'!$C$66:$H$70,5,FALSE)*(AL95/$AP$28)/12,0)*12,IF(C95="3115. Logements",ROUND(VLOOKUP(C95,'Informations générales'!$C$66:$H$70,5,FALSE)*(AL95/$AQ$28)/12,0)*12,"")))))</f>
        <v/>
      </c>
      <c r="AI95" s="114"/>
      <c r="AJ95" s="114"/>
      <c r="AK95" s="76"/>
      <c r="AL95" s="58">
        <f t="shared" si="29"/>
        <v>0</v>
      </c>
      <c r="AM95" s="58"/>
      <c r="AN95" s="58"/>
      <c r="AO95" s="58"/>
      <c r="AP95" s="58"/>
      <c r="AQ95" s="58"/>
      <c r="AR95" s="58">
        <f t="shared" si="17"/>
        <v>0</v>
      </c>
      <c r="AS95" s="58">
        <f t="shared" si="18"/>
        <v>0</v>
      </c>
      <c r="AT95" s="58">
        <f t="shared" si="19"/>
        <v>0</v>
      </c>
      <c r="AU95" s="58">
        <f t="shared" si="20"/>
        <v>0</v>
      </c>
      <c r="AV95" s="58">
        <f t="shared" si="21"/>
        <v>0</v>
      </c>
      <c r="AW95" s="58">
        <f t="shared" si="22"/>
        <v>0</v>
      </c>
      <c r="AX95" s="58">
        <f t="shared" si="23"/>
        <v>0</v>
      </c>
      <c r="AY95" s="58">
        <f t="shared" si="30"/>
        <v>0</v>
      </c>
      <c r="AZ95" s="62">
        <f t="shared" si="24"/>
        <v>0</v>
      </c>
      <c r="BA95" s="63">
        <f t="shared" si="25"/>
        <v>0</v>
      </c>
      <c r="BB95" s="63">
        <f t="shared" si="26"/>
        <v>0</v>
      </c>
    </row>
    <row r="96" spans="3:54" s="17" customFormat="1" x14ac:dyDescent="0.25">
      <c r="C96" s="215"/>
      <c r="D96" s="216"/>
      <c r="E96" s="88"/>
      <c r="F96" s="217"/>
      <c r="G96" s="234"/>
      <c r="H96" s="218"/>
      <c r="I96" s="76"/>
      <c r="J96" s="77"/>
      <c r="K96" s="76"/>
      <c r="L96" s="78"/>
      <c r="M96" s="78"/>
      <c r="N96" s="76" t="s">
        <v>39</v>
      </c>
      <c r="O96" s="110"/>
      <c r="P96" s="152"/>
      <c r="Q96" s="111" t="str">
        <f>IFERROR(MIN(VLOOKUP(ROUNDDOWN(P96,0),'Aide calcul'!$B$2:$C$282,2,FALSE),O96+1),"")</f>
        <v/>
      </c>
      <c r="R96" s="112" t="str">
        <f t="shared" si="27"/>
        <v/>
      </c>
      <c r="S96" s="152"/>
      <c r="T96" s="152"/>
      <c r="U96" s="152"/>
      <c r="V96" s="152"/>
      <c r="W96" s="152"/>
      <c r="X96" s="152"/>
      <c r="Y96" s="152"/>
      <c r="Z96" s="76"/>
      <c r="AA96" s="76"/>
      <c r="AB96" s="113" t="str">
        <f>IF(C96="3111. Logements",ROUND(VLOOKUP(C96,'Informations générales'!$C$66:$E$70,3,FALSE)*(AL96/$AM$28)/12,0)*12,IF(C96="3112. Logements",ROUND(VLOOKUP(C96,'Informations générales'!$C$66:$E$70,3,FALSE)*(AL96/$AN$28)/12,0)*12,IF(C96="3113. Logements",ROUND(VLOOKUP(C96,'Informations générales'!$C$66:$E$70,3,FALSE)*(AL96/$AO$28)/12,0)*12,IF(C96="3114. Logements",ROUND(VLOOKUP(C96,'Informations générales'!$C$66:$E$70,3,FALSE)*(AL96/$AP$28)/12,0)*12,IF(C96="3115. Logements",ROUND(VLOOKUP(C96,'Informations générales'!$C$66:$E$70,3,FALSE)*(AL96/$AQ$28)/12,0)*12,"")))))</f>
        <v/>
      </c>
      <c r="AC96" s="114"/>
      <c r="AD96" s="113">
        <f t="shared" si="28"/>
        <v>0</v>
      </c>
      <c r="AE96" s="114"/>
      <c r="AF96" s="203" t="str">
        <f>IF(C96="3111. Logements",ROUND(VLOOKUP(C96,'Informations générales'!$C$66:$E$70,3,FALSE)*(AL96/$AM$28)/12,0)*12,IF(C96="3112. Logements",ROUND(VLOOKUP(C96,'Informations générales'!$C$66:$E$70,3,FALSE)*(AL96/$AN$28)/12,0)*12,IF(C96="3113. Logements",ROUND(VLOOKUP(C96,'Informations générales'!$C$66:$E$70,3,FALSE)*(AL96/$AO$28)/12,0)*12,IF(C96="3114. Logements",ROUND(VLOOKUP(C96,'Informations générales'!$C$66:$E$70,3,FALSE)*(AL96/$AP$28)/12,0)*12,IF(C96="3115. Logements",ROUND(VLOOKUP(C96,'Informations générales'!$C$66:$E$70,3,FALSE)*(AL96/$AQ$28)/12,0)*12,"")))))</f>
        <v/>
      </c>
      <c r="AG96" s="202"/>
      <c r="AH96" s="113" t="str">
        <f>IF(C96="3111. Logements",ROUND(VLOOKUP(C96,'Informations générales'!$C$66:$H$70,5,FALSE)*(AL96/$AM$28)/12,0)*12,IF(C96="3112. Logements",ROUND(VLOOKUP(C96,'Informations générales'!$C$66:$H$70,5,FALSE)*(AL96/$AN$28)/12,0)*12,IF(C96="3113. Logements",ROUND(VLOOKUP(C96,'Informations générales'!$C$66:$H$70,5,FALSE)*(AL96/$AO$28)/12,0)*12,IF(C96="3114. Logements",ROUND(VLOOKUP(C96,'Informations générales'!$C$66:$H$70,5,FALSE)*(AL96/$AP$28)/12,0)*12,IF(C96="3115. Logements",ROUND(VLOOKUP(C96,'Informations générales'!$C$66:$H$70,5,FALSE)*(AL96/$AQ$28)/12,0)*12,"")))))</f>
        <v/>
      </c>
      <c r="AI96" s="114"/>
      <c r="AJ96" s="114"/>
      <c r="AK96" s="76"/>
      <c r="AL96" s="58">
        <f t="shared" si="29"/>
        <v>0</v>
      </c>
      <c r="AM96" s="58"/>
      <c r="AN96" s="58"/>
      <c r="AO96" s="58"/>
      <c r="AP96" s="58"/>
      <c r="AQ96" s="58"/>
      <c r="AR96" s="58">
        <f t="shared" si="17"/>
        <v>0</v>
      </c>
      <c r="AS96" s="58">
        <f t="shared" si="18"/>
        <v>0</v>
      </c>
      <c r="AT96" s="58">
        <f t="shared" si="19"/>
        <v>0</v>
      </c>
      <c r="AU96" s="58">
        <f t="shared" si="20"/>
        <v>0</v>
      </c>
      <c r="AV96" s="58">
        <f t="shared" si="21"/>
        <v>0</v>
      </c>
      <c r="AW96" s="58">
        <f t="shared" si="22"/>
        <v>0</v>
      </c>
      <c r="AX96" s="58">
        <f t="shared" si="23"/>
        <v>0</v>
      </c>
      <c r="AY96" s="58">
        <f t="shared" si="30"/>
        <v>0</v>
      </c>
      <c r="AZ96" s="62">
        <f t="shared" si="24"/>
        <v>0</v>
      </c>
      <c r="BA96" s="63">
        <f t="shared" si="25"/>
        <v>0</v>
      </c>
      <c r="BB96" s="63">
        <f t="shared" si="26"/>
        <v>0</v>
      </c>
    </row>
    <row r="97" spans="3:54" s="17" customFormat="1" x14ac:dyDescent="0.25">
      <c r="C97" s="215"/>
      <c r="D97" s="216"/>
      <c r="E97" s="88"/>
      <c r="F97" s="217"/>
      <c r="G97" s="234"/>
      <c r="H97" s="218"/>
      <c r="I97" s="76"/>
      <c r="J97" s="77"/>
      <c r="K97" s="76"/>
      <c r="L97" s="78"/>
      <c r="M97" s="78"/>
      <c r="N97" s="76" t="s">
        <v>39</v>
      </c>
      <c r="O97" s="110"/>
      <c r="P97" s="152"/>
      <c r="Q97" s="111" t="str">
        <f>IFERROR(MIN(VLOOKUP(ROUNDDOWN(P97,0),'Aide calcul'!$B$2:$C$282,2,FALSE),O97+1),"")</f>
        <v/>
      </c>
      <c r="R97" s="112" t="str">
        <f t="shared" si="27"/>
        <v/>
      </c>
      <c r="S97" s="152"/>
      <c r="T97" s="152"/>
      <c r="U97" s="152"/>
      <c r="V97" s="152"/>
      <c r="W97" s="152"/>
      <c r="X97" s="152"/>
      <c r="Y97" s="152"/>
      <c r="Z97" s="76"/>
      <c r="AA97" s="76"/>
      <c r="AB97" s="113" t="str">
        <f>IF(C97="3111. Logements",ROUND(VLOOKUP(C97,'Informations générales'!$C$66:$E$70,3,FALSE)*(AL97/$AM$28)/12,0)*12,IF(C97="3112. Logements",ROUND(VLOOKUP(C97,'Informations générales'!$C$66:$E$70,3,FALSE)*(AL97/$AN$28)/12,0)*12,IF(C97="3113. Logements",ROUND(VLOOKUP(C97,'Informations générales'!$C$66:$E$70,3,FALSE)*(AL97/$AO$28)/12,0)*12,IF(C97="3114. Logements",ROUND(VLOOKUP(C97,'Informations générales'!$C$66:$E$70,3,FALSE)*(AL97/$AP$28)/12,0)*12,IF(C97="3115. Logements",ROUND(VLOOKUP(C97,'Informations générales'!$C$66:$E$70,3,FALSE)*(AL97/$AQ$28)/12,0)*12,"")))))</f>
        <v/>
      </c>
      <c r="AC97" s="114"/>
      <c r="AD97" s="113">
        <f t="shared" si="28"/>
        <v>0</v>
      </c>
      <c r="AE97" s="114"/>
      <c r="AF97" s="203" t="str">
        <f>IF(C97="3111. Logements",ROUND(VLOOKUP(C97,'Informations générales'!$C$66:$E$70,3,FALSE)*(AL97/$AM$28)/12,0)*12,IF(C97="3112. Logements",ROUND(VLOOKUP(C97,'Informations générales'!$C$66:$E$70,3,FALSE)*(AL97/$AN$28)/12,0)*12,IF(C97="3113. Logements",ROUND(VLOOKUP(C97,'Informations générales'!$C$66:$E$70,3,FALSE)*(AL97/$AO$28)/12,0)*12,IF(C97="3114. Logements",ROUND(VLOOKUP(C97,'Informations générales'!$C$66:$E$70,3,FALSE)*(AL97/$AP$28)/12,0)*12,IF(C97="3115. Logements",ROUND(VLOOKUP(C97,'Informations générales'!$C$66:$E$70,3,FALSE)*(AL97/$AQ$28)/12,0)*12,"")))))</f>
        <v/>
      </c>
      <c r="AG97" s="202"/>
      <c r="AH97" s="113" t="str">
        <f>IF(C97="3111. Logements",ROUND(VLOOKUP(C97,'Informations générales'!$C$66:$H$70,5,FALSE)*(AL97/$AM$28)/12,0)*12,IF(C97="3112. Logements",ROUND(VLOOKUP(C97,'Informations générales'!$C$66:$H$70,5,FALSE)*(AL97/$AN$28)/12,0)*12,IF(C97="3113. Logements",ROUND(VLOOKUP(C97,'Informations générales'!$C$66:$H$70,5,FALSE)*(AL97/$AO$28)/12,0)*12,IF(C97="3114. Logements",ROUND(VLOOKUP(C97,'Informations générales'!$C$66:$H$70,5,FALSE)*(AL97/$AP$28)/12,0)*12,IF(C97="3115. Logements",ROUND(VLOOKUP(C97,'Informations générales'!$C$66:$H$70,5,FALSE)*(AL97/$AQ$28)/12,0)*12,"")))))</f>
        <v/>
      </c>
      <c r="AI97" s="114"/>
      <c r="AJ97" s="114"/>
      <c r="AK97" s="76"/>
      <c r="AL97" s="58">
        <f t="shared" si="29"/>
        <v>0</v>
      </c>
      <c r="AM97" s="58"/>
      <c r="AN97" s="58"/>
      <c r="AO97" s="58"/>
      <c r="AP97" s="58"/>
      <c r="AQ97" s="58"/>
      <c r="AR97" s="58">
        <f t="shared" si="17"/>
        <v>0</v>
      </c>
      <c r="AS97" s="58">
        <f t="shared" si="18"/>
        <v>0</v>
      </c>
      <c r="AT97" s="58">
        <f t="shared" si="19"/>
        <v>0</v>
      </c>
      <c r="AU97" s="58">
        <f t="shared" si="20"/>
        <v>0</v>
      </c>
      <c r="AV97" s="58">
        <f t="shared" si="21"/>
        <v>0</v>
      </c>
      <c r="AW97" s="58">
        <f t="shared" si="22"/>
        <v>0</v>
      </c>
      <c r="AX97" s="58">
        <f t="shared" si="23"/>
        <v>0</v>
      </c>
      <c r="AY97" s="58">
        <f t="shared" si="30"/>
        <v>0</v>
      </c>
      <c r="AZ97" s="62">
        <f t="shared" si="24"/>
        <v>0</v>
      </c>
      <c r="BA97" s="63">
        <f t="shared" si="25"/>
        <v>0</v>
      </c>
      <c r="BB97" s="63">
        <f t="shared" si="26"/>
        <v>0</v>
      </c>
    </row>
    <row r="98" spans="3:54" s="17" customFormat="1" x14ac:dyDescent="0.25">
      <c r="C98" s="215"/>
      <c r="D98" s="216"/>
      <c r="E98" s="88"/>
      <c r="F98" s="217"/>
      <c r="G98" s="234"/>
      <c r="H98" s="218"/>
      <c r="I98" s="76"/>
      <c r="J98" s="77"/>
      <c r="K98" s="76"/>
      <c r="L98" s="78"/>
      <c r="M98" s="78"/>
      <c r="N98" s="76" t="s">
        <v>39</v>
      </c>
      <c r="O98" s="110"/>
      <c r="P98" s="152"/>
      <c r="Q98" s="111" t="str">
        <f>IFERROR(MIN(VLOOKUP(ROUNDDOWN(P98,0),'Aide calcul'!$B$2:$C$282,2,FALSE),O98+1),"")</f>
        <v/>
      </c>
      <c r="R98" s="112" t="str">
        <f t="shared" si="27"/>
        <v/>
      </c>
      <c r="S98" s="152"/>
      <c r="T98" s="152"/>
      <c r="U98" s="152"/>
      <c r="V98" s="152"/>
      <c r="W98" s="152"/>
      <c r="X98" s="152"/>
      <c r="Y98" s="152"/>
      <c r="Z98" s="76"/>
      <c r="AA98" s="76"/>
      <c r="AB98" s="113" t="str">
        <f>IF(C98="3111. Logements",ROUND(VLOOKUP(C98,'Informations générales'!$C$66:$E$70,3,FALSE)*(AL98/$AM$28)/12,0)*12,IF(C98="3112. Logements",ROUND(VLOOKUP(C98,'Informations générales'!$C$66:$E$70,3,FALSE)*(AL98/$AN$28)/12,0)*12,IF(C98="3113. Logements",ROUND(VLOOKUP(C98,'Informations générales'!$C$66:$E$70,3,FALSE)*(AL98/$AO$28)/12,0)*12,IF(C98="3114. Logements",ROUND(VLOOKUP(C98,'Informations générales'!$C$66:$E$70,3,FALSE)*(AL98/$AP$28)/12,0)*12,IF(C98="3115. Logements",ROUND(VLOOKUP(C98,'Informations générales'!$C$66:$E$70,3,FALSE)*(AL98/$AQ$28)/12,0)*12,"")))))</f>
        <v/>
      </c>
      <c r="AC98" s="114"/>
      <c r="AD98" s="113">
        <f t="shared" si="28"/>
        <v>0</v>
      </c>
      <c r="AE98" s="114"/>
      <c r="AF98" s="203" t="str">
        <f>IF(C98="3111. Logements",ROUND(VLOOKUP(C98,'Informations générales'!$C$66:$E$70,3,FALSE)*(AL98/$AM$28)/12,0)*12,IF(C98="3112. Logements",ROUND(VLOOKUP(C98,'Informations générales'!$C$66:$E$70,3,FALSE)*(AL98/$AN$28)/12,0)*12,IF(C98="3113. Logements",ROUND(VLOOKUP(C98,'Informations générales'!$C$66:$E$70,3,FALSE)*(AL98/$AO$28)/12,0)*12,IF(C98="3114. Logements",ROUND(VLOOKUP(C98,'Informations générales'!$C$66:$E$70,3,FALSE)*(AL98/$AP$28)/12,0)*12,IF(C98="3115. Logements",ROUND(VLOOKUP(C98,'Informations générales'!$C$66:$E$70,3,FALSE)*(AL98/$AQ$28)/12,0)*12,"")))))</f>
        <v/>
      </c>
      <c r="AG98" s="202"/>
      <c r="AH98" s="113" t="str">
        <f>IF(C98="3111. Logements",ROUND(VLOOKUP(C98,'Informations générales'!$C$66:$H$70,5,FALSE)*(AL98/$AM$28)/12,0)*12,IF(C98="3112. Logements",ROUND(VLOOKUP(C98,'Informations générales'!$C$66:$H$70,5,FALSE)*(AL98/$AN$28)/12,0)*12,IF(C98="3113. Logements",ROUND(VLOOKUP(C98,'Informations générales'!$C$66:$H$70,5,FALSE)*(AL98/$AO$28)/12,0)*12,IF(C98="3114. Logements",ROUND(VLOOKUP(C98,'Informations générales'!$C$66:$H$70,5,FALSE)*(AL98/$AP$28)/12,0)*12,IF(C98="3115. Logements",ROUND(VLOOKUP(C98,'Informations générales'!$C$66:$H$70,5,FALSE)*(AL98/$AQ$28)/12,0)*12,"")))))</f>
        <v/>
      </c>
      <c r="AI98" s="114"/>
      <c r="AJ98" s="114"/>
      <c r="AK98" s="76"/>
      <c r="AL98" s="58">
        <f t="shared" si="29"/>
        <v>0</v>
      </c>
      <c r="AM98" s="58"/>
      <c r="AN98" s="58"/>
      <c r="AO98" s="58"/>
      <c r="AP98" s="58"/>
      <c r="AQ98" s="58"/>
      <c r="AR98" s="58">
        <f t="shared" si="17"/>
        <v>0</v>
      </c>
      <c r="AS98" s="58">
        <f t="shared" si="18"/>
        <v>0</v>
      </c>
      <c r="AT98" s="58">
        <f t="shared" si="19"/>
        <v>0</v>
      </c>
      <c r="AU98" s="58">
        <f t="shared" si="20"/>
        <v>0</v>
      </c>
      <c r="AV98" s="58">
        <f t="shared" si="21"/>
        <v>0</v>
      </c>
      <c r="AW98" s="58">
        <f t="shared" si="22"/>
        <v>0</v>
      </c>
      <c r="AX98" s="58">
        <f t="shared" si="23"/>
        <v>0</v>
      </c>
      <c r="AY98" s="58">
        <f t="shared" si="30"/>
        <v>0</v>
      </c>
      <c r="AZ98" s="62">
        <f t="shared" si="24"/>
        <v>0</v>
      </c>
      <c r="BA98" s="63">
        <f t="shared" si="25"/>
        <v>0</v>
      </c>
      <c r="BB98" s="63">
        <f t="shared" si="26"/>
        <v>0</v>
      </c>
    </row>
    <row r="99" spans="3:54" s="17" customFormat="1" x14ac:dyDescent="0.25">
      <c r="C99" s="215"/>
      <c r="D99" s="216"/>
      <c r="E99" s="88"/>
      <c r="F99" s="217"/>
      <c r="G99" s="234"/>
      <c r="H99" s="218"/>
      <c r="I99" s="76"/>
      <c r="J99" s="77"/>
      <c r="K99" s="76"/>
      <c r="L99" s="78"/>
      <c r="M99" s="78"/>
      <c r="N99" s="76" t="s">
        <v>39</v>
      </c>
      <c r="O99" s="110"/>
      <c r="P99" s="152"/>
      <c r="Q99" s="111" t="str">
        <f>IFERROR(MIN(VLOOKUP(ROUNDDOWN(P99,0),'Aide calcul'!$B$2:$C$282,2,FALSE),O99+1),"")</f>
        <v/>
      </c>
      <c r="R99" s="112" t="str">
        <f t="shared" si="27"/>
        <v/>
      </c>
      <c r="S99" s="152"/>
      <c r="T99" s="152"/>
      <c r="U99" s="152"/>
      <c r="V99" s="152"/>
      <c r="W99" s="152"/>
      <c r="X99" s="152"/>
      <c r="Y99" s="152"/>
      <c r="Z99" s="76"/>
      <c r="AA99" s="76"/>
      <c r="AB99" s="113" t="str">
        <f>IF(C99="3111. Logements",ROUND(VLOOKUP(C99,'Informations générales'!$C$66:$E$70,3,FALSE)*(AL99/$AM$28)/12,0)*12,IF(C99="3112. Logements",ROUND(VLOOKUP(C99,'Informations générales'!$C$66:$E$70,3,FALSE)*(AL99/$AN$28)/12,0)*12,IF(C99="3113. Logements",ROUND(VLOOKUP(C99,'Informations générales'!$C$66:$E$70,3,FALSE)*(AL99/$AO$28)/12,0)*12,IF(C99="3114. Logements",ROUND(VLOOKUP(C99,'Informations générales'!$C$66:$E$70,3,FALSE)*(AL99/$AP$28)/12,0)*12,IF(C99="3115. Logements",ROUND(VLOOKUP(C99,'Informations générales'!$C$66:$E$70,3,FALSE)*(AL99/$AQ$28)/12,0)*12,"")))))</f>
        <v/>
      </c>
      <c r="AC99" s="114"/>
      <c r="AD99" s="113">
        <f t="shared" si="28"/>
        <v>0</v>
      </c>
      <c r="AE99" s="114"/>
      <c r="AF99" s="203" t="str">
        <f>IF(C99="3111. Logements",ROUND(VLOOKUP(C99,'Informations générales'!$C$66:$E$70,3,FALSE)*(AL99/$AM$28)/12,0)*12,IF(C99="3112. Logements",ROUND(VLOOKUP(C99,'Informations générales'!$C$66:$E$70,3,FALSE)*(AL99/$AN$28)/12,0)*12,IF(C99="3113. Logements",ROUND(VLOOKUP(C99,'Informations générales'!$C$66:$E$70,3,FALSE)*(AL99/$AO$28)/12,0)*12,IF(C99="3114. Logements",ROUND(VLOOKUP(C99,'Informations générales'!$C$66:$E$70,3,FALSE)*(AL99/$AP$28)/12,0)*12,IF(C99="3115. Logements",ROUND(VLOOKUP(C99,'Informations générales'!$C$66:$E$70,3,FALSE)*(AL99/$AQ$28)/12,0)*12,"")))))</f>
        <v/>
      </c>
      <c r="AG99" s="202"/>
      <c r="AH99" s="113" t="str">
        <f>IF(C99="3111. Logements",ROUND(VLOOKUP(C99,'Informations générales'!$C$66:$H$70,5,FALSE)*(AL99/$AM$28)/12,0)*12,IF(C99="3112. Logements",ROUND(VLOOKUP(C99,'Informations générales'!$C$66:$H$70,5,FALSE)*(AL99/$AN$28)/12,0)*12,IF(C99="3113. Logements",ROUND(VLOOKUP(C99,'Informations générales'!$C$66:$H$70,5,FALSE)*(AL99/$AO$28)/12,0)*12,IF(C99="3114. Logements",ROUND(VLOOKUP(C99,'Informations générales'!$C$66:$H$70,5,FALSE)*(AL99/$AP$28)/12,0)*12,IF(C99="3115. Logements",ROUND(VLOOKUP(C99,'Informations générales'!$C$66:$H$70,5,FALSE)*(AL99/$AQ$28)/12,0)*12,"")))))</f>
        <v/>
      </c>
      <c r="AI99" s="114"/>
      <c r="AJ99" s="114"/>
      <c r="AK99" s="76"/>
      <c r="AL99" s="58">
        <f t="shared" si="29"/>
        <v>0</v>
      </c>
      <c r="AM99" s="58"/>
      <c r="AN99" s="58"/>
      <c r="AO99" s="58"/>
      <c r="AP99" s="58"/>
      <c r="AQ99" s="58"/>
      <c r="AR99" s="58">
        <f t="shared" si="17"/>
        <v>0</v>
      </c>
      <c r="AS99" s="58">
        <f t="shared" si="18"/>
        <v>0</v>
      </c>
      <c r="AT99" s="58">
        <f t="shared" si="19"/>
        <v>0</v>
      </c>
      <c r="AU99" s="58">
        <f t="shared" si="20"/>
        <v>0</v>
      </c>
      <c r="AV99" s="58">
        <f t="shared" si="21"/>
        <v>0</v>
      </c>
      <c r="AW99" s="58">
        <f t="shared" si="22"/>
        <v>0</v>
      </c>
      <c r="AX99" s="58">
        <f t="shared" si="23"/>
        <v>0</v>
      </c>
      <c r="AY99" s="58">
        <f t="shared" si="30"/>
        <v>0</v>
      </c>
      <c r="AZ99" s="62">
        <f t="shared" si="24"/>
        <v>0</v>
      </c>
      <c r="BA99" s="63">
        <f t="shared" si="25"/>
        <v>0</v>
      </c>
      <c r="BB99" s="63">
        <f t="shared" si="26"/>
        <v>0</v>
      </c>
    </row>
    <row r="100" spans="3:54" s="17" customFormat="1" x14ac:dyDescent="0.25">
      <c r="C100" s="215"/>
      <c r="D100" s="216"/>
      <c r="E100" s="88"/>
      <c r="F100" s="217"/>
      <c r="G100" s="234"/>
      <c r="H100" s="218"/>
      <c r="I100" s="76"/>
      <c r="J100" s="77"/>
      <c r="K100" s="76"/>
      <c r="L100" s="78"/>
      <c r="M100" s="78"/>
      <c r="N100" s="76" t="s">
        <v>39</v>
      </c>
      <c r="O100" s="110"/>
      <c r="P100" s="152"/>
      <c r="Q100" s="111" t="str">
        <f>IFERROR(MIN(VLOOKUP(ROUNDDOWN(P100,0),'Aide calcul'!$B$2:$C$282,2,FALSE),O100+1),"")</f>
        <v/>
      </c>
      <c r="R100" s="112" t="str">
        <f t="shared" si="27"/>
        <v/>
      </c>
      <c r="S100" s="152"/>
      <c r="T100" s="152"/>
      <c r="U100" s="152"/>
      <c r="V100" s="152"/>
      <c r="W100" s="152"/>
      <c r="X100" s="152"/>
      <c r="Y100" s="152"/>
      <c r="Z100" s="76"/>
      <c r="AA100" s="76"/>
      <c r="AB100" s="113" t="str">
        <f>IF(C100="3111. Logements",ROUND(VLOOKUP(C100,'Informations générales'!$C$66:$E$70,3,FALSE)*(AL100/$AM$28)/12,0)*12,IF(C100="3112. Logements",ROUND(VLOOKUP(C100,'Informations générales'!$C$66:$E$70,3,FALSE)*(AL100/$AN$28)/12,0)*12,IF(C100="3113. Logements",ROUND(VLOOKUP(C100,'Informations générales'!$C$66:$E$70,3,FALSE)*(AL100/$AO$28)/12,0)*12,IF(C100="3114. Logements",ROUND(VLOOKUP(C100,'Informations générales'!$C$66:$E$70,3,FALSE)*(AL100/$AP$28)/12,0)*12,IF(C100="3115. Logements",ROUND(VLOOKUP(C100,'Informations générales'!$C$66:$E$70,3,FALSE)*(AL100/$AQ$28)/12,0)*12,"")))))</f>
        <v/>
      </c>
      <c r="AC100" s="114"/>
      <c r="AD100" s="113">
        <f t="shared" si="28"/>
        <v>0</v>
      </c>
      <c r="AE100" s="114"/>
      <c r="AF100" s="203" t="str">
        <f>IF(C100="3111. Logements",ROUND(VLOOKUP(C100,'Informations générales'!$C$66:$E$70,3,FALSE)*(AL100/$AM$28)/12,0)*12,IF(C100="3112. Logements",ROUND(VLOOKUP(C100,'Informations générales'!$C$66:$E$70,3,FALSE)*(AL100/$AN$28)/12,0)*12,IF(C100="3113. Logements",ROUND(VLOOKUP(C100,'Informations générales'!$C$66:$E$70,3,FALSE)*(AL100/$AO$28)/12,0)*12,IF(C100="3114. Logements",ROUND(VLOOKUP(C100,'Informations générales'!$C$66:$E$70,3,FALSE)*(AL100/$AP$28)/12,0)*12,IF(C100="3115. Logements",ROUND(VLOOKUP(C100,'Informations générales'!$C$66:$E$70,3,FALSE)*(AL100/$AQ$28)/12,0)*12,"")))))</f>
        <v/>
      </c>
      <c r="AG100" s="202"/>
      <c r="AH100" s="113" t="str">
        <f>IF(C100="3111. Logements",ROUND(VLOOKUP(C100,'Informations générales'!$C$66:$H$70,5,FALSE)*(AL100/$AM$28)/12,0)*12,IF(C100="3112. Logements",ROUND(VLOOKUP(C100,'Informations générales'!$C$66:$H$70,5,FALSE)*(AL100/$AN$28)/12,0)*12,IF(C100="3113. Logements",ROUND(VLOOKUP(C100,'Informations générales'!$C$66:$H$70,5,FALSE)*(AL100/$AO$28)/12,0)*12,IF(C100="3114. Logements",ROUND(VLOOKUP(C100,'Informations générales'!$C$66:$H$70,5,FALSE)*(AL100/$AP$28)/12,0)*12,IF(C100="3115. Logements",ROUND(VLOOKUP(C100,'Informations générales'!$C$66:$H$70,5,FALSE)*(AL100/$AQ$28)/12,0)*12,"")))))</f>
        <v/>
      </c>
      <c r="AI100" s="114"/>
      <c r="AJ100" s="114"/>
      <c r="AK100" s="76"/>
      <c r="AL100" s="58">
        <f t="shared" si="29"/>
        <v>0</v>
      </c>
      <c r="AM100" s="58"/>
      <c r="AN100" s="58"/>
      <c r="AO100" s="58"/>
      <c r="AP100" s="58"/>
      <c r="AQ100" s="58"/>
      <c r="AR100" s="58">
        <f t="shared" si="17"/>
        <v>0</v>
      </c>
      <c r="AS100" s="58">
        <f t="shared" si="18"/>
        <v>0</v>
      </c>
      <c r="AT100" s="58">
        <f t="shared" si="19"/>
        <v>0</v>
      </c>
      <c r="AU100" s="58">
        <f t="shared" si="20"/>
        <v>0</v>
      </c>
      <c r="AV100" s="58">
        <f t="shared" si="21"/>
        <v>0</v>
      </c>
      <c r="AW100" s="58">
        <f t="shared" si="22"/>
        <v>0</v>
      </c>
      <c r="AX100" s="58">
        <f t="shared" si="23"/>
        <v>0</v>
      </c>
      <c r="AY100" s="58">
        <f t="shared" si="30"/>
        <v>0</v>
      </c>
      <c r="AZ100" s="62">
        <f t="shared" si="24"/>
        <v>0</v>
      </c>
      <c r="BA100" s="63">
        <f t="shared" si="25"/>
        <v>0</v>
      </c>
      <c r="BB100" s="63">
        <f t="shared" si="26"/>
        <v>0</v>
      </c>
    </row>
    <row r="101" spans="3:54" s="17" customFormat="1" x14ac:dyDescent="0.25">
      <c r="C101" s="215"/>
      <c r="D101" s="216"/>
      <c r="E101" s="88"/>
      <c r="F101" s="217"/>
      <c r="G101" s="234"/>
      <c r="H101" s="218"/>
      <c r="I101" s="76"/>
      <c r="J101" s="77"/>
      <c r="K101" s="76"/>
      <c r="L101" s="78"/>
      <c r="M101" s="78"/>
      <c r="N101" s="76" t="s">
        <v>39</v>
      </c>
      <c r="O101" s="110"/>
      <c r="P101" s="152"/>
      <c r="Q101" s="111" t="str">
        <f>IFERROR(MIN(VLOOKUP(ROUNDDOWN(P101,0),'Aide calcul'!$B$2:$C$282,2,FALSE),O101+1),"")</f>
        <v/>
      </c>
      <c r="R101" s="112" t="str">
        <f t="shared" si="27"/>
        <v/>
      </c>
      <c r="S101" s="152"/>
      <c r="T101" s="152"/>
      <c r="U101" s="152"/>
      <c r="V101" s="152"/>
      <c r="W101" s="152"/>
      <c r="X101" s="152"/>
      <c r="Y101" s="152"/>
      <c r="Z101" s="76"/>
      <c r="AA101" s="76"/>
      <c r="AB101" s="113" t="str">
        <f>IF(C101="3111. Logements",ROUND(VLOOKUP(C101,'Informations générales'!$C$66:$E$70,3,FALSE)*(AL101/$AM$28)/12,0)*12,IF(C101="3112. Logements",ROUND(VLOOKUP(C101,'Informations générales'!$C$66:$E$70,3,FALSE)*(AL101/$AN$28)/12,0)*12,IF(C101="3113. Logements",ROUND(VLOOKUP(C101,'Informations générales'!$C$66:$E$70,3,FALSE)*(AL101/$AO$28)/12,0)*12,IF(C101="3114. Logements",ROUND(VLOOKUP(C101,'Informations générales'!$C$66:$E$70,3,FALSE)*(AL101/$AP$28)/12,0)*12,IF(C101="3115. Logements",ROUND(VLOOKUP(C101,'Informations générales'!$C$66:$E$70,3,FALSE)*(AL101/$AQ$28)/12,0)*12,"")))))</f>
        <v/>
      </c>
      <c r="AC101" s="114"/>
      <c r="AD101" s="113">
        <f t="shared" si="28"/>
        <v>0</v>
      </c>
      <c r="AE101" s="114"/>
      <c r="AF101" s="203" t="str">
        <f>IF(C101="3111. Logements",ROUND(VLOOKUP(C101,'Informations générales'!$C$66:$E$70,3,FALSE)*(AL101/$AM$28)/12,0)*12,IF(C101="3112. Logements",ROUND(VLOOKUP(C101,'Informations générales'!$C$66:$E$70,3,FALSE)*(AL101/$AN$28)/12,0)*12,IF(C101="3113. Logements",ROUND(VLOOKUP(C101,'Informations générales'!$C$66:$E$70,3,FALSE)*(AL101/$AO$28)/12,0)*12,IF(C101="3114. Logements",ROUND(VLOOKUP(C101,'Informations générales'!$C$66:$E$70,3,FALSE)*(AL101/$AP$28)/12,0)*12,IF(C101="3115. Logements",ROUND(VLOOKUP(C101,'Informations générales'!$C$66:$E$70,3,FALSE)*(AL101/$AQ$28)/12,0)*12,"")))))</f>
        <v/>
      </c>
      <c r="AG101" s="202"/>
      <c r="AH101" s="113" t="str">
        <f>IF(C101="3111. Logements",ROUND(VLOOKUP(C101,'Informations générales'!$C$66:$H$70,5,FALSE)*(AL101/$AM$28)/12,0)*12,IF(C101="3112. Logements",ROUND(VLOOKUP(C101,'Informations générales'!$C$66:$H$70,5,FALSE)*(AL101/$AN$28)/12,0)*12,IF(C101="3113. Logements",ROUND(VLOOKUP(C101,'Informations générales'!$C$66:$H$70,5,FALSE)*(AL101/$AO$28)/12,0)*12,IF(C101="3114. Logements",ROUND(VLOOKUP(C101,'Informations générales'!$C$66:$H$70,5,FALSE)*(AL101/$AP$28)/12,0)*12,IF(C101="3115. Logements",ROUND(VLOOKUP(C101,'Informations générales'!$C$66:$H$70,5,FALSE)*(AL101/$AQ$28)/12,0)*12,"")))))</f>
        <v/>
      </c>
      <c r="AI101" s="114"/>
      <c r="AJ101" s="114"/>
      <c r="AK101" s="76"/>
      <c r="AL101" s="58">
        <f t="shared" si="29"/>
        <v>0</v>
      </c>
      <c r="AM101" s="58"/>
      <c r="AN101" s="58"/>
      <c r="AO101" s="58"/>
      <c r="AP101" s="58"/>
      <c r="AQ101" s="58"/>
      <c r="AR101" s="58">
        <f t="shared" si="17"/>
        <v>0</v>
      </c>
      <c r="AS101" s="58">
        <f t="shared" si="18"/>
        <v>0</v>
      </c>
      <c r="AT101" s="58">
        <f t="shared" si="19"/>
        <v>0</v>
      </c>
      <c r="AU101" s="58">
        <f t="shared" si="20"/>
        <v>0</v>
      </c>
      <c r="AV101" s="58">
        <f t="shared" si="21"/>
        <v>0</v>
      </c>
      <c r="AW101" s="58">
        <f t="shared" si="22"/>
        <v>0</v>
      </c>
      <c r="AX101" s="58">
        <f t="shared" si="23"/>
        <v>0</v>
      </c>
      <c r="AY101" s="58">
        <f t="shared" si="30"/>
        <v>0</v>
      </c>
      <c r="AZ101" s="62">
        <f t="shared" si="24"/>
        <v>0</v>
      </c>
      <c r="BA101" s="63">
        <f t="shared" si="25"/>
        <v>0</v>
      </c>
      <c r="BB101" s="63">
        <f t="shared" si="26"/>
        <v>0</v>
      </c>
    </row>
    <row r="102" spans="3:54" s="17" customFormat="1" x14ac:dyDescent="0.25">
      <c r="C102" s="215"/>
      <c r="D102" s="216"/>
      <c r="E102" s="88"/>
      <c r="F102" s="217"/>
      <c r="G102" s="234"/>
      <c r="H102" s="218"/>
      <c r="I102" s="76"/>
      <c r="J102" s="77"/>
      <c r="K102" s="76"/>
      <c r="L102" s="78"/>
      <c r="M102" s="78"/>
      <c r="N102" s="76" t="s">
        <v>39</v>
      </c>
      <c r="O102" s="110"/>
      <c r="P102" s="152"/>
      <c r="Q102" s="111" t="str">
        <f>IFERROR(MIN(VLOOKUP(ROUNDDOWN(P102,0),'Aide calcul'!$B$2:$C$282,2,FALSE),O102+1),"")</f>
        <v/>
      </c>
      <c r="R102" s="112" t="str">
        <f t="shared" si="27"/>
        <v/>
      </c>
      <c r="S102" s="152"/>
      <c r="T102" s="152"/>
      <c r="U102" s="152"/>
      <c r="V102" s="152"/>
      <c r="W102" s="152"/>
      <c r="X102" s="152"/>
      <c r="Y102" s="152"/>
      <c r="Z102" s="76"/>
      <c r="AA102" s="76"/>
      <c r="AB102" s="113" t="str">
        <f>IF(C102="3111. Logements",ROUND(VLOOKUP(C102,'Informations générales'!$C$66:$E$70,3,FALSE)*(AL102/$AM$28)/12,0)*12,IF(C102="3112. Logements",ROUND(VLOOKUP(C102,'Informations générales'!$C$66:$E$70,3,FALSE)*(AL102/$AN$28)/12,0)*12,IF(C102="3113. Logements",ROUND(VLOOKUP(C102,'Informations générales'!$C$66:$E$70,3,FALSE)*(AL102/$AO$28)/12,0)*12,IF(C102="3114. Logements",ROUND(VLOOKUP(C102,'Informations générales'!$C$66:$E$70,3,FALSE)*(AL102/$AP$28)/12,0)*12,IF(C102="3115. Logements",ROUND(VLOOKUP(C102,'Informations générales'!$C$66:$E$70,3,FALSE)*(AL102/$AQ$28)/12,0)*12,"")))))</f>
        <v/>
      </c>
      <c r="AC102" s="114"/>
      <c r="AD102" s="113">
        <f t="shared" si="28"/>
        <v>0</v>
      </c>
      <c r="AE102" s="114"/>
      <c r="AF102" s="203" t="str">
        <f>IF(C102="3111. Logements",ROUND(VLOOKUP(C102,'Informations générales'!$C$66:$E$70,3,FALSE)*(AL102/$AM$28)/12,0)*12,IF(C102="3112. Logements",ROUND(VLOOKUP(C102,'Informations générales'!$C$66:$E$70,3,FALSE)*(AL102/$AN$28)/12,0)*12,IF(C102="3113. Logements",ROUND(VLOOKUP(C102,'Informations générales'!$C$66:$E$70,3,FALSE)*(AL102/$AO$28)/12,0)*12,IF(C102="3114. Logements",ROUND(VLOOKUP(C102,'Informations générales'!$C$66:$E$70,3,FALSE)*(AL102/$AP$28)/12,0)*12,IF(C102="3115. Logements",ROUND(VLOOKUP(C102,'Informations générales'!$C$66:$E$70,3,FALSE)*(AL102/$AQ$28)/12,0)*12,"")))))</f>
        <v/>
      </c>
      <c r="AG102" s="202"/>
      <c r="AH102" s="113" t="str">
        <f>IF(C102="3111. Logements",ROUND(VLOOKUP(C102,'Informations générales'!$C$66:$H$70,5,FALSE)*(AL102/$AM$28)/12,0)*12,IF(C102="3112. Logements",ROUND(VLOOKUP(C102,'Informations générales'!$C$66:$H$70,5,FALSE)*(AL102/$AN$28)/12,0)*12,IF(C102="3113. Logements",ROUND(VLOOKUP(C102,'Informations générales'!$C$66:$H$70,5,FALSE)*(AL102/$AO$28)/12,0)*12,IF(C102="3114. Logements",ROUND(VLOOKUP(C102,'Informations générales'!$C$66:$H$70,5,FALSE)*(AL102/$AP$28)/12,0)*12,IF(C102="3115. Logements",ROUND(VLOOKUP(C102,'Informations générales'!$C$66:$H$70,5,FALSE)*(AL102/$AQ$28)/12,0)*12,"")))))</f>
        <v/>
      </c>
      <c r="AI102" s="114"/>
      <c r="AJ102" s="114"/>
      <c r="AK102" s="76"/>
      <c r="AL102" s="58">
        <f t="shared" si="29"/>
        <v>0</v>
      </c>
      <c r="AM102" s="58"/>
      <c r="AN102" s="58"/>
      <c r="AO102" s="58"/>
      <c r="AP102" s="58"/>
      <c r="AQ102" s="58"/>
      <c r="AR102" s="58">
        <f t="shared" si="17"/>
        <v>0</v>
      </c>
      <c r="AS102" s="58">
        <f t="shared" si="18"/>
        <v>0</v>
      </c>
      <c r="AT102" s="58">
        <f t="shared" si="19"/>
        <v>0</v>
      </c>
      <c r="AU102" s="58">
        <f t="shared" si="20"/>
        <v>0</v>
      </c>
      <c r="AV102" s="58">
        <f t="shared" si="21"/>
        <v>0</v>
      </c>
      <c r="AW102" s="58">
        <f t="shared" si="22"/>
        <v>0</v>
      </c>
      <c r="AX102" s="58">
        <f t="shared" si="23"/>
        <v>0</v>
      </c>
      <c r="AY102" s="58">
        <f t="shared" si="30"/>
        <v>0</v>
      </c>
      <c r="AZ102" s="62">
        <f t="shared" si="24"/>
        <v>0</v>
      </c>
      <c r="BA102" s="63">
        <f t="shared" si="25"/>
        <v>0</v>
      </c>
      <c r="BB102" s="63">
        <f t="shared" si="26"/>
        <v>0</v>
      </c>
    </row>
    <row r="103" spans="3:54" s="17" customFormat="1" x14ac:dyDescent="0.25">
      <c r="C103" s="215"/>
      <c r="D103" s="216"/>
      <c r="E103" s="88"/>
      <c r="F103" s="217"/>
      <c r="G103" s="234"/>
      <c r="H103" s="218"/>
      <c r="I103" s="76"/>
      <c r="J103" s="77"/>
      <c r="K103" s="76"/>
      <c r="L103" s="78"/>
      <c r="M103" s="78"/>
      <c r="N103" s="76" t="s">
        <v>39</v>
      </c>
      <c r="O103" s="110"/>
      <c r="P103" s="152"/>
      <c r="Q103" s="111" t="str">
        <f>IFERROR(MIN(VLOOKUP(ROUNDDOWN(P103,0),'Aide calcul'!$B$2:$C$282,2,FALSE),O103+1),"")</f>
        <v/>
      </c>
      <c r="R103" s="112" t="str">
        <f t="shared" si="27"/>
        <v/>
      </c>
      <c r="S103" s="152"/>
      <c r="T103" s="152"/>
      <c r="U103" s="152"/>
      <c r="V103" s="152"/>
      <c r="W103" s="152"/>
      <c r="X103" s="152"/>
      <c r="Y103" s="152"/>
      <c r="Z103" s="76"/>
      <c r="AA103" s="76"/>
      <c r="AB103" s="113" t="str">
        <f>IF(C103="3111. Logements",ROUND(VLOOKUP(C103,'Informations générales'!$C$66:$E$70,3,FALSE)*(AL103/$AM$28)/12,0)*12,IF(C103="3112. Logements",ROUND(VLOOKUP(C103,'Informations générales'!$C$66:$E$70,3,FALSE)*(AL103/$AN$28)/12,0)*12,IF(C103="3113. Logements",ROUND(VLOOKUP(C103,'Informations générales'!$C$66:$E$70,3,FALSE)*(AL103/$AO$28)/12,0)*12,IF(C103="3114. Logements",ROUND(VLOOKUP(C103,'Informations générales'!$C$66:$E$70,3,FALSE)*(AL103/$AP$28)/12,0)*12,IF(C103="3115. Logements",ROUND(VLOOKUP(C103,'Informations générales'!$C$66:$E$70,3,FALSE)*(AL103/$AQ$28)/12,0)*12,"")))))</f>
        <v/>
      </c>
      <c r="AC103" s="114"/>
      <c r="AD103" s="113">
        <f t="shared" si="28"/>
        <v>0</v>
      </c>
      <c r="AE103" s="114"/>
      <c r="AF103" s="203" t="str">
        <f>IF(C103="3111. Logements",ROUND(VLOOKUP(C103,'Informations générales'!$C$66:$E$70,3,FALSE)*(AL103/$AM$28)/12,0)*12,IF(C103="3112. Logements",ROUND(VLOOKUP(C103,'Informations générales'!$C$66:$E$70,3,FALSE)*(AL103/$AN$28)/12,0)*12,IF(C103="3113. Logements",ROUND(VLOOKUP(C103,'Informations générales'!$C$66:$E$70,3,FALSE)*(AL103/$AO$28)/12,0)*12,IF(C103="3114. Logements",ROUND(VLOOKUP(C103,'Informations générales'!$C$66:$E$70,3,FALSE)*(AL103/$AP$28)/12,0)*12,IF(C103="3115. Logements",ROUND(VLOOKUP(C103,'Informations générales'!$C$66:$E$70,3,FALSE)*(AL103/$AQ$28)/12,0)*12,"")))))</f>
        <v/>
      </c>
      <c r="AG103" s="202"/>
      <c r="AH103" s="113" t="str">
        <f>IF(C103="3111. Logements",ROUND(VLOOKUP(C103,'Informations générales'!$C$66:$H$70,5,FALSE)*(AL103/$AM$28)/12,0)*12,IF(C103="3112. Logements",ROUND(VLOOKUP(C103,'Informations générales'!$C$66:$H$70,5,FALSE)*(AL103/$AN$28)/12,0)*12,IF(C103="3113. Logements",ROUND(VLOOKUP(C103,'Informations générales'!$C$66:$H$70,5,FALSE)*(AL103/$AO$28)/12,0)*12,IF(C103="3114. Logements",ROUND(VLOOKUP(C103,'Informations générales'!$C$66:$H$70,5,FALSE)*(AL103/$AP$28)/12,0)*12,IF(C103="3115. Logements",ROUND(VLOOKUP(C103,'Informations générales'!$C$66:$H$70,5,FALSE)*(AL103/$AQ$28)/12,0)*12,"")))))</f>
        <v/>
      </c>
      <c r="AI103" s="114"/>
      <c r="AJ103" s="114"/>
      <c r="AK103" s="76"/>
      <c r="AL103" s="58">
        <f t="shared" si="29"/>
        <v>0</v>
      </c>
      <c r="AM103" s="58"/>
      <c r="AN103" s="58"/>
      <c r="AO103" s="58"/>
      <c r="AP103" s="58"/>
      <c r="AQ103" s="58"/>
      <c r="AR103" s="58">
        <f t="shared" si="17"/>
        <v>0</v>
      </c>
      <c r="AS103" s="58">
        <f t="shared" si="18"/>
        <v>0</v>
      </c>
      <c r="AT103" s="58">
        <f t="shared" si="19"/>
        <v>0</v>
      </c>
      <c r="AU103" s="58">
        <f t="shared" si="20"/>
        <v>0</v>
      </c>
      <c r="AV103" s="58">
        <f t="shared" si="21"/>
        <v>0</v>
      </c>
      <c r="AW103" s="58">
        <f t="shared" si="22"/>
        <v>0</v>
      </c>
      <c r="AX103" s="58">
        <f t="shared" si="23"/>
        <v>0</v>
      </c>
      <c r="AY103" s="58">
        <f t="shared" si="30"/>
        <v>0</v>
      </c>
      <c r="AZ103" s="62">
        <f t="shared" si="24"/>
        <v>0</v>
      </c>
      <c r="BA103" s="63">
        <f t="shared" si="25"/>
        <v>0</v>
      </c>
      <c r="BB103" s="63">
        <f t="shared" si="26"/>
        <v>0</v>
      </c>
    </row>
    <row r="104" spans="3:54" s="17" customFormat="1" x14ac:dyDescent="0.25">
      <c r="C104" s="215"/>
      <c r="D104" s="216"/>
      <c r="E104" s="88"/>
      <c r="F104" s="217"/>
      <c r="G104" s="234"/>
      <c r="H104" s="218"/>
      <c r="I104" s="76"/>
      <c r="J104" s="77"/>
      <c r="K104" s="76"/>
      <c r="L104" s="78"/>
      <c r="M104" s="78"/>
      <c r="N104" s="76" t="s">
        <v>39</v>
      </c>
      <c r="O104" s="110"/>
      <c r="P104" s="152"/>
      <c r="Q104" s="111" t="str">
        <f>IFERROR(MIN(VLOOKUP(ROUNDDOWN(P104,0),'Aide calcul'!$B$2:$C$282,2,FALSE),O104+1),"")</f>
        <v/>
      </c>
      <c r="R104" s="112" t="str">
        <f t="shared" si="27"/>
        <v/>
      </c>
      <c r="S104" s="152"/>
      <c r="T104" s="152"/>
      <c r="U104" s="152"/>
      <c r="V104" s="152"/>
      <c r="W104" s="152"/>
      <c r="X104" s="152"/>
      <c r="Y104" s="152"/>
      <c r="Z104" s="76"/>
      <c r="AA104" s="76"/>
      <c r="AB104" s="113" t="str">
        <f>IF(C104="3111. Logements",ROUND(VLOOKUP(C104,'Informations générales'!$C$66:$E$70,3,FALSE)*(AL104/$AM$28)/12,0)*12,IF(C104="3112. Logements",ROUND(VLOOKUP(C104,'Informations générales'!$C$66:$E$70,3,FALSE)*(AL104/$AN$28)/12,0)*12,IF(C104="3113. Logements",ROUND(VLOOKUP(C104,'Informations générales'!$C$66:$E$70,3,FALSE)*(AL104/$AO$28)/12,0)*12,IF(C104="3114. Logements",ROUND(VLOOKUP(C104,'Informations générales'!$C$66:$E$70,3,FALSE)*(AL104/$AP$28)/12,0)*12,IF(C104="3115. Logements",ROUND(VLOOKUP(C104,'Informations générales'!$C$66:$E$70,3,FALSE)*(AL104/$AQ$28)/12,0)*12,"")))))</f>
        <v/>
      </c>
      <c r="AC104" s="114"/>
      <c r="AD104" s="113">
        <f t="shared" si="28"/>
        <v>0</v>
      </c>
      <c r="AE104" s="114"/>
      <c r="AF104" s="203" t="str">
        <f>IF(C104="3111. Logements",ROUND(VLOOKUP(C104,'Informations générales'!$C$66:$E$70,3,FALSE)*(AL104/$AM$28)/12,0)*12,IF(C104="3112. Logements",ROUND(VLOOKUP(C104,'Informations générales'!$C$66:$E$70,3,FALSE)*(AL104/$AN$28)/12,0)*12,IF(C104="3113. Logements",ROUND(VLOOKUP(C104,'Informations générales'!$C$66:$E$70,3,FALSE)*(AL104/$AO$28)/12,0)*12,IF(C104="3114. Logements",ROUND(VLOOKUP(C104,'Informations générales'!$C$66:$E$70,3,FALSE)*(AL104/$AP$28)/12,0)*12,IF(C104="3115. Logements",ROUND(VLOOKUP(C104,'Informations générales'!$C$66:$E$70,3,FALSE)*(AL104/$AQ$28)/12,0)*12,"")))))</f>
        <v/>
      </c>
      <c r="AG104" s="202"/>
      <c r="AH104" s="113" t="str">
        <f>IF(C104="3111. Logements",ROUND(VLOOKUP(C104,'Informations générales'!$C$66:$H$70,5,FALSE)*(AL104/$AM$28)/12,0)*12,IF(C104="3112. Logements",ROUND(VLOOKUP(C104,'Informations générales'!$C$66:$H$70,5,FALSE)*(AL104/$AN$28)/12,0)*12,IF(C104="3113. Logements",ROUND(VLOOKUP(C104,'Informations générales'!$C$66:$H$70,5,FALSE)*(AL104/$AO$28)/12,0)*12,IF(C104="3114. Logements",ROUND(VLOOKUP(C104,'Informations générales'!$C$66:$H$70,5,FALSE)*(AL104/$AP$28)/12,0)*12,IF(C104="3115. Logements",ROUND(VLOOKUP(C104,'Informations générales'!$C$66:$H$70,5,FALSE)*(AL104/$AQ$28)/12,0)*12,"")))))</f>
        <v/>
      </c>
      <c r="AI104" s="114"/>
      <c r="AJ104" s="114"/>
      <c r="AK104" s="76"/>
      <c r="AL104" s="58">
        <f t="shared" si="29"/>
        <v>0</v>
      </c>
      <c r="AM104" s="58"/>
      <c r="AN104" s="58"/>
      <c r="AO104" s="58"/>
      <c r="AP104" s="58"/>
      <c r="AQ104" s="58"/>
      <c r="AR104" s="58">
        <f t="shared" si="17"/>
        <v>0</v>
      </c>
      <c r="AS104" s="58">
        <f t="shared" si="18"/>
        <v>0</v>
      </c>
      <c r="AT104" s="58">
        <f t="shared" si="19"/>
        <v>0</v>
      </c>
      <c r="AU104" s="58">
        <f t="shared" si="20"/>
        <v>0</v>
      </c>
      <c r="AV104" s="58">
        <f t="shared" si="21"/>
        <v>0</v>
      </c>
      <c r="AW104" s="58">
        <f t="shared" si="22"/>
        <v>0</v>
      </c>
      <c r="AX104" s="58">
        <f t="shared" si="23"/>
        <v>0</v>
      </c>
      <c r="AY104" s="58">
        <f t="shared" si="30"/>
        <v>0</v>
      </c>
      <c r="AZ104" s="62">
        <f t="shared" si="24"/>
        <v>0</v>
      </c>
      <c r="BA104" s="63">
        <f t="shared" si="25"/>
        <v>0</v>
      </c>
      <c r="BB104" s="63">
        <f t="shared" si="26"/>
        <v>0</v>
      </c>
    </row>
    <row r="105" spans="3:54" s="17" customFormat="1" x14ac:dyDescent="0.25">
      <c r="C105" s="215"/>
      <c r="D105" s="216"/>
      <c r="E105" s="88"/>
      <c r="F105" s="217"/>
      <c r="G105" s="234"/>
      <c r="H105" s="218"/>
      <c r="I105" s="76"/>
      <c r="J105" s="77"/>
      <c r="K105" s="76"/>
      <c r="L105" s="78"/>
      <c r="M105" s="78"/>
      <c r="N105" s="76" t="s">
        <v>39</v>
      </c>
      <c r="O105" s="110"/>
      <c r="P105" s="152"/>
      <c r="Q105" s="111" t="str">
        <f>IFERROR(MIN(VLOOKUP(ROUNDDOWN(P105,0),'Aide calcul'!$B$2:$C$282,2,FALSE),O105+1),"")</f>
        <v/>
      </c>
      <c r="R105" s="112" t="str">
        <f t="shared" si="27"/>
        <v/>
      </c>
      <c r="S105" s="152"/>
      <c r="T105" s="152"/>
      <c r="U105" s="152"/>
      <c r="V105" s="152"/>
      <c r="W105" s="152"/>
      <c r="X105" s="152"/>
      <c r="Y105" s="152"/>
      <c r="Z105" s="76"/>
      <c r="AA105" s="76"/>
      <c r="AB105" s="113" t="str">
        <f>IF(C105="3111. Logements",ROUND(VLOOKUP(C105,'Informations générales'!$C$66:$E$70,3,FALSE)*(AL105/$AM$28)/12,0)*12,IF(C105="3112. Logements",ROUND(VLOOKUP(C105,'Informations générales'!$C$66:$E$70,3,FALSE)*(AL105/$AN$28)/12,0)*12,IF(C105="3113. Logements",ROUND(VLOOKUP(C105,'Informations générales'!$C$66:$E$70,3,FALSE)*(AL105/$AO$28)/12,0)*12,IF(C105="3114. Logements",ROUND(VLOOKUP(C105,'Informations générales'!$C$66:$E$70,3,FALSE)*(AL105/$AP$28)/12,0)*12,IF(C105="3115. Logements",ROUND(VLOOKUP(C105,'Informations générales'!$C$66:$E$70,3,FALSE)*(AL105/$AQ$28)/12,0)*12,"")))))</f>
        <v/>
      </c>
      <c r="AC105" s="114"/>
      <c r="AD105" s="113">
        <f t="shared" si="28"/>
        <v>0</v>
      </c>
      <c r="AE105" s="114"/>
      <c r="AF105" s="203" t="str">
        <f>IF(C105="3111. Logements",ROUND(VLOOKUP(C105,'Informations générales'!$C$66:$E$70,3,FALSE)*(AL105/$AM$28)/12,0)*12,IF(C105="3112. Logements",ROUND(VLOOKUP(C105,'Informations générales'!$C$66:$E$70,3,FALSE)*(AL105/$AN$28)/12,0)*12,IF(C105="3113. Logements",ROUND(VLOOKUP(C105,'Informations générales'!$C$66:$E$70,3,FALSE)*(AL105/$AO$28)/12,0)*12,IF(C105="3114. Logements",ROUND(VLOOKUP(C105,'Informations générales'!$C$66:$E$70,3,FALSE)*(AL105/$AP$28)/12,0)*12,IF(C105="3115. Logements",ROUND(VLOOKUP(C105,'Informations générales'!$C$66:$E$70,3,FALSE)*(AL105/$AQ$28)/12,0)*12,"")))))</f>
        <v/>
      </c>
      <c r="AG105" s="202"/>
      <c r="AH105" s="113" t="str">
        <f>IF(C105="3111. Logements",ROUND(VLOOKUP(C105,'Informations générales'!$C$66:$H$70,5,FALSE)*(AL105/$AM$28)/12,0)*12,IF(C105="3112. Logements",ROUND(VLOOKUP(C105,'Informations générales'!$C$66:$H$70,5,FALSE)*(AL105/$AN$28)/12,0)*12,IF(C105="3113. Logements",ROUND(VLOOKUP(C105,'Informations générales'!$C$66:$H$70,5,FALSE)*(AL105/$AO$28)/12,0)*12,IF(C105="3114. Logements",ROUND(VLOOKUP(C105,'Informations générales'!$C$66:$H$70,5,FALSE)*(AL105/$AP$28)/12,0)*12,IF(C105="3115. Logements",ROUND(VLOOKUP(C105,'Informations générales'!$C$66:$H$70,5,FALSE)*(AL105/$AQ$28)/12,0)*12,"")))))</f>
        <v/>
      </c>
      <c r="AI105" s="114"/>
      <c r="AJ105" s="114"/>
      <c r="AK105" s="76"/>
      <c r="AL105" s="58">
        <f t="shared" si="29"/>
        <v>0</v>
      </c>
      <c r="AM105" s="58"/>
      <c r="AN105" s="58"/>
      <c r="AO105" s="58"/>
      <c r="AP105" s="58"/>
      <c r="AQ105" s="58"/>
      <c r="AR105" s="58">
        <f t="shared" si="17"/>
        <v>0</v>
      </c>
      <c r="AS105" s="58">
        <f t="shared" si="18"/>
        <v>0</v>
      </c>
      <c r="AT105" s="58">
        <f t="shared" si="19"/>
        <v>0</v>
      </c>
      <c r="AU105" s="58">
        <f t="shared" si="20"/>
        <v>0</v>
      </c>
      <c r="AV105" s="58">
        <f t="shared" si="21"/>
        <v>0</v>
      </c>
      <c r="AW105" s="58">
        <f t="shared" si="22"/>
        <v>0</v>
      </c>
      <c r="AX105" s="58">
        <f t="shared" si="23"/>
        <v>0</v>
      </c>
      <c r="AY105" s="58">
        <f t="shared" si="30"/>
        <v>0</v>
      </c>
      <c r="AZ105" s="62">
        <f t="shared" si="24"/>
        <v>0</v>
      </c>
      <c r="BA105" s="63">
        <f t="shared" si="25"/>
        <v>0</v>
      </c>
      <c r="BB105" s="63">
        <f t="shared" si="26"/>
        <v>0</v>
      </c>
    </row>
    <row r="106" spans="3:54" s="17" customFormat="1" x14ac:dyDescent="0.25">
      <c r="C106" s="215"/>
      <c r="D106" s="216"/>
      <c r="E106" s="88"/>
      <c r="F106" s="217"/>
      <c r="G106" s="234"/>
      <c r="H106" s="218"/>
      <c r="I106" s="76"/>
      <c r="J106" s="77"/>
      <c r="K106" s="76"/>
      <c r="L106" s="78"/>
      <c r="M106" s="78"/>
      <c r="N106" s="76" t="s">
        <v>39</v>
      </c>
      <c r="O106" s="110"/>
      <c r="P106" s="152"/>
      <c r="Q106" s="111" t="str">
        <f>IFERROR(MIN(VLOOKUP(ROUNDDOWN(P106,0),'Aide calcul'!$B$2:$C$282,2,FALSE),O106+1),"")</f>
        <v/>
      </c>
      <c r="R106" s="112" t="str">
        <f t="shared" si="27"/>
        <v/>
      </c>
      <c r="S106" s="152"/>
      <c r="T106" s="152"/>
      <c r="U106" s="152"/>
      <c r="V106" s="152"/>
      <c r="W106" s="152"/>
      <c r="X106" s="152"/>
      <c r="Y106" s="152"/>
      <c r="Z106" s="76"/>
      <c r="AA106" s="76"/>
      <c r="AB106" s="113" t="str">
        <f>IF(C106="3111. Logements",ROUND(VLOOKUP(C106,'Informations générales'!$C$66:$E$70,3,FALSE)*(AL106/$AM$28)/12,0)*12,IF(C106="3112. Logements",ROUND(VLOOKUP(C106,'Informations générales'!$C$66:$E$70,3,FALSE)*(AL106/$AN$28)/12,0)*12,IF(C106="3113. Logements",ROUND(VLOOKUP(C106,'Informations générales'!$C$66:$E$70,3,FALSE)*(AL106/$AO$28)/12,0)*12,IF(C106="3114. Logements",ROUND(VLOOKUP(C106,'Informations générales'!$C$66:$E$70,3,FALSE)*(AL106/$AP$28)/12,0)*12,IF(C106="3115. Logements",ROUND(VLOOKUP(C106,'Informations générales'!$C$66:$E$70,3,FALSE)*(AL106/$AQ$28)/12,0)*12,"")))))</f>
        <v/>
      </c>
      <c r="AC106" s="114"/>
      <c r="AD106" s="113">
        <f t="shared" si="28"/>
        <v>0</v>
      </c>
      <c r="AE106" s="114"/>
      <c r="AF106" s="203" t="str">
        <f>IF(C106="3111. Logements",ROUND(VLOOKUP(C106,'Informations générales'!$C$66:$E$70,3,FALSE)*(AL106/$AM$28)/12,0)*12,IF(C106="3112. Logements",ROUND(VLOOKUP(C106,'Informations générales'!$C$66:$E$70,3,FALSE)*(AL106/$AN$28)/12,0)*12,IF(C106="3113. Logements",ROUND(VLOOKUP(C106,'Informations générales'!$C$66:$E$70,3,FALSE)*(AL106/$AO$28)/12,0)*12,IF(C106="3114. Logements",ROUND(VLOOKUP(C106,'Informations générales'!$C$66:$E$70,3,FALSE)*(AL106/$AP$28)/12,0)*12,IF(C106="3115. Logements",ROUND(VLOOKUP(C106,'Informations générales'!$C$66:$E$70,3,FALSE)*(AL106/$AQ$28)/12,0)*12,"")))))</f>
        <v/>
      </c>
      <c r="AG106" s="202"/>
      <c r="AH106" s="113" t="str">
        <f>IF(C106="3111. Logements",ROUND(VLOOKUP(C106,'Informations générales'!$C$66:$H$70,5,FALSE)*(AL106/$AM$28)/12,0)*12,IF(C106="3112. Logements",ROUND(VLOOKUP(C106,'Informations générales'!$C$66:$H$70,5,FALSE)*(AL106/$AN$28)/12,0)*12,IF(C106="3113. Logements",ROUND(VLOOKUP(C106,'Informations générales'!$C$66:$H$70,5,FALSE)*(AL106/$AO$28)/12,0)*12,IF(C106="3114. Logements",ROUND(VLOOKUP(C106,'Informations générales'!$C$66:$H$70,5,FALSE)*(AL106/$AP$28)/12,0)*12,IF(C106="3115. Logements",ROUND(VLOOKUP(C106,'Informations générales'!$C$66:$H$70,5,FALSE)*(AL106/$AQ$28)/12,0)*12,"")))))</f>
        <v/>
      </c>
      <c r="AI106" s="114"/>
      <c r="AJ106" s="114"/>
      <c r="AK106" s="76"/>
      <c r="AL106" s="58">
        <f t="shared" si="29"/>
        <v>0</v>
      </c>
      <c r="AM106" s="58"/>
      <c r="AN106" s="58"/>
      <c r="AO106" s="58"/>
      <c r="AP106" s="58"/>
      <c r="AQ106" s="58"/>
      <c r="AR106" s="58">
        <f t="shared" si="17"/>
        <v>0</v>
      </c>
      <c r="AS106" s="58">
        <f t="shared" si="18"/>
        <v>0</v>
      </c>
      <c r="AT106" s="58">
        <f t="shared" si="19"/>
        <v>0</v>
      </c>
      <c r="AU106" s="58">
        <f t="shared" si="20"/>
        <v>0</v>
      </c>
      <c r="AV106" s="58">
        <f t="shared" si="21"/>
        <v>0</v>
      </c>
      <c r="AW106" s="58">
        <f t="shared" si="22"/>
        <v>0</v>
      </c>
      <c r="AX106" s="58">
        <f t="shared" si="23"/>
        <v>0</v>
      </c>
      <c r="AY106" s="58">
        <f t="shared" si="30"/>
        <v>0</v>
      </c>
      <c r="AZ106" s="62">
        <f t="shared" si="24"/>
        <v>0</v>
      </c>
      <c r="BA106" s="63">
        <f t="shared" si="25"/>
        <v>0</v>
      </c>
      <c r="BB106" s="63">
        <f t="shared" si="26"/>
        <v>0</v>
      </c>
    </row>
    <row r="107" spans="3:54" s="17" customFormat="1" x14ac:dyDescent="0.25">
      <c r="C107" s="215"/>
      <c r="D107" s="216"/>
      <c r="E107" s="88"/>
      <c r="F107" s="217"/>
      <c r="G107" s="234"/>
      <c r="H107" s="218"/>
      <c r="I107" s="76"/>
      <c r="J107" s="77"/>
      <c r="K107" s="76"/>
      <c r="L107" s="78"/>
      <c r="M107" s="78"/>
      <c r="N107" s="76" t="s">
        <v>39</v>
      </c>
      <c r="O107" s="110"/>
      <c r="P107" s="152"/>
      <c r="Q107" s="111" t="str">
        <f>IFERROR(MIN(VLOOKUP(ROUNDDOWN(P107,0),'Aide calcul'!$B$2:$C$282,2,FALSE),O107+1),"")</f>
        <v/>
      </c>
      <c r="R107" s="112" t="str">
        <f t="shared" si="27"/>
        <v/>
      </c>
      <c r="S107" s="152"/>
      <c r="T107" s="152"/>
      <c r="U107" s="152"/>
      <c r="V107" s="152"/>
      <c r="W107" s="152"/>
      <c r="X107" s="152"/>
      <c r="Y107" s="152"/>
      <c r="Z107" s="76"/>
      <c r="AA107" s="76"/>
      <c r="AB107" s="113" t="str">
        <f>IF(C107="3111. Logements",ROUND(VLOOKUP(C107,'Informations générales'!$C$66:$E$70,3,FALSE)*(AL107/$AM$28)/12,0)*12,IF(C107="3112. Logements",ROUND(VLOOKUP(C107,'Informations générales'!$C$66:$E$70,3,FALSE)*(AL107/$AN$28)/12,0)*12,IF(C107="3113. Logements",ROUND(VLOOKUP(C107,'Informations générales'!$C$66:$E$70,3,FALSE)*(AL107/$AO$28)/12,0)*12,IF(C107="3114. Logements",ROUND(VLOOKUP(C107,'Informations générales'!$C$66:$E$70,3,FALSE)*(AL107/$AP$28)/12,0)*12,IF(C107="3115. Logements",ROUND(VLOOKUP(C107,'Informations générales'!$C$66:$E$70,3,FALSE)*(AL107/$AQ$28)/12,0)*12,"")))))</f>
        <v/>
      </c>
      <c r="AC107" s="114"/>
      <c r="AD107" s="113">
        <f t="shared" si="28"/>
        <v>0</v>
      </c>
      <c r="AE107" s="114"/>
      <c r="AF107" s="203" t="str">
        <f>IF(C107="3111. Logements",ROUND(VLOOKUP(C107,'Informations générales'!$C$66:$E$70,3,FALSE)*(AL107/$AM$28)/12,0)*12,IF(C107="3112. Logements",ROUND(VLOOKUP(C107,'Informations générales'!$C$66:$E$70,3,FALSE)*(AL107/$AN$28)/12,0)*12,IF(C107="3113. Logements",ROUND(VLOOKUP(C107,'Informations générales'!$C$66:$E$70,3,FALSE)*(AL107/$AO$28)/12,0)*12,IF(C107="3114. Logements",ROUND(VLOOKUP(C107,'Informations générales'!$C$66:$E$70,3,FALSE)*(AL107/$AP$28)/12,0)*12,IF(C107="3115. Logements",ROUND(VLOOKUP(C107,'Informations générales'!$C$66:$E$70,3,FALSE)*(AL107/$AQ$28)/12,0)*12,"")))))</f>
        <v/>
      </c>
      <c r="AG107" s="202"/>
      <c r="AH107" s="113" t="str">
        <f>IF(C107="3111. Logements",ROUND(VLOOKUP(C107,'Informations générales'!$C$66:$H$70,5,FALSE)*(AL107/$AM$28)/12,0)*12,IF(C107="3112. Logements",ROUND(VLOOKUP(C107,'Informations générales'!$C$66:$H$70,5,FALSE)*(AL107/$AN$28)/12,0)*12,IF(C107="3113. Logements",ROUND(VLOOKUP(C107,'Informations générales'!$C$66:$H$70,5,FALSE)*(AL107/$AO$28)/12,0)*12,IF(C107="3114. Logements",ROUND(VLOOKUP(C107,'Informations générales'!$C$66:$H$70,5,FALSE)*(AL107/$AP$28)/12,0)*12,IF(C107="3115. Logements",ROUND(VLOOKUP(C107,'Informations générales'!$C$66:$H$70,5,FALSE)*(AL107/$AQ$28)/12,0)*12,"")))))</f>
        <v/>
      </c>
      <c r="AI107" s="114"/>
      <c r="AJ107" s="114"/>
      <c r="AK107" s="76"/>
      <c r="AL107" s="58">
        <f t="shared" si="29"/>
        <v>0</v>
      </c>
      <c r="AM107" s="58"/>
      <c r="AN107" s="58"/>
      <c r="AO107" s="58"/>
      <c r="AP107" s="58"/>
      <c r="AQ107" s="58"/>
      <c r="AR107" s="58">
        <f t="shared" si="17"/>
        <v>0</v>
      </c>
      <c r="AS107" s="58">
        <f t="shared" si="18"/>
        <v>0</v>
      </c>
      <c r="AT107" s="58">
        <f t="shared" si="19"/>
        <v>0</v>
      </c>
      <c r="AU107" s="58">
        <f t="shared" si="20"/>
        <v>0</v>
      </c>
      <c r="AV107" s="58">
        <f t="shared" si="21"/>
        <v>0</v>
      </c>
      <c r="AW107" s="58">
        <f t="shared" si="22"/>
        <v>0</v>
      </c>
      <c r="AX107" s="58">
        <f t="shared" si="23"/>
        <v>0</v>
      </c>
      <c r="AY107" s="58">
        <f t="shared" si="30"/>
        <v>0</v>
      </c>
      <c r="AZ107" s="62">
        <f t="shared" si="24"/>
        <v>0</v>
      </c>
      <c r="BA107" s="63">
        <f t="shared" si="25"/>
        <v>0</v>
      </c>
      <c r="BB107" s="63">
        <f t="shared" si="26"/>
        <v>0</v>
      </c>
    </row>
    <row r="108" spans="3:54" s="17" customFormat="1" x14ac:dyDescent="0.25">
      <c r="C108" s="215"/>
      <c r="D108" s="216"/>
      <c r="E108" s="88"/>
      <c r="F108" s="217"/>
      <c r="G108" s="234"/>
      <c r="H108" s="218"/>
      <c r="I108" s="76"/>
      <c r="J108" s="77"/>
      <c r="K108" s="76"/>
      <c r="L108" s="78"/>
      <c r="M108" s="78"/>
      <c r="N108" s="76" t="s">
        <v>39</v>
      </c>
      <c r="O108" s="110"/>
      <c r="P108" s="152"/>
      <c r="Q108" s="111" t="str">
        <f>IFERROR(MIN(VLOOKUP(ROUNDDOWN(P108,0),'Aide calcul'!$B$2:$C$282,2,FALSE),O108+1),"")</f>
        <v/>
      </c>
      <c r="R108" s="112" t="str">
        <f t="shared" si="27"/>
        <v/>
      </c>
      <c r="S108" s="152"/>
      <c r="T108" s="152"/>
      <c r="U108" s="152"/>
      <c r="V108" s="152"/>
      <c r="W108" s="152"/>
      <c r="X108" s="152"/>
      <c r="Y108" s="152"/>
      <c r="Z108" s="76"/>
      <c r="AA108" s="76"/>
      <c r="AB108" s="113" t="str">
        <f>IF(C108="3111. Logements",ROUND(VLOOKUP(C108,'Informations générales'!$C$66:$E$70,3,FALSE)*(AL108/$AM$28)/12,0)*12,IF(C108="3112. Logements",ROUND(VLOOKUP(C108,'Informations générales'!$C$66:$E$70,3,FALSE)*(AL108/$AN$28)/12,0)*12,IF(C108="3113. Logements",ROUND(VLOOKUP(C108,'Informations générales'!$C$66:$E$70,3,FALSE)*(AL108/$AO$28)/12,0)*12,IF(C108="3114. Logements",ROUND(VLOOKUP(C108,'Informations générales'!$C$66:$E$70,3,FALSE)*(AL108/$AP$28)/12,0)*12,IF(C108="3115. Logements",ROUND(VLOOKUP(C108,'Informations générales'!$C$66:$E$70,3,FALSE)*(AL108/$AQ$28)/12,0)*12,"")))))</f>
        <v/>
      </c>
      <c r="AC108" s="114"/>
      <c r="AD108" s="113">
        <f t="shared" si="28"/>
        <v>0</v>
      </c>
      <c r="AE108" s="114"/>
      <c r="AF108" s="203" t="str">
        <f>IF(C108="3111. Logements",ROUND(VLOOKUP(C108,'Informations générales'!$C$66:$E$70,3,FALSE)*(AL108/$AM$28)/12,0)*12,IF(C108="3112. Logements",ROUND(VLOOKUP(C108,'Informations générales'!$C$66:$E$70,3,FALSE)*(AL108/$AN$28)/12,0)*12,IF(C108="3113. Logements",ROUND(VLOOKUP(C108,'Informations générales'!$C$66:$E$70,3,FALSE)*(AL108/$AO$28)/12,0)*12,IF(C108="3114. Logements",ROUND(VLOOKUP(C108,'Informations générales'!$C$66:$E$70,3,FALSE)*(AL108/$AP$28)/12,0)*12,IF(C108="3115. Logements",ROUND(VLOOKUP(C108,'Informations générales'!$C$66:$E$70,3,FALSE)*(AL108/$AQ$28)/12,0)*12,"")))))</f>
        <v/>
      </c>
      <c r="AG108" s="202"/>
      <c r="AH108" s="113" t="str">
        <f>IF(C108="3111. Logements",ROUND(VLOOKUP(C108,'Informations générales'!$C$66:$H$70,5,FALSE)*(AL108/$AM$28)/12,0)*12,IF(C108="3112. Logements",ROUND(VLOOKUP(C108,'Informations générales'!$C$66:$H$70,5,FALSE)*(AL108/$AN$28)/12,0)*12,IF(C108="3113. Logements",ROUND(VLOOKUP(C108,'Informations générales'!$C$66:$H$70,5,FALSE)*(AL108/$AO$28)/12,0)*12,IF(C108="3114. Logements",ROUND(VLOOKUP(C108,'Informations générales'!$C$66:$H$70,5,FALSE)*(AL108/$AP$28)/12,0)*12,IF(C108="3115. Logements",ROUND(VLOOKUP(C108,'Informations générales'!$C$66:$H$70,5,FALSE)*(AL108/$AQ$28)/12,0)*12,"")))))</f>
        <v/>
      </c>
      <c r="AI108" s="114"/>
      <c r="AJ108" s="114"/>
      <c r="AK108" s="76"/>
      <c r="AL108" s="58">
        <f t="shared" si="29"/>
        <v>0</v>
      </c>
      <c r="AM108" s="58"/>
      <c r="AN108" s="58"/>
      <c r="AO108" s="58"/>
      <c r="AP108" s="58"/>
      <c r="AQ108" s="58"/>
      <c r="AR108" s="58">
        <f t="shared" si="17"/>
        <v>0</v>
      </c>
      <c r="AS108" s="58">
        <f t="shared" si="18"/>
        <v>0</v>
      </c>
      <c r="AT108" s="58">
        <f t="shared" si="19"/>
        <v>0</v>
      </c>
      <c r="AU108" s="58">
        <f t="shared" si="20"/>
        <v>0</v>
      </c>
      <c r="AV108" s="58">
        <f t="shared" si="21"/>
        <v>0</v>
      </c>
      <c r="AW108" s="58">
        <f t="shared" si="22"/>
        <v>0</v>
      </c>
      <c r="AX108" s="58">
        <f t="shared" si="23"/>
        <v>0</v>
      </c>
      <c r="AY108" s="58">
        <f t="shared" si="30"/>
        <v>0</v>
      </c>
      <c r="AZ108" s="62">
        <f t="shared" si="24"/>
        <v>0</v>
      </c>
      <c r="BA108" s="63">
        <f t="shared" si="25"/>
        <v>0</v>
      </c>
      <c r="BB108" s="63">
        <f t="shared" si="26"/>
        <v>0</v>
      </c>
    </row>
    <row r="109" spans="3:54" s="17" customFormat="1" x14ac:dyDescent="0.25">
      <c r="C109" s="215"/>
      <c r="D109" s="216"/>
      <c r="E109" s="88"/>
      <c r="F109" s="217"/>
      <c r="G109" s="234"/>
      <c r="H109" s="218"/>
      <c r="I109" s="76"/>
      <c r="J109" s="77"/>
      <c r="K109" s="76"/>
      <c r="L109" s="78"/>
      <c r="M109" s="78"/>
      <c r="N109" s="76" t="s">
        <v>39</v>
      </c>
      <c r="O109" s="110"/>
      <c r="P109" s="152"/>
      <c r="Q109" s="111" t="str">
        <f>IFERROR(MIN(VLOOKUP(ROUNDDOWN(P109,0),'Aide calcul'!$B$2:$C$282,2,FALSE),O109+1),"")</f>
        <v/>
      </c>
      <c r="R109" s="112" t="str">
        <f t="shared" si="27"/>
        <v/>
      </c>
      <c r="S109" s="152"/>
      <c r="T109" s="152"/>
      <c r="U109" s="152"/>
      <c r="V109" s="152"/>
      <c r="W109" s="152"/>
      <c r="X109" s="152"/>
      <c r="Y109" s="152"/>
      <c r="Z109" s="76"/>
      <c r="AA109" s="76"/>
      <c r="AB109" s="113" t="str">
        <f>IF(C109="3111. Logements",ROUND(VLOOKUP(C109,'Informations générales'!$C$66:$E$70,3,FALSE)*(AL109/$AM$28)/12,0)*12,IF(C109="3112. Logements",ROUND(VLOOKUP(C109,'Informations générales'!$C$66:$E$70,3,FALSE)*(AL109/$AN$28)/12,0)*12,IF(C109="3113. Logements",ROUND(VLOOKUP(C109,'Informations générales'!$C$66:$E$70,3,FALSE)*(AL109/$AO$28)/12,0)*12,IF(C109="3114. Logements",ROUND(VLOOKUP(C109,'Informations générales'!$C$66:$E$70,3,FALSE)*(AL109/$AP$28)/12,0)*12,IF(C109="3115. Logements",ROUND(VLOOKUP(C109,'Informations générales'!$C$66:$E$70,3,FALSE)*(AL109/$AQ$28)/12,0)*12,"")))))</f>
        <v/>
      </c>
      <c r="AC109" s="114"/>
      <c r="AD109" s="113">
        <f t="shared" si="28"/>
        <v>0</v>
      </c>
      <c r="AE109" s="114"/>
      <c r="AF109" s="203" t="str">
        <f>IF(C109="3111. Logements",ROUND(VLOOKUP(C109,'Informations générales'!$C$66:$E$70,3,FALSE)*(AL109/$AM$28)/12,0)*12,IF(C109="3112. Logements",ROUND(VLOOKUP(C109,'Informations générales'!$C$66:$E$70,3,FALSE)*(AL109/$AN$28)/12,0)*12,IF(C109="3113. Logements",ROUND(VLOOKUP(C109,'Informations générales'!$C$66:$E$70,3,FALSE)*(AL109/$AO$28)/12,0)*12,IF(C109="3114. Logements",ROUND(VLOOKUP(C109,'Informations générales'!$C$66:$E$70,3,FALSE)*(AL109/$AP$28)/12,0)*12,IF(C109="3115. Logements",ROUND(VLOOKUP(C109,'Informations générales'!$C$66:$E$70,3,FALSE)*(AL109/$AQ$28)/12,0)*12,"")))))</f>
        <v/>
      </c>
      <c r="AG109" s="202"/>
      <c r="AH109" s="113" t="str">
        <f>IF(C109="3111. Logements",ROUND(VLOOKUP(C109,'Informations générales'!$C$66:$H$70,5,FALSE)*(AL109/$AM$28)/12,0)*12,IF(C109="3112. Logements",ROUND(VLOOKUP(C109,'Informations générales'!$C$66:$H$70,5,FALSE)*(AL109/$AN$28)/12,0)*12,IF(C109="3113. Logements",ROUND(VLOOKUP(C109,'Informations générales'!$C$66:$H$70,5,FALSE)*(AL109/$AO$28)/12,0)*12,IF(C109="3114. Logements",ROUND(VLOOKUP(C109,'Informations générales'!$C$66:$H$70,5,FALSE)*(AL109/$AP$28)/12,0)*12,IF(C109="3115. Logements",ROUND(VLOOKUP(C109,'Informations générales'!$C$66:$H$70,5,FALSE)*(AL109/$AQ$28)/12,0)*12,"")))))</f>
        <v/>
      </c>
      <c r="AI109" s="114"/>
      <c r="AJ109" s="114"/>
      <c r="AK109" s="76"/>
      <c r="AL109" s="58">
        <f t="shared" si="29"/>
        <v>0</v>
      </c>
      <c r="AM109" s="58"/>
      <c r="AN109" s="58"/>
      <c r="AO109" s="58"/>
      <c r="AP109" s="58"/>
      <c r="AQ109" s="58"/>
      <c r="AR109" s="58">
        <f t="shared" si="17"/>
        <v>0</v>
      </c>
      <c r="AS109" s="58">
        <f t="shared" si="18"/>
        <v>0</v>
      </c>
      <c r="AT109" s="58">
        <f t="shared" si="19"/>
        <v>0</v>
      </c>
      <c r="AU109" s="58">
        <f t="shared" si="20"/>
        <v>0</v>
      </c>
      <c r="AV109" s="58">
        <f t="shared" si="21"/>
        <v>0</v>
      </c>
      <c r="AW109" s="58">
        <f t="shared" si="22"/>
        <v>0</v>
      </c>
      <c r="AX109" s="58">
        <f t="shared" si="23"/>
        <v>0</v>
      </c>
      <c r="AY109" s="58">
        <f t="shared" si="30"/>
        <v>0</v>
      </c>
      <c r="AZ109" s="62">
        <f t="shared" si="24"/>
        <v>0</v>
      </c>
      <c r="BA109" s="63">
        <f t="shared" si="25"/>
        <v>0</v>
      </c>
      <c r="BB109" s="63">
        <f t="shared" si="26"/>
        <v>0</v>
      </c>
    </row>
    <row r="110" spans="3:54" s="17" customFormat="1" x14ac:dyDescent="0.25">
      <c r="C110" s="215"/>
      <c r="D110" s="216"/>
      <c r="E110" s="88"/>
      <c r="F110" s="217"/>
      <c r="G110" s="234"/>
      <c r="H110" s="218"/>
      <c r="I110" s="76"/>
      <c r="J110" s="77"/>
      <c r="K110" s="76"/>
      <c r="L110" s="78"/>
      <c r="M110" s="78"/>
      <c r="N110" s="76" t="s">
        <v>39</v>
      </c>
      <c r="O110" s="110"/>
      <c r="P110" s="152"/>
      <c r="Q110" s="111" t="str">
        <f>IFERROR(MIN(VLOOKUP(ROUNDDOWN(P110,0),'Aide calcul'!$B$2:$C$282,2,FALSE),O110+1),"")</f>
        <v/>
      </c>
      <c r="R110" s="112" t="str">
        <f t="shared" si="27"/>
        <v/>
      </c>
      <c r="S110" s="152"/>
      <c r="T110" s="152"/>
      <c r="U110" s="152"/>
      <c r="V110" s="152"/>
      <c r="W110" s="152"/>
      <c r="X110" s="152"/>
      <c r="Y110" s="152"/>
      <c r="Z110" s="76"/>
      <c r="AA110" s="76"/>
      <c r="AB110" s="113" t="str">
        <f>IF(C110="3111. Logements",ROUND(VLOOKUP(C110,'Informations générales'!$C$66:$E$70,3,FALSE)*(AL110/$AM$28)/12,0)*12,IF(C110="3112. Logements",ROUND(VLOOKUP(C110,'Informations générales'!$C$66:$E$70,3,FALSE)*(AL110/$AN$28)/12,0)*12,IF(C110="3113. Logements",ROUND(VLOOKUP(C110,'Informations générales'!$C$66:$E$70,3,FALSE)*(AL110/$AO$28)/12,0)*12,IF(C110="3114. Logements",ROUND(VLOOKUP(C110,'Informations générales'!$C$66:$E$70,3,FALSE)*(AL110/$AP$28)/12,0)*12,IF(C110="3115. Logements",ROUND(VLOOKUP(C110,'Informations générales'!$C$66:$E$70,3,FALSE)*(AL110/$AQ$28)/12,0)*12,"")))))</f>
        <v/>
      </c>
      <c r="AC110" s="114"/>
      <c r="AD110" s="113">
        <f t="shared" si="28"/>
        <v>0</v>
      </c>
      <c r="AE110" s="114"/>
      <c r="AF110" s="203" t="str">
        <f>IF(C110="3111. Logements",ROUND(VLOOKUP(C110,'Informations générales'!$C$66:$E$70,3,FALSE)*(AL110/$AM$28)/12,0)*12,IF(C110="3112. Logements",ROUND(VLOOKUP(C110,'Informations générales'!$C$66:$E$70,3,FALSE)*(AL110/$AN$28)/12,0)*12,IF(C110="3113. Logements",ROUND(VLOOKUP(C110,'Informations générales'!$C$66:$E$70,3,FALSE)*(AL110/$AO$28)/12,0)*12,IF(C110="3114. Logements",ROUND(VLOOKUP(C110,'Informations générales'!$C$66:$E$70,3,FALSE)*(AL110/$AP$28)/12,0)*12,IF(C110="3115. Logements",ROUND(VLOOKUP(C110,'Informations générales'!$C$66:$E$70,3,FALSE)*(AL110/$AQ$28)/12,0)*12,"")))))</f>
        <v/>
      </c>
      <c r="AG110" s="202"/>
      <c r="AH110" s="113" t="str">
        <f>IF(C110="3111. Logements",ROUND(VLOOKUP(C110,'Informations générales'!$C$66:$H$70,5,FALSE)*(AL110/$AM$28)/12,0)*12,IF(C110="3112. Logements",ROUND(VLOOKUP(C110,'Informations générales'!$C$66:$H$70,5,FALSE)*(AL110/$AN$28)/12,0)*12,IF(C110="3113. Logements",ROUND(VLOOKUP(C110,'Informations générales'!$C$66:$H$70,5,FALSE)*(AL110/$AO$28)/12,0)*12,IF(C110="3114. Logements",ROUND(VLOOKUP(C110,'Informations générales'!$C$66:$H$70,5,FALSE)*(AL110/$AP$28)/12,0)*12,IF(C110="3115. Logements",ROUND(VLOOKUP(C110,'Informations générales'!$C$66:$H$70,5,FALSE)*(AL110/$AQ$28)/12,0)*12,"")))))</f>
        <v/>
      </c>
      <c r="AI110" s="114"/>
      <c r="AJ110" s="114"/>
      <c r="AK110" s="76"/>
      <c r="AL110" s="58">
        <f t="shared" si="29"/>
        <v>0</v>
      </c>
      <c r="AM110" s="58"/>
      <c r="AN110" s="58"/>
      <c r="AO110" s="58"/>
      <c r="AP110" s="58"/>
      <c r="AQ110" s="58"/>
      <c r="AR110" s="58">
        <f t="shared" si="17"/>
        <v>0</v>
      </c>
      <c r="AS110" s="58">
        <f t="shared" si="18"/>
        <v>0</v>
      </c>
      <c r="AT110" s="58">
        <f t="shared" si="19"/>
        <v>0</v>
      </c>
      <c r="AU110" s="58">
        <f t="shared" si="20"/>
        <v>0</v>
      </c>
      <c r="AV110" s="58">
        <f t="shared" si="21"/>
        <v>0</v>
      </c>
      <c r="AW110" s="58">
        <f t="shared" si="22"/>
        <v>0</v>
      </c>
      <c r="AX110" s="58">
        <f t="shared" si="23"/>
        <v>0</v>
      </c>
      <c r="AY110" s="58">
        <f t="shared" si="30"/>
        <v>0</v>
      </c>
      <c r="AZ110" s="62">
        <f t="shared" si="24"/>
        <v>0</v>
      </c>
      <c r="BA110" s="63">
        <f t="shared" si="25"/>
        <v>0</v>
      </c>
      <c r="BB110" s="63">
        <f t="shared" si="26"/>
        <v>0</v>
      </c>
    </row>
    <row r="111" spans="3:54" s="17" customFormat="1" x14ac:dyDescent="0.25">
      <c r="C111" s="215"/>
      <c r="D111" s="216"/>
      <c r="E111" s="88"/>
      <c r="F111" s="217"/>
      <c r="G111" s="234"/>
      <c r="H111" s="218"/>
      <c r="I111" s="76"/>
      <c r="J111" s="77"/>
      <c r="K111" s="76"/>
      <c r="L111" s="78"/>
      <c r="M111" s="78"/>
      <c r="N111" s="76" t="s">
        <v>39</v>
      </c>
      <c r="O111" s="110"/>
      <c r="P111" s="152"/>
      <c r="Q111" s="111" t="str">
        <f>IFERROR(MIN(VLOOKUP(ROUNDDOWN(P111,0),'Aide calcul'!$B$2:$C$282,2,FALSE),O111+1),"")</f>
        <v/>
      </c>
      <c r="R111" s="112" t="str">
        <f t="shared" si="27"/>
        <v/>
      </c>
      <c r="S111" s="152"/>
      <c r="T111" s="152"/>
      <c r="U111" s="152"/>
      <c r="V111" s="152"/>
      <c r="W111" s="152"/>
      <c r="X111" s="152"/>
      <c r="Y111" s="152"/>
      <c r="Z111" s="76"/>
      <c r="AA111" s="76"/>
      <c r="AB111" s="113" t="str">
        <f>IF(C111="3111. Logements",ROUND(VLOOKUP(C111,'Informations générales'!$C$66:$E$70,3,FALSE)*(AL111/$AM$28)/12,0)*12,IF(C111="3112. Logements",ROUND(VLOOKUP(C111,'Informations générales'!$C$66:$E$70,3,FALSE)*(AL111/$AN$28)/12,0)*12,IF(C111="3113. Logements",ROUND(VLOOKUP(C111,'Informations générales'!$C$66:$E$70,3,FALSE)*(AL111/$AO$28)/12,0)*12,IF(C111="3114. Logements",ROUND(VLOOKUP(C111,'Informations générales'!$C$66:$E$70,3,FALSE)*(AL111/$AP$28)/12,0)*12,IF(C111="3115. Logements",ROUND(VLOOKUP(C111,'Informations générales'!$C$66:$E$70,3,FALSE)*(AL111/$AQ$28)/12,0)*12,"")))))</f>
        <v/>
      </c>
      <c r="AC111" s="114"/>
      <c r="AD111" s="113">
        <f t="shared" si="28"/>
        <v>0</v>
      </c>
      <c r="AE111" s="114"/>
      <c r="AF111" s="203" t="str">
        <f>IF(C111="3111. Logements",ROUND(VLOOKUP(C111,'Informations générales'!$C$66:$E$70,3,FALSE)*(AL111/$AM$28)/12,0)*12,IF(C111="3112. Logements",ROUND(VLOOKUP(C111,'Informations générales'!$C$66:$E$70,3,FALSE)*(AL111/$AN$28)/12,0)*12,IF(C111="3113. Logements",ROUND(VLOOKUP(C111,'Informations générales'!$C$66:$E$70,3,FALSE)*(AL111/$AO$28)/12,0)*12,IF(C111="3114. Logements",ROUND(VLOOKUP(C111,'Informations générales'!$C$66:$E$70,3,FALSE)*(AL111/$AP$28)/12,0)*12,IF(C111="3115. Logements",ROUND(VLOOKUP(C111,'Informations générales'!$C$66:$E$70,3,FALSE)*(AL111/$AQ$28)/12,0)*12,"")))))</f>
        <v/>
      </c>
      <c r="AG111" s="202"/>
      <c r="AH111" s="113" t="str">
        <f>IF(C111="3111. Logements",ROUND(VLOOKUP(C111,'Informations générales'!$C$66:$H$70,5,FALSE)*(AL111/$AM$28)/12,0)*12,IF(C111="3112. Logements",ROUND(VLOOKUP(C111,'Informations générales'!$C$66:$H$70,5,FALSE)*(AL111/$AN$28)/12,0)*12,IF(C111="3113. Logements",ROUND(VLOOKUP(C111,'Informations générales'!$C$66:$H$70,5,FALSE)*(AL111/$AO$28)/12,0)*12,IF(C111="3114. Logements",ROUND(VLOOKUP(C111,'Informations générales'!$C$66:$H$70,5,FALSE)*(AL111/$AP$28)/12,0)*12,IF(C111="3115. Logements",ROUND(VLOOKUP(C111,'Informations générales'!$C$66:$H$70,5,FALSE)*(AL111/$AQ$28)/12,0)*12,"")))))</f>
        <v/>
      </c>
      <c r="AI111" s="114"/>
      <c r="AJ111" s="114"/>
      <c r="AK111" s="76"/>
      <c r="AL111" s="58">
        <f t="shared" si="29"/>
        <v>0</v>
      </c>
      <c r="AM111" s="58"/>
      <c r="AN111" s="58"/>
      <c r="AO111" s="58"/>
      <c r="AP111" s="58"/>
      <c r="AQ111" s="58"/>
      <c r="AR111" s="58">
        <f t="shared" si="17"/>
        <v>0</v>
      </c>
      <c r="AS111" s="58">
        <f t="shared" si="18"/>
        <v>0</v>
      </c>
      <c r="AT111" s="58">
        <f t="shared" si="19"/>
        <v>0</v>
      </c>
      <c r="AU111" s="58">
        <f t="shared" si="20"/>
        <v>0</v>
      </c>
      <c r="AV111" s="58">
        <f t="shared" si="21"/>
        <v>0</v>
      </c>
      <c r="AW111" s="58">
        <f t="shared" si="22"/>
        <v>0</v>
      </c>
      <c r="AX111" s="58">
        <f t="shared" si="23"/>
        <v>0</v>
      </c>
      <c r="AY111" s="58">
        <f t="shared" si="30"/>
        <v>0</v>
      </c>
      <c r="AZ111" s="62">
        <f t="shared" si="24"/>
        <v>0</v>
      </c>
      <c r="BA111" s="63">
        <f t="shared" si="25"/>
        <v>0</v>
      </c>
      <c r="BB111" s="63">
        <f t="shared" si="26"/>
        <v>0</v>
      </c>
    </row>
    <row r="112" spans="3:54" s="17" customFormat="1" x14ac:dyDescent="0.25">
      <c r="C112" s="215"/>
      <c r="D112" s="216"/>
      <c r="E112" s="88"/>
      <c r="F112" s="217"/>
      <c r="G112" s="234"/>
      <c r="H112" s="218"/>
      <c r="I112" s="76"/>
      <c r="J112" s="77"/>
      <c r="K112" s="76"/>
      <c r="L112" s="78"/>
      <c r="M112" s="78"/>
      <c r="N112" s="76" t="s">
        <v>39</v>
      </c>
      <c r="O112" s="110"/>
      <c r="P112" s="152"/>
      <c r="Q112" s="111" t="str">
        <f>IFERROR(MIN(VLOOKUP(ROUNDDOWN(P112,0),'Aide calcul'!$B$2:$C$282,2,FALSE),O112+1),"")</f>
        <v/>
      </c>
      <c r="R112" s="112" t="str">
        <f t="shared" si="27"/>
        <v/>
      </c>
      <c r="S112" s="152"/>
      <c r="T112" s="152"/>
      <c r="U112" s="152"/>
      <c r="V112" s="152"/>
      <c r="W112" s="152"/>
      <c r="X112" s="152"/>
      <c r="Y112" s="152"/>
      <c r="Z112" s="76"/>
      <c r="AA112" s="76"/>
      <c r="AB112" s="113" t="str">
        <f>IF(C112="3111. Logements",ROUND(VLOOKUP(C112,'Informations générales'!$C$66:$E$70,3,FALSE)*(AL112/$AM$28)/12,0)*12,IF(C112="3112. Logements",ROUND(VLOOKUP(C112,'Informations générales'!$C$66:$E$70,3,FALSE)*(AL112/$AN$28)/12,0)*12,IF(C112="3113. Logements",ROUND(VLOOKUP(C112,'Informations générales'!$C$66:$E$70,3,FALSE)*(AL112/$AO$28)/12,0)*12,IF(C112="3114. Logements",ROUND(VLOOKUP(C112,'Informations générales'!$C$66:$E$70,3,FALSE)*(AL112/$AP$28)/12,0)*12,IF(C112="3115. Logements",ROUND(VLOOKUP(C112,'Informations générales'!$C$66:$E$70,3,FALSE)*(AL112/$AQ$28)/12,0)*12,"")))))</f>
        <v/>
      </c>
      <c r="AC112" s="114"/>
      <c r="AD112" s="113">
        <f t="shared" si="28"/>
        <v>0</v>
      </c>
      <c r="AE112" s="114"/>
      <c r="AF112" s="203" t="str">
        <f>IF(C112="3111. Logements",ROUND(VLOOKUP(C112,'Informations générales'!$C$66:$E$70,3,FALSE)*(AL112/$AM$28)/12,0)*12,IF(C112="3112. Logements",ROUND(VLOOKUP(C112,'Informations générales'!$C$66:$E$70,3,FALSE)*(AL112/$AN$28)/12,0)*12,IF(C112="3113. Logements",ROUND(VLOOKUP(C112,'Informations générales'!$C$66:$E$70,3,FALSE)*(AL112/$AO$28)/12,0)*12,IF(C112="3114. Logements",ROUND(VLOOKUP(C112,'Informations générales'!$C$66:$E$70,3,FALSE)*(AL112/$AP$28)/12,0)*12,IF(C112="3115. Logements",ROUND(VLOOKUP(C112,'Informations générales'!$C$66:$E$70,3,FALSE)*(AL112/$AQ$28)/12,0)*12,"")))))</f>
        <v/>
      </c>
      <c r="AG112" s="202"/>
      <c r="AH112" s="113" t="str">
        <f>IF(C112="3111. Logements",ROUND(VLOOKUP(C112,'Informations générales'!$C$66:$H$70,5,FALSE)*(AL112/$AM$28)/12,0)*12,IF(C112="3112. Logements",ROUND(VLOOKUP(C112,'Informations générales'!$C$66:$H$70,5,FALSE)*(AL112/$AN$28)/12,0)*12,IF(C112="3113. Logements",ROUND(VLOOKUP(C112,'Informations générales'!$C$66:$H$70,5,FALSE)*(AL112/$AO$28)/12,0)*12,IF(C112="3114. Logements",ROUND(VLOOKUP(C112,'Informations générales'!$C$66:$H$70,5,FALSE)*(AL112/$AP$28)/12,0)*12,IF(C112="3115. Logements",ROUND(VLOOKUP(C112,'Informations générales'!$C$66:$H$70,5,FALSE)*(AL112/$AQ$28)/12,0)*12,"")))))</f>
        <v/>
      </c>
      <c r="AI112" s="114"/>
      <c r="AJ112" s="114"/>
      <c r="AK112" s="76"/>
      <c r="AL112" s="58">
        <f t="shared" si="29"/>
        <v>0</v>
      </c>
      <c r="AM112" s="58"/>
      <c r="AN112" s="58"/>
      <c r="AO112" s="58"/>
      <c r="AP112" s="58"/>
      <c r="AQ112" s="58"/>
      <c r="AR112" s="58">
        <f t="shared" si="17"/>
        <v>0</v>
      </c>
      <c r="AS112" s="58">
        <f t="shared" si="18"/>
        <v>0</v>
      </c>
      <c r="AT112" s="58">
        <f t="shared" si="19"/>
        <v>0</v>
      </c>
      <c r="AU112" s="58">
        <f t="shared" si="20"/>
        <v>0</v>
      </c>
      <c r="AV112" s="58">
        <f t="shared" si="21"/>
        <v>0</v>
      </c>
      <c r="AW112" s="58">
        <f t="shared" si="22"/>
        <v>0</v>
      </c>
      <c r="AX112" s="58">
        <f t="shared" si="23"/>
        <v>0</v>
      </c>
      <c r="AY112" s="58">
        <f t="shared" si="30"/>
        <v>0</v>
      </c>
      <c r="AZ112" s="62">
        <f t="shared" si="24"/>
        <v>0</v>
      </c>
      <c r="BA112" s="63">
        <f t="shared" si="25"/>
        <v>0</v>
      </c>
      <c r="BB112" s="63">
        <f t="shared" si="26"/>
        <v>0</v>
      </c>
    </row>
    <row r="113" spans="3:54" s="17" customFormat="1" x14ac:dyDescent="0.25">
      <c r="C113" s="215"/>
      <c r="D113" s="216"/>
      <c r="E113" s="88"/>
      <c r="F113" s="217"/>
      <c r="G113" s="234"/>
      <c r="H113" s="218"/>
      <c r="I113" s="76"/>
      <c r="J113" s="77"/>
      <c r="K113" s="76"/>
      <c r="L113" s="78"/>
      <c r="M113" s="78"/>
      <c r="N113" s="76" t="s">
        <v>39</v>
      </c>
      <c r="O113" s="110"/>
      <c r="P113" s="152"/>
      <c r="Q113" s="111" t="str">
        <f>IFERROR(MIN(VLOOKUP(ROUNDDOWN(P113,0),'Aide calcul'!$B$2:$C$282,2,FALSE),O113+1),"")</f>
        <v/>
      </c>
      <c r="R113" s="112" t="str">
        <f t="shared" si="27"/>
        <v/>
      </c>
      <c r="S113" s="152"/>
      <c r="T113" s="152"/>
      <c r="U113" s="152"/>
      <c r="V113" s="152"/>
      <c r="W113" s="152"/>
      <c r="X113" s="152"/>
      <c r="Y113" s="152"/>
      <c r="Z113" s="76"/>
      <c r="AA113" s="76"/>
      <c r="AB113" s="113" t="str">
        <f>IF(C113="3111. Logements",ROUND(VLOOKUP(C113,'Informations générales'!$C$66:$E$70,3,FALSE)*(AL113/$AM$28)/12,0)*12,IF(C113="3112. Logements",ROUND(VLOOKUP(C113,'Informations générales'!$C$66:$E$70,3,FALSE)*(AL113/$AN$28)/12,0)*12,IF(C113="3113. Logements",ROUND(VLOOKUP(C113,'Informations générales'!$C$66:$E$70,3,FALSE)*(AL113/$AO$28)/12,0)*12,IF(C113="3114. Logements",ROUND(VLOOKUP(C113,'Informations générales'!$C$66:$E$70,3,FALSE)*(AL113/$AP$28)/12,0)*12,IF(C113="3115. Logements",ROUND(VLOOKUP(C113,'Informations générales'!$C$66:$E$70,3,FALSE)*(AL113/$AQ$28)/12,0)*12,"")))))</f>
        <v/>
      </c>
      <c r="AC113" s="114"/>
      <c r="AD113" s="113">
        <f t="shared" si="28"/>
        <v>0</v>
      </c>
      <c r="AE113" s="114"/>
      <c r="AF113" s="203" t="str">
        <f>IF(C113="3111. Logements",ROUND(VLOOKUP(C113,'Informations générales'!$C$66:$E$70,3,FALSE)*(AL113/$AM$28)/12,0)*12,IF(C113="3112. Logements",ROUND(VLOOKUP(C113,'Informations générales'!$C$66:$E$70,3,FALSE)*(AL113/$AN$28)/12,0)*12,IF(C113="3113. Logements",ROUND(VLOOKUP(C113,'Informations générales'!$C$66:$E$70,3,FALSE)*(AL113/$AO$28)/12,0)*12,IF(C113="3114. Logements",ROUND(VLOOKUP(C113,'Informations générales'!$C$66:$E$70,3,FALSE)*(AL113/$AP$28)/12,0)*12,IF(C113="3115. Logements",ROUND(VLOOKUP(C113,'Informations générales'!$C$66:$E$70,3,FALSE)*(AL113/$AQ$28)/12,0)*12,"")))))</f>
        <v/>
      </c>
      <c r="AG113" s="202"/>
      <c r="AH113" s="113" t="str">
        <f>IF(C113="3111. Logements",ROUND(VLOOKUP(C113,'Informations générales'!$C$66:$H$70,5,FALSE)*(AL113/$AM$28)/12,0)*12,IF(C113="3112. Logements",ROUND(VLOOKUP(C113,'Informations générales'!$C$66:$H$70,5,FALSE)*(AL113/$AN$28)/12,0)*12,IF(C113="3113. Logements",ROUND(VLOOKUP(C113,'Informations générales'!$C$66:$H$70,5,FALSE)*(AL113/$AO$28)/12,0)*12,IF(C113="3114. Logements",ROUND(VLOOKUP(C113,'Informations générales'!$C$66:$H$70,5,FALSE)*(AL113/$AP$28)/12,0)*12,IF(C113="3115. Logements",ROUND(VLOOKUP(C113,'Informations générales'!$C$66:$H$70,5,FALSE)*(AL113/$AQ$28)/12,0)*12,"")))))</f>
        <v/>
      </c>
      <c r="AI113" s="114"/>
      <c r="AJ113" s="114"/>
      <c r="AK113" s="76"/>
      <c r="AL113" s="58">
        <f t="shared" si="29"/>
        <v>0</v>
      </c>
      <c r="AM113" s="58"/>
      <c r="AN113" s="58"/>
      <c r="AO113" s="58"/>
      <c r="AP113" s="58"/>
      <c r="AQ113" s="58"/>
      <c r="AR113" s="58">
        <f t="shared" si="17"/>
        <v>0</v>
      </c>
      <c r="AS113" s="58">
        <f t="shared" si="18"/>
        <v>0</v>
      </c>
      <c r="AT113" s="58">
        <f t="shared" si="19"/>
        <v>0</v>
      </c>
      <c r="AU113" s="58">
        <f t="shared" si="20"/>
        <v>0</v>
      </c>
      <c r="AV113" s="58">
        <f t="shared" si="21"/>
        <v>0</v>
      </c>
      <c r="AW113" s="58">
        <f t="shared" si="22"/>
        <v>0</v>
      </c>
      <c r="AX113" s="58">
        <f t="shared" si="23"/>
        <v>0</v>
      </c>
      <c r="AY113" s="58">
        <f t="shared" si="30"/>
        <v>0</v>
      </c>
      <c r="AZ113" s="62">
        <f t="shared" si="24"/>
        <v>0</v>
      </c>
      <c r="BA113" s="63">
        <f t="shared" si="25"/>
        <v>0</v>
      </c>
      <c r="BB113" s="63">
        <f t="shared" si="26"/>
        <v>0</v>
      </c>
    </row>
    <row r="114" spans="3:54" s="17" customFormat="1" x14ac:dyDescent="0.25">
      <c r="C114" s="215"/>
      <c r="D114" s="216"/>
      <c r="E114" s="88"/>
      <c r="F114" s="217"/>
      <c r="G114" s="234"/>
      <c r="H114" s="218"/>
      <c r="I114" s="76"/>
      <c r="J114" s="77"/>
      <c r="K114" s="76"/>
      <c r="L114" s="78"/>
      <c r="M114" s="78"/>
      <c r="N114" s="76" t="s">
        <v>39</v>
      </c>
      <c r="O114" s="110"/>
      <c r="P114" s="152"/>
      <c r="Q114" s="111" t="str">
        <f>IFERROR(MIN(VLOOKUP(ROUNDDOWN(P114,0),'Aide calcul'!$B$2:$C$282,2,FALSE),O114+1),"")</f>
        <v/>
      </c>
      <c r="R114" s="112" t="str">
        <f t="shared" si="27"/>
        <v/>
      </c>
      <c r="S114" s="152"/>
      <c r="T114" s="152"/>
      <c r="U114" s="152"/>
      <c r="V114" s="152"/>
      <c r="W114" s="152"/>
      <c r="X114" s="152"/>
      <c r="Y114" s="152"/>
      <c r="Z114" s="76"/>
      <c r="AA114" s="76"/>
      <c r="AB114" s="113" t="str">
        <f>IF(C114="3111. Logements",ROUND(VLOOKUP(C114,'Informations générales'!$C$66:$E$70,3,FALSE)*(AL114/$AM$28)/12,0)*12,IF(C114="3112. Logements",ROUND(VLOOKUP(C114,'Informations générales'!$C$66:$E$70,3,FALSE)*(AL114/$AN$28)/12,0)*12,IF(C114="3113. Logements",ROUND(VLOOKUP(C114,'Informations générales'!$C$66:$E$70,3,FALSE)*(AL114/$AO$28)/12,0)*12,IF(C114="3114. Logements",ROUND(VLOOKUP(C114,'Informations générales'!$C$66:$E$70,3,FALSE)*(AL114/$AP$28)/12,0)*12,IF(C114="3115. Logements",ROUND(VLOOKUP(C114,'Informations générales'!$C$66:$E$70,3,FALSE)*(AL114/$AQ$28)/12,0)*12,"")))))</f>
        <v/>
      </c>
      <c r="AC114" s="114"/>
      <c r="AD114" s="113">
        <f t="shared" si="28"/>
        <v>0</v>
      </c>
      <c r="AE114" s="114"/>
      <c r="AF114" s="203" t="str">
        <f>IF(C114="3111. Logements",ROUND(VLOOKUP(C114,'Informations générales'!$C$66:$E$70,3,FALSE)*(AL114/$AM$28)/12,0)*12,IF(C114="3112. Logements",ROUND(VLOOKUP(C114,'Informations générales'!$C$66:$E$70,3,FALSE)*(AL114/$AN$28)/12,0)*12,IF(C114="3113. Logements",ROUND(VLOOKUP(C114,'Informations générales'!$C$66:$E$70,3,FALSE)*(AL114/$AO$28)/12,0)*12,IF(C114="3114. Logements",ROUND(VLOOKUP(C114,'Informations générales'!$C$66:$E$70,3,FALSE)*(AL114/$AP$28)/12,0)*12,IF(C114="3115. Logements",ROUND(VLOOKUP(C114,'Informations générales'!$C$66:$E$70,3,FALSE)*(AL114/$AQ$28)/12,0)*12,"")))))</f>
        <v/>
      </c>
      <c r="AG114" s="202"/>
      <c r="AH114" s="113" t="str">
        <f>IF(C114="3111. Logements",ROUND(VLOOKUP(C114,'Informations générales'!$C$66:$H$70,5,FALSE)*(AL114/$AM$28)/12,0)*12,IF(C114="3112. Logements",ROUND(VLOOKUP(C114,'Informations générales'!$C$66:$H$70,5,FALSE)*(AL114/$AN$28)/12,0)*12,IF(C114="3113. Logements",ROUND(VLOOKUP(C114,'Informations générales'!$C$66:$H$70,5,FALSE)*(AL114/$AO$28)/12,0)*12,IF(C114="3114. Logements",ROUND(VLOOKUP(C114,'Informations générales'!$C$66:$H$70,5,FALSE)*(AL114/$AP$28)/12,0)*12,IF(C114="3115. Logements",ROUND(VLOOKUP(C114,'Informations générales'!$C$66:$H$70,5,FALSE)*(AL114/$AQ$28)/12,0)*12,"")))))</f>
        <v/>
      </c>
      <c r="AI114" s="114"/>
      <c r="AJ114" s="114"/>
      <c r="AK114" s="76"/>
      <c r="AL114" s="58">
        <f t="shared" si="29"/>
        <v>0</v>
      </c>
      <c r="AM114" s="58"/>
      <c r="AN114" s="58"/>
      <c r="AO114" s="58"/>
      <c r="AP114" s="58"/>
      <c r="AQ114" s="58"/>
      <c r="AR114" s="58">
        <f t="shared" si="17"/>
        <v>0</v>
      </c>
      <c r="AS114" s="58">
        <f t="shared" si="18"/>
        <v>0</v>
      </c>
      <c r="AT114" s="58">
        <f t="shared" si="19"/>
        <v>0</v>
      </c>
      <c r="AU114" s="58">
        <f t="shared" si="20"/>
        <v>0</v>
      </c>
      <c r="AV114" s="58">
        <f t="shared" si="21"/>
        <v>0</v>
      </c>
      <c r="AW114" s="58">
        <f t="shared" si="22"/>
        <v>0</v>
      </c>
      <c r="AX114" s="58">
        <f t="shared" si="23"/>
        <v>0</v>
      </c>
      <c r="AY114" s="58">
        <f t="shared" si="30"/>
        <v>0</v>
      </c>
      <c r="AZ114" s="62">
        <f t="shared" si="24"/>
        <v>0</v>
      </c>
      <c r="BA114" s="63">
        <f t="shared" si="25"/>
        <v>0</v>
      </c>
      <c r="BB114" s="63">
        <f t="shared" si="26"/>
        <v>0</v>
      </c>
    </row>
    <row r="115" spans="3:54" s="17" customFormat="1" x14ac:dyDescent="0.25">
      <c r="C115" s="215"/>
      <c r="D115" s="216"/>
      <c r="E115" s="88"/>
      <c r="F115" s="217"/>
      <c r="G115" s="234"/>
      <c r="H115" s="218"/>
      <c r="I115" s="76"/>
      <c r="J115" s="77"/>
      <c r="K115" s="76"/>
      <c r="L115" s="78"/>
      <c r="M115" s="78"/>
      <c r="N115" s="76" t="s">
        <v>39</v>
      </c>
      <c r="O115" s="110"/>
      <c r="P115" s="152"/>
      <c r="Q115" s="111" t="str">
        <f>IFERROR(MIN(VLOOKUP(ROUNDDOWN(P115,0),'Aide calcul'!$B$2:$C$282,2,FALSE),O115+1),"")</f>
        <v/>
      </c>
      <c r="R115" s="112" t="str">
        <f t="shared" si="27"/>
        <v/>
      </c>
      <c r="S115" s="152"/>
      <c r="T115" s="152"/>
      <c r="U115" s="152"/>
      <c r="V115" s="152"/>
      <c r="W115" s="152"/>
      <c r="X115" s="152"/>
      <c r="Y115" s="152"/>
      <c r="Z115" s="76"/>
      <c r="AA115" s="76"/>
      <c r="AB115" s="113" t="str">
        <f>IF(C115="3111. Logements",ROUND(VLOOKUP(C115,'Informations générales'!$C$66:$E$70,3,FALSE)*(AL115/$AM$28)/12,0)*12,IF(C115="3112. Logements",ROUND(VLOOKUP(C115,'Informations générales'!$C$66:$E$70,3,FALSE)*(AL115/$AN$28)/12,0)*12,IF(C115="3113. Logements",ROUND(VLOOKUP(C115,'Informations générales'!$C$66:$E$70,3,FALSE)*(AL115/$AO$28)/12,0)*12,IF(C115="3114. Logements",ROUND(VLOOKUP(C115,'Informations générales'!$C$66:$E$70,3,FALSE)*(AL115/$AP$28)/12,0)*12,IF(C115="3115. Logements",ROUND(VLOOKUP(C115,'Informations générales'!$C$66:$E$70,3,FALSE)*(AL115/$AQ$28)/12,0)*12,"")))))</f>
        <v/>
      </c>
      <c r="AC115" s="114"/>
      <c r="AD115" s="113">
        <f t="shared" si="28"/>
        <v>0</v>
      </c>
      <c r="AE115" s="114"/>
      <c r="AF115" s="203" t="str">
        <f>IF(C115="3111. Logements",ROUND(VLOOKUP(C115,'Informations générales'!$C$66:$E$70,3,FALSE)*(AL115/$AM$28)/12,0)*12,IF(C115="3112. Logements",ROUND(VLOOKUP(C115,'Informations générales'!$C$66:$E$70,3,FALSE)*(AL115/$AN$28)/12,0)*12,IF(C115="3113. Logements",ROUND(VLOOKUP(C115,'Informations générales'!$C$66:$E$70,3,FALSE)*(AL115/$AO$28)/12,0)*12,IF(C115="3114. Logements",ROUND(VLOOKUP(C115,'Informations générales'!$C$66:$E$70,3,FALSE)*(AL115/$AP$28)/12,0)*12,IF(C115="3115. Logements",ROUND(VLOOKUP(C115,'Informations générales'!$C$66:$E$70,3,FALSE)*(AL115/$AQ$28)/12,0)*12,"")))))</f>
        <v/>
      </c>
      <c r="AG115" s="202"/>
      <c r="AH115" s="113" t="str">
        <f>IF(C115="3111. Logements",ROUND(VLOOKUP(C115,'Informations générales'!$C$66:$H$70,5,FALSE)*(AL115/$AM$28)/12,0)*12,IF(C115="3112. Logements",ROUND(VLOOKUP(C115,'Informations générales'!$C$66:$H$70,5,FALSE)*(AL115/$AN$28)/12,0)*12,IF(C115="3113. Logements",ROUND(VLOOKUP(C115,'Informations générales'!$C$66:$H$70,5,FALSE)*(AL115/$AO$28)/12,0)*12,IF(C115="3114. Logements",ROUND(VLOOKUP(C115,'Informations générales'!$C$66:$H$70,5,FALSE)*(AL115/$AP$28)/12,0)*12,IF(C115="3115. Logements",ROUND(VLOOKUP(C115,'Informations générales'!$C$66:$H$70,5,FALSE)*(AL115/$AQ$28)/12,0)*12,"")))))</f>
        <v/>
      </c>
      <c r="AI115" s="114"/>
      <c r="AJ115" s="114"/>
      <c r="AK115" s="76"/>
      <c r="AL115" s="58">
        <f t="shared" si="29"/>
        <v>0</v>
      </c>
      <c r="AM115" s="58"/>
      <c r="AN115" s="58"/>
      <c r="AO115" s="58"/>
      <c r="AP115" s="58"/>
      <c r="AQ115" s="58"/>
      <c r="AR115" s="58">
        <f t="shared" si="17"/>
        <v>0</v>
      </c>
      <c r="AS115" s="58">
        <f t="shared" si="18"/>
        <v>0</v>
      </c>
      <c r="AT115" s="58">
        <f t="shared" si="19"/>
        <v>0</v>
      </c>
      <c r="AU115" s="58">
        <f t="shared" si="20"/>
        <v>0</v>
      </c>
      <c r="AV115" s="58">
        <f t="shared" si="21"/>
        <v>0</v>
      </c>
      <c r="AW115" s="58">
        <f t="shared" si="22"/>
        <v>0</v>
      </c>
      <c r="AX115" s="58">
        <f t="shared" si="23"/>
        <v>0</v>
      </c>
      <c r="AY115" s="58">
        <f t="shared" si="30"/>
        <v>0</v>
      </c>
      <c r="AZ115" s="62">
        <f t="shared" si="24"/>
        <v>0</v>
      </c>
      <c r="BA115" s="63">
        <f t="shared" si="25"/>
        <v>0</v>
      </c>
      <c r="BB115" s="63">
        <f t="shared" si="26"/>
        <v>0</v>
      </c>
    </row>
    <row r="116" spans="3:54" s="17" customFormat="1" x14ac:dyDescent="0.25">
      <c r="C116" s="215"/>
      <c r="D116" s="216"/>
      <c r="E116" s="88"/>
      <c r="F116" s="217"/>
      <c r="G116" s="234"/>
      <c r="H116" s="218"/>
      <c r="I116" s="76"/>
      <c r="J116" s="77"/>
      <c r="K116" s="76"/>
      <c r="L116" s="78"/>
      <c r="M116" s="78"/>
      <c r="N116" s="76" t="s">
        <v>39</v>
      </c>
      <c r="O116" s="110"/>
      <c r="P116" s="152"/>
      <c r="Q116" s="111" t="str">
        <f>IFERROR(MIN(VLOOKUP(ROUNDDOWN(P116,0),'Aide calcul'!$B$2:$C$282,2,FALSE),O116+1),"")</f>
        <v/>
      </c>
      <c r="R116" s="112" t="str">
        <f t="shared" si="27"/>
        <v/>
      </c>
      <c r="S116" s="152"/>
      <c r="T116" s="152"/>
      <c r="U116" s="152"/>
      <c r="V116" s="152"/>
      <c r="W116" s="152"/>
      <c r="X116" s="152"/>
      <c r="Y116" s="152"/>
      <c r="Z116" s="76"/>
      <c r="AA116" s="76"/>
      <c r="AB116" s="113" t="str">
        <f>IF(C116="3111. Logements",ROUND(VLOOKUP(C116,'Informations générales'!$C$66:$E$70,3,FALSE)*(AL116/$AM$28)/12,0)*12,IF(C116="3112. Logements",ROUND(VLOOKUP(C116,'Informations générales'!$C$66:$E$70,3,FALSE)*(AL116/$AN$28)/12,0)*12,IF(C116="3113. Logements",ROUND(VLOOKUP(C116,'Informations générales'!$C$66:$E$70,3,FALSE)*(AL116/$AO$28)/12,0)*12,IF(C116="3114. Logements",ROUND(VLOOKUP(C116,'Informations générales'!$C$66:$E$70,3,FALSE)*(AL116/$AP$28)/12,0)*12,IF(C116="3115. Logements",ROUND(VLOOKUP(C116,'Informations générales'!$C$66:$E$70,3,FALSE)*(AL116/$AQ$28)/12,0)*12,"")))))</f>
        <v/>
      </c>
      <c r="AC116" s="114"/>
      <c r="AD116" s="113">
        <f t="shared" si="28"/>
        <v>0</v>
      </c>
      <c r="AE116" s="114"/>
      <c r="AF116" s="203" t="str">
        <f>IF(C116="3111. Logements",ROUND(VLOOKUP(C116,'Informations générales'!$C$66:$E$70,3,FALSE)*(AL116/$AM$28)/12,0)*12,IF(C116="3112. Logements",ROUND(VLOOKUP(C116,'Informations générales'!$C$66:$E$70,3,FALSE)*(AL116/$AN$28)/12,0)*12,IF(C116="3113. Logements",ROUND(VLOOKUP(C116,'Informations générales'!$C$66:$E$70,3,FALSE)*(AL116/$AO$28)/12,0)*12,IF(C116="3114. Logements",ROUND(VLOOKUP(C116,'Informations générales'!$C$66:$E$70,3,FALSE)*(AL116/$AP$28)/12,0)*12,IF(C116="3115. Logements",ROUND(VLOOKUP(C116,'Informations générales'!$C$66:$E$70,3,FALSE)*(AL116/$AQ$28)/12,0)*12,"")))))</f>
        <v/>
      </c>
      <c r="AG116" s="202"/>
      <c r="AH116" s="113" t="str">
        <f>IF(C116="3111. Logements",ROUND(VLOOKUP(C116,'Informations générales'!$C$66:$H$70,5,FALSE)*(AL116/$AM$28)/12,0)*12,IF(C116="3112. Logements",ROUND(VLOOKUP(C116,'Informations générales'!$C$66:$H$70,5,FALSE)*(AL116/$AN$28)/12,0)*12,IF(C116="3113. Logements",ROUND(VLOOKUP(C116,'Informations générales'!$C$66:$H$70,5,FALSE)*(AL116/$AO$28)/12,0)*12,IF(C116="3114. Logements",ROUND(VLOOKUP(C116,'Informations générales'!$C$66:$H$70,5,FALSE)*(AL116/$AP$28)/12,0)*12,IF(C116="3115. Logements",ROUND(VLOOKUP(C116,'Informations générales'!$C$66:$H$70,5,FALSE)*(AL116/$AQ$28)/12,0)*12,"")))))</f>
        <v/>
      </c>
      <c r="AI116" s="114"/>
      <c r="AJ116" s="114"/>
      <c r="AK116" s="76"/>
      <c r="AL116" s="58">
        <f t="shared" si="29"/>
        <v>0</v>
      </c>
      <c r="AM116" s="58"/>
      <c r="AN116" s="58"/>
      <c r="AO116" s="58"/>
      <c r="AP116" s="58"/>
      <c r="AQ116" s="58"/>
      <c r="AR116" s="58">
        <f t="shared" si="17"/>
        <v>0</v>
      </c>
      <c r="AS116" s="58">
        <f t="shared" si="18"/>
        <v>0</v>
      </c>
      <c r="AT116" s="58">
        <f t="shared" si="19"/>
        <v>0</v>
      </c>
      <c r="AU116" s="58">
        <f t="shared" si="20"/>
        <v>0</v>
      </c>
      <c r="AV116" s="58">
        <f t="shared" si="21"/>
        <v>0</v>
      </c>
      <c r="AW116" s="58">
        <f t="shared" si="22"/>
        <v>0</v>
      </c>
      <c r="AX116" s="58">
        <f t="shared" si="23"/>
        <v>0</v>
      </c>
      <c r="AY116" s="58">
        <f t="shared" si="30"/>
        <v>0</v>
      </c>
      <c r="AZ116" s="62">
        <f t="shared" si="24"/>
        <v>0</v>
      </c>
      <c r="BA116" s="63">
        <f t="shared" si="25"/>
        <v>0</v>
      </c>
      <c r="BB116" s="63">
        <f t="shared" si="26"/>
        <v>0</v>
      </c>
    </row>
    <row r="117" spans="3:54" s="17" customFormat="1" x14ac:dyDescent="0.25">
      <c r="C117" s="215"/>
      <c r="D117" s="216"/>
      <c r="E117" s="88"/>
      <c r="F117" s="217"/>
      <c r="G117" s="234"/>
      <c r="H117" s="218"/>
      <c r="I117" s="76"/>
      <c r="J117" s="77"/>
      <c r="K117" s="76"/>
      <c r="L117" s="78"/>
      <c r="M117" s="78"/>
      <c r="N117" s="76" t="s">
        <v>39</v>
      </c>
      <c r="O117" s="110"/>
      <c r="P117" s="152"/>
      <c r="Q117" s="111" t="str">
        <f>IFERROR(MIN(VLOOKUP(ROUNDDOWN(P117,0),'Aide calcul'!$B$2:$C$282,2,FALSE),O117+1),"")</f>
        <v/>
      </c>
      <c r="R117" s="112" t="str">
        <f t="shared" si="27"/>
        <v/>
      </c>
      <c r="S117" s="152"/>
      <c r="T117" s="152"/>
      <c r="U117" s="152"/>
      <c r="V117" s="152"/>
      <c r="W117" s="152"/>
      <c r="X117" s="152"/>
      <c r="Y117" s="152"/>
      <c r="Z117" s="76"/>
      <c r="AA117" s="76"/>
      <c r="AB117" s="113" t="str">
        <f>IF(C117="3111. Logements",ROUND(VLOOKUP(C117,'Informations générales'!$C$66:$E$70,3,FALSE)*(AL117/$AM$28)/12,0)*12,IF(C117="3112. Logements",ROUND(VLOOKUP(C117,'Informations générales'!$C$66:$E$70,3,FALSE)*(AL117/$AN$28)/12,0)*12,IF(C117="3113. Logements",ROUND(VLOOKUP(C117,'Informations générales'!$C$66:$E$70,3,FALSE)*(AL117/$AO$28)/12,0)*12,IF(C117="3114. Logements",ROUND(VLOOKUP(C117,'Informations générales'!$C$66:$E$70,3,FALSE)*(AL117/$AP$28)/12,0)*12,IF(C117="3115. Logements",ROUND(VLOOKUP(C117,'Informations générales'!$C$66:$E$70,3,FALSE)*(AL117/$AQ$28)/12,0)*12,"")))))</f>
        <v/>
      </c>
      <c r="AC117" s="114"/>
      <c r="AD117" s="113">
        <f t="shared" si="28"/>
        <v>0</v>
      </c>
      <c r="AE117" s="114"/>
      <c r="AF117" s="203" t="str">
        <f>IF(C117="3111. Logements",ROUND(VLOOKUP(C117,'Informations générales'!$C$66:$E$70,3,FALSE)*(AL117/$AM$28)/12,0)*12,IF(C117="3112. Logements",ROUND(VLOOKUP(C117,'Informations générales'!$C$66:$E$70,3,FALSE)*(AL117/$AN$28)/12,0)*12,IF(C117="3113. Logements",ROUND(VLOOKUP(C117,'Informations générales'!$C$66:$E$70,3,FALSE)*(AL117/$AO$28)/12,0)*12,IF(C117="3114. Logements",ROUND(VLOOKUP(C117,'Informations générales'!$C$66:$E$70,3,FALSE)*(AL117/$AP$28)/12,0)*12,IF(C117="3115. Logements",ROUND(VLOOKUP(C117,'Informations générales'!$C$66:$E$70,3,FALSE)*(AL117/$AQ$28)/12,0)*12,"")))))</f>
        <v/>
      </c>
      <c r="AG117" s="202"/>
      <c r="AH117" s="113" t="str">
        <f>IF(C117="3111. Logements",ROUND(VLOOKUP(C117,'Informations générales'!$C$66:$H$70,5,FALSE)*(AL117/$AM$28)/12,0)*12,IF(C117="3112. Logements",ROUND(VLOOKUP(C117,'Informations générales'!$C$66:$H$70,5,FALSE)*(AL117/$AN$28)/12,0)*12,IF(C117="3113. Logements",ROUND(VLOOKUP(C117,'Informations générales'!$C$66:$H$70,5,FALSE)*(AL117/$AO$28)/12,0)*12,IF(C117="3114. Logements",ROUND(VLOOKUP(C117,'Informations générales'!$C$66:$H$70,5,FALSE)*(AL117/$AP$28)/12,0)*12,IF(C117="3115. Logements",ROUND(VLOOKUP(C117,'Informations générales'!$C$66:$H$70,5,FALSE)*(AL117/$AQ$28)/12,0)*12,"")))))</f>
        <v/>
      </c>
      <c r="AI117" s="114"/>
      <c r="AJ117" s="114"/>
      <c r="AK117" s="76"/>
      <c r="AL117" s="58">
        <f t="shared" si="29"/>
        <v>0</v>
      </c>
      <c r="AM117" s="58"/>
      <c r="AN117" s="58"/>
      <c r="AO117" s="58"/>
      <c r="AP117" s="58"/>
      <c r="AQ117" s="58"/>
      <c r="AR117" s="58">
        <f t="shared" si="17"/>
        <v>0</v>
      </c>
      <c r="AS117" s="58">
        <f t="shared" si="18"/>
        <v>0</v>
      </c>
      <c r="AT117" s="58">
        <f t="shared" si="19"/>
        <v>0</v>
      </c>
      <c r="AU117" s="58">
        <f t="shared" si="20"/>
        <v>0</v>
      </c>
      <c r="AV117" s="58">
        <f t="shared" si="21"/>
        <v>0</v>
      </c>
      <c r="AW117" s="58">
        <f t="shared" si="22"/>
        <v>0</v>
      </c>
      <c r="AX117" s="58">
        <f t="shared" si="23"/>
        <v>0</v>
      </c>
      <c r="AY117" s="58">
        <f t="shared" si="30"/>
        <v>0</v>
      </c>
      <c r="AZ117" s="62">
        <f t="shared" si="24"/>
        <v>0</v>
      </c>
      <c r="BA117" s="63">
        <f t="shared" si="25"/>
        <v>0</v>
      </c>
      <c r="BB117" s="63">
        <f t="shared" si="26"/>
        <v>0</v>
      </c>
    </row>
    <row r="118" spans="3:54" s="17" customFormat="1" x14ac:dyDescent="0.25">
      <c r="C118" s="215"/>
      <c r="D118" s="216"/>
      <c r="E118" s="88"/>
      <c r="F118" s="217"/>
      <c r="G118" s="234"/>
      <c r="H118" s="218"/>
      <c r="I118" s="76"/>
      <c r="J118" s="77"/>
      <c r="K118" s="76"/>
      <c r="L118" s="78"/>
      <c r="M118" s="78"/>
      <c r="N118" s="76" t="s">
        <v>39</v>
      </c>
      <c r="O118" s="110"/>
      <c r="P118" s="152"/>
      <c r="Q118" s="111" t="str">
        <f>IFERROR(MIN(VLOOKUP(ROUNDDOWN(P118,0),'Aide calcul'!$B$2:$C$282,2,FALSE),O118+1),"")</f>
        <v/>
      </c>
      <c r="R118" s="112" t="str">
        <f t="shared" si="27"/>
        <v/>
      </c>
      <c r="S118" s="152"/>
      <c r="T118" s="152"/>
      <c r="U118" s="152"/>
      <c r="V118" s="152"/>
      <c r="W118" s="152"/>
      <c r="X118" s="152"/>
      <c r="Y118" s="152"/>
      <c r="Z118" s="76"/>
      <c r="AA118" s="76"/>
      <c r="AB118" s="113" t="str">
        <f>IF(C118="3111. Logements",ROUND(VLOOKUP(C118,'Informations générales'!$C$66:$E$70,3,FALSE)*(AL118/$AM$28)/12,0)*12,IF(C118="3112. Logements",ROUND(VLOOKUP(C118,'Informations générales'!$C$66:$E$70,3,FALSE)*(AL118/$AN$28)/12,0)*12,IF(C118="3113. Logements",ROUND(VLOOKUP(C118,'Informations générales'!$C$66:$E$70,3,FALSE)*(AL118/$AO$28)/12,0)*12,IF(C118="3114. Logements",ROUND(VLOOKUP(C118,'Informations générales'!$C$66:$E$70,3,FALSE)*(AL118/$AP$28)/12,0)*12,IF(C118="3115. Logements",ROUND(VLOOKUP(C118,'Informations générales'!$C$66:$E$70,3,FALSE)*(AL118/$AQ$28)/12,0)*12,"")))))</f>
        <v/>
      </c>
      <c r="AC118" s="114"/>
      <c r="AD118" s="113">
        <f t="shared" si="28"/>
        <v>0</v>
      </c>
      <c r="AE118" s="114"/>
      <c r="AF118" s="203" t="str">
        <f>IF(C118="3111. Logements",ROUND(VLOOKUP(C118,'Informations générales'!$C$66:$E$70,3,FALSE)*(AL118/$AM$28)/12,0)*12,IF(C118="3112. Logements",ROUND(VLOOKUP(C118,'Informations générales'!$C$66:$E$70,3,FALSE)*(AL118/$AN$28)/12,0)*12,IF(C118="3113. Logements",ROUND(VLOOKUP(C118,'Informations générales'!$C$66:$E$70,3,FALSE)*(AL118/$AO$28)/12,0)*12,IF(C118="3114. Logements",ROUND(VLOOKUP(C118,'Informations générales'!$C$66:$E$70,3,FALSE)*(AL118/$AP$28)/12,0)*12,IF(C118="3115. Logements",ROUND(VLOOKUP(C118,'Informations générales'!$C$66:$E$70,3,FALSE)*(AL118/$AQ$28)/12,0)*12,"")))))</f>
        <v/>
      </c>
      <c r="AG118" s="202"/>
      <c r="AH118" s="113" t="str">
        <f>IF(C118="3111. Logements",ROUND(VLOOKUP(C118,'Informations générales'!$C$66:$H$70,5,FALSE)*(AL118/$AM$28)/12,0)*12,IF(C118="3112. Logements",ROUND(VLOOKUP(C118,'Informations générales'!$C$66:$H$70,5,FALSE)*(AL118/$AN$28)/12,0)*12,IF(C118="3113. Logements",ROUND(VLOOKUP(C118,'Informations générales'!$C$66:$H$70,5,FALSE)*(AL118/$AO$28)/12,0)*12,IF(C118="3114. Logements",ROUND(VLOOKUP(C118,'Informations générales'!$C$66:$H$70,5,FALSE)*(AL118/$AP$28)/12,0)*12,IF(C118="3115. Logements",ROUND(VLOOKUP(C118,'Informations générales'!$C$66:$H$70,5,FALSE)*(AL118/$AQ$28)/12,0)*12,"")))))</f>
        <v/>
      </c>
      <c r="AI118" s="114"/>
      <c r="AJ118" s="114"/>
      <c r="AK118" s="76"/>
      <c r="AL118" s="58">
        <f t="shared" si="29"/>
        <v>0</v>
      </c>
      <c r="AM118" s="58"/>
      <c r="AN118" s="58"/>
      <c r="AO118" s="58"/>
      <c r="AP118" s="58"/>
      <c r="AQ118" s="58"/>
      <c r="AR118" s="58">
        <f t="shared" si="17"/>
        <v>0</v>
      </c>
      <c r="AS118" s="58">
        <f t="shared" si="18"/>
        <v>0</v>
      </c>
      <c r="AT118" s="58">
        <f t="shared" si="19"/>
        <v>0</v>
      </c>
      <c r="AU118" s="58">
        <f t="shared" si="20"/>
        <v>0</v>
      </c>
      <c r="AV118" s="58">
        <f t="shared" si="21"/>
        <v>0</v>
      </c>
      <c r="AW118" s="58">
        <f t="shared" si="22"/>
        <v>0</v>
      </c>
      <c r="AX118" s="58">
        <f t="shared" si="23"/>
        <v>0</v>
      </c>
      <c r="AY118" s="58">
        <f t="shared" si="30"/>
        <v>0</v>
      </c>
      <c r="AZ118" s="62">
        <f t="shared" si="24"/>
        <v>0</v>
      </c>
      <c r="BA118" s="63">
        <f t="shared" si="25"/>
        <v>0</v>
      </c>
      <c r="BB118" s="63">
        <f t="shared" si="26"/>
        <v>0</v>
      </c>
    </row>
    <row r="119" spans="3:54" s="17" customFormat="1" x14ac:dyDescent="0.25">
      <c r="C119" s="215"/>
      <c r="D119" s="216"/>
      <c r="E119" s="88"/>
      <c r="F119" s="217"/>
      <c r="G119" s="234"/>
      <c r="H119" s="218"/>
      <c r="I119" s="76"/>
      <c r="J119" s="77"/>
      <c r="K119" s="76"/>
      <c r="L119" s="78"/>
      <c r="M119" s="78"/>
      <c r="N119" s="76" t="s">
        <v>39</v>
      </c>
      <c r="O119" s="110"/>
      <c r="P119" s="152"/>
      <c r="Q119" s="111" t="str">
        <f>IFERROR(MIN(VLOOKUP(ROUNDDOWN(P119,0),'Aide calcul'!$B$2:$C$282,2,FALSE),O119+1),"")</f>
        <v/>
      </c>
      <c r="R119" s="112" t="str">
        <f t="shared" si="27"/>
        <v/>
      </c>
      <c r="S119" s="152"/>
      <c r="T119" s="152"/>
      <c r="U119" s="152"/>
      <c r="V119" s="152"/>
      <c r="W119" s="152"/>
      <c r="X119" s="152"/>
      <c r="Y119" s="152"/>
      <c r="Z119" s="76"/>
      <c r="AA119" s="76"/>
      <c r="AB119" s="113" t="str">
        <f>IF(C119="3111. Logements",ROUND(VLOOKUP(C119,'Informations générales'!$C$66:$E$70,3,FALSE)*(AL119/$AM$28)/12,0)*12,IF(C119="3112. Logements",ROUND(VLOOKUP(C119,'Informations générales'!$C$66:$E$70,3,FALSE)*(AL119/$AN$28)/12,0)*12,IF(C119="3113. Logements",ROUND(VLOOKUP(C119,'Informations générales'!$C$66:$E$70,3,FALSE)*(AL119/$AO$28)/12,0)*12,IF(C119="3114. Logements",ROUND(VLOOKUP(C119,'Informations générales'!$C$66:$E$70,3,FALSE)*(AL119/$AP$28)/12,0)*12,IF(C119="3115. Logements",ROUND(VLOOKUP(C119,'Informations générales'!$C$66:$E$70,3,FALSE)*(AL119/$AQ$28)/12,0)*12,"")))))</f>
        <v/>
      </c>
      <c r="AC119" s="114"/>
      <c r="AD119" s="113">
        <f t="shared" si="28"/>
        <v>0</v>
      </c>
      <c r="AE119" s="114"/>
      <c r="AF119" s="203" t="str">
        <f>IF(C119="3111. Logements",ROUND(VLOOKUP(C119,'Informations générales'!$C$66:$E$70,3,FALSE)*(AL119/$AM$28)/12,0)*12,IF(C119="3112. Logements",ROUND(VLOOKUP(C119,'Informations générales'!$C$66:$E$70,3,FALSE)*(AL119/$AN$28)/12,0)*12,IF(C119="3113. Logements",ROUND(VLOOKUP(C119,'Informations générales'!$C$66:$E$70,3,FALSE)*(AL119/$AO$28)/12,0)*12,IF(C119="3114. Logements",ROUND(VLOOKUP(C119,'Informations générales'!$C$66:$E$70,3,FALSE)*(AL119/$AP$28)/12,0)*12,IF(C119="3115. Logements",ROUND(VLOOKUP(C119,'Informations générales'!$C$66:$E$70,3,FALSE)*(AL119/$AQ$28)/12,0)*12,"")))))</f>
        <v/>
      </c>
      <c r="AG119" s="202"/>
      <c r="AH119" s="113" t="str">
        <f>IF(C119="3111. Logements",ROUND(VLOOKUP(C119,'Informations générales'!$C$66:$H$70,5,FALSE)*(AL119/$AM$28)/12,0)*12,IF(C119="3112. Logements",ROUND(VLOOKUP(C119,'Informations générales'!$C$66:$H$70,5,FALSE)*(AL119/$AN$28)/12,0)*12,IF(C119="3113. Logements",ROUND(VLOOKUP(C119,'Informations générales'!$C$66:$H$70,5,FALSE)*(AL119/$AO$28)/12,0)*12,IF(C119="3114. Logements",ROUND(VLOOKUP(C119,'Informations générales'!$C$66:$H$70,5,FALSE)*(AL119/$AP$28)/12,0)*12,IF(C119="3115. Logements",ROUND(VLOOKUP(C119,'Informations générales'!$C$66:$H$70,5,FALSE)*(AL119/$AQ$28)/12,0)*12,"")))))</f>
        <v/>
      </c>
      <c r="AI119" s="114"/>
      <c r="AJ119" s="114"/>
      <c r="AK119" s="76"/>
      <c r="AL119" s="58">
        <f t="shared" si="29"/>
        <v>0</v>
      </c>
      <c r="AM119" s="58"/>
      <c r="AN119" s="58"/>
      <c r="AO119" s="58"/>
      <c r="AP119" s="58"/>
      <c r="AQ119" s="58"/>
      <c r="AR119" s="58">
        <f t="shared" si="17"/>
        <v>0</v>
      </c>
      <c r="AS119" s="58">
        <f t="shared" si="18"/>
        <v>0</v>
      </c>
      <c r="AT119" s="58">
        <f t="shared" si="19"/>
        <v>0</v>
      </c>
      <c r="AU119" s="58">
        <f t="shared" si="20"/>
        <v>0</v>
      </c>
      <c r="AV119" s="58">
        <f t="shared" si="21"/>
        <v>0</v>
      </c>
      <c r="AW119" s="58">
        <f t="shared" si="22"/>
        <v>0</v>
      </c>
      <c r="AX119" s="58">
        <f t="shared" si="23"/>
        <v>0</v>
      </c>
      <c r="AY119" s="58">
        <f t="shared" si="30"/>
        <v>0</v>
      </c>
      <c r="AZ119" s="62">
        <f t="shared" si="24"/>
        <v>0</v>
      </c>
      <c r="BA119" s="63">
        <f t="shared" si="25"/>
        <v>0</v>
      </c>
      <c r="BB119" s="63">
        <f t="shared" si="26"/>
        <v>0</v>
      </c>
    </row>
    <row r="120" spans="3:54" s="17" customFormat="1" x14ac:dyDescent="0.25">
      <c r="C120" s="215"/>
      <c r="D120" s="216"/>
      <c r="E120" s="88"/>
      <c r="F120" s="217"/>
      <c r="G120" s="234"/>
      <c r="H120" s="218"/>
      <c r="I120" s="76"/>
      <c r="J120" s="77"/>
      <c r="K120" s="76"/>
      <c r="L120" s="78"/>
      <c r="M120" s="78"/>
      <c r="N120" s="76" t="s">
        <v>39</v>
      </c>
      <c r="O120" s="110"/>
      <c r="P120" s="152"/>
      <c r="Q120" s="111" t="str">
        <f>IFERROR(MIN(VLOOKUP(ROUNDDOWN(P120,0),'Aide calcul'!$B$2:$C$282,2,FALSE),O120+1),"")</f>
        <v/>
      </c>
      <c r="R120" s="112" t="str">
        <f t="shared" si="27"/>
        <v/>
      </c>
      <c r="S120" s="152"/>
      <c r="T120" s="152"/>
      <c r="U120" s="152"/>
      <c r="V120" s="152"/>
      <c r="W120" s="152"/>
      <c r="X120" s="152"/>
      <c r="Y120" s="152"/>
      <c r="Z120" s="76"/>
      <c r="AA120" s="76"/>
      <c r="AB120" s="113" t="str">
        <f>IF(C120="3111. Logements",ROUND(VLOOKUP(C120,'Informations générales'!$C$66:$E$70,3,FALSE)*(AL120/$AM$28)/12,0)*12,IF(C120="3112. Logements",ROUND(VLOOKUP(C120,'Informations générales'!$C$66:$E$70,3,FALSE)*(AL120/$AN$28)/12,0)*12,IF(C120="3113. Logements",ROUND(VLOOKUP(C120,'Informations générales'!$C$66:$E$70,3,FALSE)*(AL120/$AO$28)/12,0)*12,IF(C120="3114. Logements",ROUND(VLOOKUP(C120,'Informations générales'!$C$66:$E$70,3,FALSE)*(AL120/$AP$28)/12,0)*12,IF(C120="3115. Logements",ROUND(VLOOKUP(C120,'Informations générales'!$C$66:$E$70,3,FALSE)*(AL120/$AQ$28)/12,0)*12,"")))))</f>
        <v/>
      </c>
      <c r="AC120" s="114"/>
      <c r="AD120" s="113">
        <f t="shared" si="28"/>
        <v>0</v>
      </c>
      <c r="AE120" s="114"/>
      <c r="AF120" s="203" t="str">
        <f>IF(C120="3111. Logements",ROUND(VLOOKUP(C120,'Informations générales'!$C$66:$E$70,3,FALSE)*(AL120/$AM$28)/12,0)*12,IF(C120="3112. Logements",ROUND(VLOOKUP(C120,'Informations générales'!$C$66:$E$70,3,FALSE)*(AL120/$AN$28)/12,0)*12,IF(C120="3113. Logements",ROUND(VLOOKUP(C120,'Informations générales'!$C$66:$E$70,3,FALSE)*(AL120/$AO$28)/12,0)*12,IF(C120="3114. Logements",ROUND(VLOOKUP(C120,'Informations générales'!$C$66:$E$70,3,FALSE)*(AL120/$AP$28)/12,0)*12,IF(C120="3115. Logements",ROUND(VLOOKUP(C120,'Informations générales'!$C$66:$E$70,3,FALSE)*(AL120/$AQ$28)/12,0)*12,"")))))</f>
        <v/>
      </c>
      <c r="AG120" s="202"/>
      <c r="AH120" s="113" t="str">
        <f>IF(C120="3111. Logements",ROUND(VLOOKUP(C120,'Informations générales'!$C$66:$H$70,5,FALSE)*(AL120/$AM$28)/12,0)*12,IF(C120="3112. Logements",ROUND(VLOOKUP(C120,'Informations générales'!$C$66:$H$70,5,FALSE)*(AL120/$AN$28)/12,0)*12,IF(C120="3113. Logements",ROUND(VLOOKUP(C120,'Informations générales'!$C$66:$H$70,5,FALSE)*(AL120/$AO$28)/12,0)*12,IF(C120="3114. Logements",ROUND(VLOOKUP(C120,'Informations générales'!$C$66:$H$70,5,FALSE)*(AL120/$AP$28)/12,0)*12,IF(C120="3115. Logements",ROUND(VLOOKUP(C120,'Informations générales'!$C$66:$H$70,5,FALSE)*(AL120/$AQ$28)/12,0)*12,"")))))</f>
        <v/>
      </c>
      <c r="AI120" s="114"/>
      <c r="AJ120" s="114"/>
      <c r="AK120" s="76"/>
      <c r="AL120" s="58">
        <f t="shared" si="29"/>
        <v>0</v>
      </c>
      <c r="AM120" s="58"/>
      <c r="AN120" s="58"/>
      <c r="AO120" s="58"/>
      <c r="AP120" s="58"/>
      <c r="AQ120" s="58"/>
      <c r="AR120" s="58">
        <f t="shared" si="17"/>
        <v>0</v>
      </c>
      <c r="AS120" s="58">
        <f t="shared" si="18"/>
        <v>0</v>
      </c>
      <c r="AT120" s="58">
        <f t="shared" si="19"/>
        <v>0</v>
      </c>
      <c r="AU120" s="58">
        <f t="shared" si="20"/>
        <v>0</v>
      </c>
      <c r="AV120" s="58">
        <f t="shared" si="21"/>
        <v>0</v>
      </c>
      <c r="AW120" s="58">
        <f t="shared" si="22"/>
        <v>0</v>
      </c>
      <c r="AX120" s="58">
        <f t="shared" si="23"/>
        <v>0</v>
      </c>
      <c r="AY120" s="58">
        <f t="shared" si="30"/>
        <v>0</v>
      </c>
      <c r="AZ120" s="62">
        <f t="shared" si="24"/>
        <v>0</v>
      </c>
      <c r="BA120" s="63">
        <f t="shared" si="25"/>
        <v>0</v>
      </c>
      <c r="BB120" s="63">
        <f t="shared" si="26"/>
        <v>0</v>
      </c>
    </row>
    <row r="121" spans="3:54" s="17" customFormat="1" x14ac:dyDescent="0.25">
      <c r="C121" s="215"/>
      <c r="D121" s="216"/>
      <c r="E121" s="88"/>
      <c r="F121" s="217"/>
      <c r="G121" s="234"/>
      <c r="H121" s="218"/>
      <c r="I121" s="76"/>
      <c r="J121" s="77"/>
      <c r="K121" s="76"/>
      <c r="L121" s="78"/>
      <c r="M121" s="78"/>
      <c r="N121" s="76" t="s">
        <v>39</v>
      </c>
      <c r="O121" s="110"/>
      <c r="P121" s="152"/>
      <c r="Q121" s="111" t="str">
        <f>IFERROR(MIN(VLOOKUP(ROUNDDOWN(P121,0),'Aide calcul'!$B$2:$C$282,2,FALSE),O121+1),"")</f>
        <v/>
      </c>
      <c r="R121" s="112" t="str">
        <f t="shared" si="27"/>
        <v/>
      </c>
      <c r="S121" s="152"/>
      <c r="T121" s="152"/>
      <c r="U121" s="152"/>
      <c r="V121" s="152"/>
      <c r="W121" s="152"/>
      <c r="X121" s="152"/>
      <c r="Y121" s="152"/>
      <c r="Z121" s="76"/>
      <c r="AA121" s="76"/>
      <c r="AB121" s="113" t="str">
        <f>IF(C121="3111. Logements",ROUND(VLOOKUP(C121,'Informations générales'!$C$66:$E$70,3,FALSE)*(AL121/$AM$28)/12,0)*12,IF(C121="3112. Logements",ROUND(VLOOKUP(C121,'Informations générales'!$C$66:$E$70,3,FALSE)*(AL121/$AN$28)/12,0)*12,IF(C121="3113. Logements",ROUND(VLOOKUP(C121,'Informations générales'!$C$66:$E$70,3,FALSE)*(AL121/$AO$28)/12,0)*12,IF(C121="3114. Logements",ROUND(VLOOKUP(C121,'Informations générales'!$C$66:$E$70,3,FALSE)*(AL121/$AP$28)/12,0)*12,IF(C121="3115. Logements",ROUND(VLOOKUP(C121,'Informations générales'!$C$66:$E$70,3,FALSE)*(AL121/$AQ$28)/12,0)*12,"")))))</f>
        <v/>
      </c>
      <c r="AC121" s="114"/>
      <c r="AD121" s="113">
        <f t="shared" si="28"/>
        <v>0</v>
      </c>
      <c r="AE121" s="114"/>
      <c r="AF121" s="203" t="str">
        <f>IF(C121="3111. Logements",ROUND(VLOOKUP(C121,'Informations générales'!$C$66:$E$70,3,FALSE)*(AL121/$AM$28)/12,0)*12,IF(C121="3112. Logements",ROUND(VLOOKUP(C121,'Informations générales'!$C$66:$E$70,3,FALSE)*(AL121/$AN$28)/12,0)*12,IF(C121="3113. Logements",ROUND(VLOOKUP(C121,'Informations générales'!$C$66:$E$70,3,FALSE)*(AL121/$AO$28)/12,0)*12,IF(C121="3114. Logements",ROUND(VLOOKUP(C121,'Informations générales'!$C$66:$E$70,3,FALSE)*(AL121/$AP$28)/12,0)*12,IF(C121="3115. Logements",ROUND(VLOOKUP(C121,'Informations générales'!$C$66:$E$70,3,FALSE)*(AL121/$AQ$28)/12,0)*12,"")))))</f>
        <v/>
      </c>
      <c r="AG121" s="202"/>
      <c r="AH121" s="113" t="str">
        <f>IF(C121="3111. Logements",ROUND(VLOOKUP(C121,'Informations générales'!$C$66:$H$70,5,FALSE)*(AL121/$AM$28)/12,0)*12,IF(C121="3112. Logements",ROUND(VLOOKUP(C121,'Informations générales'!$C$66:$H$70,5,FALSE)*(AL121/$AN$28)/12,0)*12,IF(C121="3113. Logements",ROUND(VLOOKUP(C121,'Informations générales'!$C$66:$H$70,5,FALSE)*(AL121/$AO$28)/12,0)*12,IF(C121="3114. Logements",ROUND(VLOOKUP(C121,'Informations générales'!$C$66:$H$70,5,FALSE)*(AL121/$AP$28)/12,0)*12,IF(C121="3115. Logements",ROUND(VLOOKUP(C121,'Informations générales'!$C$66:$H$70,5,FALSE)*(AL121/$AQ$28)/12,0)*12,"")))))</f>
        <v/>
      </c>
      <c r="AI121" s="114"/>
      <c r="AJ121" s="114"/>
      <c r="AK121" s="76"/>
      <c r="AL121" s="58">
        <f t="shared" si="29"/>
        <v>0</v>
      </c>
      <c r="AM121" s="58"/>
      <c r="AN121" s="58"/>
      <c r="AO121" s="58"/>
      <c r="AP121" s="58"/>
      <c r="AQ121" s="58"/>
      <c r="AR121" s="58">
        <f t="shared" si="17"/>
        <v>0</v>
      </c>
      <c r="AS121" s="58">
        <f t="shared" si="18"/>
        <v>0</v>
      </c>
      <c r="AT121" s="58">
        <f t="shared" si="19"/>
        <v>0</v>
      </c>
      <c r="AU121" s="58">
        <f t="shared" si="20"/>
        <v>0</v>
      </c>
      <c r="AV121" s="58">
        <f t="shared" si="21"/>
        <v>0</v>
      </c>
      <c r="AW121" s="58">
        <f t="shared" si="22"/>
        <v>0</v>
      </c>
      <c r="AX121" s="58">
        <f t="shared" si="23"/>
        <v>0</v>
      </c>
      <c r="AY121" s="58">
        <f t="shared" si="30"/>
        <v>0</v>
      </c>
      <c r="AZ121" s="62">
        <f t="shared" si="24"/>
        <v>0</v>
      </c>
      <c r="BA121" s="63">
        <f t="shared" si="25"/>
        <v>0</v>
      </c>
      <c r="BB121" s="63">
        <f t="shared" si="26"/>
        <v>0</v>
      </c>
    </row>
    <row r="122" spans="3:54" s="17" customFormat="1" x14ac:dyDescent="0.25">
      <c r="C122" s="215"/>
      <c r="D122" s="216"/>
      <c r="E122" s="88"/>
      <c r="F122" s="217"/>
      <c r="G122" s="234"/>
      <c r="H122" s="218"/>
      <c r="I122" s="76"/>
      <c r="J122" s="77"/>
      <c r="K122" s="76"/>
      <c r="L122" s="78"/>
      <c r="M122" s="78"/>
      <c r="N122" s="76" t="s">
        <v>39</v>
      </c>
      <c r="O122" s="110"/>
      <c r="P122" s="152"/>
      <c r="Q122" s="111" t="str">
        <f>IFERROR(MIN(VLOOKUP(ROUNDDOWN(P122,0),'Aide calcul'!$B$2:$C$282,2,FALSE),O122+1),"")</f>
        <v/>
      </c>
      <c r="R122" s="112" t="str">
        <f t="shared" si="27"/>
        <v/>
      </c>
      <c r="S122" s="152"/>
      <c r="T122" s="152"/>
      <c r="U122" s="152"/>
      <c r="V122" s="152"/>
      <c r="W122" s="152"/>
      <c r="X122" s="152"/>
      <c r="Y122" s="152"/>
      <c r="Z122" s="76"/>
      <c r="AA122" s="76"/>
      <c r="AB122" s="113" t="str">
        <f>IF(C122="3111. Logements",ROUND(VLOOKUP(C122,'Informations générales'!$C$66:$E$70,3,FALSE)*(AL122/$AM$28)/12,0)*12,IF(C122="3112. Logements",ROUND(VLOOKUP(C122,'Informations générales'!$C$66:$E$70,3,FALSE)*(AL122/$AN$28)/12,0)*12,IF(C122="3113. Logements",ROUND(VLOOKUP(C122,'Informations générales'!$C$66:$E$70,3,FALSE)*(AL122/$AO$28)/12,0)*12,IF(C122="3114. Logements",ROUND(VLOOKUP(C122,'Informations générales'!$C$66:$E$70,3,FALSE)*(AL122/$AP$28)/12,0)*12,IF(C122="3115. Logements",ROUND(VLOOKUP(C122,'Informations générales'!$C$66:$E$70,3,FALSE)*(AL122/$AQ$28)/12,0)*12,"")))))</f>
        <v/>
      </c>
      <c r="AC122" s="114"/>
      <c r="AD122" s="113">
        <f t="shared" si="28"/>
        <v>0</v>
      </c>
      <c r="AE122" s="114"/>
      <c r="AF122" s="203" t="str">
        <f>IF(C122="3111. Logements",ROUND(VLOOKUP(C122,'Informations générales'!$C$66:$E$70,3,FALSE)*(AL122/$AM$28)/12,0)*12,IF(C122="3112. Logements",ROUND(VLOOKUP(C122,'Informations générales'!$C$66:$E$70,3,FALSE)*(AL122/$AN$28)/12,0)*12,IF(C122="3113. Logements",ROUND(VLOOKUP(C122,'Informations générales'!$C$66:$E$70,3,FALSE)*(AL122/$AO$28)/12,0)*12,IF(C122="3114. Logements",ROUND(VLOOKUP(C122,'Informations générales'!$C$66:$E$70,3,FALSE)*(AL122/$AP$28)/12,0)*12,IF(C122="3115. Logements",ROUND(VLOOKUP(C122,'Informations générales'!$C$66:$E$70,3,FALSE)*(AL122/$AQ$28)/12,0)*12,"")))))</f>
        <v/>
      </c>
      <c r="AG122" s="202"/>
      <c r="AH122" s="113" t="str">
        <f>IF(C122="3111. Logements",ROUND(VLOOKUP(C122,'Informations générales'!$C$66:$H$70,5,FALSE)*(AL122/$AM$28)/12,0)*12,IF(C122="3112. Logements",ROUND(VLOOKUP(C122,'Informations générales'!$C$66:$H$70,5,FALSE)*(AL122/$AN$28)/12,0)*12,IF(C122="3113. Logements",ROUND(VLOOKUP(C122,'Informations générales'!$C$66:$H$70,5,FALSE)*(AL122/$AO$28)/12,0)*12,IF(C122="3114. Logements",ROUND(VLOOKUP(C122,'Informations générales'!$C$66:$H$70,5,FALSE)*(AL122/$AP$28)/12,0)*12,IF(C122="3115. Logements",ROUND(VLOOKUP(C122,'Informations générales'!$C$66:$H$70,5,FALSE)*(AL122/$AQ$28)/12,0)*12,"")))))</f>
        <v/>
      </c>
      <c r="AI122" s="114"/>
      <c r="AJ122" s="114"/>
      <c r="AK122" s="76"/>
      <c r="AL122" s="58">
        <f t="shared" si="29"/>
        <v>0</v>
      </c>
      <c r="AM122" s="58"/>
      <c r="AN122" s="58"/>
      <c r="AO122" s="58"/>
      <c r="AP122" s="58"/>
      <c r="AQ122" s="58"/>
      <c r="AR122" s="58">
        <f t="shared" si="17"/>
        <v>0</v>
      </c>
      <c r="AS122" s="58">
        <f t="shared" si="18"/>
        <v>0</v>
      </c>
      <c r="AT122" s="58">
        <f t="shared" si="19"/>
        <v>0</v>
      </c>
      <c r="AU122" s="58">
        <f t="shared" si="20"/>
        <v>0</v>
      </c>
      <c r="AV122" s="58">
        <f t="shared" si="21"/>
        <v>0</v>
      </c>
      <c r="AW122" s="58">
        <f t="shared" si="22"/>
        <v>0</v>
      </c>
      <c r="AX122" s="58">
        <f t="shared" si="23"/>
        <v>0</v>
      </c>
      <c r="AY122" s="58">
        <f t="shared" si="30"/>
        <v>0</v>
      </c>
      <c r="AZ122" s="62">
        <f t="shared" si="24"/>
        <v>0</v>
      </c>
      <c r="BA122" s="63">
        <f t="shared" si="25"/>
        <v>0</v>
      </c>
      <c r="BB122" s="63">
        <f t="shared" si="26"/>
        <v>0</v>
      </c>
    </row>
    <row r="123" spans="3:54" s="17" customFormat="1" x14ac:dyDescent="0.25">
      <c r="C123" s="215"/>
      <c r="D123" s="216"/>
      <c r="E123" s="88"/>
      <c r="F123" s="217"/>
      <c r="G123" s="234"/>
      <c r="H123" s="218"/>
      <c r="I123" s="76"/>
      <c r="J123" s="77"/>
      <c r="K123" s="76"/>
      <c r="L123" s="78"/>
      <c r="M123" s="78"/>
      <c r="N123" s="76" t="s">
        <v>39</v>
      </c>
      <c r="O123" s="110"/>
      <c r="P123" s="152"/>
      <c r="Q123" s="111" t="str">
        <f>IFERROR(MIN(VLOOKUP(ROUNDDOWN(P123,0),'Aide calcul'!$B$2:$C$282,2,FALSE),O123+1),"")</f>
        <v/>
      </c>
      <c r="R123" s="112" t="str">
        <f t="shared" si="27"/>
        <v/>
      </c>
      <c r="S123" s="152"/>
      <c r="T123" s="152"/>
      <c r="U123" s="152"/>
      <c r="V123" s="152"/>
      <c r="W123" s="152"/>
      <c r="X123" s="152"/>
      <c r="Y123" s="152"/>
      <c r="Z123" s="76"/>
      <c r="AA123" s="76"/>
      <c r="AB123" s="113" t="str">
        <f>IF(C123="3111. Logements",ROUND(VLOOKUP(C123,'Informations générales'!$C$66:$E$70,3,FALSE)*(AL123/$AM$28)/12,0)*12,IF(C123="3112. Logements",ROUND(VLOOKUP(C123,'Informations générales'!$C$66:$E$70,3,FALSE)*(AL123/$AN$28)/12,0)*12,IF(C123="3113. Logements",ROUND(VLOOKUP(C123,'Informations générales'!$C$66:$E$70,3,FALSE)*(AL123/$AO$28)/12,0)*12,IF(C123="3114. Logements",ROUND(VLOOKUP(C123,'Informations générales'!$C$66:$E$70,3,FALSE)*(AL123/$AP$28)/12,0)*12,IF(C123="3115. Logements",ROUND(VLOOKUP(C123,'Informations générales'!$C$66:$E$70,3,FALSE)*(AL123/$AQ$28)/12,0)*12,"")))))</f>
        <v/>
      </c>
      <c r="AC123" s="114"/>
      <c r="AD123" s="113">
        <f t="shared" si="28"/>
        <v>0</v>
      </c>
      <c r="AE123" s="114"/>
      <c r="AF123" s="203" t="str">
        <f>IF(C123="3111. Logements",ROUND(VLOOKUP(C123,'Informations générales'!$C$66:$E$70,3,FALSE)*(AL123/$AM$28)/12,0)*12,IF(C123="3112. Logements",ROUND(VLOOKUP(C123,'Informations générales'!$C$66:$E$70,3,FALSE)*(AL123/$AN$28)/12,0)*12,IF(C123="3113. Logements",ROUND(VLOOKUP(C123,'Informations générales'!$C$66:$E$70,3,FALSE)*(AL123/$AO$28)/12,0)*12,IF(C123="3114. Logements",ROUND(VLOOKUP(C123,'Informations générales'!$C$66:$E$70,3,FALSE)*(AL123/$AP$28)/12,0)*12,IF(C123="3115. Logements",ROUND(VLOOKUP(C123,'Informations générales'!$C$66:$E$70,3,FALSE)*(AL123/$AQ$28)/12,0)*12,"")))))</f>
        <v/>
      </c>
      <c r="AG123" s="202"/>
      <c r="AH123" s="113" t="str">
        <f>IF(C123="3111. Logements",ROUND(VLOOKUP(C123,'Informations générales'!$C$66:$H$70,5,FALSE)*(AL123/$AM$28)/12,0)*12,IF(C123="3112. Logements",ROUND(VLOOKUP(C123,'Informations générales'!$C$66:$H$70,5,FALSE)*(AL123/$AN$28)/12,0)*12,IF(C123="3113. Logements",ROUND(VLOOKUP(C123,'Informations générales'!$C$66:$H$70,5,FALSE)*(AL123/$AO$28)/12,0)*12,IF(C123="3114. Logements",ROUND(VLOOKUP(C123,'Informations générales'!$C$66:$H$70,5,FALSE)*(AL123/$AP$28)/12,0)*12,IF(C123="3115. Logements",ROUND(VLOOKUP(C123,'Informations générales'!$C$66:$H$70,5,FALSE)*(AL123/$AQ$28)/12,0)*12,"")))))</f>
        <v/>
      </c>
      <c r="AI123" s="114"/>
      <c r="AJ123" s="114"/>
      <c r="AK123" s="76"/>
      <c r="AL123" s="58">
        <f t="shared" si="29"/>
        <v>0</v>
      </c>
      <c r="AM123" s="58"/>
      <c r="AN123" s="58"/>
      <c r="AO123" s="58"/>
      <c r="AP123" s="58"/>
      <c r="AQ123" s="58"/>
      <c r="AR123" s="58">
        <f t="shared" si="17"/>
        <v>0</v>
      </c>
      <c r="AS123" s="58">
        <f t="shared" si="18"/>
        <v>0</v>
      </c>
      <c r="AT123" s="58">
        <f t="shared" si="19"/>
        <v>0</v>
      </c>
      <c r="AU123" s="58">
        <f t="shared" si="20"/>
        <v>0</v>
      </c>
      <c r="AV123" s="58">
        <f t="shared" si="21"/>
        <v>0</v>
      </c>
      <c r="AW123" s="58">
        <f t="shared" si="22"/>
        <v>0</v>
      </c>
      <c r="AX123" s="58">
        <f t="shared" si="23"/>
        <v>0</v>
      </c>
      <c r="AY123" s="58">
        <f t="shared" si="30"/>
        <v>0</v>
      </c>
      <c r="AZ123" s="62">
        <f t="shared" si="24"/>
        <v>0</v>
      </c>
      <c r="BA123" s="63">
        <f t="shared" si="25"/>
        <v>0</v>
      </c>
      <c r="BB123" s="63">
        <f t="shared" si="26"/>
        <v>0</v>
      </c>
    </row>
    <row r="124" spans="3:54" s="17" customFormat="1" x14ac:dyDescent="0.25">
      <c r="C124" s="215"/>
      <c r="D124" s="216"/>
      <c r="E124" s="88"/>
      <c r="F124" s="217"/>
      <c r="G124" s="234"/>
      <c r="H124" s="218"/>
      <c r="I124" s="76"/>
      <c r="J124" s="77"/>
      <c r="K124" s="76"/>
      <c r="L124" s="78"/>
      <c r="M124" s="78"/>
      <c r="N124" s="76" t="s">
        <v>39</v>
      </c>
      <c r="O124" s="110"/>
      <c r="P124" s="152"/>
      <c r="Q124" s="111" t="str">
        <f>IFERROR(MIN(VLOOKUP(ROUNDDOWN(P124,0),'Aide calcul'!$B$2:$C$282,2,FALSE),O124+1),"")</f>
        <v/>
      </c>
      <c r="R124" s="112" t="str">
        <f t="shared" si="27"/>
        <v/>
      </c>
      <c r="S124" s="152"/>
      <c r="T124" s="152"/>
      <c r="U124" s="152"/>
      <c r="V124" s="152"/>
      <c r="W124" s="152"/>
      <c r="X124" s="152"/>
      <c r="Y124" s="152"/>
      <c r="Z124" s="76"/>
      <c r="AA124" s="76"/>
      <c r="AB124" s="113" t="str">
        <f>IF(C124="3111. Logements",ROUND(VLOOKUP(C124,'Informations générales'!$C$66:$E$70,3,FALSE)*(AL124/$AM$28)/12,0)*12,IF(C124="3112. Logements",ROUND(VLOOKUP(C124,'Informations générales'!$C$66:$E$70,3,FALSE)*(AL124/$AN$28)/12,0)*12,IF(C124="3113. Logements",ROUND(VLOOKUP(C124,'Informations générales'!$C$66:$E$70,3,FALSE)*(AL124/$AO$28)/12,0)*12,IF(C124="3114. Logements",ROUND(VLOOKUP(C124,'Informations générales'!$C$66:$E$70,3,FALSE)*(AL124/$AP$28)/12,0)*12,IF(C124="3115. Logements",ROUND(VLOOKUP(C124,'Informations générales'!$C$66:$E$70,3,FALSE)*(AL124/$AQ$28)/12,0)*12,"")))))</f>
        <v/>
      </c>
      <c r="AC124" s="114"/>
      <c r="AD124" s="113">
        <f t="shared" si="28"/>
        <v>0</v>
      </c>
      <c r="AE124" s="114"/>
      <c r="AF124" s="203" t="str">
        <f>IF(C124="3111. Logements",ROUND(VLOOKUP(C124,'Informations générales'!$C$66:$E$70,3,FALSE)*(AL124/$AM$28)/12,0)*12,IF(C124="3112. Logements",ROUND(VLOOKUP(C124,'Informations générales'!$C$66:$E$70,3,FALSE)*(AL124/$AN$28)/12,0)*12,IF(C124="3113. Logements",ROUND(VLOOKUP(C124,'Informations générales'!$C$66:$E$70,3,FALSE)*(AL124/$AO$28)/12,0)*12,IF(C124="3114. Logements",ROUND(VLOOKUP(C124,'Informations générales'!$C$66:$E$70,3,FALSE)*(AL124/$AP$28)/12,0)*12,IF(C124="3115. Logements",ROUND(VLOOKUP(C124,'Informations générales'!$C$66:$E$70,3,FALSE)*(AL124/$AQ$28)/12,0)*12,"")))))</f>
        <v/>
      </c>
      <c r="AG124" s="202"/>
      <c r="AH124" s="113" t="str">
        <f>IF(C124="3111. Logements",ROUND(VLOOKUP(C124,'Informations générales'!$C$66:$H$70,5,FALSE)*(AL124/$AM$28)/12,0)*12,IF(C124="3112. Logements",ROUND(VLOOKUP(C124,'Informations générales'!$C$66:$H$70,5,FALSE)*(AL124/$AN$28)/12,0)*12,IF(C124="3113. Logements",ROUND(VLOOKUP(C124,'Informations générales'!$C$66:$H$70,5,FALSE)*(AL124/$AO$28)/12,0)*12,IF(C124="3114. Logements",ROUND(VLOOKUP(C124,'Informations générales'!$C$66:$H$70,5,FALSE)*(AL124/$AP$28)/12,0)*12,IF(C124="3115. Logements",ROUND(VLOOKUP(C124,'Informations générales'!$C$66:$H$70,5,FALSE)*(AL124/$AQ$28)/12,0)*12,"")))))</f>
        <v/>
      </c>
      <c r="AI124" s="114"/>
      <c r="AJ124" s="114"/>
      <c r="AK124" s="76"/>
      <c r="AL124" s="58">
        <f t="shared" si="29"/>
        <v>0</v>
      </c>
      <c r="AM124" s="58"/>
      <c r="AN124" s="58"/>
      <c r="AO124" s="58"/>
      <c r="AP124" s="58"/>
      <c r="AQ124" s="58"/>
      <c r="AR124" s="58">
        <f t="shared" si="17"/>
        <v>0</v>
      </c>
      <c r="AS124" s="58">
        <f t="shared" si="18"/>
        <v>0</v>
      </c>
      <c r="AT124" s="58">
        <f t="shared" si="19"/>
        <v>0</v>
      </c>
      <c r="AU124" s="58">
        <f t="shared" si="20"/>
        <v>0</v>
      </c>
      <c r="AV124" s="58">
        <f t="shared" si="21"/>
        <v>0</v>
      </c>
      <c r="AW124" s="58">
        <f t="shared" si="22"/>
        <v>0</v>
      </c>
      <c r="AX124" s="58">
        <f t="shared" si="23"/>
        <v>0</v>
      </c>
      <c r="AY124" s="58">
        <f t="shared" si="30"/>
        <v>0</v>
      </c>
      <c r="AZ124" s="62">
        <f t="shared" si="24"/>
        <v>0</v>
      </c>
      <c r="BA124" s="63">
        <f t="shared" si="25"/>
        <v>0</v>
      </c>
      <c r="BB124" s="63">
        <f t="shared" si="26"/>
        <v>0</v>
      </c>
    </row>
    <row r="125" spans="3:54" s="17" customFormat="1" x14ac:dyDescent="0.25">
      <c r="C125" s="215"/>
      <c r="D125" s="216"/>
      <c r="E125" s="88"/>
      <c r="F125" s="217"/>
      <c r="G125" s="234"/>
      <c r="H125" s="218"/>
      <c r="I125" s="76"/>
      <c r="J125" s="77"/>
      <c r="K125" s="76"/>
      <c r="L125" s="78"/>
      <c r="M125" s="78"/>
      <c r="N125" s="76" t="s">
        <v>39</v>
      </c>
      <c r="O125" s="110"/>
      <c r="P125" s="152"/>
      <c r="Q125" s="111" t="str">
        <f>IFERROR(MIN(VLOOKUP(ROUNDDOWN(P125,0),'Aide calcul'!$B$2:$C$282,2,FALSE),O125+1),"")</f>
        <v/>
      </c>
      <c r="R125" s="112" t="str">
        <f t="shared" si="27"/>
        <v/>
      </c>
      <c r="S125" s="152"/>
      <c r="T125" s="152"/>
      <c r="U125" s="152"/>
      <c r="V125" s="152"/>
      <c r="W125" s="152"/>
      <c r="X125" s="152"/>
      <c r="Y125" s="152"/>
      <c r="Z125" s="76"/>
      <c r="AA125" s="76"/>
      <c r="AB125" s="113" t="str">
        <f>IF(C125="3111. Logements",ROUND(VLOOKUP(C125,'Informations générales'!$C$66:$E$70,3,FALSE)*(AL125/$AM$28)/12,0)*12,IF(C125="3112. Logements",ROUND(VLOOKUP(C125,'Informations générales'!$C$66:$E$70,3,FALSE)*(AL125/$AN$28)/12,0)*12,IF(C125="3113. Logements",ROUND(VLOOKUP(C125,'Informations générales'!$C$66:$E$70,3,FALSE)*(AL125/$AO$28)/12,0)*12,IF(C125="3114. Logements",ROUND(VLOOKUP(C125,'Informations générales'!$C$66:$E$70,3,FALSE)*(AL125/$AP$28)/12,0)*12,IF(C125="3115. Logements",ROUND(VLOOKUP(C125,'Informations générales'!$C$66:$E$70,3,FALSE)*(AL125/$AQ$28)/12,0)*12,"")))))</f>
        <v/>
      </c>
      <c r="AC125" s="114"/>
      <c r="AD125" s="113">
        <f t="shared" si="28"/>
        <v>0</v>
      </c>
      <c r="AE125" s="114"/>
      <c r="AF125" s="203" t="str">
        <f>IF(C125="3111. Logements",ROUND(VLOOKUP(C125,'Informations générales'!$C$66:$E$70,3,FALSE)*(AL125/$AM$28)/12,0)*12,IF(C125="3112. Logements",ROUND(VLOOKUP(C125,'Informations générales'!$C$66:$E$70,3,FALSE)*(AL125/$AN$28)/12,0)*12,IF(C125="3113. Logements",ROUND(VLOOKUP(C125,'Informations générales'!$C$66:$E$70,3,FALSE)*(AL125/$AO$28)/12,0)*12,IF(C125="3114. Logements",ROUND(VLOOKUP(C125,'Informations générales'!$C$66:$E$70,3,FALSE)*(AL125/$AP$28)/12,0)*12,IF(C125="3115. Logements",ROUND(VLOOKUP(C125,'Informations générales'!$C$66:$E$70,3,FALSE)*(AL125/$AQ$28)/12,0)*12,"")))))</f>
        <v/>
      </c>
      <c r="AG125" s="202"/>
      <c r="AH125" s="113" t="str">
        <f>IF(C125="3111. Logements",ROUND(VLOOKUP(C125,'Informations générales'!$C$66:$H$70,5,FALSE)*(AL125/$AM$28)/12,0)*12,IF(C125="3112. Logements",ROUND(VLOOKUP(C125,'Informations générales'!$C$66:$H$70,5,FALSE)*(AL125/$AN$28)/12,0)*12,IF(C125="3113. Logements",ROUND(VLOOKUP(C125,'Informations générales'!$C$66:$H$70,5,FALSE)*(AL125/$AO$28)/12,0)*12,IF(C125="3114. Logements",ROUND(VLOOKUP(C125,'Informations générales'!$C$66:$H$70,5,FALSE)*(AL125/$AP$28)/12,0)*12,IF(C125="3115. Logements",ROUND(VLOOKUP(C125,'Informations générales'!$C$66:$H$70,5,FALSE)*(AL125/$AQ$28)/12,0)*12,"")))))</f>
        <v/>
      </c>
      <c r="AI125" s="114"/>
      <c r="AJ125" s="114"/>
      <c r="AK125" s="76"/>
      <c r="AL125" s="58">
        <f t="shared" si="29"/>
        <v>0</v>
      </c>
      <c r="AM125" s="58"/>
      <c r="AN125" s="58"/>
      <c r="AO125" s="58"/>
      <c r="AP125" s="58"/>
      <c r="AQ125" s="58"/>
      <c r="AR125" s="58">
        <f t="shared" si="17"/>
        <v>0</v>
      </c>
      <c r="AS125" s="58">
        <f t="shared" si="18"/>
        <v>0</v>
      </c>
      <c r="AT125" s="58">
        <f t="shared" si="19"/>
        <v>0</v>
      </c>
      <c r="AU125" s="58">
        <f t="shared" si="20"/>
        <v>0</v>
      </c>
      <c r="AV125" s="58">
        <f t="shared" si="21"/>
        <v>0</v>
      </c>
      <c r="AW125" s="58">
        <f t="shared" si="22"/>
        <v>0</v>
      </c>
      <c r="AX125" s="58">
        <f t="shared" si="23"/>
        <v>0</v>
      </c>
      <c r="AY125" s="58">
        <f t="shared" si="30"/>
        <v>0</v>
      </c>
      <c r="AZ125" s="62">
        <f t="shared" si="24"/>
        <v>0</v>
      </c>
      <c r="BA125" s="63">
        <f t="shared" si="25"/>
        <v>0</v>
      </c>
      <c r="BB125" s="63">
        <f t="shared" si="26"/>
        <v>0</v>
      </c>
    </row>
    <row r="126" spans="3:54" s="17" customFormat="1" x14ac:dyDescent="0.25">
      <c r="C126" s="215"/>
      <c r="D126" s="216"/>
      <c r="E126" s="88"/>
      <c r="F126" s="217"/>
      <c r="G126" s="234"/>
      <c r="H126" s="218"/>
      <c r="I126" s="76"/>
      <c r="J126" s="77"/>
      <c r="K126" s="76"/>
      <c r="L126" s="78"/>
      <c r="M126" s="78"/>
      <c r="N126" s="76" t="s">
        <v>39</v>
      </c>
      <c r="O126" s="110"/>
      <c r="P126" s="152"/>
      <c r="Q126" s="111" t="str">
        <f>IFERROR(MIN(VLOOKUP(ROUNDDOWN(P126,0),'Aide calcul'!$B$2:$C$282,2,FALSE),O126+1),"")</f>
        <v/>
      </c>
      <c r="R126" s="112" t="str">
        <f t="shared" si="27"/>
        <v/>
      </c>
      <c r="S126" s="152"/>
      <c r="T126" s="152"/>
      <c r="U126" s="152"/>
      <c r="V126" s="152"/>
      <c r="W126" s="152"/>
      <c r="X126" s="152"/>
      <c r="Y126" s="152"/>
      <c r="Z126" s="76"/>
      <c r="AA126" s="76"/>
      <c r="AB126" s="113" t="str">
        <f>IF(C126="3111. Logements",ROUND(VLOOKUP(C126,'Informations générales'!$C$66:$E$70,3,FALSE)*(AL126/$AM$28)/12,0)*12,IF(C126="3112. Logements",ROUND(VLOOKUP(C126,'Informations générales'!$C$66:$E$70,3,FALSE)*(AL126/$AN$28)/12,0)*12,IF(C126="3113. Logements",ROUND(VLOOKUP(C126,'Informations générales'!$C$66:$E$70,3,FALSE)*(AL126/$AO$28)/12,0)*12,IF(C126="3114. Logements",ROUND(VLOOKUP(C126,'Informations générales'!$C$66:$E$70,3,FALSE)*(AL126/$AP$28)/12,0)*12,IF(C126="3115. Logements",ROUND(VLOOKUP(C126,'Informations générales'!$C$66:$E$70,3,FALSE)*(AL126/$AQ$28)/12,0)*12,"")))))</f>
        <v/>
      </c>
      <c r="AC126" s="114"/>
      <c r="AD126" s="113">
        <f t="shared" si="28"/>
        <v>0</v>
      </c>
      <c r="AE126" s="114"/>
      <c r="AF126" s="203" t="str">
        <f>IF(C126="3111. Logements",ROUND(VLOOKUP(C126,'Informations générales'!$C$66:$E$70,3,FALSE)*(AL126/$AM$28)/12,0)*12,IF(C126="3112. Logements",ROUND(VLOOKUP(C126,'Informations générales'!$C$66:$E$70,3,FALSE)*(AL126/$AN$28)/12,0)*12,IF(C126="3113. Logements",ROUND(VLOOKUP(C126,'Informations générales'!$C$66:$E$70,3,FALSE)*(AL126/$AO$28)/12,0)*12,IF(C126="3114. Logements",ROUND(VLOOKUP(C126,'Informations générales'!$C$66:$E$70,3,FALSE)*(AL126/$AP$28)/12,0)*12,IF(C126="3115. Logements",ROUND(VLOOKUP(C126,'Informations générales'!$C$66:$E$70,3,FALSE)*(AL126/$AQ$28)/12,0)*12,"")))))</f>
        <v/>
      </c>
      <c r="AG126" s="202"/>
      <c r="AH126" s="113" t="str">
        <f>IF(C126="3111. Logements",ROUND(VLOOKUP(C126,'Informations générales'!$C$66:$H$70,5,FALSE)*(AL126/$AM$28)/12,0)*12,IF(C126="3112. Logements",ROUND(VLOOKUP(C126,'Informations générales'!$C$66:$H$70,5,FALSE)*(AL126/$AN$28)/12,0)*12,IF(C126="3113. Logements",ROUND(VLOOKUP(C126,'Informations générales'!$C$66:$H$70,5,FALSE)*(AL126/$AO$28)/12,0)*12,IF(C126="3114. Logements",ROUND(VLOOKUP(C126,'Informations générales'!$C$66:$H$70,5,FALSE)*(AL126/$AP$28)/12,0)*12,IF(C126="3115. Logements",ROUND(VLOOKUP(C126,'Informations générales'!$C$66:$H$70,5,FALSE)*(AL126/$AQ$28)/12,0)*12,"")))))</f>
        <v/>
      </c>
      <c r="AI126" s="114"/>
      <c r="AJ126" s="114"/>
      <c r="AK126" s="76"/>
      <c r="AL126" s="58">
        <f t="shared" si="29"/>
        <v>0</v>
      </c>
      <c r="AM126" s="58"/>
      <c r="AN126" s="58"/>
      <c r="AO126" s="58"/>
      <c r="AP126" s="58"/>
      <c r="AQ126" s="58"/>
      <c r="AR126" s="58">
        <f t="shared" si="17"/>
        <v>0</v>
      </c>
      <c r="AS126" s="58">
        <f t="shared" si="18"/>
        <v>0</v>
      </c>
      <c r="AT126" s="58">
        <f t="shared" si="19"/>
        <v>0</v>
      </c>
      <c r="AU126" s="58">
        <f t="shared" si="20"/>
        <v>0</v>
      </c>
      <c r="AV126" s="58">
        <f t="shared" si="21"/>
        <v>0</v>
      </c>
      <c r="AW126" s="58">
        <f t="shared" si="22"/>
        <v>0</v>
      </c>
      <c r="AX126" s="58">
        <f t="shared" si="23"/>
        <v>0</v>
      </c>
      <c r="AY126" s="58">
        <f t="shared" si="30"/>
        <v>0</v>
      </c>
      <c r="AZ126" s="62">
        <f t="shared" si="24"/>
        <v>0</v>
      </c>
      <c r="BA126" s="63">
        <f t="shared" si="25"/>
        <v>0</v>
      </c>
      <c r="BB126" s="63">
        <f t="shared" si="26"/>
        <v>0</v>
      </c>
    </row>
    <row r="127" spans="3:54" s="17" customFormat="1" x14ac:dyDescent="0.25">
      <c r="C127" s="215"/>
      <c r="D127" s="216"/>
      <c r="E127" s="88"/>
      <c r="F127" s="217"/>
      <c r="G127" s="234"/>
      <c r="H127" s="218"/>
      <c r="I127" s="76"/>
      <c r="J127" s="77"/>
      <c r="K127" s="76"/>
      <c r="L127" s="78"/>
      <c r="M127" s="78"/>
      <c r="N127" s="76" t="s">
        <v>39</v>
      </c>
      <c r="O127" s="110"/>
      <c r="P127" s="152"/>
      <c r="Q127" s="111" t="str">
        <f>IFERROR(MIN(VLOOKUP(ROUNDDOWN(P127,0),'Aide calcul'!$B$2:$C$282,2,FALSE),O127+1),"")</f>
        <v/>
      </c>
      <c r="R127" s="112" t="str">
        <f t="shared" si="27"/>
        <v/>
      </c>
      <c r="S127" s="152"/>
      <c r="T127" s="152"/>
      <c r="U127" s="152"/>
      <c r="V127" s="152"/>
      <c r="W127" s="152"/>
      <c r="X127" s="152"/>
      <c r="Y127" s="152"/>
      <c r="Z127" s="76"/>
      <c r="AA127" s="76"/>
      <c r="AB127" s="113" t="str">
        <f>IF(C127="3111. Logements",ROUND(VLOOKUP(C127,'Informations générales'!$C$66:$E$70,3,FALSE)*(AL127/$AM$28)/12,0)*12,IF(C127="3112. Logements",ROUND(VLOOKUP(C127,'Informations générales'!$C$66:$E$70,3,FALSE)*(AL127/$AN$28)/12,0)*12,IF(C127="3113. Logements",ROUND(VLOOKUP(C127,'Informations générales'!$C$66:$E$70,3,FALSE)*(AL127/$AO$28)/12,0)*12,IF(C127="3114. Logements",ROUND(VLOOKUP(C127,'Informations générales'!$C$66:$E$70,3,FALSE)*(AL127/$AP$28)/12,0)*12,IF(C127="3115. Logements",ROUND(VLOOKUP(C127,'Informations générales'!$C$66:$E$70,3,FALSE)*(AL127/$AQ$28)/12,0)*12,"")))))</f>
        <v/>
      </c>
      <c r="AC127" s="114"/>
      <c r="AD127" s="113">
        <f t="shared" si="28"/>
        <v>0</v>
      </c>
      <c r="AE127" s="114"/>
      <c r="AF127" s="203" t="str">
        <f>IF(C127="3111. Logements",ROUND(VLOOKUP(C127,'Informations générales'!$C$66:$E$70,3,FALSE)*(AL127/$AM$28)/12,0)*12,IF(C127="3112. Logements",ROUND(VLOOKUP(C127,'Informations générales'!$C$66:$E$70,3,FALSE)*(AL127/$AN$28)/12,0)*12,IF(C127="3113. Logements",ROUND(VLOOKUP(C127,'Informations générales'!$C$66:$E$70,3,FALSE)*(AL127/$AO$28)/12,0)*12,IF(C127="3114. Logements",ROUND(VLOOKUP(C127,'Informations générales'!$C$66:$E$70,3,FALSE)*(AL127/$AP$28)/12,0)*12,IF(C127="3115. Logements",ROUND(VLOOKUP(C127,'Informations générales'!$C$66:$E$70,3,FALSE)*(AL127/$AQ$28)/12,0)*12,"")))))</f>
        <v/>
      </c>
      <c r="AG127" s="202"/>
      <c r="AH127" s="113" t="str">
        <f>IF(C127="3111. Logements",ROUND(VLOOKUP(C127,'Informations générales'!$C$66:$H$70,5,FALSE)*(AL127/$AM$28)/12,0)*12,IF(C127="3112. Logements",ROUND(VLOOKUP(C127,'Informations générales'!$C$66:$H$70,5,FALSE)*(AL127/$AN$28)/12,0)*12,IF(C127="3113. Logements",ROUND(VLOOKUP(C127,'Informations générales'!$C$66:$H$70,5,FALSE)*(AL127/$AO$28)/12,0)*12,IF(C127="3114. Logements",ROUND(VLOOKUP(C127,'Informations générales'!$C$66:$H$70,5,FALSE)*(AL127/$AP$28)/12,0)*12,IF(C127="3115. Logements",ROUND(VLOOKUP(C127,'Informations générales'!$C$66:$H$70,5,FALSE)*(AL127/$AQ$28)/12,0)*12,"")))))</f>
        <v/>
      </c>
      <c r="AI127" s="114"/>
      <c r="AJ127" s="114"/>
      <c r="AK127" s="76"/>
      <c r="AL127" s="58">
        <f t="shared" si="29"/>
        <v>0</v>
      </c>
      <c r="AM127" s="58"/>
      <c r="AN127" s="58"/>
      <c r="AO127" s="58"/>
      <c r="AP127" s="58"/>
      <c r="AQ127" s="58"/>
      <c r="AR127" s="58">
        <f t="shared" si="17"/>
        <v>0</v>
      </c>
      <c r="AS127" s="58">
        <f t="shared" si="18"/>
        <v>0</v>
      </c>
      <c r="AT127" s="58">
        <f t="shared" si="19"/>
        <v>0</v>
      </c>
      <c r="AU127" s="58">
        <f t="shared" si="20"/>
        <v>0</v>
      </c>
      <c r="AV127" s="58">
        <f t="shared" si="21"/>
        <v>0</v>
      </c>
      <c r="AW127" s="58">
        <f t="shared" si="22"/>
        <v>0</v>
      </c>
      <c r="AX127" s="58">
        <f t="shared" si="23"/>
        <v>0</v>
      </c>
      <c r="AY127" s="58">
        <f t="shared" si="30"/>
        <v>0</v>
      </c>
      <c r="AZ127" s="62">
        <f t="shared" si="24"/>
        <v>0</v>
      </c>
      <c r="BA127" s="63">
        <f t="shared" si="25"/>
        <v>0</v>
      </c>
      <c r="BB127" s="63">
        <f t="shared" si="26"/>
        <v>0</v>
      </c>
    </row>
    <row r="128" spans="3:54" s="17" customFormat="1" x14ac:dyDescent="0.25">
      <c r="C128" s="215"/>
      <c r="D128" s="216"/>
      <c r="E128" s="88"/>
      <c r="F128" s="217"/>
      <c r="G128" s="234"/>
      <c r="H128" s="218"/>
      <c r="I128" s="76"/>
      <c r="J128" s="77"/>
      <c r="K128" s="76"/>
      <c r="L128" s="78"/>
      <c r="M128" s="78"/>
      <c r="N128" s="76" t="s">
        <v>39</v>
      </c>
      <c r="O128" s="110"/>
      <c r="P128" s="152"/>
      <c r="Q128" s="111" t="str">
        <f>IFERROR(MIN(VLOOKUP(ROUNDDOWN(P128,0),'Aide calcul'!$B$2:$C$282,2,FALSE),O128+1),"")</f>
        <v/>
      </c>
      <c r="R128" s="112" t="str">
        <f t="shared" si="27"/>
        <v/>
      </c>
      <c r="S128" s="152"/>
      <c r="T128" s="152"/>
      <c r="U128" s="152"/>
      <c r="V128" s="152"/>
      <c r="W128" s="152"/>
      <c r="X128" s="152"/>
      <c r="Y128" s="152"/>
      <c r="Z128" s="76"/>
      <c r="AA128" s="76"/>
      <c r="AB128" s="113" t="str">
        <f>IF(C128="3111. Logements",ROUND(VLOOKUP(C128,'Informations générales'!$C$66:$E$70,3,FALSE)*(AL128/$AM$28)/12,0)*12,IF(C128="3112. Logements",ROUND(VLOOKUP(C128,'Informations générales'!$C$66:$E$70,3,FALSE)*(AL128/$AN$28)/12,0)*12,IF(C128="3113. Logements",ROUND(VLOOKUP(C128,'Informations générales'!$C$66:$E$70,3,FALSE)*(AL128/$AO$28)/12,0)*12,IF(C128="3114. Logements",ROUND(VLOOKUP(C128,'Informations générales'!$C$66:$E$70,3,FALSE)*(AL128/$AP$28)/12,0)*12,IF(C128="3115. Logements",ROUND(VLOOKUP(C128,'Informations générales'!$C$66:$E$70,3,FALSE)*(AL128/$AQ$28)/12,0)*12,"")))))</f>
        <v/>
      </c>
      <c r="AC128" s="114"/>
      <c r="AD128" s="113">
        <f t="shared" si="28"/>
        <v>0</v>
      </c>
      <c r="AE128" s="114"/>
      <c r="AF128" s="203" t="str">
        <f>IF(C128="3111. Logements",ROUND(VLOOKUP(C128,'Informations générales'!$C$66:$E$70,3,FALSE)*(AL128/$AM$28)/12,0)*12,IF(C128="3112. Logements",ROUND(VLOOKUP(C128,'Informations générales'!$C$66:$E$70,3,FALSE)*(AL128/$AN$28)/12,0)*12,IF(C128="3113. Logements",ROUND(VLOOKUP(C128,'Informations générales'!$C$66:$E$70,3,FALSE)*(AL128/$AO$28)/12,0)*12,IF(C128="3114. Logements",ROUND(VLOOKUP(C128,'Informations générales'!$C$66:$E$70,3,FALSE)*(AL128/$AP$28)/12,0)*12,IF(C128="3115. Logements",ROUND(VLOOKUP(C128,'Informations générales'!$C$66:$E$70,3,FALSE)*(AL128/$AQ$28)/12,0)*12,"")))))</f>
        <v/>
      </c>
      <c r="AG128" s="202"/>
      <c r="AH128" s="113" t="str">
        <f>IF(C128="3111. Logements",ROUND(VLOOKUP(C128,'Informations générales'!$C$66:$H$70,5,FALSE)*(AL128/$AM$28)/12,0)*12,IF(C128="3112. Logements",ROUND(VLOOKUP(C128,'Informations générales'!$C$66:$H$70,5,FALSE)*(AL128/$AN$28)/12,0)*12,IF(C128="3113. Logements",ROUND(VLOOKUP(C128,'Informations générales'!$C$66:$H$70,5,FALSE)*(AL128/$AO$28)/12,0)*12,IF(C128="3114. Logements",ROUND(VLOOKUP(C128,'Informations générales'!$C$66:$H$70,5,FALSE)*(AL128/$AP$28)/12,0)*12,IF(C128="3115. Logements",ROUND(VLOOKUP(C128,'Informations générales'!$C$66:$H$70,5,FALSE)*(AL128/$AQ$28)/12,0)*12,"")))))</f>
        <v/>
      </c>
      <c r="AI128" s="114"/>
      <c r="AJ128" s="114"/>
      <c r="AK128" s="76"/>
      <c r="AL128" s="58">
        <f t="shared" si="29"/>
        <v>0</v>
      </c>
      <c r="AM128" s="58"/>
      <c r="AN128" s="58"/>
      <c r="AO128" s="58"/>
      <c r="AP128" s="58"/>
      <c r="AQ128" s="58"/>
      <c r="AR128" s="58">
        <f t="shared" si="17"/>
        <v>0</v>
      </c>
      <c r="AS128" s="58">
        <f t="shared" si="18"/>
        <v>0</v>
      </c>
      <c r="AT128" s="58">
        <f t="shared" si="19"/>
        <v>0</v>
      </c>
      <c r="AU128" s="58">
        <f t="shared" si="20"/>
        <v>0</v>
      </c>
      <c r="AV128" s="58">
        <f t="shared" si="21"/>
        <v>0</v>
      </c>
      <c r="AW128" s="58">
        <f t="shared" si="22"/>
        <v>0</v>
      </c>
      <c r="AX128" s="58">
        <f t="shared" si="23"/>
        <v>0</v>
      </c>
      <c r="AY128" s="58">
        <f t="shared" si="30"/>
        <v>0</v>
      </c>
      <c r="AZ128" s="62">
        <f t="shared" si="24"/>
        <v>0</v>
      </c>
      <c r="BA128" s="63">
        <f t="shared" si="25"/>
        <v>0</v>
      </c>
      <c r="BB128" s="63">
        <f t="shared" si="26"/>
        <v>0</v>
      </c>
    </row>
    <row r="129" spans="3:54" s="17" customFormat="1" x14ac:dyDescent="0.25">
      <c r="C129" s="215"/>
      <c r="D129" s="216"/>
      <c r="E129" s="88"/>
      <c r="F129" s="217"/>
      <c r="G129" s="234"/>
      <c r="H129" s="218"/>
      <c r="I129" s="76"/>
      <c r="J129" s="77"/>
      <c r="K129" s="76"/>
      <c r="L129" s="78"/>
      <c r="M129" s="78"/>
      <c r="N129" s="76" t="s">
        <v>39</v>
      </c>
      <c r="O129" s="110"/>
      <c r="P129" s="152"/>
      <c r="Q129" s="111" t="str">
        <f>IFERROR(MIN(VLOOKUP(ROUNDDOWN(P129,0),'Aide calcul'!$B$2:$C$282,2,FALSE),O129+1),"")</f>
        <v/>
      </c>
      <c r="R129" s="112" t="str">
        <f t="shared" si="27"/>
        <v/>
      </c>
      <c r="S129" s="152"/>
      <c r="T129" s="152"/>
      <c r="U129" s="152"/>
      <c r="V129" s="152"/>
      <c r="W129" s="152"/>
      <c r="X129" s="152"/>
      <c r="Y129" s="152"/>
      <c r="Z129" s="76"/>
      <c r="AA129" s="76"/>
      <c r="AB129" s="113" t="str">
        <f>IF(C129="3111. Logements",ROUND(VLOOKUP(C129,'Informations générales'!$C$66:$E$70,3,FALSE)*(AL129/$AM$28)/12,0)*12,IF(C129="3112. Logements",ROUND(VLOOKUP(C129,'Informations générales'!$C$66:$E$70,3,FALSE)*(AL129/$AN$28)/12,0)*12,IF(C129="3113. Logements",ROUND(VLOOKUP(C129,'Informations générales'!$C$66:$E$70,3,FALSE)*(AL129/$AO$28)/12,0)*12,IF(C129="3114. Logements",ROUND(VLOOKUP(C129,'Informations générales'!$C$66:$E$70,3,FALSE)*(AL129/$AP$28)/12,0)*12,IF(C129="3115. Logements",ROUND(VLOOKUP(C129,'Informations générales'!$C$66:$E$70,3,FALSE)*(AL129/$AQ$28)/12,0)*12,"")))))</f>
        <v/>
      </c>
      <c r="AC129" s="114"/>
      <c r="AD129" s="113">
        <f t="shared" si="28"/>
        <v>0</v>
      </c>
      <c r="AE129" s="114"/>
      <c r="AF129" s="203" t="str">
        <f>IF(C129="3111. Logements",ROUND(VLOOKUP(C129,'Informations générales'!$C$66:$E$70,3,FALSE)*(AL129/$AM$28)/12,0)*12,IF(C129="3112. Logements",ROUND(VLOOKUP(C129,'Informations générales'!$C$66:$E$70,3,FALSE)*(AL129/$AN$28)/12,0)*12,IF(C129="3113. Logements",ROUND(VLOOKUP(C129,'Informations générales'!$C$66:$E$70,3,FALSE)*(AL129/$AO$28)/12,0)*12,IF(C129="3114. Logements",ROUND(VLOOKUP(C129,'Informations générales'!$C$66:$E$70,3,FALSE)*(AL129/$AP$28)/12,0)*12,IF(C129="3115. Logements",ROUND(VLOOKUP(C129,'Informations générales'!$C$66:$E$70,3,FALSE)*(AL129/$AQ$28)/12,0)*12,"")))))</f>
        <v/>
      </c>
      <c r="AG129" s="202"/>
      <c r="AH129" s="113" t="str">
        <f>IF(C129="3111. Logements",ROUND(VLOOKUP(C129,'Informations générales'!$C$66:$H$70,5,FALSE)*(AL129/$AM$28)/12,0)*12,IF(C129="3112. Logements",ROUND(VLOOKUP(C129,'Informations générales'!$C$66:$H$70,5,FALSE)*(AL129/$AN$28)/12,0)*12,IF(C129="3113. Logements",ROUND(VLOOKUP(C129,'Informations générales'!$C$66:$H$70,5,FALSE)*(AL129/$AO$28)/12,0)*12,IF(C129="3114. Logements",ROUND(VLOOKUP(C129,'Informations générales'!$C$66:$H$70,5,FALSE)*(AL129/$AP$28)/12,0)*12,IF(C129="3115. Logements",ROUND(VLOOKUP(C129,'Informations générales'!$C$66:$H$70,5,FALSE)*(AL129/$AQ$28)/12,0)*12,"")))))</f>
        <v/>
      </c>
      <c r="AI129" s="114"/>
      <c r="AJ129" s="114"/>
      <c r="AK129" s="76"/>
      <c r="AL129" s="58">
        <f t="shared" si="29"/>
        <v>0</v>
      </c>
      <c r="AM129" s="58"/>
      <c r="AN129" s="58"/>
      <c r="AO129" s="58"/>
      <c r="AP129" s="58"/>
      <c r="AQ129" s="58"/>
      <c r="AR129" s="58">
        <f t="shared" si="17"/>
        <v>0</v>
      </c>
      <c r="AS129" s="58">
        <f t="shared" si="18"/>
        <v>0</v>
      </c>
      <c r="AT129" s="58">
        <f t="shared" si="19"/>
        <v>0</v>
      </c>
      <c r="AU129" s="58">
        <f t="shared" si="20"/>
        <v>0</v>
      </c>
      <c r="AV129" s="58">
        <f t="shared" si="21"/>
        <v>0</v>
      </c>
      <c r="AW129" s="58">
        <f t="shared" si="22"/>
        <v>0</v>
      </c>
      <c r="AX129" s="58">
        <f t="shared" si="23"/>
        <v>0</v>
      </c>
      <c r="AY129" s="58">
        <f t="shared" si="30"/>
        <v>0</v>
      </c>
      <c r="AZ129" s="62">
        <f t="shared" si="24"/>
        <v>0</v>
      </c>
      <c r="BA129" s="63">
        <f t="shared" si="25"/>
        <v>0</v>
      </c>
      <c r="BB129" s="63">
        <f t="shared" si="26"/>
        <v>0</v>
      </c>
    </row>
    <row r="130" spans="3:54" s="17" customFormat="1" x14ac:dyDescent="0.25">
      <c r="C130" s="215"/>
      <c r="D130" s="216"/>
      <c r="E130" s="88"/>
      <c r="F130" s="217"/>
      <c r="G130" s="234"/>
      <c r="H130" s="218"/>
      <c r="I130" s="76"/>
      <c r="J130" s="77"/>
      <c r="K130" s="76"/>
      <c r="L130" s="78"/>
      <c r="M130" s="78"/>
      <c r="N130" s="76" t="s">
        <v>39</v>
      </c>
      <c r="O130" s="110"/>
      <c r="P130" s="152"/>
      <c r="Q130" s="111" t="str">
        <f>IFERROR(MIN(VLOOKUP(ROUNDDOWN(P130,0),'Aide calcul'!$B$2:$C$282,2,FALSE),O130+1),"")</f>
        <v/>
      </c>
      <c r="R130" s="112" t="str">
        <f t="shared" si="27"/>
        <v/>
      </c>
      <c r="S130" s="152"/>
      <c r="T130" s="152"/>
      <c r="U130" s="152"/>
      <c r="V130" s="152"/>
      <c r="W130" s="152"/>
      <c r="X130" s="152"/>
      <c r="Y130" s="152"/>
      <c r="Z130" s="76"/>
      <c r="AA130" s="76"/>
      <c r="AB130" s="113" t="str">
        <f>IF(C130="3111. Logements",ROUND(VLOOKUP(C130,'Informations générales'!$C$66:$E$70,3,FALSE)*(AL130/$AM$28)/12,0)*12,IF(C130="3112. Logements",ROUND(VLOOKUP(C130,'Informations générales'!$C$66:$E$70,3,FALSE)*(AL130/$AN$28)/12,0)*12,IF(C130="3113. Logements",ROUND(VLOOKUP(C130,'Informations générales'!$C$66:$E$70,3,FALSE)*(AL130/$AO$28)/12,0)*12,IF(C130="3114. Logements",ROUND(VLOOKUP(C130,'Informations générales'!$C$66:$E$70,3,FALSE)*(AL130/$AP$28)/12,0)*12,IF(C130="3115. Logements",ROUND(VLOOKUP(C130,'Informations générales'!$C$66:$E$70,3,FALSE)*(AL130/$AQ$28)/12,0)*12,"")))))</f>
        <v/>
      </c>
      <c r="AC130" s="114"/>
      <c r="AD130" s="113">
        <f t="shared" si="28"/>
        <v>0</v>
      </c>
      <c r="AE130" s="114"/>
      <c r="AF130" s="203" t="str">
        <f>IF(C130="3111. Logements",ROUND(VLOOKUP(C130,'Informations générales'!$C$66:$E$70,3,FALSE)*(AL130/$AM$28)/12,0)*12,IF(C130="3112. Logements",ROUND(VLOOKUP(C130,'Informations générales'!$C$66:$E$70,3,FALSE)*(AL130/$AN$28)/12,0)*12,IF(C130="3113. Logements",ROUND(VLOOKUP(C130,'Informations générales'!$C$66:$E$70,3,FALSE)*(AL130/$AO$28)/12,0)*12,IF(C130="3114. Logements",ROUND(VLOOKUP(C130,'Informations générales'!$C$66:$E$70,3,FALSE)*(AL130/$AP$28)/12,0)*12,IF(C130="3115. Logements",ROUND(VLOOKUP(C130,'Informations générales'!$C$66:$E$70,3,FALSE)*(AL130/$AQ$28)/12,0)*12,"")))))</f>
        <v/>
      </c>
      <c r="AG130" s="202"/>
      <c r="AH130" s="113" t="str">
        <f>IF(C130="3111. Logements",ROUND(VLOOKUP(C130,'Informations générales'!$C$66:$H$70,5,FALSE)*(AL130/$AM$28)/12,0)*12,IF(C130="3112. Logements",ROUND(VLOOKUP(C130,'Informations générales'!$C$66:$H$70,5,FALSE)*(AL130/$AN$28)/12,0)*12,IF(C130="3113. Logements",ROUND(VLOOKUP(C130,'Informations générales'!$C$66:$H$70,5,FALSE)*(AL130/$AO$28)/12,0)*12,IF(C130="3114. Logements",ROUND(VLOOKUP(C130,'Informations générales'!$C$66:$H$70,5,FALSE)*(AL130/$AP$28)/12,0)*12,IF(C130="3115. Logements",ROUND(VLOOKUP(C130,'Informations générales'!$C$66:$H$70,5,FALSE)*(AL130/$AQ$28)/12,0)*12,"")))))</f>
        <v/>
      </c>
      <c r="AI130" s="114"/>
      <c r="AJ130" s="114"/>
      <c r="AK130" s="76"/>
      <c r="AL130" s="58">
        <f t="shared" si="29"/>
        <v>0</v>
      </c>
      <c r="AM130" s="58"/>
      <c r="AN130" s="58"/>
      <c r="AO130" s="58"/>
      <c r="AP130" s="58"/>
      <c r="AQ130" s="58"/>
      <c r="AR130" s="58">
        <f t="shared" si="17"/>
        <v>0</v>
      </c>
      <c r="AS130" s="58">
        <f t="shared" si="18"/>
        <v>0</v>
      </c>
      <c r="AT130" s="58">
        <f t="shared" si="19"/>
        <v>0</v>
      </c>
      <c r="AU130" s="58">
        <f t="shared" si="20"/>
        <v>0</v>
      </c>
      <c r="AV130" s="58">
        <f t="shared" si="21"/>
        <v>0</v>
      </c>
      <c r="AW130" s="58">
        <f t="shared" si="22"/>
        <v>0</v>
      </c>
      <c r="AX130" s="58">
        <f t="shared" si="23"/>
        <v>0</v>
      </c>
      <c r="AY130" s="58">
        <f t="shared" si="30"/>
        <v>0</v>
      </c>
      <c r="AZ130" s="62">
        <f t="shared" si="24"/>
        <v>0</v>
      </c>
      <c r="BA130" s="63">
        <f t="shared" si="25"/>
        <v>0</v>
      </c>
      <c r="BB130" s="63">
        <f t="shared" si="26"/>
        <v>0</v>
      </c>
    </row>
    <row r="131" spans="3:54" s="17" customFormat="1" x14ac:dyDescent="0.25">
      <c r="C131" s="215"/>
      <c r="D131" s="216"/>
      <c r="E131" s="88"/>
      <c r="F131" s="217"/>
      <c r="G131" s="234"/>
      <c r="H131" s="218"/>
      <c r="I131" s="76"/>
      <c r="J131" s="77"/>
      <c r="K131" s="76"/>
      <c r="L131" s="78"/>
      <c r="M131" s="78"/>
      <c r="N131" s="76" t="s">
        <v>39</v>
      </c>
      <c r="O131" s="110"/>
      <c r="P131" s="152"/>
      <c r="Q131" s="111" t="str">
        <f>IFERROR(MIN(VLOOKUP(ROUNDDOWN(P131,0),'Aide calcul'!$B$2:$C$282,2,FALSE),O131+1),"")</f>
        <v/>
      </c>
      <c r="R131" s="112" t="str">
        <f t="shared" si="27"/>
        <v/>
      </c>
      <c r="S131" s="152"/>
      <c r="T131" s="152"/>
      <c r="U131" s="152"/>
      <c r="V131" s="152"/>
      <c r="W131" s="152"/>
      <c r="X131" s="152"/>
      <c r="Y131" s="152"/>
      <c r="Z131" s="76"/>
      <c r="AA131" s="76"/>
      <c r="AB131" s="113" t="str">
        <f>IF(C131="3111. Logements",ROUND(VLOOKUP(C131,'Informations générales'!$C$66:$E$70,3,FALSE)*(AL131/$AM$28)/12,0)*12,IF(C131="3112. Logements",ROUND(VLOOKUP(C131,'Informations générales'!$C$66:$E$70,3,FALSE)*(AL131/$AN$28)/12,0)*12,IF(C131="3113. Logements",ROUND(VLOOKUP(C131,'Informations générales'!$C$66:$E$70,3,FALSE)*(AL131/$AO$28)/12,0)*12,IF(C131="3114. Logements",ROUND(VLOOKUP(C131,'Informations générales'!$C$66:$E$70,3,FALSE)*(AL131/$AP$28)/12,0)*12,IF(C131="3115. Logements",ROUND(VLOOKUP(C131,'Informations générales'!$C$66:$E$70,3,FALSE)*(AL131/$AQ$28)/12,0)*12,"")))))</f>
        <v/>
      </c>
      <c r="AC131" s="114"/>
      <c r="AD131" s="113">
        <f t="shared" si="28"/>
        <v>0</v>
      </c>
      <c r="AE131" s="114"/>
      <c r="AF131" s="203" t="str">
        <f>IF(C131="3111. Logements",ROUND(VLOOKUP(C131,'Informations générales'!$C$66:$E$70,3,FALSE)*(AL131/$AM$28)/12,0)*12,IF(C131="3112. Logements",ROUND(VLOOKUP(C131,'Informations générales'!$C$66:$E$70,3,FALSE)*(AL131/$AN$28)/12,0)*12,IF(C131="3113. Logements",ROUND(VLOOKUP(C131,'Informations générales'!$C$66:$E$70,3,FALSE)*(AL131/$AO$28)/12,0)*12,IF(C131="3114. Logements",ROUND(VLOOKUP(C131,'Informations générales'!$C$66:$E$70,3,FALSE)*(AL131/$AP$28)/12,0)*12,IF(C131="3115. Logements",ROUND(VLOOKUP(C131,'Informations générales'!$C$66:$E$70,3,FALSE)*(AL131/$AQ$28)/12,0)*12,"")))))</f>
        <v/>
      </c>
      <c r="AG131" s="202"/>
      <c r="AH131" s="113" t="str">
        <f>IF(C131="3111. Logements",ROUND(VLOOKUP(C131,'Informations générales'!$C$66:$H$70,5,FALSE)*(AL131/$AM$28)/12,0)*12,IF(C131="3112. Logements",ROUND(VLOOKUP(C131,'Informations générales'!$C$66:$H$70,5,FALSE)*(AL131/$AN$28)/12,0)*12,IF(C131="3113. Logements",ROUND(VLOOKUP(C131,'Informations générales'!$C$66:$H$70,5,FALSE)*(AL131/$AO$28)/12,0)*12,IF(C131="3114. Logements",ROUND(VLOOKUP(C131,'Informations générales'!$C$66:$H$70,5,FALSE)*(AL131/$AP$28)/12,0)*12,IF(C131="3115. Logements",ROUND(VLOOKUP(C131,'Informations générales'!$C$66:$H$70,5,FALSE)*(AL131/$AQ$28)/12,0)*12,"")))))</f>
        <v/>
      </c>
      <c r="AI131" s="114"/>
      <c r="AJ131" s="114"/>
      <c r="AK131" s="76"/>
      <c r="AL131" s="58">
        <f t="shared" si="29"/>
        <v>0</v>
      </c>
      <c r="AM131" s="58"/>
      <c r="AN131" s="58"/>
      <c r="AO131" s="58"/>
      <c r="AP131" s="58"/>
      <c r="AQ131" s="58"/>
      <c r="AR131" s="58">
        <f t="shared" si="17"/>
        <v>0</v>
      </c>
      <c r="AS131" s="58">
        <f t="shared" si="18"/>
        <v>0</v>
      </c>
      <c r="AT131" s="58">
        <f t="shared" si="19"/>
        <v>0</v>
      </c>
      <c r="AU131" s="58">
        <f t="shared" si="20"/>
        <v>0</v>
      </c>
      <c r="AV131" s="58">
        <f t="shared" si="21"/>
        <v>0</v>
      </c>
      <c r="AW131" s="58">
        <f t="shared" si="22"/>
        <v>0</v>
      </c>
      <c r="AX131" s="58">
        <f t="shared" si="23"/>
        <v>0</v>
      </c>
      <c r="AY131" s="58">
        <f t="shared" si="30"/>
        <v>0</v>
      </c>
      <c r="AZ131" s="62">
        <f t="shared" si="24"/>
        <v>0</v>
      </c>
      <c r="BA131" s="63">
        <f t="shared" si="25"/>
        <v>0</v>
      </c>
      <c r="BB131" s="63">
        <f t="shared" si="26"/>
        <v>0</v>
      </c>
    </row>
    <row r="132" spans="3:54" s="17" customFormat="1" x14ac:dyDescent="0.25">
      <c r="C132" s="215"/>
      <c r="D132" s="216"/>
      <c r="E132" s="88"/>
      <c r="F132" s="217"/>
      <c r="G132" s="234"/>
      <c r="H132" s="218"/>
      <c r="I132" s="76"/>
      <c r="J132" s="77"/>
      <c r="K132" s="76"/>
      <c r="L132" s="78"/>
      <c r="M132" s="78"/>
      <c r="N132" s="76" t="s">
        <v>39</v>
      </c>
      <c r="O132" s="110"/>
      <c r="P132" s="152"/>
      <c r="Q132" s="111" t="str">
        <f>IFERROR(MIN(VLOOKUP(ROUNDDOWN(P132,0),'Aide calcul'!$B$2:$C$282,2,FALSE),O132+1),"")</f>
        <v/>
      </c>
      <c r="R132" s="112" t="str">
        <f t="shared" si="27"/>
        <v/>
      </c>
      <c r="S132" s="152"/>
      <c r="T132" s="152"/>
      <c r="U132" s="152"/>
      <c r="V132" s="152"/>
      <c r="W132" s="152"/>
      <c r="X132" s="152"/>
      <c r="Y132" s="152"/>
      <c r="Z132" s="76"/>
      <c r="AA132" s="76"/>
      <c r="AB132" s="113" t="str">
        <f>IF(C132="3111. Logements",ROUND(VLOOKUP(C132,'Informations générales'!$C$66:$E$70,3,FALSE)*(AL132/$AM$28)/12,0)*12,IF(C132="3112. Logements",ROUND(VLOOKUP(C132,'Informations générales'!$C$66:$E$70,3,FALSE)*(AL132/$AN$28)/12,0)*12,IF(C132="3113. Logements",ROUND(VLOOKUP(C132,'Informations générales'!$C$66:$E$70,3,FALSE)*(AL132/$AO$28)/12,0)*12,IF(C132="3114. Logements",ROUND(VLOOKUP(C132,'Informations générales'!$C$66:$E$70,3,FALSE)*(AL132/$AP$28)/12,0)*12,IF(C132="3115. Logements",ROUND(VLOOKUP(C132,'Informations générales'!$C$66:$E$70,3,FALSE)*(AL132/$AQ$28)/12,0)*12,"")))))</f>
        <v/>
      </c>
      <c r="AC132" s="114"/>
      <c r="AD132" s="113">
        <f t="shared" si="28"/>
        <v>0</v>
      </c>
      <c r="AE132" s="114"/>
      <c r="AF132" s="203" t="str">
        <f>IF(C132="3111. Logements",ROUND(VLOOKUP(C132,'Informations générales'!$C$66:$E$70,3,FALSE)*(AL132/$AM$28)/12,0)*12,IF(C132="3112. Logements",ROUND(VLOOKUP(C132,'Informations générales'!$C$66:$E$70,3,FALSE)*(AL132/$AN$28)/12,0)*12,IF(C132="3113. Logements",ROUND(VLOOKUP(C132,'Informations générales'!$C$66:$E$70,3,FALSE)*(AL132/$AO$28)/12,0)*12,IF(C132="3114. Logements",ROUND(VLOOKUP(C132,'Informations générales'!$C$66:$E$70,3,FALSE)*(AL132/$AP$28)/12,0)*12,IF(C132="3115. Logements",ROUND(VLOOKUP(C132,'Informations générales'!$C$66:$E$70,3,FALSE)*(AL132/$AQ$28)/12,0)*12,"")))))</f>
        <v/>
      </c>
      <c r="AG132" s="202"/>
      <c r="AH132" s="113" t="str">
        <f>IF(C132="3111. Logements",ROUND(VLOOKUP(C132,'Informations générales'!$C$66:$H$70,5,FALSE)*(AL132/$AM$28)/12,0)*12,IF(C132="3112. Logements",ROUND(VLOOKUP(C132,'Informations générales'!$C$66:$H$70,5,FALSE)*(AL132/$AN$28)/12,0)*12,IF(C132="3113. Logements",ROUND(VLOOKUP(C132,'Informations générales'!$C$66:$H$70,5,FALSE)*(AL132/$AO$28)/12,0)*12,IF(C132="3114. Logements",ROUND(VLOOKUP(C132,'Informations générales'!$C$66:$H$70,5,FALSE)*(AL132/$AP$28)/12,0)*12,IF(C132="3115. Logements",ROUND(VLOOKUP(C132,'Informations générales'!$C$66:$H$70,5,FALSE)*(AL132/$AQ$28)/12,0)*12,"")))))</f>
        <v/>
      </c>
      <c r="AI132" s="114"/>
      <c r="AJ132" s="114"/>
      <c r="AK132" s="76"/>
      <c r="AL132" s="58">
        <f t="shared" si="29"/>
        <v>0</v>
      </c>
      <c r="AM132" s="58"/>
      <c r="AN132" s="58"/>
      <c r="AO132" s="58"/>
      <c r="AP132" s="58"/>
      <c r="AQ132" s="58"/>
      <c r="AR132" s="58">
        <f t="shared" si="17"/>
        <v>0</v>
      </c>
      <c r="AS132" s="58">
        <f t="shared" si="18"/>
        <v>0</v>
      </c>
      <c r="AT132" s="58">
        <f t="shared" si="19"/>
        <v>0</v>
      </c>
      <c r="AU132" s="58">
        <f t="shared" si="20"/>
        <v>0</v>
      </c>
      <c r="AV132" s="58">
        <f t="shared" si="21"/>
        <v>0</v>
      </c>
      <c r="AW132" s="58">
        <f t="shared" si="22"/>
        <v>0</v>
      </c>
      <c r="AX132" s="58">
        <f t="shared" si="23"/>
        <v>0</v>
      </c>
      <c r="AY132" s="58">
        <f t="shared" si="30"/>
        <v>0</v>
      </c>
      <c r="AZ132" s="62">
        <f t="shared" si="24"/>
        <v>0</v>
      </c>
      <c r="BA132" s="63">
        <f t="shared" si="25"/>
        <v>0</v>
      </c>
      <c r="BB132" s="63">
        <f t="shared" si="26"/>
        <v>0</v>
      </c>
    </row>
    <row r="133" spans="3:54" s="17" customFormat="1" x14ac:dyDescent="0.25">
      <c r="C133" s="215"/>
      <c r="D133" s="216"/>
      <c r="E133" s="88"/>
      <c r="F133" s="217"/>
      <c r="G133" s="234"/>
      <c r="H133" s="218"/>
      <c r="I133" s="76"/>
      <c r="J133" s="77"/>
      <c r="K133" s="76"/>
      <c r="L133" s="78"/>
      <c r="M133" s="78"/>
      <c r="N133" s="76" t="s">
        <v>39</v>
      </c>
      <c r="O133" s="110"/>
      <c r="P133" s="152"/>
      <c r="Q133" s="111" t="str">
        <f>IFERROR(MIN(VLOOKUP(ROUNDDOWN(P133,0),'Aide calcul'!$B$2:$C$282,2,FALSE),O133+1),"")</f>
        <v/>
      </c>
      <c r="R133" s="112" t="str">
        <f t="shared" si="27"/>
        <v/>
      </c>
      <c r="S133" s="152"/>
      <c r="T133" s="152"/>
      <c r="U133" s="152"/>
      <c r="V133" s="152"/>
      <c r="W133" s="152"/>
      <c r="X133" s="152"/>
      <c r="Y133" s="152"/>
      <c r="Z133" s="76"/>
      <c r="AA133" s="76"/>
      <c r="AB133" s="113" t="str">
        <f>IF(C133="3111. Logements",ROUND(VLOOKUP(C133,'Informations générales'!$C$66:$E$70,3,FALSE)*(AL133/$AM$28)/12,0)*12,IF(C133="3112. Logements",ROUND(VLOOKUP(C133,'Informations générales'!$C$66:$E$70,3,FALSE)*(AL133/$AN$28)/12,0)*12,IF(C133="3113. Logements",ROUND(VLOOKUP(C133,'Informations générales'!$C$66:$E$70,3,FALSE)*(AL133/$AO$28)/12,0)*12,IF(C133="3114. Logements",ROUND(VLOOKUP(C133,'Informations générales'!$C$66:$E$70,3,FALSE)*(AL133/$AP$28)/12,0)*12,IF(C133="3115. Logements",ROUND(VLOOKUP(C133,'Informations générales'!$C$66:$E$70,3,FALSE)*(AL133/$AQ$28)/12,0)*12,"")))))</f>
        <v/>
      </c>
      <c r="AC133" s="114"/>
      <c r="AD133" s="113">
        <f t="shared" si="28"/>
        <v>0</v>
      </c>
      <c r="AE133" s="114"/>
      <c r="AF133" s="203" t="str">
        <f>IF(C133="3111. Logements",ROUND(VLOOKUP(C133,'Informations générales'!$C$66:$E$70,3,FALSE)*(AL133/$AM$28)/12,0)*12,IF(C133="3112. Logements",ROUND(VLOOKUP(C133,'Informations générales'!$C$66:$E$70,3,FALSE)*(AL133/$AN$28)/12,0)*12,IF(C133="3113. Logements",ROUND(VLOOKUP(C133,'Informations générales'!$C$66:$E$70,3,FALSE)*(AL133/$AO$28)/12,0)*12,IF(C133="3114. Logements",ROUND(VLOOKUP(C133,'Informations générales'!$C$66:$E$70,3,FALSE)*(AL133/$AP$28)/12,0)*12,IF(C133="3115. Logements",ROUND(VLOOKUP(C133,'Informations générales'!$C$66:$E$70,3,FALSE)*(AL133/$AQ$28)/12,0)*12,"")))))</f>
        <v/>
      </c>
      <c r="AG133" s="202"/>
      <c r="AH133" s="113" t="str">
        <f>IF(C133="3111. Logements",ROUND(VLOOKUP(C133,'Informations générales'!$C$66:$H$70,5,FALSE)*(AL133/$AM$28)/12,0)*12,IF(C133="3112. Logements",ROUND(VLOOKUP(C133,'Informations générales'!$C$66:$H$70,5,FALSE)*(AL133/$AN$28)/12,0)*12,IF(C133="3113. Logements",ROUND(VLOOKUP(C133,'Informations générales'!$C$66:$H$70,5,FALSE)*(AL133/$AO$28)/12,0)*12,IF(C133="3114. Logements",ROUND(VLOOKUP(C133,'Informations générales'!$C$66:$H$70,5,FALSE)*(AL133/$AP$28)/12,0)*12,IF(C133="3115. Logements",ROUND(VLOOKUP(C133,'Informations générales'!$C$66:$H$70,5,FALSE)*(AL133/$AQ$28)/12,0)*12,"")))))</f>
        <v/>
      </c>
      <c r="AI133" s="114"/>
      <c r="AJ133" s="114"/>
      <c r="AK133" s="76"/>
      <c r="AL133" s="58">
        <f t="shared" si="29"/>
        <v>0</v>
      </c>
      <c r="AM133" s="58"/>
      <c r="AN133" s="58"/>
      <c r="AO133" s="58"/>
      <c r="AP133" s="58"/>
      <c r="AQ133" s="58"/>
      <c r="AR133" s="58">
        <f t="shared" si="17"/>
        <v>0</v>
      </c>
      <c r="AS133" s="58">
        <f t="shared" si="18"/>
        <v>0</v>
      </c>
      <c r="AT133" s="58">
        <f t="shared" si="19"/>
        <v>0</v>
      </c>
      <c r="AU133" s="58">
        <f t="shared" si="20"/>
        <v>0</v>
      </c>
      <c r="AV133" s="58">
        <f t="shared" si="21"/>
        <v>0</v>
      </c>
      <c r="AW133" s="58">
        <f t="shared" si="22"/>
        <v>0</v>
      </c>
      <c r="AX133" s="58">
        <f t="shared" si="23"/>
        <v>0</v>
      </c>
      <c r="AY133" s="58">
        <f t="shared" si="30"/>
        <v>0</v>
      </c>
      <c r="AZ133" s="62">
        <f t="shared" si="24"/>
        <v>0</v>
      </c>
      <c r="BA133" s="63">
        <f t="shared" si="25"/>
        <v>0</v>
      </c>
      <c r="BB133" s="63">
        <f t="shared" si="26"/>
        <v>0</v>
      </c>
    </row>
    <row r="134" spans="3:54" s="17" customFormat="1" x14ac:dyDescent="0.25">
      <c r="C134" s="215"/>
      <c r="D134" s="216"/>
      <c r="E134" s="88"/>
      <c r="F134" s="217"/>
      <c r="G134" s="234"/>
      <c r="H134" s="218"/>
      <c r="I134" s="76"/>
      <c r="J134" s="77"/>
      <c r="K134" s="76"/>
      <c r="L134" s="78"/>
      <c r="M134" s="78"/>
      <c r="N134" s="76" t="s">
        <v>39</v>
      </c>
      <c r="O134" s="110"/>
      <c r="P134" s="152"/>
      <c r="Q134" s="111" t="str">
        <f>IFERROR(MIN(VLOOKUP(ROUNDDOWN(P134,0),'Aide calcul'!$B$2:$C$282,2,FALSE),O134+1),"")</f>
        <v/>
      </c>
      <c r="R134" s="112" t="str">
        <f t="shared" si="27"/>
        <v/>
      </c>
      <c r="S134" s="152"/>
      <c r="T134" s="152"/>
      <c r="U134" s="152"/>
      <c r="V134" s="152"/>
      <c r="W134" s="152"/>
      <c r="X134" s="152"/>
      <c r="Y134" s="152"/>
      <c r="Z134" s="76"/>
      <c r="AA134" s="76"/>
      <c r="AB134" s="113" t="str">
        <f>IF(C134="3111. Logements",ROUND(VLOOKUP(C134,'Informations générales'!$C$66:$E$70,3,FALSE)*(AL134/$AM$28)/12,0)*12,IF(C134="3112. Logements",ROUND(VLOOKUP(C134,'Informations générales'!$C$66:$E$70,3,FALSE)*(AL134/$AN$28)/12,0)*12,IF(C134="3113. Logements",ROUND(VLOOKUP(C134,'Informations générales'!$C$66:$E$70,3,FALSE)*(AL134/$AO$28)/12,0)*12,IF(C134="3114. Logements",ROUND(VLOOKUP(C134,'Informations générales'!$C$66:$E$70,3,FALSE)*(AL134/$AP$28)/12,0)*12,IF(C134="3115. Logements",ROUND(VLOOKUP(C134,'Informations générales'!$C$66:$E$70,3,FALSE)*(AL134/$AQ$28)/12,0)*12,"")))))</f>
        <v/>
      </c>
      <c r="AC134" s="114"/>
      <c r="AD134" s="113">
        <f t="shared" si="28"/>
        <v>0</v>
      </c>
      <c r="AE134" s="114"/>
      <c r="AF134" s="203" t="str">
        <f>IF(C134="3111. Logements",ROUND(VLOOKUP(C134,'Informations générales'!$C$66:$E$70,3,FALSE)*(AL134/$AM$28)/12,0)*12,IF(C134="3112. Logements",ROUND(VLOOKUP(C134,'Informations générales'!$C$66:$E$70,3,FALSE)*(AL134/$AN$28)/12,0)*12,IF(C134="3113. Logements",ROUND(VLOOKUP(C134,'Informations générales'!$C$66:$E$70,3,FALSE)*(AL134/$AO$28)/12,0)*12,IF(C134="3114. Logements",ROUND(VLOOKUP(C134,'Informations générales'!$C$66:$E$70,3,FALSE)*(AL134/$AP$28)/12,0)*12,IF(C134="3115. Logements",ROUND(VLOOKUP(C134,'Informations générales'!$C$66:$E$70,3,FALSE)*(AL134/$AQ$28)/12,0)*12,"")))))</f>
        <v/>
      </c>
      <c r="AG134" s="202"/>
      <c r="AH134" s="113" t="str">
        <f>IF(C134="3111. Logements",ROUND(VLOOKUP(C134,'Informations générales'!$C$66:$H$70,5,FALSE)*(AL134/$AM$28)/12,0)*12,IF(C134="3112. Logements",ROUND(VLOOKUP(C134,'Informations générales'!$C$66:$H$70,5,FALSE)*(AL134/$AN$28)/12,0)*12,IF(C134="3113. Logements",ROUND(VLOOKUP(C134,'Informations générales'!$C$66:$H$70,5,FALSE)*(AL134/$AO$28)/12,0)*12,IF(C134="3114. Logements",ROUND(VLOOKUP(C134,'Informations générales'!$C$66:$H$70,5,FALSE)*(AL134/$AP$28)/12,0)*12,IF(C134="3115. Logements",ROUND(VLOOKUP(C134,'Informations générales'!$C$66:$H$70,5,FALSE)*(AL134/$AQ$28)/12,0)*12,"")))))</f>
        <v/>
      </c>
      <c r="AI134" s="114"/>
      <c r="AJ134" s="114"/>
      <c r="AK134" s="76"/>
      <c r="AL134" s="58">
        <f t="shared" si="29"/>
        <v>0</v>
      </c>
      <c r="AM134" s="58"/>
      <c r="AN134" s="58"/>
      <c r="AO134" s="58"/>
      <c r="AP134" s="58"/>
      <c r="AQ134" s="58"/>
      <c r="AR134" s="58">
        <f t="shared" si="17"/>
        <v>0</v>
      </c>
      <c r="AS134" s="58">
        <f t="shared" si="18"/>
        <v>0</v>
      </c>
      <c r="AT134" s="58">
        <f t="shared" si="19"/>
        <v>0</v>
      </c>
      <c r="AU134" s="58">
        <f t="shared" si="20"/>
        <v>0</v>
      </c>
      <c r="AV134" s="58">
        <f t="shared" si="21"/>
        <v>0</v>
      </c>
      <c r="AW134" s="58">
        <f t="shared" si="22"/>
        <v>0</v>
      </c>
      <c r="AX134" s="58">
        <f t="shared" si="23"/>
        <v>0</v>
      </c>
      <c r="AY134" s="58">
        <f t="shared" si="30"/>
        <v>0</v>
      </c>
      <c r="AZ134" s="62">
        <f t="shared" si="24"/>
        <v>0</v>
      </c>
      <c r="BA134" s="63">
        <f t="shared" si="25"/>
        <v>0</v>
      </c>
      <c r="BB134" s="63">
        <f t="shared" si="26"/>
        <v>0</v>
      </c>
    </row>
    <row r="135" spans="3:54" s="17" customFormat="1" x14ac:dyDescent="0.25">
      <c r="C135" s="215"/>
      <c r="D135" s="216"/>
      <c r="E135" s="88"/>
      <c r="F135" s="217"/>
      <c r="G135" s="234"/>
      <c r="H135" s="218"/>
      <c r="I135" s="76"/>
      <c r="J135" s="77"/>
      <c r="K135" s="76"/>
      <c r="L135" s="78"/>
      <c r="M135" s="78"/>
      <c r="N135" s="76" t="s">
        <v>39</v>
      </c>
      <c r="O135" s="110"/>
      <c r="P135" s="152"/>
      <c r="Q135" s="111" t="str">
        <f>IFERROR(MIN(VLOOKUP(ROUNDDOWN(P135,0),'Aide calcul'!$B$2:$C$282,2,FALSE),O135+1),"")</f>
        <v/>
      </c>
      <c r="R135" s="112" t="str">
        <f t="shared" si="27"/>
        <v/>
      </c>
      <c r="S135" s="152"/>
      <c r="T135" s="152"/>
      <c r="U135" s="152"/>
      <c r="V135" s="152"/>
      <c r="W135" s="152"/>
      <c r="X135" s="152"/>
      <c r="Y135" s="152"/>
      <c r="Z135" s="76"/>
      <c r="AA135" s="76"/>
      <c r="AB135" s="113" t="str">
        <f>IF(C135="3111. Logements",ROUND(VLOOKUP(C135,'Informations générales'!$C$66:$E$70,3,FALSE)*(AL135/$AM$28)/12,0)*12,IF(C135="3112. Logements",ROUND(VLOOKUP(C135,'Informations générales'!$C$66:$E$70,3,FALSE)*(AL135/$AN$28)/12,0)*12,IF(C135="3113. Logements",ROUND(VLOOKUP(C135,'Informations générales'!$C$66:$E$70,3,FALSE)*(AL135/$AO$28)/12,0)*12,IF(C135="3114. Logements",ROUND(VLOOKUP(C135,'Informations générales'!$C$66:$E$70,3,FALSE)*(AL135/$AP$28)/12,0)*12,IF(C135="3115. Logements",ROUND(VLOOKUP(C135,'Informations générales'!$C$66:$E$70,3,FALSE)*(AL135/$AQ$28)/12,0)*12,"")))))</f>
        <v/>
      </c>
      <c r="AC135" s="114"/>
      <c r="AD135" s="113">
        <f t="shared" si="28"/>
        <v>0</v>
      </c>
      <c r="AE135" s="114"/>
      <c r="AF135" s="203" t="str">
        <f>IF(C135="3111. Logements",ROUND(VLOOKUP(C135,'Informations générales'!$C$66:$E$70,3,FALSE)*(AL135/$AM$28)/12,0)*12,IF(C135="3112. Logements",ROUND(VLOOKUP(C135,'Informations générales'!$C$66:$E$70,3,FALSE)*(AL135/$AN$28)/12,0)*12,IF(C135="3113. Logements",ROUND(VLOOKUP(C135,'Informations générales'!$C$66:$E$70,3,FALSE)*(AL135/$AO$28)/12,0)*12,IF(C135="3114. Logements",ROUND(VLOOKUP(C135,'Informations générales'!$C$66:$E$70,3,FALSE)*(AL135/$AP$28)/12,0)*12,IF(C135="3115. Logements",ROUND(VLOOKUP(C135,'Informations générales'!$C$66:$E$70,3,FALSE)*(AL135/$AQ$28)/12,0)*12,"")))))</f>
        <v/>
      </c>
      <c r="AG135" s="202"/>
      <c r="AH135" s="113" t="str">
        <f>IF(C135="3111. Logements",ROUND(VLOOKUP(C135,'Informations générales'!$C$66:$H$70,5,FALSE)*(AL135/$AM$28)/12,0)*12,IF(C135="3112. Logements",ROUND(VLOOKUP(C135,'Informations générales'!$C$66:$H$70,5,FALSE)*(AL135/$AN$28)/12,0)*12,IF(C135="3113. Logements",ROUND(VLOOKUP(C135,'Informations générales'!$C$66:$H$70,5,FALSE)*(AL135/$AO$28)/12,0)*12,IF(C135="3114. Logements",ROUND(VLOOKUP(C135,'Informations générales'!$C$66:$H$70,5,FALSE)*(AL135/$AP$28)/12,0)*12,IF(C135="3115. Logements",ROUND(VLOOKUP(C135,'Informations générales'!$C$66:$H$70,5,FALSE)*(AL135/$AQ$28)/12,0)*12,"")))))</f>
        <v/>
      </c>
      <c r="AI135" s="114"/>
      <c r="AJ135" s="114"/>
      <c r="AK135" s="76"/>
      <c r="AL135" s="58">
        <f t="shared" si="29"/>
        <v>0</v>
      </c>
      <c r="AM135" s="58"/>
      <c r="AN135" s="58"/>
      <c r="AO135" s="58"/>
      <c r="AP135" s="58"/>
      <c r="AQ135" s="58"/>
      <c r="AR135" s="58">
        <f t="shared" si="17"/>
        <v>0</v>
      </c>
      <c r="AS135" s="58">
        <f t="shared" si="18"/>
        <v>0</v>
      </c>
      <c r="AT135" s="58">
        <f t="shared" si="19"/>
        <v>0</v>
      </c>
      <c r="AU135" s="58">
        <f t="shared" si="20"/>
        <v>0</v>
      </c>
      <c r="AV135" s="58">
        <f t="shared" si="21"/>
        <v>0</v>
      </c>
      <c r="AW135" s="58">
        <f t="shared" si="22"/>
        <v>0</v>
      </c>
      <c r="AX135" s="58">
        <f t="shared" si="23"/>
        <v>0</v>
      </c>
      <c r="AY135" s="58">
        <f t="shared" si="30"/>
        <v>0</v>
      </c>
      <c r="AZ135" s="62">
        <f t="shared" si="24"/>
        <v>0</v>
      </c>
      <c r="BA135" s="63">
        <f t="shared" si="25"/>
        <v>0</v>
      </c>
      <c r="BB135" s="63">
        <f t="shared" si="26"/>
        <v>0</v>
      </c>
    </row>
    <row r="136" spans="3:54" s="17" customFormat="1" x14ac:dyDescent="0.25">
      <c r="C136" s="215"/>
      <c r="D136" s="216"/>
      <c r="E136" s="88"/>
      <c r="F136" s="217"/>
      <c r="G136" s="234"/>
      <c r="H136" s="218"/>
      <c r="I136" s="76"/>
      <c r="J136" s="77"/>
      <c r="K136" s="76"/>
      <c r="L136" s="78"/>
      <c r="M136" s="78"/>
      <c r="N136" s="76" t="s">
        <v>39</v>
      </c>
      <c r="O136" s="110"/>
      <c r="P136" s="152"/>
      <c r="Q136" s="111" t="str">
        <f>IFERROR(MIN(VLOOKUP(ROUNDDOWN(P136,0),'Aide calcul'!$B$2:$C$282,2,FALSE),O136+1),"")</f>
        <v/>
      </c>
      <c r="R136" s="112" t="str">
        <f t="shared" si="27"/>
        <v/>
      </c>
      <c r="S136" s="152"/>
      <c r="T136" s="152"/>
      <c r="U136" s="152"/>
      <c r="V136" s="152"/>
      <c r="W136" s="152"/>
      <c r="X136" s="152"/>
      <c r="Y136" s="152"/>
      <c r="Z136" s="76"/>
      <c r="AA136" s="76"/>
      <c r="AB136" s="113" t="str">
        <f>IF(C136="3111. Logements",ROUND(VLOOKUP(C136,'Informations générales'!$C$66:$E$70,3,FALSE)*(AL136/$AM$28)/12,0)*12,IF(C136="3112. Logements",ROUND(VLOOKUP(C136,'Informations générales'!$C$66:$E$70,3,FALSE)*(AL136/$AN$28)/12,0)*12,IF(C136="3113. Logements",ROUND(VLOOKUP(C136,'Informations générales'!$C$66:$E$70,3,FALSE)*(AL136/$AO$28)/12,0)*12,IF(C136="3114. Logements",ROUND(VLOOKUP(C136,'Informations générales'!$C$66:$E$70,3,FALSE)*(AL136/$AP$28)/12,0)*12,IF(C136="3115. Logements",ROUND(VLOOKUP(C136,'Informations générales'!$C$66:$E$70,3,FALSE)*(AL136/$AQ$28)/12,0)*12,"")))))</f>
        <v/>
      </c>
      <c r="AC136" s="114"/>
      <c r="AD136" s="113">
        <f t="shared" si="28"/>
        <v>0</v>
      </c>
      <c r="AE136" s="114"/>
      <c r="AF136" s="203" t="str">
        <f>IF(C136="3111. Logements",ROUND(VLOOKUP(C136,'Informations générales'!$C$66:$E$70,3,FALSE)*(AL136/$AM$28)/12,0)*12,IF(C136="3112. Logements",ROUND(VLOOKUP(C136,'Informations générales'!$C$66:$E$70,3,FALSE)*(AL136/$AN$28)/12,0)*12,IF(C136="3113. Logements",ROUND(VLOOKUP(C136,'Informations générales'!$C$66:$E$70,3,FALSE)*(AL136/$AO$28)/12,0)*12,IF(C136="3114. Logements",ROUND(VLOOKUP(C136,'Informations générales'!$C$66:$E$70,3,FALSE)*(AL136/$AP$28)/12,0)*12,IF(C136="3115. Logements",ROUND(VLOOKUP(C136,'Informations générales'!$C$66:$E$70,3,FALSE)*(AL136/$AQ$28)/12,0)*12,"")))))</f>
        <v/>
      </c>
      <c r="AG136" s="202"/>
      <c r="AH136" s="113" t="str">
        <f>IF(C136="3111. Logements",ROUND(VLOOKUP(C136,'Informations générales'!$C$66:$H$70,5,FALSE)*(AL136/$AM$28)/12,0)*12,IF(C136="3112. Logements",ROUND(VLOOKUP(C136,'Informations générales'!$C$66:$H$70,5,FALSE)*(AL136/$AN$28)/12,0)*12,IF(C136="3113. Logements",ROUND(VLOOKUP(C136,'Informations générales'!$C$66:$H$70,5,FALSE)*(AL136/$AO$28)/12,0)*12,IF(C136="3114. Logements",ROUND(VLOOKUP(C136,'Informations générales'!$C$66:$H$70,5,FALSE)*(AL136/$AP$28)/12,0)*12,IF(C136="3115. Logements",ROUND(VLOOKUP(C136,'Informations générales'!$C$66:$H$70,5,FALSE)*(AL136/$AQ$28)/12,0)*12,"")))))</f>
        <v/>
      </c>
      <c r="AI136" s="114"/>
      <c r="AJ136" s="114"/>
      <c r="AK136" s="76"/>
      <c r="AL136" s="58">
        <f t="shared" si="29"/>
        <v>0</v>
      </c>
      <c r="AM136" s="58"/>
      <c r="AN136" s="58"/>
      <c r="AO136" s="58"/>
      <c r="AP136" s="58"/>
      <c r="AQ136" s="58"/>
      <c r="AR136" s="58">
        <f t="shared" si="17"/>
        <v>0</v>
      </c>
      <c r="AS136" s="58">
        <f t="shared" si="18"/>
        <v>0</v>
      </c>
      <c r="AT136" s="58">
        <f t="shared" si="19"/>
        <v>0</v>
      </c>
      <c r="AU136" s="58">
        <f t="shared" si="20"/>
        <v>0</v>
      </c>
      <c r="AV136" s="58">
        <f t="shared" si="21"/>
        <v>0</v>
      </c>
      <c r="AW136" s="58">
        <f t="shared" si="22"/>
        <v>0</v>
      </c>
      <c r="AX136" s="58">
        <f t="shared" si="23"/>
        <v>0</v>
      </c>
      <c r="AY136" s="58">
        <f t="shared" si="30"/>
        <v>0</v>
      </c>
      <c r="AZ136" s="62">
        <f t="shared" si="24"/>
        <v>0</v>
      </c>
      <c r="BA136" s="63">
        <f t="shared" si="25"/>
        <v>0</v>
      </c>
      <c r="BB136" s="63">
        <f t="shared" si="26"/>
        <v>0</v>
      </c>
    </row>
    <row r="137" spans="3:54" s="17" customFormat="1" x14ac:dyDescent="0.25">
      <c r="C137" s="215"/>
      <c r="D137" s="216"/>
      <c r="E137" s="88"/>
      <c r="F137" s="217"/>
      <c r="G137" s="234"/>
      <c r="H137" s="218"/>
      <c r="I137" s="76"/>
      <c r="J137" s="77"/>
      <c r="K137" s="76"/>
      <c r="L137" s="78"/>
      <c r="M137" s="78"/>
      <c r="N137" s="76" t="s">
        <v>39</v>
      </c>
      <c r="O137" s="110"/>
      <c r="P137" s="152"/>
      <c r="Q137" s="111" t="str">
        <f>IFERROR(MIN(VLOOKUP(ROUNDDOWN(P137,0),'Aide calcul'!$B$2:$C$282,2,FALSE),O137+1),"")</f>
        <v/>
      </c>
      <c r="R137" s="112" t="str">
        <f t="shared" si="27"/>
        <v/>
      </c>
      <c r="S137" s="152"/>
      <c r="T137" s="152"/>
      <c r="U137" s="152"/>
      <c r="V137" s="152"/>
      <c r="W137" s="152"/>
      <c r="X137" s="152"/>
      <c r="Y137" s="152"/>
      <c r="Z137" s="76"/>
      <c r="AA137" s="76"/>
      <c r="AB137" s="113" t="str">
        <f>IF(C137="3111. Logements",ROUND(VLOOKUP(C137,'Informations générales'!$C$66:$E$70,3,FALSE)*(AL137/$AM$28)/12,0)*12,IF(C137="3112. Logements",ROUND(VLOOKUP(C137,'Informations générales'!$C$66:$E$70,3,FALSE)*(AL137/$AN$28)/12,0)*12,IF(C137="3113. Logements",ROUND(VLOOKUP(C137,'Informations générales'!$C$66:$E$70,3,FALSE)*(AL137/$AO$28)/12,0)*12,IF(C137="3114. Logements",ROUND(VLOOKUP(C137,'Informations générales'!$C$66:$E$70,3,FALSE)*(AL137/$AP$28)/12,0)*12,IF(C137="3115. Logements",ROUND(VLOOKUP(C137,'Informations générales'!$C$66:$E$70,3,FALSE)*(AL137/$AQ$28)/12,0)*12,"")))))</f>
        <v/>
      </c>
      <c r="AC137" s="114"/>
      <c r="AD137" s="113">
        <f t="shared" si="28"/>
        <v>0</v>
      </c>
      <c r="AE137" s="114"/>
      <c r="AF137" s="203" t="str">
        <f>IF(C137="3111. Logements",ROUND(VLOOKUP(C137,'Informations générales'!$C$66:$E$70,3,FALSE)*(AL137/$AM$28)/12,0)*12,IF(C137="3112. Logements",ROUND(VLOOKUP(C137,'Informations générales'!$C$66:$E$70,3,FALSE)*(AL137/$AN$28)/12,0)*12,IF(C137="3113. Logements",ROUND(VLOOKUP(C137,'Informations générales'!$C$66:$E$70,3,FALSE)*(AL137/$AO$28)/12,0)*12,IF(C137="3114. Logements",ROUND(VLOOKUP(C137,'Informations générales'!$C$66:$E$70,3,FALSE)*(AL137/$AP$28)/12,0)*12,IF(C137="3115. Logements",ROUND(VLOOKUP(C137,'Informations générales'!$C$66:$E$70,3,FALSE)*(AL137/$AQ$28)/12,0)*12,"")))))</f>
        <v/>
      </c>
      <c r="AG137" s="202"/>
      <c r="AH137" s="113" t="str">
        <f>IF(C137="3111. Logements",ROUND(VLOOKUP(C137,'Informations générales'!$C$66:$H$70,5,FALSE)*(AL137/$AM$28)/12,0)*12,IF(C137="3112. Logements",ROUND(VLOOKUP(C137,'Informations générales'!$C$66:$H$70,5,FALSE)*(AL137/$AN$28)/12,0)*12,IF(C137="3113. Logements",ROUND(VLOOKUP(C137,'Informations générales'!$C$66:$H$70,5,FALSE)*(AL137/$AO$28)/12,0)*12,IF(C137="3114. Logements",ROUND(VLOOKUP(C137,'Informations générales'!$C$66:$H$70,5,FALSE)*(AL137/$AP$28)/12,0)*12,IF(C137="3115. Logements",ROUND(VLOOKUP(C137,'Informations générales'!$C$66:$H$70,5,FALSE)*(AL137/$AQ$28)/12,0)*12,"")))))</f>
        <v/>
      </c>
      <c r="AI137" s="114"/>
      <c r="AJ137" s="114"/>
      <c r="AK137" s="76"/>
      <c r="AL137" s="58">
        <f t="shared" si="29"/>
        <v>0</v>
      </c>
      <c r="AM137" s="58"/>
      <c r="AN137" s="58"/>
      <c r="AO137" s="58"/>
      <c r="AP137" s="58"/>
      <c r="AQ137" s="58"/>
      <c r="AR137" s="58">
        <f t="shared" si="17"/>
        <v>0</v>
      </c>
      <c r="AS137" s="58">
        <f t="shared" si="18"/>
        <v>0</v>
      </c>
      <c r="AT137" s="58">
        <f t="shared" si="19"/>
        <v>0</v>
      </c>
      <c r="AU137" s="58">
        <f t="shared" si="20"/>
        <v>0</v>
      </c>
      <c r="AV137" s="58">
        <f t="shared" si="21"/>
        <v>0</v>
      </c>
      <c r="AW137" s="58">
        <f t="shared" si="22"/>
        <v>0</v>
      </c>
      <c r="AX137" s="58">
        <f t="shared" si="23"/>
        <v>0</v>
      </c>
      <c r="AY137" s="58">
        <f t="shared" si="30"/>
        <v>0</v>
      </c>
      <c r="AZ137" s="62">
        <f t="shared" si="24"/>
        <v>0</v>
      </c>
      <c r="BA137" s="63">
        <f t="shared" si="25"/>
        <v>0</v>
      </c>
      <c r="BB137" s="63">
        <f t="shared" si="26"/>
        <v>0</v>
      </c>
    </row>
    <row r="138" spans="3:54" s="17" customFormat="1" x14ac:dyDescent="0.25">
      <c r="C138" s="215"/>
      <c r="D138" s="216"/>
      <c r="E138" s="88"/>
      <c r="F138" s="217"/>
      <c r="G138" s="234"/>
      <c r="H138" s="218"/>
      <c r="I138" s="76"/>
      <c r="J138" s="77"/>
      <c r="K138" s="76"/>
      <c r="L138" s="78"/>
      <c r="M138" s="78"/>
      <c r="N138" s="76" t="s">
        <v>39</v>
      </c>
      <c r="O138" s="110"/>
      <c r="P138" s="152"/>
      <c r="Q138" s="111" t="str">
        <f>IFERROR(MIN(VLOOKUP(ROUNDDOWN(P138,0),'Aide calcul'!$B$2:$C$282,2,FALSE),O138+1),"")</f>
        <v/>
      </c>
      <c r="R138" s="112" t="str">
        <f t="shared" si="27"/>
        <v/>
      </c>
      <c r="S138" s="152"/>
      <c r="T138" s="152"/>
      <c r="U138" s="152"/>
      <c r="V138" s="152"/>
      <c r="W138" s="152"/>
      <c r="X138" s="152"/>
      <c r="Y138" s="152"/>
      <c r="Z138" s="76"/>
      <c r="AA138" s="76"/>
      <c r="AB138" s="113" t="str">
        <f>IF(C138="3111. Logements",ROUND(VLOOKUP(C138,'Informations générales'!$C$66:$E$70,3,FALSE)*(AL138/$AM$28)/12,0)*12,IF(C138="3112. Logements",ROUND(VLOOKUP(C138,'Informations générales'!$C$66:$E$70,3,FALSE)*(AL138/$AN$28)/12,0)*12,IF(C138="3113. Logements",ROUND(VLOOKUP(C138,'Informations générales'!$C$66:$E$70,3,FALSE)*(AL138/$AO$28)/12,0)*12,IF(C138="3114. Logements",ROUND(VLOOKUP(C138,'Informations générales'!$C$66:$E$70,3,FALSE)*(AL138/$AP$28)/12,0)*12,IF(C138="3115. Logements",ROUND(VLOOKUP(C138,'Informations générales'!$C$66:$E$70,3,FALSE)*(AL138/$AQ$28)/12,0)*12,"")))))</f>
        <v/>
      </c>
      <c r="AC138" s="114"/>
      <c r="AD138" s="113">
        <f t="shared" si="28"/>
        <v>0</v>
      </c>
      <c r="AE138" s="114"/>
      <c r="AF138" s="203" t="str">
        <f>IF(C138="3111. Logements",ROUND(VLOOKUP(C138,'Informations générales'!$C$66:$E$70,3,FALSE)*(AL138/$AM$28)/12,0)*12,IF(C138="3112. Logements",ROUND(VLOOKUP(C138,'Informations générales'!$C$66:$E$70,3,FALSE)*(AL138/$AN$28)/12,0)*12,IF(C138="3113. Logements",ROUND(VLOOKUP(C138,'Informations générales'!$C$66:$E$70,3,FALSE)*(AL138/$AO$28)/12,0)*12,IF(C138="3114. Logements",ROUND(VLOOKUP(C138,'Informations générales'!$C$66:$E$70,3,FALSE)*(AL138/$AP$28)/12,0)*12,IF(C138="3115. Logements",ROUND(VLOOKUP(C138,'Informations générales'!$C$66:$E$70,3,FALSE)*(AL138/$AQ$28)/12,0)*12,"")))))</f>
        <v/>
      </c>
      <c r="AG138" s="202"/>
      <c r="AH138" s="113" t="str">
        <f>IF(C138="3111. Logements",ROUND(VLOOKUP(C138,'Informations générales'!$C$66:$H$70,5,FALSE)*(AL138/$AM$28)/12,0)*12,IF(C138="3112. Logements",ROUND(VLOOKUP(C138,'Informations générales'!$C$66:$H$70,5,FALSE)*(AL138/$AN$28)/12,0)*12,IF(C138="3113. Logements",ROUND(VLOOKUP(C138,'Informations générales'!$C$66:$H$70,5,FALSE)*(AL138/$AO$28)/12,0)*12,IF(C138="3114. Logements",ROUND(VLOOKUP(C138,'Informations générales'!$C$66:$H$70,5,FALSE)*(AL138/$AP$28)/12,0)*12,IF(C138="3115. Logements",ROUND(VLOOKUP(C138,'Informations générales'!$C$66:$H$70,5,FALSE)*(AL138/$AQ$28)/12,0)*12,"")))))</f>
        <v/>
      </c>
      <c r="AI138" s="114"/>
      <c r="AJ138" s="114"/>
      <c r="AK138" s="76"/>
      <c r="AL138" s="58">
        <f t="shared" si="29"/>
        <v>0</v>
      </c>
      <c r="AM138" s="58"/>
      <c r="AN138" s="58"/>
      <c r="AO138" s="58"/>
      <c r="AP138" s="58"/>
      <c r="AQ138" s="58"/>
      <c r="AR138" s="58">
        <f t="shared" si="17"/>
        <v>0</v>
      </c>
      <c r="AS138" s="58">
        <f t="shared" si="18"/>
        <v>0</v>
      </c>
      <c r="AT138" s="58">
        <f t="shared" si="19"/>
        <v>0</v>
      </c>
      <c r="AU138" s="58">
        <f t="shared" si="20"/>
        <v>0</v>
      </c>
      <c r="AV138" s="58">
        <f t="shared" si="21"/>
        <v>0</v>
      </c>
      <c r="AW138" s="58">
        <f t="shared" si="22"/>
        <v>0</v>
      </c>
      <c r="AX138" s="58">
        <f t="shared" si="23"/>
        <v>0</v>
      </c>
      <c r="AY138" s="58">
        <f t="shared" si="30"/>
        <v>0</v>
      </c>
      <c r="AZ138" s="62">
        <f t="shared" si="24"/>
        <v>0</v>
      </c>
      <c r="BA138" s="63">
        <f t="shared" si="25"/>
        <v>0</v>
      </c>
      <c r="BB138" s="63">
        <f t="shared" si="26"/>
        <v>0</v>
      </c>
    </row>
    <row r="139" spans="3:54" s="17" customFormat="1" x14ac:dyDescent="0.25">
      <c r="C139" s="215"/>
      <c r="D139" s="216"/>
      <c r="E139" s="88"/>
      <c r="F139" s="217"/>
      <c r="G139" s="234"/>
      <c r="H139" s="218"/>
      <c r="I139" s="76"/>
      <c r="J139" s="77"/>
      <c r="K139" s="76"/>
      <c r="L139" s="78"/>
      <c r="M139" s="78"/>
      <c r="N139" s="76" t="s">
        <v>39</v>
      </c>
      <c r="O139" s="110"/>
      <c r="P139" s="152"/>
      <c r="Q139" s="111" t="str">
        <f>IFERROR(MIN(VLOOKUP(ROUNDDOWN(P139,0),'Aide calcul'!$B$2:$C$282,2,FALSE),O139+1),"")</f>
        <v/>
      </c>
      <c r="R139" s="112" t="str">
        <f t="shared" si="27"/>
        <v/>
      </c>
      <c r="S139" s="152"/>
      <c r="T139" s="152"/>
      <c r="U139" s="152"/>
      <c r="V139" s="152"/>
      <c r="W139" s="152"/>
      <c r="X139" s="152"/>
      <c r="Y139" s="152"/>
      <c r="Z139" s="76"/>
      <c r="AA139" s="76"/>
      <c r="AB139" s="113" t="str">
        <f>IF(C139="3111. Logements",ROUND(VLOOKUP(C139,'Informations générales'!$C$66:$E$70,3,FALSE)*(AL139/$AM$28)/12,0)*12,IF(C139="3112. Logements",ROUND(VLOOKUP(C139,'Informations générales'!$C$66:$E$70,3,FALSE)*(AL139/$AN$28)/12,0)*12,IF(C139="3113. Logements",ROUND(VLOOKUP(C139,'Informations générales'!$C$66:$E$70,3,FALSE)*(AL139/$AO$28)/12,0)*12,IF(C139="3114. Logements",ROUND(VLOOKUP(C139,'Informations générales'!$C$66:$E$70,3,FALSE)*(AL139/$AP$28)/12,0)*12,IF(C139="3115. Logements",ROUND(VLOOKUP(C139,'Informations générales'!$C$66:$E$70,3,FALSE)*(AL139/$AQ$28)/12,0)*12,"")))))</f>
        <v/>
      </c>
      <c r="AC139" s="114"/>
      <c r="AD139" s="113">
        <f t="shared" si="28"/>
        <v>0</v>
      </c>
      <c r="AE139" s="114"/>
      <c r="AF139" s="203" t="str">
        <f>IF(C139="3111. Logements",ROUND(VLOOKUP(C139,'Informations générales'!$C$66:$E$70,3,FALSE)*(AL139/$AM$28)/12,0)*12,IF(C139="3112. Logements",ROUND(VLOOKUP(C139,'Informations générales'!$C$66:$E$70,3,FALSE)*(AL139/$AN$28)/12,0)*12,IF(C139="3113. Logements",ROUND(VLOOKUP(C139,'Informations générales'!$C$66:$E$70,3,FALSE)*(AL139/$AO$28)/12,0)*12,IF(C139="3114. Logements",ROUND(VLOOKUP(C139,'Informations générales'!$C$66:$E$70,3,FALSE)*(AL139/$AP$28)/12,0)*12,IF(C139="3115. Logements",ROUND(VLOOKUP(C139,'Informations générales'!$C$66:$E$70,3,FALSE)*(AL139/$AQ$28)/12,0)*12,"")))))</f>
        <v/>
      </c>
      <c r="AG139" s="202"/>
      <c r="AH139" s="113" t="str">
        <f>IF(C139="3111. Logements",ROUND(VLOOKUP(C139,'Informations générales'!$C$66:$H$70,5,FALSE)*(AL139/$AM$28)/12,0)*12,IF(C139="3112. Logements",ROUND(VLOOKUP(C139,'Informations générales'!$C$66:$H$70,5,FALSE)*(AL139/$AN$28)/12,0)*12,IF(C139="3113. Logements",ROUND(VLOOKUP(C139,'Informations générales'!$C$66:$H$70,5,FALSE)*(AL139/$AO$28)/12,0)*12,IF(C139="3114. Logements",ROUND(VLOOKUP(C139,'Informations générales'!$C$66:$H$70,5,FALSE)*(AL139/$AP$28)/12,0)*12,IF(C139="3115. Logements",ROUND(VLOOKUP(C139,'Informations générales'!$C$66:$H$70,5,FALSE)*(AL139/$AQ$28)/12,0)*12,"")))))</f>
        <v/>
      </c>
      <c r="AI139" s="114"/>
      <c r="AJ139" s="114"/>
      <c r="AK139" s="76"/>
      <c r="AL139" s="58">
        <f t="shared" si="29"/>
        <v>0</v>
      </c>
      <c r="AM139" s="58"/>
      <c r="AN139" s="58"/>
      <c r="AO139" s="58"/>
      <c r="AP139" s="58"/>
      <c r="AQ139" s="58"/>
      <c r="AR139" s="58">
        <f t="shared" si="17"/>
        <v>0</v>
      </c>
      <c r="AS139" s="58">
        <f t="shared" si="18"/>
        <v>0</v>
      </c>
      <c r="AT139" s="58">
        <f t="shared" si="19"/>
        <v>0</v>
      </c>
      <c r="AU139" s="58">
        <f t="shared" si="20"/>
        <v>0</v>
      </c>
      <c r="AV139" s="58">
        <f t="shared" si="21"/>
        <v>0</v>
      </c>
      <c r="AW139" s="58">
        <f t="shared" si="22"/>
        <v>0</v>
      </c>
      <c r="AX139" s="58">
        <f t="shared" si="23"/>
        <v>0</v>
      </c>
      <c r="AY139" s="58">
        <f t="shared" si="30"/>
        <v>0</v>
      </c>
      <c r="AZ139" s="62">
        <f t="shared" si="24"/>
        <v>0</v>
      </c>
      <c r="BA139" s="63">
        <f t="shared" si="25"/>
        <v>0</v>
      </c>
      <c r="BB139" s="63">
        <f t="shared" si="26"/>
        <v>0</v>
      </c>
    </row>
    <row r="140" spans="3:54" s="17" customFormat="1" x14ac:dyDescent="0.25">
      <c r="C140" s="215"/>
      <c r="D140" s="216"/>
      <c r="E140" s="88"/>
      <c r="F140" s="217"/>
      <c r="G140" s="234"/>
      <c r="H140" s="218"/>
      <c r="I140" s="76"/>
      <c r="J140" s="77"/>
      <c r="K140" s="76"/>
      <c r="L140" s="78"/>
      <c r="M140" s="78"/>
      <c r="N140" s="76" t="s">
        <v>39</v>
      </c>
      <c r="O140" s="110"/>
      <c r="P140" s="152"/>
      <c r="Q140" s="111" t="str">
        <f>IFERROR(MIN(VLOOKUP(ROUNDDOWN(P140,0),'Aide calcul'!$B$2:$C$282,2,FALSE),O140+1),"")</f>
        <v/>
      </c>
      <c r="R140" s="112" t="str">
        <f t="shared" si="27"/>
        <v/>
      </c>
      <c r="S140" s="152"/>
      <c r="T140" s="152"/>
      <c r="U140" s="152"/>
      <c r="V140" s="152"/>
      <c r="W140" s="152"/>
      <c r="X140" s="152"/>
      <c r="Y140" s="152"/>
      <c r="Z140" s="76"/>
      <c r="AA140" s="76"/>
      <c r="AB140" s="113" t="str">
        <f>IF(C140="3111. Logements",ROUND(VLOOKUP(C140,'Informations générales'!$C$66:$E$70,3,FALSE)*(AL140/$AM$28)/12,0)*12,IF(C140="3112. Logements",ROUND(VLOOKUP(C140,'Informations générales'!$C$66:$E$70,3,FALSE)*(AL140/$AN$28)/12,0)*12,IF(C140="3113. Logements",ROUND(VLOOKUP(C140,'Informations générales'!$C$66:$E$70,3,FALSE)*(AL140/$AO$28)/12,0)*12,IF(C140="3114. Logements",ROUND(VLOOKUP(C140,'Informations générales'!$C$66:$E$70,3,FALSE)*(AL140/$AP$28)/12,0)*12,IF(C140="3115. Logements",ROUND(VLOOKUP(C140,'Informations générales'!$C$66:$E$70,3,FALSE)*(AL140/$AQ$28)/12,0)*12,"")))))</f>
        <v/>
      </c>
      <c r="AC140" s="114"/>
      <c r="AD140" s="113">
        <f t="shared" si="28"/>
        <v>0</v>
      </c>
      <c r="AE140" s="114"/>
      <c r="AF140" s="203" t="str">
        <f>IF(C140="3111. Logements",ROUND(VLOOKUP(C140,'Informations générales'!$C$66:$E$70,3,FALSE)*(AL140/$AM$28)/12,0)*12,IF(C140="3112. Logements",ROUND(VLOOKUP(C140,'Informations générales'!$C$66:$E$70,3,FALSE)*(AL140/$AN$28)/12,0)*12,IF(C140="3113. Logements",ROUND(VLOOKUP(C140,'Informations générales'!$C$66:$E$70,3,FALSE)*(AL140/$AO$28)/12,0)*12,IF(C140="3114. Logements",ROUND(VLOOKUP(C140,'Informations générales'!$C$66:$E$70,3,FALSE)*(AL140/$AP$28)/12,0)*12,IF(C140="3115. Logements",ROUND(VLOOKUP(C140,'Informations générales'!$C$66:$E$70,3,FALSE)*(AL140/$AQ$28)/12,0)*12,"")))))</f>
        <v/>
      </c>
      <c r="AG140" s="202"/>
      <c r="AH140" s="113" t="str">
        <f>IF(C140="3111. Logements",ROUND(VLOOKUP(C140,'Informations générales'!$C$66:$H$70,5,FALSE)*(AL140/$AM$28)/12,0)*12,IF(C140="3112. Logements",ROUND(VLOOKUP(C140,'Informations générales'!$C$66:$H$70,5,FALSE)*(AL140/$AN$28)/12,0)*12,IF(C140="3113. Logements",ROUND(VLOOKUP(C140,'Informations générales'!$C$66:$H$70,5,FALSE)*(AL140/$AO$28)/12,0)*12,IF(C140="3114. Logements",ROUND(VLOOKUP(C140,'Informations générales'!$C$66:$H$70,5,FALSE)*(AL140/$AP$28)/12,0)*12,IF(C140="3115. Logements",ROUND(VLOOKUP(C140,'Informations générales'!$C$66:$H$70,5,FALSE)*(AL140/$AQ$28)/12,0)*12,"")))))</f>
        <v/>
      </c>
      <c r="AI140" s="114"/>
      <c r="AJ140" s="114"/>
      <c r="AK140" s="76"/>
      <c r="AL140" s="58">
        <f t="shared" si="29"/>
        <v>0</v>
      </c>
      <c r="AM140" s="58"/>
      <c r="AN140" s="58"/>
      <c r="AO140" s="58"/>
      <c r="AP140" s="58"/>
      <c r="AQ140" s="58"/>
      <c r="AR140" s="58">
        <f t="shared" si="17"/>
        <v>0</v>
      </c>
      <c r="AS140" s="58">
        <f t="shared" si="18"/>
        <v>0</v>
      </c>
      <c r="AT140" s="58">
        <f t="shared" si="19"/>
        <v>0</v>
      </c>
      <c r="AU140" s="58">
        <f t="shared" si="20"/>
        <v>0</v>
      </c>
      <c r="AV140" s="58">
        <f t="shared" si="21"/>
        <v>0</v>
      </c>
      <c r="AW140" s="58">
        <f t="shared" si="22"/>
        <v>0</v>
      </c>
      <c r="AX140" s="58">
        <f t="shared" si="23"/>
        <v>0</v>
      </c>
      <c r="AY140" s="58">
        <f t="shared" si="30"/>
        <v>0</v>
      </c>
      <c r="AZ140" s="62">
        <f t="shared" si="24"/>
        <v>0</v>
      </c>
      <c r="BA140" s="63">
        <f t="shared" si="25"/>
        <v>0</v>
      </c>
      <c r="BB140" s="63">
        <f t="shared" si="26"/>
        <v>0</v>
      </c>
    </row>
    <row r="141" spans="3:54" s="17" customFormat="1" x14ac:dyDescent="0.25">
      <c r="C141" s="215"/>
      <c r="D141" s="216"/>
      <c r="E141" s="88"/>
      <c r="F141" s="217"/>
      <c r="G141" s="234"/>
      <c r="H141" s="218"/>
      <c r="I141" s="76"/>
      <c r="J141" s="77"/>
      <c r="K141" s="76"/>
      <c r="L141" s="78"/>
      <c r="M141" s="78"/>
      <c r="N141" s="76" t="s">
        <v>39</v>
      </c>
      <c r="O141" s="110"/>
      <c r="P141" s="152"/>
      <c r="Q141" s="111" t="str">
        <f>IFERROR(MIN(VLOOKUP(ROUNDDOWN(P141,0),'Aide calcul'!$B$2:$C$282,2,FALSE),O141+1),"")</f>
        <v/>
      </c>
      <c r="R141" s="112" t="str">
        <f t="shared" si="27"/>
        <v/>
      </c>
      <c r="S141" s="152"/>
      <c r="T141" s="152"/>
      <c r="U141" s="152"/>
      <c r="V141" s="152"/>
      <c r="W141" s="152"/>
      <c r="X141" s="152"/>
      <c r="Y141" s="152"/>
      <c r="Z141" s="76"/>
      <c r="AA141" s="76"/>
      <c r="AB141" s="113" t="str">
        <f>IF(C141="3111. Logements",ROUND(VLOOKUP(C141,'Informations générales'!$C$66:$E$70,3,FALSE)*(AL141/$AM$28)/12,0)*12,IF(C141="3112. Logements",ROUND(VLOOKUP(C141,'Informations générales'!$C$66:$E$70,3,FALSE)*(AL141/$AN$28)/12,0)*12,IF(C141="3113. Logements",ROUND(VLOOKUP(C141,'Informations générales'!$C$66:$E$70,3,FALSE)*(AL141/$AO$28)/12,0)*12,IF(C141="3114. Logements",ROUND(VLOOKUP(C141,'Informations générales'!$C$66:$E$70,3,FALSE)*(AL141/$AP$28)/12,0)*12,IF(C141="3115. Logements",ROUND(VLOOKUP(C141,'Informations générales'!$C$66:$E$70,3,FALSE)*(AL141/$AQ$28)/12,0)*12,"")))))</f>
        <v/>
      </c>
      <c r="AC141" s="114"/>
      <c r="AD141" s="113">
        <f t="shared" si="28"/>
        <v>0</v>
      </c>
      <c r="AE141" s="114"/>
      <c r="AF141" s="203" t="str">
        <f>IF(C141="3111. Logements",ROUND(VLOOKUP(C141,'Informations générales'!$C$66:$E$70,3,FALSE)*(AL141/$AM$28)/12,0)*12,IF(C141="3112. Logements",ROUND(VLOOKUP(C141,'Informations générales'!$C$66:$E$70,3,FALSE)*(AL141/$AN$28)/12,0)*12,IF(C141="3113. Logements",ROUND(VLOOKUP(C141,'Informations générales'!$C$66:$E$70,3,FALSE)*(AL141/$AO$28)/12,0)*12,IF(C141="3114. Logements",ROUND(VLOOKUP(C141,'Informations générales'!$C$66:$E$70,3,FALSE)*(AL141/$AP$28)/12,0)*12,IF(C141="3115. Logements",ROUND(VLOOKUP(C141,'Informations générales'!$C$66:$E$70,3,FALSE)*(AL141/$AQ$28)/12,0)*12,"")))))</f>
        <v/>
      </c>
      <c r="AG141" s="202"/>
      <c r="AH141" s="113" t="str">
        <f>IF(C141="3111. Logements",ROUND(VLOOKUP(C141,'Informations générales'!$C$66:$H$70,5,FALSE)*(AL141/$AM$28)/12,0)*12,IF(C141="3112. Logements",ROUND(VLOOKUP(C141,'Informations générales'!$C$66:$H$70,5,FALSE)*(AL141/$AN$28)/12,0)*12,IF(C141="3113. Logements",ROUND(VLOOKUP(C141,'Informations générales'!$C$66:$H$70,5,FALSE)*(AL141/$AO$28)/12,0)*12,IF(C141="3114. Logements",ROUND(VLOOKUP(C141,'Informations générales'!$C$66:$H$70,5,FALSE)*(AL141/$AP$28)/12,0)*12,IF(C141="3115. Logements",ROUND(VLOOKUP(C141,'Informations générales'!$C$66:$H$70,5,FALSE)*(AL141/$AQ$28)/12,0)*12,"")))))</f>
        <v/>
      </c>
      <c r="AI141" s="114"/>
      <c r="AJ141" s="114"/>
      <c r="AK141" s="76"/>
      <c r="AL141" s="58">
        <f t="shared" si="29"/>
        <v>0</v>
      </c>
      <c r="AM141" s="58"/>
      <c r="AN141" s="58"/>
      <c r="AO141" s="58"/>
      <c r="AP141" s="58"/>
      <c r="AQ141" s="58"/>
      <c r="AR141" s="58">
        <f t="shared" si="17"/>
        <v>0</v>
      </c>
      <c r="AS141" s="58">
        <f t="shared" si="18"/>
        <v>0</v>
      </c>
      <c r="AT141" s="58">
        <f t="shared" si="19"/>
        <v>0</v>
      </c>
      <c r="AU141" s="58">
        <f t="shared" si="20"/>
        <v>0</v>
      </c>
      <c r="AV141" s="58">
        <f t="shared" si="21"/>
        <v>0</v>
      </c>
      <c r="AW141" s="58">
        <f t="shared" si="22"/>
        <v>0</v>
      </c>
      <c r="AX141" s="58">
        <f t="shared" si="23"/>
        <v>0</v>
      </c>
      <c r="AY141" s="58">
        <f t="shared" si="30"/>
        <v>0</v>
      </c>
      <c r="AZ141" s="62">
        <f t="shared" si="24"/>
        <v>0</v>
      </c>
      <c r="BA141" s="63">
        <f t="shared" si="25"/>
        <v>0</v>
      </c>
      <c r="BB141" s="63">
        <f t="shared" si="26"/>
        <v>0</v>
      </c>
    </row>
    <row r="142" spans="3:54" s="17" customFormat="1" x14ac:dyDescent="0.25">
      <c r="C142" s="215"/>
      <c r="D142" s="216"/>
      <c r="E142" s="88"/>
      <c r="F142" s="217"/>
      <c r="G142" s="234"/>
      <c r="H142" s="218"/>
      <c r="I142" s="76"/>
      <c r="J142" s="77"/>
      <c r="K142" s="76"/>
      <c r="L142" s="78"/>
      <c r="M142" s="78"/>
      <c r="N142" s="76" t="s">
        <v>39</v>
      </c>
      <c r="O142" s="110"/>
      <c r="P142" s="152"/>
      <c r="Q142" s="111" t="str">
        <f>IFERROR(MIN(VLOOKUP(ROUNDDOWN(P142,0),'Aide calcul'!$B$2:$C$282,2,FALSE),O142+1),"")</f>
        <v/>
      </c>
      <c r="R142" s="112" t="str">
        <f t="shared" si="27"/>
        <v/>
      </c>
      <c r="S142" s="152"/>
      <c r="T142" s="152"/>
      <c r="U142" s="152"/>
      <c r="V142" s="152"/>
      <c r="W142" s="152"/>
      <c r="X142" s="152"/>
      <c r="Y142" s="152"/>
      <c r="Z142" s="76"/>
      <c r="AA142" s="76"/>
      <c r="AB142" s="113" t="str">
        <f>IF(C142="3111. Logements",ROUND(VLOOKUP(C142,'Informations générales'!$C$66:$E$70,3,FALSE)*(AL142/$AM$28)/12,0)*12,IF(C142="3112. Logements",ROUND(VLOOKUP(C142,'Informations générales'!$C$66:$E$70,3,FALSE)*(AL142/$AN$28)/12,0)*12,IF(C142="3113. Logements",ROUND(VLOOKUP(C142,'Informations générales'!$C$66:$E$70,3,FALSE)*(AL142/$AO$28)/12,0)*12,IF(C142="3114. Logements",ROUND(VLOOKUP(C142,'Informations générales'!$C$66:$E$70,3,FALSE)*(AL142/$AP$28)/12,0)*12,IF(C142="3115. Logements",ROUND(VLOOKUP(C142,'Informations générales'!$C$66:$E$70,3,FALSE)*(AL142/$AQ$28)/12,0)*12,"")))))</f>
        <v/>
      </c>
      <c r="AC142" s="114"/>
      <c r="AD142" s="113">
        <f t="shared" si="28"/>
        <v>0</v>
      </c>
      <c r="AE142" s="114"/>
      <c r="AF142" s="203" t="str">
        <f>IF(C142="3111. Logements",ROUND(VLOOKUP(C142,'Informations générales'!$C$66:$E$70,3,FALSE)*(AL142/$AM$28)/12,0)*12,IF(C142="3112. Logements",ROUND(VLOOKUP(C142,'Informations générales'!$C$66:$E$70,3,FALSE)*(AL142/$AN$28)/12,0)*12,IF(C142="3113. Logements",ROUND(VLOOKUP(C142,'Informations générales'!$C$66:$E$70,3,FALSE)*(AL142/$AO$28)/12,0)*12,IF(C142="3114. Logements",ROUND(VLOOKUP(C142,'Informations générales'!$C$66:$E$70,3,FALSE)*(AL142/$AP$28)/12,0)*12,IF(C142="3115. Logements",ROUND(VLOOKUP(C142,'Informations générales'!$C$66:$E$70,3,FALSE)*(AL142/$AQ$28)/12,0)*12,"")))))</f>
        <v/>
      </c>
      <c r="AG142" s="202"/>
      <c r="AH142" s="113" t="str">
        <f>IF(C142="3111. Logements",ROUND(VLOOKUP(C142,'Informations générales'!$C$66:$H$70,5,FALSE)*(AL142/$AM$28)/12,0)*12,IF(C142="3112. Logements",ROUND(VLOOKUP(C142,'Informations générales'!$C$66:$H$70,5,FALSE)*(AL142/$AN$28)/12,0)*12,IF(C142="3113. Logements",ROUND(VLOOKUP(C142,'Informations générales'!$C$66:$H$70,5,FALSE)*(AL142/$AO$28)/12,0)*12,IF(C142="3114. Logements",ROUND(VLOOKUP(C142,'Informations générales'!$C$66:$H$70,5,FALSE)*(AL142/$AP$28)/12,0)*12,IF(C142="3115. Logements",ROUND(VLOOKUP(C142,'Informations générales'!$C$66:$H$70,5,FALSE)*(AL142/$AQ$28)/12,0)*12,"")))))</f>
        <v/>
      </c>
      <c r="AI142" s="114"/>
      <c r="AJ142" s="114"/>
      <c r="AK142" s="76"/>
      <c r="AL142" s="58">
        <f t="shared" si="29"/>
        <v>0</v>
      </c>
      <c r="AM142" s="58"/>
      <c r="AN142" s="58"/>
      <c r="AO142" s="58"/>
      <c r="AP142" s="58"/>
      <c r="AQ142" s="58"/>
      <c r="AR142" s="58">
        <f t="shared" si="17"/>
        <v>0</v>
      </c>
      <c r="AS142" s="58">
        <f t="shared" si="18"/>
        <v>0</v>
      </c>
      <c r="AT142" s="58">
        <f t="shared" si="19"/>
        <v>0</v>
      </c>
      <c r="AU142" s="58">
        <f t="shared" si="20"/>
        <v>0</v>
      </c>
      <c r="AV142" s="58">
        <f t="shared" si="21"/>
        <v>0</v>
      </c>
      <c r="AW142" s="58">
        <f t="shared" si="22"/>
        <v>0</v>
      </c>
      <c r="AX142" s="58">
        <f t="shared" si="23"/>
        <v>0</v>
      </c>
      <c r="AY142" s="58">
        <f t="shared" si="30"/>
        <v>0</v>
      </c>
      <c r="AZ142" s="62">
        <f t="shared" si="24"/>
        <v>0</v>
      </c>
      <c r="BA142" s="63">
        <f t="shared" si="25"/>
        <v>0</v>
      </c>
      <c r="BB142" s="63">
        <f t="shared" si="26"/>
        <v>0</v>
      </c>
    </row>
    <row r="143" spans="3:54" s="17" customFormat="1" x14ac:dyDescent="0.25">
      <c r="C143" s="215"/>
      <c r="D143" s="216"/>
      <c r="E143" s="88"/>
      <c r="F143" s="217"/>
      <c r="G143" s="234"/>
      <c r="H143" s="218"/>
      <c r="I143" s="76"/>
      <c r="J143" s="77"/>
      <c r="K143" s="76"/>
      <c r="L143" s="78"/>
      <c r="M143" s="78"/>
      <c r="N143" s="76" t="s">
        <v>39</v>
      </c>
      <c r="O143" s="110"/>
      <c r="P143" s="152"/>
      <c r="Q143" s="111" t="str">
        <f>IFERROR(MIN(VLOOKUP(ROUNDDOWN(P143,0),'Aide calcul'!$B$2:$C$282,2,FALSE),O143+1),"")</f>
        <v/>
      </c>
      <c r="R143" s="112" t="str">
        <f t="shared" si="27"/>
        <v/>
      </c>
      <c r="S143" s="152"/>
      <c r="T143" s="152"/>
      <c r="U143" s="152"/>
      <c r="V143" s="152"/>
      <c r="W143" s="152"/>
      <c r="X143" s="152"/>
      <c r="Y143" s="152"/>
      <c r="Z143" s="76"/>
      <c r="AA143" s="76"/>
      <c r="AB143" s="113" t="str">
        <f>IF(C143="3111. Logements",ROUND(VLOOKUP(C143,'Informations générales'!$C$66:$E$70,3,FALSE)*(AL143/$AM$28)/12,0)*12,IF(C143="3112. Logements",ROUND(VLOOKUP(C143,'Informations générales'!$C$66:$E$70,3,FALSE)*(AL143/$AN$28)/12,0)*12,IF(C143="3113. Logements",ROUND(VLOOKUP(C143,'Informations générales'!$C$66:$E$70,3,FALSE)*(AL143/$AO$28)/12,0)*12,IF(C143="3114. Logements",ROUND(VLOOKUP(C143,'Informations générales'!$C$66:$E$70,3,FALSE)*(AL143/$AP$28)/12,0)*12,IF(C143="3115. Logements",ROUND(VLOOKUP(C143,'Informations générales'!$C$66:$E$70,3,FALSE)*(AL143/$AQ$28)/12,0)*12,"")))))</f>
        <v/>
      </c>
      <c r="AC143" s="114"/>
      <c r="AD143" s="113">
        <f t="shared" si="28"/>
        <v>0</v>
      </c>
      <c r="AE143" s="114"/>
      <c r="AF143" s="203" t="str">
        <f>IF(C143="3111. Logements",ROUND(VLOOKUP(C143,'Informations générales'!$C$66:$E$70,3,FALSE)*(AL143/$AM$28)/12,0)*12,IF(C143="3112. Logements",ROUND(VLOOKUP(C143,'Informations générales'!$C$66:$E$70,3,FALSE)*(AL143/$AN$28)/12,0)*12,IF(C143="3113. Logements",ROUND(VLOOKUP(C143,'Informations générales'!$C$66:$E$70,3,FALSE)*(AL143/$AO$28)/12,0)*12,IF(C143="3114. Logements",ROUND(VLOOKUP(C143,'Informations générales'!$C$66:$E$70,3,FALSE)*(AL143/$AP$28)/12,0)*12,IF(C143="3115. Logements",ROUND(VLOOKUP(C143,'Informations générales'!$C$66:$E$70,3,FALSE)*(AL143/$AQ$28)/12,0)*12,"")))))</f>
        <v/>
      </c>
      <c r="AG143" s="202"/>
      <c r="AH143" s="113" t="str">
        <f>IF(C143="3111. Logements",ROUND(VLOOKUP(C143,'Informations générales'!$C$66:$H$70,5,FALSE)*(AL143/$AM$28)/12,0)*12,IF(C143="3112. Logements",ROUND(VLOOKUP(C143,'Informations générales'!$C$66:$H$70,5,FALSE)*(AL143/$AN$28)/12,0)*12,IF(C143="3113. Logements",ROUND(VLOOKUP(C143,'Informations générales'!$C$66:$H$70,5,FALSE)*(AL143/$AO$28)/12,0)*12,IF(C143="3114. Logements",ROUND(VLOOKUP(C143,'Informations générales'!$C$66:$H$70,5,FALSE)*(AL143/$AP$28)/12,0)*12,IF(C143="3115. Logements",ROUND(VLOOKUP(C143,'Informations générales'!$C$66:$H$70,5,FALSE)*(AL143/$AQ$28)/12,0)*12,"")))))</f>
        <v/>
      </c>
      <c r="AI143" s="114"/>
      <c r="AJ143" s="114"/>
      <c r="AK143" s="76"/>
      <c r="AL143" s="58">
        <f t="shared" si="29"/>
        <v>0</v>
      </c>
      <c r="AM143" s="58"/>
      <c r="AN143" s="58"/>
      <c r="AO143" s="58"/>
      <c r="AP143" s="58"/>
      <c r="AQ143" s="58"/>
      <c r="AR143" s="58">
        <f t="shared" si="17"/>
        <v>0</v>
      </c>
      <c r="AS143" s="58">
        <f t="shared" si="18"/>
        <v>0</v>
      </c>
      <c r="AT143" s="58">
        <f t="shared" si="19"/>
        <v>0</v>
      </c>
      <c r="AU143" s="58">
        <f t="shared" si="20"/>
        <v>0</v>
      </c>
      <c r="AV143" s="58">
        <f t="shared" si="21"/>
        <v>0</v>
      </c>
      <c r="AW143" s="58">
        <f t="shared" si="22"/>
        <v>0</v>
      </c>
      <c r="AX143" s="58">
        <f t="shared" si="23"/>
        <v>0</v>
      </c>
      <c r="AY143" s="58">
        <f t="shared" si="30"/>
        <v>0</v>
      </c>
      <c r="AZ143" s="62">
        <f t="shared" si="24"/>
        <v>0</v>
      </c>
      <c r="BA143" s="63">
        <f t="shared" si="25"/>
        <v>0</v>
      </c>
      <c r="BB143" s="63">
        <f t="shared" si="26"/>
        <v>0</v>
      </c>
    </row>
    <row r="144" spans="3:54" s="17" customFormat="1" x14ac:dyDescent="0.25">
      <c r="C144" s="215"/>
      <c r="D144" s="216"/>
      <c r="E144" s="88"/>
      <c r="F144" s="217"/>
      <c r="G144" s="234"/>
      <c r="H144" s="218"/>
      <c r="I144" s="76"/>
      <c r="J144" s="77"/>
      <c r="K144" s="76"/>
      <c r="L144" s="78"/>
      <c r="M144" s="78"/>
      <c r="N144" s="76" t="s">
        <v>39</v>
      </c>
      <c r="O144" s="110"/>
      <c r="P144" s="152"/>
      <c r="Q144" s="111" t="str">
        <f>IFERROR(MIN(VLOOKUP(ROUNDDOWN(P144,0),'Aide calcul'!$B$2:$C$282,2,FALSE),O144+1),"")</f>
        <v/>
      </c>
      <c r="R144" s="112" t="str">
        <f t="shared" si="27"/>
        <v/>
      </c>
      <c r="S144" s="152"/>
      <c r="T144" s="152"/>
      <c r="U144" s="152"/>
      <c r="V144" s="152"/>
      <c r="W144" s="152"/>
      <c r="X144" s="152"/>
      <c r="Y144" s="152"/>
      <c r="Z144" s="76"/>
      <c r="AA144" s="76"/>
      <c r="AB144" s="113" t="str">
        <f>IF(C144="3111. Logements",ROUND(VLOOKUP(C144,'Informations générales'!$C$66:$E$70,3,FALSE)*(AL144/$AM$28)/12,0)*12,IF(C144="3112. Logements",ROUND(VLOOKUP(C144,'Informations générales'!$C$66:$E$70,3,FALSE)*(AL144/$AN$28)/12,0)*12,IF(C144="3113. Logements",ROUND(VLOOKUP(C144,'Informations générales'!$C$66:$E$70,3,FALSE)*(AL144/$AO$28)/12,0)*12,IF(C144="3114. Logements",ROUND(VLOOKUP(C144,'Informations générales'!$C$66:$E$70,3,FALSE)*(AL144/$AP$28)/12,0)*12,IF(C144="3115. Logements",ROUND(VLOOKUP(C144,'Informations générales'!$C$66:$E$70,3,FALSE)*(AL144/$AQ$28)/12,0)*12,"")))))</f>
        <v/>
      </c>
      <c r="AC144" s="114"/>
      <c r="AD144" s="113">
        <f t="shared" si="28"/>
        <v>0</v>
      </c>
      <c r="AE144" s="114"/>
      <c r="AF144" s="203" t="str">
        <f>IF(C144="3111. Logements",ROUND(VLOOKUP(C144,'Informations générales'!$C$66:$E$70,3,FALSE)*(AL144/$AM$28)/12,0)*12,IF(C144="3112. Logements",ROUND(VLOOKUP(C144,'Informations générales'!$C$66:$E$70,3,FALSE)*(AL144/$AN$28)/12,0)*12,IF(C144="3113. Logements",ROUND(VLOOKUP(C144,'Informations générales'!$C$66:$E$70,3,FALSE)*(AL144/$AO$28)/12,0)*12,IF(C144="3114. Logements",ROUND(VLOOKUP(C144,'Informations générales'!$C$66:$E$70,3,FALSE)*(AL144/$AP$28)/12,0)*12,IF(C144="3115. Logements",ROUND(VLOOKUP(C144,'Informations générales'!$C$66:$E$70,3,FALSE)*(AL144/$AQ$28)/12,0)*12,"")))))</f>
        <v/>
      </c>
      <c r="AG144" s="202"/>
      <c r="AH144" s="113" t="str">
        <f>IF(C144="3111. Logements",ROUND(VLOOKUP(C144,'Informations générales'!$C$66:$H$70,5,FALSE)*(AL144/$AM$28)/12,0)*12,IF(C144="3112. Logements",ROUND(VLOOKUP(C144,'Informations générales'!$C$66:$H$70,5,FALSE)*(AL144/$AN$28)/12,0)*12,IF(C144="3113. Logements",ROUND(VLOOKUP(C144,'Informations générales'!$C$66:$H$70,5,FALSE)*(AL144/$AO$28)/12,0)*12,IF(C144="3114. Logements",ROUND(VLOOKUP(C144,'Informations générales'!$C$66:$H$70,5,FALSE)*(AL144/$AP$28)/12,0)*12,IF(C144="3115. Logements",ROUND(VLOOKUP(C144,'Informations générales'!$C$66:$H$70,5,FALSE)*(AL144/$AQ$28)/12,0)*12,"")))))</f>
        <v/>
      </c>
      <c r="AI144" s="114"/>
      <c r="AJ144" s="114"/>
      <c r="AK144" s="76"/>
      <c r="AL144" s="58">
        <f t="shared" si="29"/>
        <v>0</v>
      </c>
      <c r="AM144" s="58"/>
      <c r="AN144" s="58"/>
      <c r="AO144" s="58"/>
      <c r="AP144" s="58"/>
      <c r="AQ144" s="58"/>
      <c r="AR144" s="58">
        <f t="shared" si="17"/>
        <v>0</v>
      </c>
      <c r="AS144" s="58">
        <f t="shared" si="18"/>
        <v>0</v>
      </c>
      <c r="AT144" s="58">
        <f t="shared" si="19"/>
        <v>0</v>
      </c>
      <c r="AU144" s="58">
        <f t="shared" si="20"/>
        <v>0</v>
      </c>
      <c r="AV144" s="58">
        <f t="shared" si="21"/>
        <v>0</v>
      </c>
      <c r="AW144" s="58">
        <f t="shared" si="22"/>
        <v>0</v>
      </c>
      <c r="AX144" s="58">
        <f t="shared" si="23"/>
        <v>0</v>
      </c>
      <c r="AY144" s="58">
        <f t="shared" si="30"/>
        <v>0</v>
      </c>
      <c r="AZ144" s="62">
        <f t="shared" si="24"/>
        <v>0</v>
      </c>
      <c r="BA144" s="63">
        <f t="shared" si="25"/>
        <v>0</v>
      </c>
      <c r="BB144" s="63">
        <f t="shared" si="26"/>
        <v>0</v>
      </c>
    </row>
    <row r="145" spans="3:54" s="17" customFormat="1" x14ac:dyDescent="0.25">
      <c r="C145" s="215"/>
      <c r="D145" s="216"/>
      <c r="E145" s="88"/>
      <c r="F145" s="217"/>
      <c r="G145" s="234"/>
      <c r="H145" s="218"/>
      <c r="I145" s="76"/>
      <c r="J145" s="77"/>
      <c r="K145" s="76"/>
      <c r="L145" s="78"/>
      <c r="M145" s="78"/>
      <c r="N145" s="76" t="s">
        <v>39</v>
      </c>
      <c r="O145" s="110"/>
      <c r="P145" s="152"/>
      <c r="Q145" s="111" t="str">
        <f>IFERROR(MIN(VLOOKUP(ROUNDDOWN(P145,0),'Aide calcul'!$B$2:$C$282,2,FALSE),O145+1),"")</f>
        <v/>
      </c>
      <c r="R145" s="112" t="str">
        <f t="shared" si="27"/>
        <v/>
      </c>
      <c r="S145" s="152"/>
      <c r="T145" s="152"/>
      <c r="U145" s="152"/>
      <c r="V145" s="152"/>
      <c r="W145" s="152"/>
      <c r="X145" s="152"/>
      <c r="Y145" s="152"/>
      <c r="Z145" s="76"/>
      <c r="AA145" s="76"/>
      <c r="AB145" s="113" t="str">
        <f>IF(C145="3111. Logements",ROUND(VLOOKUP(C145,'Informations générales'!$C$66:$E$70,3,FALSE)*(AL145/$AM$28)/12,0)*12,IF(C145="3112. Logements",ROUND(VLOOKUP(C145,'Informations générales'!$C$66:$E$70,3,FALSE)*(AL145/$AN$28)/12,0)*12,IF(C145="3113. Logements",ROUND(VLOOKUP(C145,'Informations générales'!$C$66:$E$70,3,FALSE)*(AL145/$AO$28)/12,0)*12,IF(C145="3114. Logements",ROUND(VLOOKUP(C145,'Informations générales'!$C$66:$E$70,3,FALSE)*(AL145/$AP$28)/12,0)*12,IF(C145="3115. Logements",ROUND(VLOOKUP(C145,'Informations générales'!$C$66:$E$70,3,FALSE)*(AL145/$AQ$28)/12,0)*12,"")))))</f>
        <v/>
      </c>
      <c r="AC145" s="114"/>
      <c r="AD145" s="113">
        <f t="shared" si="28"/>
        <v>0</v>
      </c>
      <c r="AE145" s="114"/>
      <c r="AF145" s="203" t="str">
        <f>IF(C145="3111. Logements",ROUND(VLOOKUP(C145,'Informations générales'!$C$66:$E$70,3,FALSE)*(AL145/$AM$28)/12,0)*12,IF(C145="3112. Logements",ROUND(VLOOKUP(C145,'Informations générales'!$C$66:$E$70,3,FALSE)*(AL145/$AN$28)/12,0)*12,IF(C145="3113. Logements",ROUND(VLOOKUP(C145,'Informations générales'!$C$66:$E$70,3,FALSE)*(AL145/$AO$28)/12,0)*12,IF(C145="3114. Logements",ROUND(VLOOKUP(C145,'Informations générales'!$C$66:$E$70,3,FALSE)*(AL145/$AP$28)/12,0)*12,IF(C145="3115. Logements",ROUND(VLOOKUP(C145,'Informations générales'!$C$66:$E$70,3,FALSE)*(AL145/$AQ$28)/12,0)*12,"")))))</f>
        <v/>
      </c>
      <c r="AG145" s="202"/>
      <c r="AH145" s="113" t="str">
        <f>IF(C145="3111. Logements",ROUND(VLOOKUP(C145,'Informations générales'!$C$66:$H$70,5,FALSE)*(AL145/$AM$28)/12,0)*12,IF(C145="3112. Logements",ROUND(VLOOKUP(C145,'Informations générales'!$C$66:$H$70,5,FALSE)*(AL145/$AN$28)/12,0)*12,IF(C145="3113. Logements",ROUND(VLOOKUP(C145,'Informations générales'!$C$66:$H$70,5,FALSE)*(AL145/$AO$28)/12,0)*12,IF(C145="3114. Logements",ROUND(VLOOKUP(C145,'Informations générales'!$C$66:$H$70,5,FALSE)*(AL145/$AP$28)/12,0)*12,IF(C145="3115. Logements",ROUND(VLOOKUP(C145,'Informations générales'!$C$66:$H$70,5,FALSE)*(AL145/$AQ$28)/12,0)*12,"")))))</f>
        <v/>
      </c>
      <c r="AI145" s="114"/>
      <c r="AJ145" s="114"/>
      <c r="AK145" s="76"/>
      <c r="AL145" s="58">
        <f t="shared" si="29"/>
        <v>0</v>
      </c>
      <c r="AM145" s="58"/>
      <c r="AN145" s="58"/>
      <c r="AO145" s="58"/>
      <c r="AP145" s="58"/>
      <c r="AQ145" s="58"/>
      <c r="AR145" s="58">
        <f t="shared" si="17"/>
        <v>0</v>
      </c>
      <c r="AS145" s="58">
        <f t="shared" si="18"/>
        <v>0</v>
      </c>
      <c r="AT145" s="58">
        <f t="shared" si="19"/>
        <v>0</v>
      </c>
      <c r="AU145" s="58">
        <f t="shared" si="20"/>
        <v>0</v>
      </c>
      <c r="AV145" s="58">
        <f t="shared" si="21"/>
        <v>0</v>
      </c>
      <c r="AW145" s="58">
        <f t="shared" si="22"/>
        <v>0</v>
      </c>
      <c r="AX145" s="58">
        <f t="shared" si="23"/>
        <v>0</v>
      </c>
      <c r="AY145" s="58">
        <f t="shared" si="30"/>
        <v>0</v>
      </c>
      <c r="AZ145" s="62">
        <f t="shared" si="24"/>
        <v>0</v>
      </c>
      <c r="BA145" s="63">
        <f t="shared" si="25"/>
        <v>0</v>
      </c>
      <c r="BB145" s="63">
        <f t="shared" si="26"/>
        <v>0</v>
      </c>
    </row>
    <row r="146" spans="3:54" s="17" customFormat="1" x14ac:dyDescent="0.25">
      <c r="C146" s="215"/>
      <c r="D146" s="216"/>
      <c r="E146" s="88"/>
      <c r="F146" s="217"/>
      <c r="G146" s="234"/>
      <c r="H146" s="218"/>
      <c r="I146" s="76"/>
      <c r="J146" s="77"/>
      <c r="K146" s="76"/>
      <c r="L146" s="78"/>
      <c r="M146" s="78"/>
      <c r="N146" s="76" t="s">
        <v>39</v>
      </c>
      <c r="O146" s="110"/>
      <c r="P146" s="152"/>
      <c r="Q146" s="111" t="str">
        <f>IFERROR(MIN(VLOOKUP(ROUNDDOWN(P146,0),'Aide calcul'!$B$2:$C$282,2,FALSE),O146+1),"")</f>
        <v/>
      </c>
      <c r="R146" s="112" t="str">
        <f t="shared" si="27"/>
        <v/>
      </c>
      <c r="S146" s="152"/>
      <c r="T146" s="152"/>
      <c r="U146" s="152"/>
      <c r="V146" s="152"/>
      <c r="W146" s="152"/>
      <c r="X146" s="152"/>
      <c r="Y146" s="152"/>
      <c r="Z146" s="76"/>
      <c r="AA146" s="76"/>
      <c r="AB146" s="113" t="str">
        <f>IF(C146="3111. Logements",ROUND(VLOOKUP(C146,'Informations générales'!$C$66:$E$70,3,FALSE)*(AL146/$AM$28)/12,0)*12,IF(C146="3112. Logements",ROUND(VLOOKUP(C146,'Informations générales'!$C$66:$E$70,3,FALSE)*(AL146/$AN$28)/12,0)*12,IF(C146="3113. Logements",ROUND(VLOOKUP(C146,'Informations générales'!$C$66:$E$70,3,FALSE)*(AL146/$AO$28)/12,0)*12,IF(C146="3114. Logements",ROUND(VLOOKUP(C146,'Informations générales'!$C$66:$E$70,3,FALSE)*(AL146/$AP$28)/12,0)*12,IF(C146="3115. Logements",ROUND(VLOOKUP(C146,'Informations générales'!$C$66:$E$70,3,FALSE)*(AL146/$AQ$28)/12,0)*12,"")))))</f>
        <v/>
      </c>
      <c r="AC146" s="114"/>
      <c r="AD146" s="113">
        <f t="shared" si="28"/>
        <v>0</v>
      </c>
      <c r="AE146" s="114"/>
      <c r="AF146" s="203" t="str">
        <f>IF(C146="3111. Logements",ROUND(VLOOKUP(C146,'Informations générales'!$C$66:$E$70,3,FALSE)*(AL146/$AM$28)/12,0)*12,IF(C146="3112. Logements",ROUND(VLOOKUP(C146,'Informations générales'!$C$66:$E$70,3,FALSE)*(AL146/$AN$28)/12,0)*12,IF(C146="3113. Logements",ROUND(VLOOKUP(C146,'Informations générales'!$C$66:$E$70,3,FALSE)*(AL146/$AO$28)/12,0)*12,IF(C146="3114. Logements",ROUND(VLOOKUP(C146,'Informations générales'!$C$66:$E$70,3,FALSE)*(AL146/$AP$28)/12,0)*12,IF(C146="3115. Logements",ROUND(VLOOKUP(C146,'Informations générales'!$C$66:$E$70,3,FALSE)*(AL146/$AQ$28)/12,0)*12,"")))))</f>
        <v/>
      </c>
      <c r="AG146" s="202"/>
      <c r="AH146" s="113" t="str">
        <f>IF(C146="3111. Logements",ROUND(VLOOKUP(C146,'Informations générales'!$C$66:$H$70,5,FALSE)*(AL146/$AM$28)/12,0)*12,IF(C146="3112. Logements",ROUND(VLOOKUP(C146,'Informations générales'!$C$66:$H$70,5,FALSE)*(AL146/$AN$28)/12,0)*12,IF(C146="3113. Logements",ROUND(VLOOKUP(C146,'Informations générales'!$C$66:$H$70,5,FALSE)*(AL146/$AO$28)/12,0)*12,IF(C146="3114. Logements",ROUND(VLOOKUP(C146,'Informations générales'!$C$66:$H$70,5,FALSE)*(AL146/$AP$28)/12,0)*12,IF(C146="3115. Logements",ROUND(VLOOKUP(C146,'Informations générales'!$C$66:$H$70,5,FALSE)*(AL146/$AQ$28)/12,0)*12,"")))))</f>
        <v/>
      </c>
      <c r="AI146" s="114"/>
      <c r="AJ146" s="114"/>
      <c r="AK146" s="76"/>
      <c r="AL146" s="58">
        <f t="shared" si="29"/>
        <v>0</v>
      </c>
      <c r="AM146" s="58"/>
      <c r="AN146" s="58"/>
      <c r="AO146" s="58"/>
      <c r="AP146" s="58"/>
      <c r="AQ146" s="58"/>
      <c r="AR146" s="58">
        <f t="shared" si="17"/>
        <v>0</v>
      </c>
      <c r="AS146" s="58">
        <f t="shared" si="18"/>
        <v>0</v>
      </c>
      <c r="AT146" s="58">
        <f t="shared" si="19"/>
        <v>0</v>
      </c>
      <c r="AU146" s="58">
        <f t="shared" si="20"/>
        <v>0</v>
      </c>
      <c r="AV146" s="58">
        <f t="shared" si="21"/>
        <v>0</v>
      </c>
      <c r="AW146" s="58">
        <f t="shared" si="22"/>
        <v>0</v>
      </c>
      <c r="AX146" s="58">
        <f t="shared" si="23"/>
        <v>0</v>
      </c>
      <c r="AY146" s="58">
        <f t="shared" si="30"/>
        <v>0</v>
      </c>
      <c r="AZ146" s="62">
        <f t="shared" si="24"/>
        <v>0</v>
      </c>
      <c r="BA146" s="63">
        <f t="shared" si="25"/>
        <v>0</v>
      </c>
      <c r="BB146" s="63">
        <f t="shared" si="26"/>
        <v>0</v>
      </c>
    </row>
    <row r="147" spans="3:54" s="17" customFormat="1" x14ac:dyDescent="0.25">
      <c r="C147" s="215"/>
      <c r="D147" s="216"/>
      <c r="E147" s="88"/>
      <c r="F147" s="217"/>
      <c r="G147" s="234"/>
      <c r="H147" s="218"/>
      <c r="I147" s="76"/>
      <c r="J147" s="77"/>
      <c r="K147" s="76"/>
      <c r="L147" s="78"/>
      <c r="M147" s="78"/>
      <c r="N147" s="76" t="s">
        <v>39</v>
      </c>
      <c r="O147" s="110"/>
      <c r="P147" s="152"/>
      <c r="Q147" s="111" t="str">
        <f>IFERROR(MIN(VLOOKUP(ROUNDDOWN(P147,0),'Aide calcul'!$B$2:$C$282,2,FALSE),O147+1),"")</f>
        <v/>
      </c>
      <c r="R147" s="112" t="str">
        <f t="shared" si="27"/>
        <v/>
      </c>
      <c r="S147" s="152"/>
      <c r="T147" s="152"/>
      <c r="U147" s="152"/>
      <c r="V147" s="152"/>
      <c r="W147" s="152"/>
      <c r="X147" s="152"/>
      <c r="Y147" s="152"/>
      <c r="Z147" s="76"/>
      <c r="AA147" s="76"/>
      <c r="AB147" s="113" t="str">
        <f>IF(C147="3111. Logements",ROUND(VLOOKUP(C147,'Informations générales'!$C$66:$E$70,3,FALSE)*(AL147/$AM$28)/12,0)*12,IF(C147="3112. Logements",ROUND(VLOOKUP(C147,'Informations générales'!$C$66:$E$70,3,FALSE)*(AL147/$AN$28)/12,0)*12,IF(C147="3113. Logements",ROUND(VLOOKUP(C147,'Informations générales'!$C$66:$E$70,3,FALSE)*(AL147/$AO$28)/12,0)*12,IF(C147="3114. Logements",ROUND(VLOOKUP(C147,'Informations générales'!$C$66:$E$70,3,FALSE)*(AL147/$AP$28)/12,0)*12,IF(C147="3115. Logements",ROUND(VLOOKUP(C147,'Informations générales'!$C$66:$E$70,3,FALSE)*(AL147/$AQ$28)/12,0)*12,"")))))</f>
        <v/>
      </c>
      <c r="AC147" s="114"/>
      <c r="AD147" s="113">
        <f t="shared" si="28"/>
        <v>0</v>
      </c>
      <c r="AE147" s="114"/>
      <c r="AF147" s="203" t="str">
        <f>IF(C147="3111. Logements",ROUND(VLOOKUP(C147,'Informations générales'!$C$66:$E$70,3,FALSE)*(AL147/$AM$28)/12,0)*12,IF(C147="3112. Logements",ROUND(VLOOKUP(C147,'Informations générales'!$C$66:$E$70,3,FALSE)*(AL147/$AN$28)/12,0)*12,IF(C147="3113. Logements",ROUND(VLOOKUP(C147,'Informations générales'!$C$66:$E$70,3,FALSE)*(AL147/$AO$28)/12,0)*12,IF(C147="3114. Logements",ROUND(VLOOKUP(C147,'Informations générales'!$C$66:$E$70,3,FALSE)*(AL147/$AP$28)/12,0)*12,IF(C147="3115. Logements",ROUND(VLOOKUP(C147,'Informations générales'!$C$66:$E$70,3,FALSE)*(AL147/$AQ$28)/12,0)*12,"")))))</f>
        <v/>
      </c>
      <c r="AG147" s="202"/>
      <c r="AH147" s="113" t="str">
        <f>IF(C147="3111. Logements",ROUND(VLOOKUP(C147,'Informations générales'!$C$66:$H$70,5,FALSE)*(AL147/$AM$28)/12,0)*12,IF(C147="3112. Logements",ROUND(VLOOKUP(C147,'Informations générales'!$C$66:$H$70,5,FALSE)*(AL147/$AN$28)/12,0)*12,IF(C147="3113. Logements",ROUND(VLOOKUP(C147,'Informations générales'!$C$66:$H$70,5,FALSE)*(AL147/$AO$28)/12,0)*12,IF(C147="3114. Logements",ROUND(VLOOKUP(C147,'Informations générales'!$C$66:$H$70,5,FALSE)*(AL147/$AP$28)/12,0)*12,IF(C147="3115. Logements",ROUND(VLOOKUP(C147,'Informations générales'!$C$66:$H$70,5,FALSE)*(AL147/$AQ$28)/12,0)*12,"")))))</f>
        <v/>
      </c>
      <c r="AI147" s="114"/>
      <c r="AJ147" s="114"/>
      <c r="AK147" s="76"/>
      <c r="AL147" s="58">
        <f t="shared" si="29"/>
        <v>0</v>
      </c>
      <c r="AM147" s="58"/>
      <c r="AN147" s="58"/>
      <c r="AO147" s="58"/>
      <c r="AP147" s="58"/>
      <c r="AQ147" s="58"/>
      <c r="AR147" s="58">
        <f t="shared" si="17"/>
        <v>0</v>
      </c>
      <c r="AS147" s="58">
        <f t="shared" si="18"/>
        <v>0</v>
      </c>
      <c r="AT147" s="58">
        <f t="shared" si="19"/>
        <v>0</v>
      </c>
      <c r="AU147" s="58">
        <f t="shared" si="20"/>
        <v>0</v>
      </c>
      <c r="AV147" s="58">
        <f t="shared" si="21"/>
        <v>0</v>
      </c>
      <c r="AW147" s="58">
        <f t="shared" si="22"/>
        <v>0</v>
      </c>
      <c r="AX147" s="58">
        <f t="shared" si="23"/>
        <v>0</v>
      </c>
      <c r="AY147" s="58">
        <f t="shared" si="30"/>
        <v>0</v>
      </c>
      <c r="AZ147" s="62">
        <f t="shared" si="24"/>
        <v>0</v>
      </c>
      <c r="BA147" s="63">
        <f t="shared" si="25"/>
        <v>0</v>
      </c>
      <c r="BB147" s="63">
        <f t="shared" si="26"/>
        <v>0</v>
      </c>
    </row>
    <row r="148" spans="3:54" s="17" customFormat="1" x14ac:dyDescent="0.25">
      <c r="C148" s="215"/>
      <c r="D148" s="216"/>
      <c r="E148" s="88"/>
      <c r="F148" s="217"/>
      <c r="G148" s="234"/>
      <c r="H148" s="218"/>
      <c r="I148" s="76"/>
      <c r="J148" s="77"/>
      <c r="K148" s="76"/>
      <c r="L148" s="78"/>
      <c r="M148" s="78"/>
      <c r="N148" s="76" t="s">
        <v>39</v>
      </c>
      <c r="O148" s="110"/>
      <c r="P148" s="152"/>
      <c r="Q148" s="111" t="str">
        <f>IFERROR(MIN(VLOOKUP(ROUNDDOWN(P148,0),'Aide calcul'!$B$2:$C$282,2,FALSE),O148+1),"")</f>
        <v/>
      </c>
      <c r="R148" s="112" t="str">
        <f t="shared" si="27"/>
        <v/>
      </c>
      <c r="S148" s="152"/>
      <c r="T148" s="152"/>
      <c r="U148" s="152"/>
      <c r="V148" s="152"/>
      <c r="W148" s="152"/>
      <c r="X148" s="152"/>
      <c r="Y148" s="152"/>
      <c r="Z148" s="76"/>
      <c r="AA148" s="76"/>
      <c r="AB148" s="113" t="str">
        <f>IF(C148="3111. Logements",ROUND(VLOOKUP(C148,'Informations générales'!$C$66:$E$70,3,FALSE)*(AL148/$AM$28)/12,0)*12,IF(C148="3112. Logements",ROUND(VLOOKUP(C148,'Informations générales'!$C$66:$E$70,3,FALSE)*(AL148/$AN$28)/12,0)*12,IF(C148="3113. Logements",ROUND(VLOOKUP(C148,'Informations générales'!$C$66:$E$70,3,FALSE)*(AL148/$AO$28)/12,0)*12,IF(C148="3114. Logements",ROUND(VLOOKUP(C148,'Informations générales'!$C$66:$E$70,3,FALSE)*(AL148/$AP$28)/12,0)*12,IF(C148="3115. Logements",ROUND(VLOOKUP(C148,'Informations générales'!$C$66:$E$70,3,FALSE)*(AL148/$AQ$28)/12,0)*12,"")))))</f>
        <v/>
      </c>
      <c r="AC148" s="114"/>
      <c r="AD148" s="113">
        <f t="shared" si="28"/>
        <v>0</v>
      </c>
      <c r="AE148" s="114"/>
      <c r="AF148" s="203" t="str">
        <f>IF(C148="3111. Logements",ROUND(VLOOKUP(C148,'Informations générales'!$C$66:$E$70,3,FALSE)*(AL148/$AM$28)/12,0)*12,IF(C148="3112. Logements",ROUND(VLOOKUP(C148,'Informations générales'!$C$66:$E$70,3,FALSE)*(AL148/$AN$28)/12,0)*12,IF(C148="3113. Logements",ROUND(VLOOKUP(C148,'Informations générales'!$C$66:$E$70,3,FALSE)*(AL148/$AO$28)/12,0)*12,IF(C148="3114. Logements",ROUND(VLOOKUP(C148,'Informations générales'!$C$66:$E$70,3,FALSE)*(AL148/$AP$28)/12,0)*12,IF(C148="3115. Logements",ROUND(VLOOKUP(C148,'Informations générales'!$C$66:$E$70,3,FALSE)*(AL148/$AQ$28)/12,0)*12,"")))))</f>
        <v/>
      </c>
      <c r="AG148" s="202"/>
      <c r="AH148" s="113" t="str">
        <f>IF(C148="3111. Logements",ROUND(VLOOKUP(C148,'Informations générales'!$C$66:$H$70,5,FALSE)*(AL148/$AM$28)/12,0)*12,IF(C148="3112. Logements",ROUND(VLOOKUP(C148,'Informations générales'!$C$66:$H$70,5,FALSE)*(AL148/$AN$28)/12,0)*12,IF(C148="3113. Logements",ROUND(VLOOKUP(C148,'Informations générales'!$C$66:$H$70,5,FALSE)*(AL148/$AO$28)/12,0)*12,IF(C148="3114. Logements",ROUND(VLOOKUP(C148,'Informations générales'!$C$66:$H$70,5,FALSE)*(AL148/$AP$28)/12,0)*12,IF(C148="3115. Logements",ROUND(VLOOKUP(C148,'Informations générales'!$C$66:$H$70,5,FALSE)*(AL148/$AQ$28)/12,0)*12,"")))))</f>
        <v/>
      </c>
      <c r="AI148" s="114"/>
      <c r="AJ148" s="114"/>
      <c r="AK148" s="76"/>
      <c r="AL148" s="58">
        <f t="shared" si="29"/>
        <v>0</v>
      </c>
      <c r="AM148" s="58"/>
      <c r="AN148" s="58"/>
      <c r="AO148" s="58"/>
      <c r="AP148" s="58"/>
      <c r="AQ148" s="58"/>
      <c r="AR148" s="58">
        <f t="shared" si="17"/>
        <v>0</v>
      </c>
      <c r="AS148" s="58">
        <f t="shared" si="18"/>
        <v>0</v>
      </c>
      <c r="AT148" s="58">
        <f t="shared" si="19"/>
        <v>0</v>
      </c>
      <c r="AU148" s="58">
        <f t="shared" si="20"/>
        <v>0</v>
      </c>
      <c r="AV148" s="58">
        <f t="shared" si="21"/>
        <v>0</v>
      </c>
      <c r="AW148" s="58">
        <f t="shared" si="22"/>
        <v>0</v>
      </c>
      <c r="AX148" s="58">
        <f t="shared" si="23"/>
        <v>0</v>
      </c>
      <c r="AY148" s="58">
        <f t="shared" si="30"/>
        <v>0</v>
      </c>
      <c r="AZ148" s="62">
        <f t="shared" si="24"/>
        <v>0</v>
      </c>
      <c r="BA148" s="63">
        <f t="shared" si="25"/>
        <v>0</v>
      </c>
      <c r="BB148" s="63">
        <f t="shared" si="26"/>
        <v>0</v>
      </c>
    </row>
    <row r="149" spans="3:54" s="17" customFormat="1" x14ac:dyDescent="0.25">
      <c r="C149" s="215"/>
      <c r="D149" s="216"/>
      <c r="E149" s="88"/>
      <c r="F149" s="217"/>
      <c r="G149" s="234"/>
      <c r="H149" s="218"/>
      <c r="I149" s="76"/>
      <c r="J149" s="77"/>
      <c r="K149" s="76"/>
      <c r="L149" s="78"/>
      <c r="M149" s="78"/>
      <c r="N149" s="76" t="s">
        <v>39</v>
      </c>
      <c r="O149" s="110"/>
      <c r="P149" s="152"/>
      <c r="Q149" s="111" t="str">
        <f>IFERROR(MIN(VLOOKUP(ROUNDDOWN(P149,0),'Aide calcul'!$B$2:$C$282,2,FALSE),O149+1),"")</f>
        <v/>
      </c>
      <c r="R149" s="112" t="str">
        <f t="shared" si="27"/>
        <v/>
      </c>
      <c r="S149" s="152"/>
      <c r="T149" s="152"/>
      <c r="U149" s="152"/>
      <c r="V149" s="152"/>
      <c r="W149" s="152"/>
      <c r="X149" s="152"/>
      <c r="Y149" s="152"/>
      <c r="Z149" s="76"/>
      <c r="AA149" s="76"/>
      <c r="AB149" s="113" t="str">
        <f>IF(C149="3111. Logements",ROUND(VLOOKUP(C149,'Informations générales'!$C$66:$E$70,3,FALSE)*(AL149/$AM$28)/12,0)*12,IF(C149="3112. Logements",ROUND(VLOOKUP(C149,'Informations générales'!$C$66:$E$70,3,FALSE)*(AL149/$AN$28)/12,0)*12,IF(C149="3113. Logements",ROUND(VLOOKUP(C149,'Informations générales'!$C$66:$E$70,3,FALSE)*(AL149/$AO$28)/12,0)*12,IF(C149="3114. Logements",ROUND(VLOOKUP(C149,'Informations générales'!$C$66:$E$70,3,FALSE)*(AL149/$AP$28)/12,0)*12,IF(C149="3115. Logements",ROUND(VLOOKUP(C149,'Informations générales'!$C$66:$E$70,3,FALSE)*(AL149/$AQ$28)/12,0)*12,"")))))</f>
        <v/>
      </c>
      <c r="AC149" s="114"/>
      <c r="AD149" s="113">
        <f t="shared" si="28"/>
        <v>0</v>
      </c>
      <c r="AE149" s="114"/>
      <c r="AF149" s="203" t="str">
        <f>IF(C149="3111. Logements",ROUND(VLOOKUP(C149,'Informations générales'!$C$66:$E$70,3,FALSE)*(AL149/$AM$28)/12,0)*12,IF(C149="3112. Logements",ROUND(VLOOKUP(C149,'Informations générales'!$C$66:$E$70,3,FALSE)*(AL149/$AN$28)/12,0)*12,IF(C149="3113. Logements",ROUND(VLOOKUP(C149,'Informations générales'!$C$66:$E$70,3,FALSE)*(AL149/$AO$28)/12,0)*12,IF(C149="3114. Logements",ROUND(VLOOKUP(C149,'Informations générales'!$C$66:$E$70,3,FALSE)*(AL149/$AP$28)/12,0)*12,IF(C149="3115. Logements",ROUND(VLOOKUP(C149,'Informations générales'!$C$66:$E$70,3,FALSE)*(AL149/$AQ$28)/12,0)*12,"")))))</f>
        <v/>
      </c>
      <c r="AG149" s="202"/>
      <c r="AH149" s="113" t="str">
        <f>IF(C149="3111. Logements",ROUND(VLOOKUP(C149,'Informations générales'!$C$66:$H$70,5,FALSE)*(AL149/$AM$28)/12,0)*12,IF(C149="3112. Logements",ROUND(VLOOKUP(C149,'Informations générales'!$C$66:$H$70,5,FALSE)*(AL149/$AN$28)/12,0)*12,IF(C149="3113. Logements",ROUND(VLOOKUP(C149,'Informations générales'!$C$66:$H$70,5,FALSE)*(AL149/$AO$28)/12,0)*12,IF(C149="3114. Logements",ROUND(VLOOKUP(C149,'Informations générales'!$C$66:$H$70,5,FALSE)*(AL149/$AP$28)/12,0)*12,IF(C149="3115. Logements",ROUND(VLOOKUP(C149,'Informations générales'!$C$66:$H$70,5,FALSE)*(AL149/$AQ$28)/12,0)*12,"")))))</f>
        <v/>
      </c>
      <c r="AI149" s="114"/>
      <c r="AJ149" s="114"/>
      <c r="AK149" s="76"/>
      <c r="AL149" s="58">
        <f t="shared" si="29"/>
        <v>0</v>
      </c>
      <c r="AM149" s="58"/>
      <c r="AN149" s="58"/>
      <c r="AO149" s="58"/>
      <c r="AP149" s="58"/>
      <c r="AQ149" s="58"/>
      <c r="AR149" s="58">
        <f t="shared" si="17"/>
        <v>0</v>
      </c>
      <c r="AS149" s="58">
        <f t="shared" si="18"/>
        <v>0</v>
      </c>
      <c r="AT149" s="58">
        <f t="shared" si="19"/>
        <v>0</v>
      </c>
      <c r="AU149" s="58">
        <f t="shared" si="20"/>
        <v>0</v>
      </c>
      <c r="AV149" s="58">
        <f t="shared" si="21"/>
        <v>0</v>
      </c>
      <c r="AW149" s="58">
        <f t="shared" si="22"/>
        <v>0</v>
      </c>
      <c r="AX149" s="58">
        <f t="shared" si="23"/>
        <v>0</v>
      </c>
      <c r="AY149" s="58">
        <f t="shared" si="30"/>
        <v>0</v>
      </c>
      <c r="AZ149" s="62">
        <f t="shared" si="24"/>
        <v>0</v>
      </c>
      <c r="BA149" s="63">
        <f t="shared" si="25"/>
        <v>0</v>
      </c>
      <c r="BB149" s="63">
        <f t="shared" si="26"/>
        <v>0</v>
      </c>
    </row>
    <row r="150" spans="3:54" s="17" customFormat="1" x14ac:dyDescent="0.25">
      <c r="C150" s="215"/>
      <c r="D150" s="216"/>
      <c r="E150" s="88"/>
      <c r="F150" s="217"/>
      <c r="G150" s="234"/>
      <c r="H150" s="218"/>
      <c r="I150" s="76"/>
      <c r="J150" s="77"/>
      <c r="K150" s="76"/>
      <c r="L150" s="78"/>
      <c r="M150" s="78"/>
      <c r="N150" s="76" t="s">
        <v>39</v>
      </c>
      <c r="O150" s="110"/>
      <c r="P150" s="152"/>
      <c r="Q150" s="111" t="str">
        <f>IFERROR(MIN(VLOOKUP(ROUNDDOWN(P150,0),'Aide calcul'!$B$2:$C$282,2,FALSE),O150+1),"")</f>
        <v/>
      </c>
      <c r="R150" s="112" t="str">
        <f t="shared" si="27"/>
        <v/>
      </c>
      <c r="S150" s="152"/>
      <c r="T150" s="152"/>
      <c r="U150" s="152"/>
      <c r="V150" s="152"/>
      <c r="W150" s="152"/>
      <c r="X150" s="152"/>
      <c r="Y150" s="152"/>
      <c r="Z150" s="76"/>
      <c r="AA150" s="76"/>
      <c r="AB150" s="113" t="str">
        <f>IF(C150="3111. Logements",ROUND(VLOOKUP(C150,'Informations générales'!$C$66:$E$70,3,FALSE)*(AL150/$AM$28)/12,0)*12,IF(C150="3112. Logements",ROUND(VLOOKUP(C150,'Informations générales'!$C$66:$E$70,3,FALSE)*(AL150/$AN$28)/12,0)*12,IF(C150="3113. Logements",ROUND(VLOOKUP(C150,'Informations générales'!$C$66:$E$70,3,FALSE)*(AL150/$AO$28)/12,0)*12,IF(C150="3114. Logements",ROUND(VLOOKUP(C150,'Informations générales'!$C$66:$E$70,3,FALSE)*(AL150/$AP$28)/12,0)*12,IF(C150="3115. Logements",ROUND(VLOOKUP(C150,'Informations générales'!$C$66:$E$70,3,FALSE)*(AL150/$AQ$28)/12,0)*12,"")))))</f>
        <v/>
      </c>
      <c r="AC150" s="114"/>
      <c r="AD150" s="113">
        <f t="shared" si="28"/>
        <v>0</v>
      </c>
      <c r="AE150" s="114"/>
      <c r="AF150" s="203" t="str">
        <f>IF(C150="3111. Logements",ROUND(VLOOKUP(C150,'Informations générales'!$C$66:$E$70,3,FALSE)*(AL150/$AM$28)/12,0)*12,IF(C150="3112. Logements",ROUND(VLOOKUP(C150,'Informations générales'!$C$66:$E$70,3,FALSE)*(AL150/$AN$28)/12,0)*12,IF(C150="3113. Logements",ROUND(VLOOKUP(C150,'Informations générales'!$C$66:$E$70,3,FALSE)*(AL150/$AO$28)/12,0)*12,IF(C150="3114. Logements",ROUND(VLOOKUP(C150,'Informations générales'!$C$66:$E$70,3,FALSE)*(AL150/$AP$28)/12,0)*12,IF(C150="3115. Logements",ROUND(VLOOKUP(C150,'Informations générales'!$C$66:$E$70,3,FALSE)*(AL150/$AQ$28)/12,0)*12,"")))))</f>
        <v/>
      </c>
      <c r="AG150" s="202"/>
      <c r="AH150" s="113" t="str">
        <f>IF(C150="3111. Logements",ROUND(VLOOKUP(C150,'Informations générales'!$C$66:$H$70,5,FALSE)*(AL150/$AM$28)/12,0)*12,IF(C150="3112. Logements",ROUND(VLOOKUP(C150,'Informations générales'!$C$66:$H$70,5,FALSE)*(AL150/$AN$28)/12,0)*12,IF(C150="3113. Logements",ROUND(VLOOKUP(C150,'Informations générales'!$C$66:$H$70,5,FALSE)*(AL150/$AO$28)/12,0)*12,IF(C150="3114. Logements",ROUND(VLOOKUP(C150,'Informations générales'!$C$66:$H$70,5,FALSE)*(AL150/$AP$28)/12,0)*12,IF(C150="3115. Logements",ROUND(VLOOKUP(C150,'Informations générales'!$C$66:$H$70,5,FALSE)*(AL150/$AQ$28)/12,0)*12,"")))))</f>
        <v/>
      </c>
      <c r="AI150" s="114"/>
      <c r="AJ150" s="114"/>
      <c r="AK150" s="76"/>
      <c r="AL150" s="58">
        <f t="shared" si="29"/>
        <v>0</v>
      </c>
      <c r="AM150" s="58"/>
      <c r="AN150" s="58"/>
      <c r="AO150" s="58"/>
      <c r="AP150" s="58"/>
      <c r="AQ150" s="58"/>
      <c r="AR150" s="58">
        <f t="shared" si="17"/>
        <v>0</v>
      </c>
      <c r="AS150" s="58">
        <f t="shared" si="18"/>
        <v>0</v>
      </c>
      <c r="AT150" s="58">
        <f t="shared" si="19"/>
        <v>0</v>
      </c>
      <c r="AU150" s="58">
        <f t="shared" si="20"/>
        <v>0</v>
      </c>
      <c r="AV150" s="58">
        <f t="shared" si="21"/>
        <v>0</v>
      </c>
      <c r="AW150" s="58">
        <f t="shared" si="22"/>
        <v>0</v>
      </c>
      <c r="AX150" s="58">
        <f t="shared" si="23"/>
        <v>0</v>
      </c>
      <c r="AY150" s="58">
        <f t="shared" si="30"/>
        <v>0</v>
      </c>
      <c r="AZ150" s="62">
        <f t="shared" si="24"/>
        <v>0</v>
      </c>
      <c r="BA150" s="63">
        <f t="shared" si="25"/>
        <v>0</v>
      </c>
      <c r="BB150" s="63">
        <f t="shared" si="26"/>
        <v>0</v>
      </c>
    </row>
    <row r="151" spans="3:54" s="17" customFormat="1" x14ac:dyDescent="0.25">
      <c r="C151" s="215"/>
      <c r="D151" s="216"/>
      <c r="E151" s="88"/>
      <c r="F151" s="217"/>
      <c r="G151" s="234"/>
      <c r="H151" s="218"/>
      <c r="I151" s="76"/>
      <c r="J151" s="77"/>
      <c r="K151" s="76"/>
      <c r="L151" s="78"/>
      <c r="M151" s="78"/>
      <c r="N151" s="76" t="s">
        <v>39</v>
      </c>
      <c r="O151" s="110"/>
      <c r="P151" s="152"/>
      <c r="Q151" s="111" t="str">
        <f>IFERROR(MIN(VLOOKUP(ROUNDDOWN(P151,0),'Aide calcul'!$B$2:$C$282,2,FALSE),O151+1),"")</f>
        <v/>
      </c>
      <c r="R151" s="112" t="str">
        <f t="shared" si="27"/>
        <v/>
      </c>
      <c r="S151" s="152"/>
      <c r="T151" s="152"/>
      <c r="U151" s="152"/>
      <c r="V151" s="152"/>
      <c r="W151" s="152"/>
      <c r="X151" s="152"/>
      <c r="Y151" s="152"/>
      <c r="Z151" s="76"/>
      <c r="AA151" s="76"/>
      <c r="AB151" s="113" t="str">
        <f>IF(C151="3111. Logements",ROUND(VLOOKUP(C151,'Informations générales'!$C$66:$E$70,3,FALSE)*(AL151/$AM$28)/12,0)*12,IF(C151="3112. Logements",ROUND(VLOOKUP(C151,'Informations générales'!$C$66:$E$70,3,FALSE)*(AL151/$AN$28)/12,0)*12,IF(C151="3113. Logements",ROUND(VLOOKUP(C151,'Informations générales'!$C$66:$E$70,3,FALSE)*(AL151/$AO$28)/12,0)*12,IF(C151="3114. Logements",ROUND(VLOOKUP(C151,'Informations générales'!$C$66:$E$70,3,FALSE)*(AL151/$AP$28)/12,0)*12,IF(C151="3115. Logements",ROUND(VLOOKUP(C151,'Informations générales'!$C$66:$E$70,3,FALSE)*(AL151/$AQ$28)/12,0)*12,"")))))</f>
        <v/>
      </c>
      <c r="AC151" s="114"/>
      <c r="AD151" s="113">
        <f t="shared" si="28"/>
        <v>0</v>
      </c>
      <c r="AE151" s="114"/>
      <c r="AF151" s="203" t="str">
        <f>IF(C151="3111. Logements",ROUND(VLOOKUP(C151,'Informations générales'!$C$66:$E$70,3,FALSE)*(AL151/$AM$28)/12,0)*12,IF(C151="3112. Logements",ROUND(VLOOKUP(C151,'Informations générales'!$C$66:$E$70,3,FALSE)*(AL151/$AN$28)/12,0)*12,IF(C151="3113. Logements",ROUND(VLOOKUP(C151,'Informations générales'!$C$66:$E$70,3,FALSE)*(AL151/$AO$28)/12,0)*12,IF(C151="3114. Logements",ROUND(VLOOKUP(C151,'Informations générales'!$C$66:$E$70,3,FALSE)*(AL151/$AP$28)/12,0)*12,IF(C151="3115. Logements",ROUND(VLOOKUP(C151,'Informations générales'!$C$66:$E$70,3,FALSE)*(AL151/$AQ$28)/12,0)*12,"")))))</f>
        <v/>
      </c>
      <c r="AG151" s="202"/>
      <c r="AH151" s="113" t="str">
        <f>IF(C151="3111. Logements",ROUND(VLOOKUP(C151,'Informations générales'!$C$66:$H$70,5,FALSE)*(AL151/$AM$28)/12,0)*12,IF(C151="3112. Logements",ROUND(VLOOKUP(C151,'Informations générales'!$C$66:$H$70,5,FALSE)*(AL151/$AN$28)/12,0)*12,IF(C151="3113. Logements",ROUND(VLOOKUP(C151,'Informations générales'!$C$66:$H$70,5,FALSE)*(AL151/$AO$28)/12,0)*12,IF(C151="3114. Logements",ROUND(VLOOKUP(C151,'Informations générales'!$C$66:$H$70,5,FALSE)*(AL151/$AP$28)/12,0)*12,IF(C151="3115. Logements",ROUND(VLOOKUP(C151,'Informations générales'!$C$66:$H$70,5,FALSE)*(AL151/$AQ$28)/12,0)*12,"")))))</f>
        <v/>
      </c>
      <c r="AI151" s="114"/>
      <c r="AJ151" s="114"/>
      <c r="AK151" s="76"/>
      <c r="AL151" s="58">
        <f t="shared" si="29"/>
        <v>0</v>
      </c>
      <c r="AM151" s="58"/>
      <c r="AN151" s="58"/>
      <c r="AO151" s="58"/>
      <c r="AP151" s="58"/>
      <c r="AQ151" s="58"/>
      <c r="AR151" s="58">
        <f t="shared" si="17"/>
        <v>0</v>
      </c>
      <c r="AS151" s="58">
        <f t="shared" si="18"/>
        <v>0</v>
      </c>
      <c r="AT151" s="58">
        <f t="shared" si="19"/>
        <v>0</v>
      </c>
      <c r="AU151" s="58">
        <f t="shared" si="20"/>
        <v>0</v>
      </c>
      <c r="AV151" s="58">
        <f t="shared" si="21"/>
        <v>0</v>
      </c>
      <c r="AW151" s="58">
        <f t="shared" si="22"/>
        <v>0</v>
      </c>
      <c r="AX151" s="58">
        <f t="shared" si="23"/>
        <v>0</v>
      </c>
      <c r="AY151" s="58">
        <f t="shared" si="30"/>
        <v>0</v>
      </c>
      <c r="AZ151" s="62">
        <f t="shared" si="24"/>
        <v>0</v>
      </c>
      <c r="BA151" s="63">
        <f t="shared" si="25"/>
        <v>0</v>
      </c>
      <c r="BB151" s="63">
        <f t="shared" si="26"/>
        <v>0</v>
      </c>
    </row>
    <row r="152" spans="3:54" s="17" customFormat="1" x14ac:dyDescent="0.25">
      <c r="C152" s="215"/>
      <c r="D152" s="216"/>
      <c r="E152" s="88"/>
      <c r="F152" s="217"/>
      <c r="G152" s="234"/>
      <c r="H152" s="218"/>
      <c r="I152" s="76"/>
      <c r="J152" s="77"/>
      <c r="K152" s="76"/>
      <c r="L152" s="78"/>
      <c r="M152" s="78"/>
      <c r="N152" s="76" t="s">
        <v>39</v>
      </c>
      <c r="O152" s="110"/>
      <c r="P152" s="152"/>
      <c r="Q152" s="111" t="str">
        <f>IFERROR(MIN(VLOOKUP(ROUNDDOWN(P152,0),'Aide calcul'!$B$2:$C$282,2,FALSE),O152+1),"")</f>
        <v/>
      </c>
      <c r="R152" s="112" t="str">
        <f t="shared" si="27"/>
        <v/>
      </c>
      <c r="S152" s="152"/>
      <c r="T152" s="152"/>
      <c r="U152" s="152"/>
      <c r="V152" s="152"/>
      <c r="W152" s="152"/>
      <c r="X152" s="152"/>
      <c r="Y152" s="152"/>
      <c r="Z152" s="76"/>
      <c r="AA152" s="76"/>
      <c r="AB152" s="113" t="str">
        <f>IF(C152="3111. Logements",ROUND(VLOOKUP(C152,'Informations générales'!$C$66:$E$70,3,FALSE)*(AL152/$AM$28)/12,0)*12,IF(C152="3112. Logements",ROUND(VLOOKUP(C152,'Informations générales'!$C$66:$E$70,3,FALSE)*(AL152/$AN$28)/12,0)*12,IF(C152="3113. Logements",ROUND(VLOOKUP(C152,'Informations générales'!$C$66:$E$70,3,FALSE)*(AL152/$AO$28)/12,0)*12,IF(C152="3114. Logements",ROUND(VLOOKUP(C152,'Informations générales'!$C$66:$E$70,3,FALSE)*(AL152/$AP$28)/12,0)*12,IF(C152="3115. Logements",ROUND(VLOOKUP(C152,'Informations générales'!$C$66:$E$70,3,FALSE)*(AL152/$AQ$28)/12,0)*12,"")))))</f>
        <v/>
      </c>
      <c r="AC152" s="114"/>
      <c r="AD152" s="113">
        <f t="shared" si="28"/>
        <v>0</v>
      </c>
      <c r="AE152" s="114"/>
      <c r="AF152" s="203" t="str">
        <f>IF(C152="3111. Logements",ROUND(VLOOKUP(C152,'Informations générales'!$C$66:$E$70,3,FALSE)*(AL152/$AM$28)/12,0)*12,IF(C152="3112. Logements",ROUND(VLOOKUP(C152,'Informations générales'!$C$66:$E$70,3,FALSE)*(AL152/$AN$28)/12,0)*12,IF(C152="3113. Logements",ROUND(VLOOKUP(C152,'Informations générales'!$C$66:$E$70,3,FALSE)*(AL152/$AO$28)/12,0)*12,IF(C152="3114. Logements",ROUND(VLOOKUP(C152,'Informations générales'!$C$66:$E$70,3,FALSE)*(AL152/$AP$28)/12,0)*12,IF(C152="3115. Logements",ROUND(VLOOKUP(C152,'Informations générales'!$C$66:$E$70,3,FALSE)*(AL152/$AQ$28)/12,0)*12,"")))))</f>
        <v/>
      </c>
      <c r="AG152" s="202"/>
      <c r="AH152" s="113" t="str">
        <f>IF(C152="3111. Logements",ROUND(VLOOKUP(C152,'Informations générales'!$C$66:$H$70,5,FALSE)*(AL152/$AM$28)/12,0)*12,IF(C152="3112. Logements",ROUND(VLOOKUP(C152,'Informations générales'!$C$66:$H$70,5,FALSE)*(AL152/$AN$28)/12,0)*12,IF(C152="3113. Logements",ROUND(VLOOKUP(C152,'Informations générales'!$C$66:$H$70,5,FALSE)*(AL152/$AO$28)/12,0)*12,IF(C152="3114. Logements",ROUND(VLOOKUP(C152,'Informations générales'!$C$66:$H$70,5,FALSE)*(AL152/$AP$28)/12,0)*12,IF(C152="3115. Logements",ROUND(VLOOKUP(C152,'Informations générales'!$C$66:$H$70,5,FALSE)*(AL152/$AQ$28)/12,0)*12,"")))))</f>
        <v/>
      </c>
      <c r="AI152" s="114"/>
      <c r="AJ152" s="114"/>
      <c r="AK152" s="76"/>
      <c r="AL152" s="58">
        <f t="shared" si="29"/>
        <v>0</v>
      </c>
      <c r="AM152" s="58"/>
      <c r="AN152" s="58"/>
      <c r="AO152" s="58"/>
      <c r="AP152" s="58"/>
      <c r="AQ152" s="58"/>
      <c r="AR152" s="58">
        <f t="shared" si="17"/>
        <v>0</v>
      </c>
      <c r="AS152" s="58">
        <f t="shared" si="18"/>
        <v>0</v>
      </c>
      <c r="AT152" s="58">
        <f t="shared" si="19"/>
        <v>0</v>
      </c>
      <c r="AU152" s="58">
        <f t="shared" si="20"/>
        <v>0</v>
      </c>
      <c r="AV152" s="58">
        <f t="shared" si="21"/>
        <v>0</v>
      </c>
      <c r="AW152" s="58">
        <f t="shared" si="22"/>
        <v>0</v>
      </c>
      <c r="AX152" s="58">
        <f t="shared" si="23"/>
        <v>0</v>
      </c>
      <c r="AY152" s="58">
        <f t="shared" si="30"/>
        <v>0</v>
      </c>
      <c r="AZ152" s="62">
        <f t="shared" si="24"/>
        <v>0</v>
      </c>
      <c r="BA152" s="63">
        <f t="shared" si="25"/>
        <v>0</v>
      </c>
      <c r="BB152" s="63">
        <f t="shared" si="26"/>
        <v>0</v>
      </c>
    </row>
    <row r="153" spans="3:54" s="17" customFormat="1" x14ac:dyDescent="0.25">
      <c r="C153" s="215"/>
      <c r="D153" s="216"/>
      <c r="E153" s="88"/>
      <c r="F153" s="217"/>
      <c r="G153" s="234"/>
      <c r="H153" s="218"/>
      <c r="I153" s="76"/>
      <c r="J153" s="77"/>
      <c r="K153" s="76"/>
      <c r="L153" s="78"/>
      <c r="M153" s="78"/>
      <c r="N153" s="76" t="s">
        <v>39</v>
      </c>
      <c r="O153" s="110"/>
      <c r="P153" s="152"/>
      <c r="Q153" s="111" t="str">
        <f>IFERROR(MIN(VLOOKUP(ROUNDDOWN(P153,0),'Aide calcul'!$B$2:$C$282,2,FALSE),O153+1),"")</f>
        <v/>
      </c>
      <c r="R153" s="112" t="str">
        <f t="shared" si="27"/>
        <v/>
      </c>
      <c r="S153" s="152"/>
      <c r="T153" s="152"/>
      <c r="U153" s="152"/>
      <c r="V153" s="152"/>
      <c r="W153" s="152"/>
      <c r="X153" s="152"/>
      <c r="Y153" s="152"/>
      <c r="Z153" s="76"/>
      <c r="AA153" s="76"/>
      <c r="AB153" s="113" t="str">
        <f>IF(C153="3111. Logements",ROUND(VLOOKUP(C153,'Informations générales'!$C$66:$E$70,3,FALSE)*(AL153/$AM$28)/12,0)*12,IF(C153="3112. Logements",ROUND(VLOOKUP(C153,'Informations générales'!$C$66:$E$70,3,FALSE)*(AL153/$AN$28)/12,0)*12,IF(C153="3113. Logements",ROUND(VLOOKUP(C153,'Informations générales'!$C$66:$E$70,3,FALSE)*(AL153/$AO$28)/12,0)*12,IF(C153="3114. Logements",ROUND(VLOOKUP(C153,'Informations générales'!$C$66:$E$70,3,FALSE)*(AL153/$AP$28)/12,0)*12,IF(C153="3115. Logements",ROUND(VLOOKUP(C153,'Informations générales'!$C$66:$E$70,3,FALSE)*(AL153/$AQ$28)/12,0)*12,"")))))</f>
        <v/>
      </c>
      <c r="AC153" s="114"/>
      <c r="AD153" s="113">
        <f t="shared" si="28"/>
        <v>0</v>
      </c>
      <c r="AE153" s="114"/>
      <c r="AF153" s="203" t="str">
        <f>IF(C153="3111. Logements",ROUND(VLOOKUP(C153,'Informations générales'!$C$66:$E$70,3,FALSE)*(AL153/$AM$28)/12,0)*12,IF(C153="3112. Logements",ROUND(VLOOKUP(C153,'Informations générales'!$C$66:$E$70,3,FALSE)*(AL153/$AN$28)/12,0)*12,IF(C153="3113. Logements",ROUND(VLOOKUP(C153,'Informations générales'!$C$66:$E$70,3,FALSE)*(AL153/$AO$28)/12,0)*12,IF(C153="3114. Logements",ROUND(VLOOKUP(C153,'Informations générales'!$C$66:$E$70,3,FALSE)*(AL153/$AP$28)/12,0)*12,IF(C153="3115. Logements",ROUND(VLOOKUP(C153,'Informations générales'!$C$66:$E$70,3,FALSE)*(AL153/$AQ$28)/12,0)*12,"")))))</f>
        <v/>
      </c>
      <c r="AG153" s="202"/>
      <c r="AH153" s="113" t="str">
        <f>IF(C153="3111. Logements",ROUND(VLOOKUP(C153,'Informations générales'!$C$66:$H$70,5,FALSE)*(AL153/$AM$28)/12,0)*12,IF(C153="3112. Logements",ROUND(VLOOKUP(C153,'Informations générales'!$C$66:$H$70,5,FALSE)*(AL153/$AN$28)/12,0)*12,IF(C153="3113. Logements",ROUND(VLOOKUP(C153,'Informations générales'!$C$66:$H$70,5,FALSE)*(AL153/$AO$28)/12,0)*12,IF(C153="3114. Logements",ROUND(VLOOKUP(C153,'Informations générales'!$C$66:$H$70,5,FALSE)*(AL153/$AP$28)/12,0)*12,IF(C153="3115. Logements",ROUND(VLOOKUP(C153,'Informations générales'!$C$66:$H$70,5,FALSE)*(AL153/$AQ$28)/12,0)*12,"")))))</f>
        <v/>
      </c>
      <c r="AI153" s="114"/>
      <c r="AJ153" s="114"/>
      <c r="AK153" s="76"/>
      <c r="AL153" s="58">
        <f t="shared" si="29"/>
        <v>0</v>
      </c>
      <c r="AM153" s="58"/>
      <c r="AN153" s="58"/>
      <c r="AO153" s="58"/>
      <c r="AP153" s="58"/>
      <c r="AQ153" s="58"/>
      <c r="AR153" s="58">
        <f t="shared" si="17"/>
        <v>0</v>
      </c>
      <c r="AS153" s="58">
        <f t="shared" si="18"/>
        <v>0</v>
      </c>
      <c r="AT153" s="58">
        <f t="shared" si="19"/>
        <v>0</v>
      </c>
      <c r="AU153" s="58">
        <f t="shared" si="20"/>
        <v>0</v>
      </c>
      <c r="AV153" s="58">
        <f t="shared" si="21"/>
        <v>0</v>
      </c>
      <c r="AW153" s="58">
        <f t="shared" si="22"/>
        <v>0</v>
      </c>
      <c r="AX153" s="58">
        <f t="shared" si="23"/>
        <v>0</v>
      </c>
      <c r="AY153" s="58">
        <f t="shared" si="30"/>
        <v>0</v>
      </c>
      <c r="AZ153" s="62">
        <f t="shared" si="24"/>
        <v>0</v>
      </c>
      <c r="BA153" s="63">
        <f t="shared" si="25"/>
        <v>0</v>
      </c>
      <c r="BB153" s="63">
        <f t="shared" si="26"/>
        <v>0</v>
      </c>
    </row>
    <row r="154" spans="3:54" s="17" customFormat="1" x14ac:dyDescent="0.25">
      <c r="C154" s="215"/>
      <c r="D154" s="216"/>
      <c r="E154" s="88"/>
      <c r="F154" s="217"/>
      <c r="G154" s="234"/>
      <c r="H154" s="218"/>
      <c r="I154" s="76"/>
      <c r="J154" s="77"/>
      <c r="K154" s="76"/>
      <c r="L154" s="78"/>
      <c r="M154" s="78"/>
      <c r="N154" s="76" t="s">
        <v>39</v>
      </c>
      <c r="O154" s="110"/>
      <c r="P154" s="152"/>
      <c r="Q154" s="111" t="str">
        <f>IFERROR(MIN(VLOOKUP(ROUNDDOWN(P154,0),'Aide calcul'!$B$2:$C$282,2,FALSE),O154+1),"")</f>
        <v/>
      </c>
      <c r="R154" s="112" t="str">
        <f t="shared" si="27"/>
        <v/>
      </c>
      <c r="S154" s="152"/>
      <c r="T154" s="152"/>
      <c r="U154" s="152"/>
      <c r="V154" s="152"/>
      <c r="W154" s="152"/>
      <c r="X154" s="152"/>
      <c r="Y154" s="152"/>
      <c r="Z154" s="76"/>
      <c r="AA154" s="76"/>
      <c r="AB154" s="113" t="str">
        <f>IF(C154="3111. Logements",ROUND(VLOOKUP(C154,'Informations générales'!$C$66:$E$70,3,FALSE)*(AL154/$AM$28)/12,0)*12,IF(C154="3112. Logements",ROUND(VLOOKUP(C154,'Informations générales'!$C$66:$E$70,3,FALSE)*(AL154/$AN$28)/12,0)*12,IF(C154="3113. Logements",ROUND(VLOOKUP(C154,'Informations générales'!$C$66:$E$70,3,FALSE)*(AL154/$AO$28)/12,0)*12,IF(C154="3114. Logements",ROUND(VLOOKUP(C154,'Informations générales'!$C$66:$E$70,3,FALSE)*(AL154/$AP$28)/12,0)*12,IF(C154="3115. Logements",ROUND(VLOOKUP(C154,'Informations générales'!$C$66:$E$70,3,FALSE)*(AL154/$AQ$28)/12,0)*12,"")))))</f>
        <v/>
      </c>
      <c r="AC154" s="114"/>
      <c r="AD154" s="113">
        <f t="shared" si="28"/>
        <v>0</v>
      </c>
      <c r="AE154" s="114"/>
      <c r="AF154" s="203" t="str">
        <f>IF(C154="3111. Logements",ROUND(VLOOKUP(C154,'Informations générales'!$C$66:$E$70,3,FALSE)*(AL154/$AM$28)/12,0)*12,IF(C154="3112. Logements",ROUND(VLOOKUP(C154,'Informations générales'!$C$66:$E$70,3,FALSE)*(AL154/$AN$28)/12,0)*12,IF(C154="3113. Logements",ROUND(VLOOKUP(C154,'Informations générales'!$C$66:$E$70,3,FALSE)*(AL154/$AO$28)/12,0)*12,IF(C154="3114. Logements",ROUND(VLOOKUP(C154,'Informations générales'!$C$66:$E$70,3,FALSE)*(AL154/$AP$28)/12,0)*12,IF(C154="3115. Logements",ROUND(VLOOKUP(C154,'Informations générales'!$C$66:$E$70,3,FALSE)*(AL154/$AQ$28)/12,0)*12,"")))))</f>
        <v/>
      </c>
      <c r="AG154" s="202"/>
      <c r="AH154" s="113" t="str">
        <f>IF(C154="3111. Logements",ROUND(VLOOKUP(C154,'Informations générales'!$C$66:$H$70,5,FALSE)*(AL154/$AM$28)/12,0)*12,IF(C154="3112. Logements",ROUND(VLOOKUP(C154,'Informations générales'!$C$66:$H$70,5,FALSE)*(AL154/$AN$28)/12,0)*12,IF(C154="3113. Logements",ROUND(VLOOKUP(C154,'Informations générales'!$C$66:$H$70,5,FALSE)*(AL154/$AO$28)/12,0)*12,IF(C154="3114. Logements",ROUND(VLOOKUP(C154,'Informations générales'!$C$66:$H$70,5,FALSE)*(AL154/$AP$28)/12,0)*12,IF(C154="3115. Logements",ROUND(VLOOKUP(C154,'Informations générales'!$C$66:$H$70,5,FALSE)*(AL154/$AQ$28)/12,0)*12,"")))))</f>
        <v/>
      </c>
      <c r="AI154" s="114"/>
      <c r="AJ154" s="114"/>
      <c r="AK154" s="76"/>
      <c r="AL154" s="58">
        <f t="shared" si="29"/>
        <v>0</v>
      </c>
      <c r="AM154" s="58"/>
      <c r="AN154" s="58"/>
      <c r="AO154" s="58"/>
      <c r="AP154" s="58"/>
      <c r="AQ154" s="58"/>
      <c r="AR154" s="58">
        <f t="shared" si="17"/>
        <v>0</v>
      </c>
      <c r="AS154" s="58">
        <f t="shared" si="18"/>
        <v>0</v>
      </c>
      <c r="AT154" s="58">
        <f t="shared" si="19"/>
        <v>0</v>
      </c>
      <c r="AU154" s="58">
        <f t="shared" si="20"/>
        <v>0</v>
      </c>
      <c r="AV154" s="58">
        <f t="shared" si="21"/>
        <v>0</v>
      </c>
      <c r="AW154" s="58">
        <f t="shared" si="22"/>
        <v>0</v>
      </c>
      <c r="AX154" s="58">
        <f t="shared" si="23"/>
        <v>0</v>
      </c>
      <c r="AY154" s="58">
        <f t="shared" si="30"/>
        <v>0</v>
      </c>
      <c r="AZ154" s="62">
        <f t="shared" si="24"/>
        <v>0</v>
      </c>
      <c r="BA154" s="63">
        <f t="shared" si="25"/>
        <v>0</v>
      </c>
      <c r="BB154" s="63">
        <f t="shared" si="26"/>
        <v>0</v>
      </c>
    </row>
    <row r="155" spans="3:54" s="17" customFormat="1" x14ac:dyDescent="0.25">
      <c r="C155" s="215"/>
      <c r="D155" s="216"/>
      <c r="E155" s="88"/>
      <c r="F155" s="217"/>
      <c r="G155" s="234"/>
      <c r="H155" s="218"/>
      <c r="I155" s="76"/>
      <c r="J155" s="77"/>
      <c r="K155" s="76"/>
      <c r="L155" s="78"/>
      <c r="M155" s="78"/>
      <c r="N155" s="76" t="s">
        <v>39</v>
      </c>
      <c r="O155" s="110"/>
      <c r="P155" s="152"/>
      <c r="Q155" s="111" t="str">
        <f>IFERROR(MIN(VLOOKUP(ROUNDDOWN(P155,0),'Aide calcul'!$B$2:$C$282,2,FALSE),O155+1),"")</f>
        <v/>
      </c>
      <c r="R155" s="112" t="str">
        <f t="shared" si="27"/>
        <v/>
      </c>
      <c r="S155" s="152"/>
      <c r="T155" s="152"/>
      <c r="U155" s="152"/>
      <c r="V155" s="152"/>
      <c r="W155" s="152"/>
      <c r="X155" s="152"/>
      <c r="Y155" s="152"/>
      <c r="Z155" s="76"/>
      <c r="AA155" s="76"/>
      <c r="AB155" s="113" t="str">
        <f>IF(C155="3111. Logements",ROUND(VLOOKUP(C155,'Informations générales'!$C$66:$E$70,3,FALSE)*(AL155/$AM$28)/12,0)*12,IF(C155="3112. Logements",ROUND(VLOOKUP(C155,'Informations générales'!$C$66:$E$70,3,FALSE)*(AL155/$AN$28)/12,0)*12,IF(C155="3113. Logements",ROUND(VLOOKUP(C155,'Informations générales'!$C$66:$E$70,3,FALSE)*(AL155/$AO$28)/12,0)*12,IF(C155="3114. Logements",ROUND(VLOOKUP(C155,'Informations générales'!$C$66:$E$70,3,FALSE)*(AL155/$AP$28)/12,0)*12,IF(C155="3115. Logements",ROUND(VLOOKUP(C155,'Informations générales'!$C$66:$E$70,3,FALSE)*(AL155/$AQ$28)/12,0)*12,"")))))</f>
        <v/>
      </c>
      <c r="AC155" s="114"/>
      <c r="AD155" s="113">
        <f t="shared" si="28"/>
        <v>0</v>
      </c>
      <c r="AE155" s="114"/>
      <c r="AF155" s="203" t="str">
        <f>IF(C155="3111. Logements",ROUND(VLOOKUP(C155,'Informations générales'!$C$66:$E$70,3,FALSE)*(AL155/$AM$28)/12,0)*12,IF(C155="3112. Logements",ROUND(VLOOKUP(C155,'Informations générales'!$C$66:$E$70,3,FALSE)*(AL155/$AN$28)/12,0)*12,IF(C155="3113. Logements",ROUND(VLOOKUP(C155,'Informations générales'!$C$66:$E$70,3,FALSE)*(AL155/$AO$28)/12,0)*12,IF(C155="3114. Logements",ROUND(VLOOKUP(C155,'Informations générales'!$C$66:$E$70,3,FALSE)*(AL155/$AP$28)/12,0)*12,IF(C155="3115. Logements",ROUND(VLOOKUP(C155,'Informations générales'!$C$66:$E$70,3,FALSE)*(AL155/$AQ$28)/12,0)*12,"")))))</f>
        <v/>
      </c>
      <c r="AG155" s="202"/>
      <c r="AH155" s="113" t="str">
        <f>IF(C155="3111. Logements",ROUND(VLOOKUP(C155,'Informations générales'!$C$66:$H$70,5,FALSE)*(AL155/$AM$28)/12,0)*12,IF(C155="3112. Logements",ROUND(VLOOKUP(C155,'Informations générales'!$C$66:$H$70,5,FALSE)*(AL155/$AN$28)/12,0)*12,IF(C155="3113. Logements",ROUND(VLOOKUP(C155,'Informations générales'!$C$66:$H$70,5,FALSE)*(AL155/$AO$28)/12,0)*12,IF(C155="3114. Logements",ROUND(VLOOKUP(C155,'Informations générales'!$C$66:$H$70,5,FALSE)*(AL155/$AP$28)/12,0)*12,IF(C155="3115. Logements",ROUND(VLOOKUP(C155,'Informations générales'!$C$66:$H$70,5,FALSE)*(AL155/$AQ$28)/12,0)*12,"")))))</f>
        <v/>
      </c>
      <c r="AI155" s="114"/>
      <c r="AJ155" s="114"/>
      <c r="AK155" s="76"/>
      <c r="AL155" s="58">
        <f t="shared" si="29"/>
        <v>0</v>
      </c>
      <c r="AM155" s="58"/>
      <c r="AN155" s="58"/>
      <c r="AO155" s="58"/>
      <c r="AP155" s="58"/>
      <c r="AQ155" s="58"/>
      <c r="AR155" s="58">
        <f t="shared" si="17"/>
        <v>0</v>
      </c>
      <c r="AS155" s="58">
        <f t="shared" si="18"/>
        <v>0</v>
      </c>
      <c r="AT155" s="58">
        <f t="shared" si="19"/>
        <v>0</v>
      </c>
      <c r="AU155" s="58">
        <f t="shared" si="20"/>
        <v>0</v>
      </c>
      <c r="AV155" s="58">
        <f t="shared" si="21"/>
        <v>0</v>
      </c>
      <c r="AW155" s="58">
        <f t="shared" si="22"/>
        <v>0</v>
      </c>
      <c r="AX155" s="58">
        <f t="shared" si="23"/>
        <v>0</v>
      </c>
      <c r="AY155" s="58">
        <f t="shared" si="30"/>
        <v>0</v>
      </c>
      <c r="AZ155" s="62">
        <f t="shared" si="24"/>
        <v>0</v>
      </c>
      <c r="BA155" s="63">
        <f t="shared" si="25"/>
        <v>0</v>
      </c>
      <c r="BB155" s="63">
        <f t="shared" si="26"/>
        <v>0</v>
      </c>
    </row>
    <row r="156" spans="3:54" s="17" customFormat="1" x14ac:dyDescent="0.25">
      <c r="C156" s="215"/>
      <c r="D156" s="216"/>
      <c r="E156" s="88"/>
      <c r="F156" s="217"/>
      <c r="G156" s="234"/>
      <c r="H156" s="218"/>
      <c r="I156" s="76"/>
      <c r="J156" s="77"/>
      <c r="K156" s="76"/>
      <c r="L156" s="78"/>
      <c r="M156" s="78"/>
      <c r="N156" s="76" t="s">
        <v>39</v>
      </c>
      <c r="O156" s="110"/>
      <c r="P156" s="152"/>
      <c r="Q156" s="111" t="str">
        <f>IFERROR(MIN(VLOOKUP(ROUNDDOWN(P156,0),'Aide calcul'!$B$2:$C$282,2,FALSE),O156+1),"")</f>
        <v/>
      </c>
      <c r="R156" s="112" t="str">
        <f t="shared" si="27"/>
        <v/>
      </c>
      <c r="S156" s="152"/>
      <c r="T156" s="152"/>
      <c r="U156" s="152"/>
      <c r="V156" s="152"/>
      <c r="W156" s="152"/>
      <c r="X156" s="152"/>
      <c r="Y156" s="152"/>
      <c r="Z156" s="76"/>
      <c r="AA156" s="76"/>
      <c r="AB156" s="113" t="str">
        <f>IF(C156="3111. Logements",ROUND(VLOOKUP(C156,'Informations générales'!$C$66:$E$70,3,FALSE)*(AL156/$AM$28)/12,0)*12,IF(C156="3112. Logements",ROUND(VLOOKUP(C156,'Informations générales'!$C$66:$E$70,3,FALSE)*(AL156/$AN$28)/12,0)*12,IF(C156="3113. Logements",ROUND(VLOOKUP(C156,'Informations générales'!$C$66:$E$70,3,FALSE)*(AL156/$AO$28)/12,0)*12,IF(C156="3114. Logements",ROUND(VLOOKUP(C156,'Informations générales'!$C$66:$E$70,3,FALSE)*(AL156/$AP$28)/12,0)*12,IF(C156="3115. Logements",ROUND(VLOOKUP(C156,'Informations générales'!$C$66:$E$70,3,FALSE)*(AL156/$AQ$28)/12,0)*12,"")))))</f>
        <v/>
      </c>
      <c r="AC156" s="114"/>
      <c r="AD156" s="113">
        <f t="shared" si="28"/>
        <v>0</v>
      </c>
      <c r="AE156" s="114"/>
      <c r="AF156" s="203" t="str">
        <f>IF(C156="3111. Logements",ROUND(VLOOKUP(C156,'Informations générales'!$C$66:$E$70,3,FALSE)*(AL156/$AM$28)/12,0)*12,IF(C156="3112. Logements",ROUND(VLOOKUP(C156,'Informations générales'!$C$66:$E$70,3,FALSE)*(AL156/$AN$28)/12,0)*12,IF(C156="3113. Logements",ROUND(VLOOKUP(C156,'Informations générales'!$C$66:$E$70,3,FALSE)*(AL156/$AO$28)/12,0)*12,IF(C156="3114. Logements",ROUND(VLOOKUP(C156,'Informations générales'!$C$66:$E$70,3,FALSE)*(AL156/$AP$28)/12,0)*12,IF(C156="3115. Logements",ROUND(VLOOKUP(C156,'Informations générales'!$C$66:$E$70,3,FALSE)*(AL156/$AQ$28)/12,0)*12,"")))))</f>
        <v/>
      </c>
      <c r="AG156" s="202"/>
      <c r="AH156" s="113" t="str">
        <f>IF(C156="3111. Logements",ROUND(VLOOKUP(C156,'Informations générales'!$C$66:$H$70,5,FALSE)*(AL156/$AM$28)/12,0)*12,IF(C156="3112. Logements",ROUND(VLOOKUP(C156,'Informations générales'!$C$66:$H$70,5,FALSE)*(AL156/$AN$28)/12,0)*12,IF(C156="3113. Logements",ROUND(VLOOKUP(C156,'Informations générales'!$C$66:$H$70,5,FALSE)*(AL156/$AO$28)/12,0)*12,IF(C156="3114. Logements",ROUND(VLOOKUP(C156,'Informations générales'!$C$66:$H$70,5,FALSE)*(AL156/$AP$28)/12,0)*12,IF(C156="3115. Logements",ROUND(VLOOKUP(C156,'Informations générales'!$C$66:$H$70,5,FALSE)*(AL156/$AQ$28)/12,0)*12,"")))))</f>
        <v/>
      </c>
      <c r="AI156" s="114"/>
      <c r="AJ156" s="114"/>
      <c r="AK156" s="76"/>
      <c r="AL156" s="58">
        <f t="shared" si="29"/>
        <v>0</v>
      </c>
      <c r="AM156" s="58"/>
      <c r="AN156" s="58"/>
      <c r="AO156" s="58"/>
      <c r="AP156" s="58"/>
      <c r="AQ156" s="58"/>
      <c r="AR156" s="58">
        <f t="shared" ref="AR156:AR219" si="31">S156*$E$13</f>
        <v>0</v>
      </c>
      <c r="AS156" s="58">
        <f t="shared" ref="AS156:AS219" si="32">T156*$E$14</f>
        <v>0</v>
      </c>
      <c r="AT156" s="58">
        <f t="shared" ref="AT156:AT219" si="33">U156*$E$15</f>
        <v>0</v>
      </c>
      <c r="AU156" s="58">
        <f t="shared" ref="AU156:AU219" si="34">V156*$E$16</f>
        <v>0</v>
      </c>
      <c r="AV156" s="58">
        <f t="shared" ref="AV156:AV219" si="35">W156*$E$17</f>
        <v>0</v>
      </c>
      <c r="AW156" s="58">
        <f t="shared" ref="AW156:AW219" si="36">X156*$E$18</f>
        <v>0</v>
      </c>
      <c r="AX156" s="58">
        <f t="shared" ref="AX156:AX219" si="37">Y156*$E$19</f>
        <v>0</v>
      </c>
      <c r="AY156" s="58">
        <f t="shared" si="30"/>
        <v>0</v>
      </c>
      <c r="AZ156" s="62">
        <f t="shared" ref="AZ156:AZ219" si="38">IFERROR(I156*$E$12,0)</f>
        <v>0</v>
      </c>
      <c r="BA156" s="63">
        <f t="shared" ref="BA156:BA219" si="39">IFERROR(VLOOKUP(Z156,$H$12:$I$22,2,FALSE),0)</f>
        <v>0</v>
      </c>
      <c r="BB156" s="63">
        <f t="shared" ref="BB156:BB219" si="40">IFERROR(VLOOKUP(AA156,$L$12:$N$19,3,FALSE),0)</f>
        <v>0</v>
      </c>
    </row>
    <row r="157" spans="3:54" s="17" customFormat="1" x14ac:dyDescent="0.25">
      <c r="C157" s="215"/>
      <c r="D157" s="216"/>
      <c r="E157" s="88"/>
      <c r="F157" s="217"/>
      <c r="G157" s="234"/>
      <c r="H157" s="218"/>
      <c r="I157" s="76"/>
      <c r="J157" s="77"/>
      <c r="K157" s="76"/>
      <c r="L157" s="78"/>
      <c r="M157" s="78"/>
      <c r="N157" s="76" t="s">
        <v>39</v>
      </c>
      <c r="O157" s="110"/>
      <c r="P157" s="152"/>
      <c r="Q157" s="111" t="str">
        <f>IFERROR(MIN(VLOOKUP(ROUNDDOWN(P157,0),'Aide calcul'!$B$2:$C$282,2,FALSE),O157+1),"")</f>
        <v/>
      </c>
      <c r="R157" s="112" t="str">
        <f t="shared" ref="R157:R220" si="41">IFERROR(TRUNC(Q157-0.5),"")</f>
        <v/>
      </c>
      <c r="S157" s="152"/>
      <c r="T157" s="152"/>
      <c r="U157" s="152"/>
      <c r="V157" s="152"/>
      <c r="W157" s="152"/>
      <c r="X157" s="152"/>
      <c r="Y157" s="152"/>
      <c r="Z157" s="76"/>
      <c r="AA157" s="76"/>
      <c r="AB157" s="113" t="str">
        <f>IF(C157="3111. Logements",ROUND(VLOOKUP(C157,'Informations générales'!$C$66:$E$70,3,FALSE)*(AL157/$AM$28)/12,0)*12,IF(C157="3112. Logements",ROUND(VLOOKUP(C157,'Informations générales'!$C$66:$E$70,3,FALSE)*(AL157/$AN$28)/12,0)*12,IF(C157="3113. Logements",ROUND(VLOOKUP(C157,'Informations générales'!$C$66:$E$70,3,FALSE)*(AL157/$AO$28)/12,0)*12,IF(C157="3114. Logements",ROUND(VLOOKUP(C157,'Informations générales'!$C$66:$E$70,3,FALSE)*(AL157/$AP$28)/12,0)*12,IF(C157="3115. Logements",ROUND(VLOOKUP(C157,'Informations générales'!$C$66:$E$70,3,FALSE)*(AL157/$AQ$28)/12,0)*12,"")))))</f>
        <v/>
      </c>
      <c r="AC157" s="114"/>
      <c r="AD157" s="113">
        <f t="shared" ref="AD157:AD220" si="42">MIN(AB157,AC157)</f>
        <v>0</v>
      </c>
      <c r="AE157" s="114"/>
      <c r="AF157" s="203" t="str">
        <f>IF(C157="3111. Logements",ROUND(VLOOKUP(C157,'Informations générales'!$C$66:$E$70,3,FALSE)*(AL157/$AM$28)/12,0)*12,IF(C157="3112. Logements",ROUND(VLOOKUP(C157,'Informations générales'!$C$66:$E$70,3,FALSE)*(AL157/$AN$28)/12,0)*12,IF(C157="3113. Logements",ROUND(VLOOKUP(C157,'Informations générales'!$C$66:$E$70,3,FALSE)*(AL157/$AO$28)/12,0)*12,IF(C157="3114. Logements",ROUND(VLOOKUP(C157,'Informations générales'!$C$66:$E$70,3,FALSE)*(AL157/$AP$28)/12,0)*12,IF(C157="3115. Logements",ROUND(VLOOKUP(C157,'Informations générales'!$C$66:$E$70,3,FALSE)*(AL157/$AQ$28)/12,0)*12,"")))))</f>
        <v/>
      </c>
      <c r="AG157" s="202"/>
      <c r="AH157" s="113" t="str">
        <f>IF(C157="3111. Logements",ROUND(VLOOKUP(C157,'Informations générales'!$C$66:$H$70,5,FALSE)*(AL157/$AM$28)/12,0)*12,IF(C157="3112. Logements",ROUND(VLOOKUP(C157,'Informations générales'!$C$66:$H$70,5,FALSE)*(AL157/$AN$28)/12,0)*12,IF(C157="3113. Logements",ROUND(VLOOKUP(C157,'Informations générales'!$C$66:$H$70,5,FALSE)*(AL157/$AO$28)/12,0)*12,IF(C157="3114. Logements",ROUND(VLOOKUP(C157,'Informations générales'!$C$66:$H$70,5,FALSE)*(AL157/$AP$28)/12,0)*12,IF(C157="3115. Logements",ROUND(VLOOKUP(C157,'Informations générales'!$C$66:$H$70,5,FALSE)*(AL157/$AQ$28)/12,0)*12,"")))))</f>
        <v/>
      </c>
      <c r="AI157" s="114"/>
      <c r="AJ157" s="114"/>
      <c r="AK157" s="76"/>
      <c r="AL157" s="58">
        <f t="shared" ref="AL157:AL220" si="43">AY157*(SUM(1,AZ157,BA157,BB157))</f>
        <v>0</v>
      </c>
      <c r="AM157" s="58"/>
      <c r="AN157" s="58"/>
      <c r="AO157" s="58"/>
      <c r="AP157" s="58"/>
      <c r="AQ157" s="58"/>
      <c r="AR157" s="58">
        <f t="shared" si="31"/>
        <v>0</v>
      </c>
      <c r="AS157" s="58">
        <f t="shared" si="32"/>
        <v>0</v>
      </c>
      <c r="AT157" s="58">
        <f t="shared" si="33"/>
        <v>0</v>
      </c>
      <c r="AU157" s="58">
        <f t="shared" si="34"/>
        <v>0</v>
      </c>
      <c r="AV157" s="58">
        <f t="shared" si="35"/>
        <v>0</v>
      </c>
      <c r="AW157" s="58">
        <f t="shared" si="36"/>
        <v>0</v>
      </c>
      <c r="AX157" s="58">
        <f t="shared" si="37"/>
        <v>0</v>
      </c>
      <c r="AY157" s="58">
        <f t="shared" ref="AY157:AY220" si="44">SUM(AR157:AX157)</f>
        <v>0</v>
      </c>
      <c r="AZ157" s="62">
        <f t="shared" si="38"/>
        <v>0</v>
      </c>
      <c r="BA157" s="63">
        <f t="shared" si="39"/>
        <v>0</v>
      </c>
      <c r="BB157" s="63">
        <f t="shared" si="40"/>
        <v>0</v>
      </c>
    </row>
    <row r="158" spans="3:54" s="17" customFormat="1" x14ac:dyDescent="0.25">
      <c r="C158" s="215"/>
      <c r="D158" s="216"/>
      <c r="E158" s="88"/>
      <c r="F158" s="217"/>
      <c r="G158" s="234"/>
      <c r="H158" s="218"/>
      <c r="I158" s="76"/>
      <c r="J158" s="77"/>
      <c r="K158" s="76"/>
      <c r="L158" s="78"/>
      <c r="M158" s="78"/>
      <c r="N158" s="76" t="s">
        <v>39</v>
      </c>
      <c r="O158" s="110"/>
      <c r="P158" s="152"/>
      <c r="Q158" s="111" t="str">
        <f>IFERROR(MIN(VLOOKUP(ROUNDDOWN(P158,0),'Aide calcul'!$B$2:$C$282,2,FALSE),O158+1),"")</f>
        <v/>
      </c>
      <c r="R158" s="112" t="str">
        <f t="shared" si="41"/>
        <v/>
      </c>
      <c r="S158" s="152"/>
      <c r="T158" s="152"/>
      <c r="U158" s="152"/>
      <c r="V158" s="152"/>
      <c r="W158" s="152"/>
      <c r="X158" s="152"/>
      <c r="Y158" s="152"/>
      <c r="Z158" s="76"/>
      <c r="AA158" s="76"/>
      <c r="AB158" s="113" t="str">
        <f>IF(C158="3111. Logements",ROUND(VLOOKUP(C158,'Informations générales'!$C$66:$E$70,3,FALSE)*(AL158/$AM$28)/12,0)*12,IF(C158="3112. Logements",ROUND(VLOOKUP(C158,'Informations générales'!$C$66:$E$70,3,FALSE)*(AL158/$AN$28)/12,0)*12,IF(C158="3113. Logements",ROUND(VLOOKUP(C158,'Informations générales'!$C$66:$E$70,3,FALSE)*(AL158/$AO$28)/12,0)*12,IF(C158="3114. Logements",ROUND(VLOOKUP(C158,'Informations générales'!$C$66:$E$70,3,FALSE)*(AL158/$AP$28)/12,0)*12,IF(C158="3115. Logements",ROUND(VLOOKUP(C158,'Informations générales'!$C$66:$E$70,3,FALSE)*(AL158/$AQ$28)/12,0)*12,"")))))</f>
        <v/>
      </c>
      <c r="AC158" s="114"/>
      <c r="AD158" s="113">
        <f t="shared" si="42"/>
        <v>0</v>
      </c>
      <c r="AE158" s="114"/>
      <c r="AF158" s="203" t="str">
        <f>IF(C158="3111. Logements",ROUND(VLOOKUP(C158,'Informations générales'!$C$66:$E$70,3,FALSE)*(AL158/$AM$28)/12,0)*12,IF(C158="3112. Logements",ROUND(VLOOKUP(C158,'Informations générales'!$C$66:$E$70,3,FALSE)*(AL158/$AN$28)/12,0)*12,IF(C158="3113. Logements",ROUND(VLOOKUP(C158,'Informations générales'!$C$66:$E$70,3,FALSE)*(AL158/$AO$28)/12,0)*12,IF(C158="3114. Logements",ROUND(VLOOKUP(C158,'Informations générales'!$C$66:$E$70,3,FALSE)*(AL158/$AP$28)/12,0)*12,IF(C158="3115. Logements",ROUND(VLOOKUP(C158,'Informations générales'!$C$66:$E$70,3,FALSE)*(AL158/$AQ$28)/12,0)*12,"")))))</f>
        <v/>
      </c>
      <c r="AG158" s="202"/>
      <c r="AH158" s="113" t="str">
        <f>IF(C158="3111. Logements",ROUND(VLOOKUP(C158,'Informations générales'!$C$66:$H$70,5,FALSE)*(AL158/$AM$28)/12,0)*12,IF(C158="3112. Logements",ROUND(VLOOKUP(C158,'Informations générales'!$C$66:$H$70,5,FALSE)*(AL158/$AN$28)/12,0)*12,IF(C158="3113. Logements",ROUND(VLOOKUP(C158,'Informations générales'!$C$66:$H$70,5,FALSE)*(AL158/$AO$28)/12,0)*12,IF(C158="3114. Logements",ROUND(VLOOKUP(C158,'Informations générales'!$C$66:$H$70,5,FALSE)*(AL158/$AP$28)/12,0)*12,IF(C158="3115. Logements",ROUND(VLOOKUP(C158,'Informations générales'!$C$66:$H$70,5,FALSE)*(AL158/$AQ$28)/12,0)*12,"")))))</f>
        <v/>
      </c>
      <c r="AI158" s="114"/>
      <c r="AJ158" s="114"/>
      <c r="AK158" s="76"/>
      <c r="AL158" s="58">
        <f t="shared" si="43"/>
        <v>0</v>
      </c>
      <c r="AM158" s="58"/>
      <c r="AN158" s="58"/>
      <c r="AO158" s="58"/>
      <c r="AP158" s="58"/>
      <c r="AQ158" s="58"/>
      <c r="AR158" s="58">
        <f t="shared" si="31"/>
        <v>0</v>
      </c>
      <c r="AS158" s="58">
        <f t="shared" si="32"/>
        <v>0</v>
      </c>
      <c r="AT158" s="58">
        <f t="shared" si="33"/>
        <v>0</v>
      </c>
      <c r="AU158" s="58">
        <f t="shared" si="34"/>
        <v>0</v>
      </c>
      <c r="AV158" s="58">
        <f t="shared" si="35"/>
        <v>0</v>
      </c>
      <c r="AW158" s="58">
        <f t="shared" si="36"/>
        <v>0</v>
      </c>
      <c r="AX158" s="58">
        <f t="shared" si="37"/>
        <v>0</v>
      </c>
      <c r="AY158" s="58">
        <f t="shared" si="44"/>
        <v>0</v>
      </c>
      <c r="AZ158" s="62">
        <f t="shared" si="38"/>
        <v>0</v>
      </c>
      <c r="BA158" s="63">
        <f t="shared" si="39"/>
        <v>0</v>
      </c>
      <c r="BB158" s="63">
        <f t="shared" si="40"/>
        <v>0</v>
      </c>
    </row>
    <row r="159" spans="3:54" s="17" customFormat="1" x14ac:dyDescent="0.25">
      <c r="C159" s="215"/>
      <c r="D159" s="216"/>
      <c r="E159" s="88"/>
      <c r="F159" s="217"/>
      <c r="G159" s="234"/>
      <c r="H159" s="218"/>
      <c r="I159" s="76"/>
      <c r="J159" s="77"/>
      <c r="K159" s="76"/>
      <c r="L159" s="78"/>
      <c r="M159" s="78"/>
      <c r="N159" s="76" t="s">
        <v>39</v>
      </c>
      <c r="O159" s="110"/>
      <c r="P159" s="152"/>
      <c r="Q159" s="111" t="str">
        <f>IFERROR(MIN(VLOOKUP(ROUNDDOWN(P159,0),'Aide calcul'!$B$2:$C$282,2,FALSE),O159+1),"")</f>
        <v/>
      </c>
      <c r="R159" s="112" t="str">
        <f t="shared" si="41"/>
        <v/>
      </c>
      <c r="S159" s="152"/>
      <c r="T159" s="152"/>
      <c r="U159" s="152"/>
      <c r="V159" s="152"/>
      <c r="W159" s="152"/>
      <c r="X159" s="152"/>
      <c r="Y159" s="152"/>
      <c r="Z159" s="76"/>
      <c r="AA159" s="76"/>
      <c r="AB159" s="113" t="str">
        <f>IF(C159="3111. Logements",ROUND(VLOOKUP(C159,'Informations générales'!$C$66:$E$70,3,FALSE)*(AL159/$AM$28)/12,0)*12,IF(C159="3112. Logements",ROUND(VLOOKUP(C159,'Informations générales'!$C$66:$E$70,3,FALSE)*(AL159/$AN$28)/12,0)*12,IF(C159="3113. Logements",ROUND(VLOOKUP(C159,'Informations générales'!$C$66:$E$70,3,FALSE)*(AL159/$AO$28)/12,0)*12,IF(C159="3114. Logements",ROUND(VLOOKUP(C159,'Informations générales'!$C$66:$E$70,3,FALSE)*(AL159/$AP$28)/12,0)*12,IF(C159="3115. Logements",ROUND(VLOOKUP(C159,'Informations générales'!$C$66:$E$70,3,FALSE)*(AL159/$AQ$28)/12,0)*12,"")))))</f>
        <v/>
      </c>
      <c r="AC159" s="114"/>
      <c r="AD159" s="113">
        <f t="shared" si="42"/>
        <v>0</v>
      </c>
      <c r="AE159" s="114"/>
      <c r="AF159" s="203" t="str">
        <f>IF(C159="3111. Logements",ROUND(VLOOKUP(C159,'Informations générales'!$C$66:$E$70,3,FALSE)*(AL159/$AM$28)/12,0)*12,IF(C159="3112. Logements",ROUND(VLOOKUP(C159,'Informations générales'!$C$66:$E$70,3,FALSE)*(AL159/$AN$28)/12,0)*12,IF(C159="3113. Logements",ROUND(VLOOKUP(C159,'Informations générales'!$C$66:$E$70,3,FALSE)*(AL159/$AO$28)/12,0)*12,IF(C159="3114. Logements",ROUND(VLOOKUP(C159,'Informations générales'!$C$66:$E$70,3,FALSE)*(AL159/$AP$28)/12,0)*12,IF(C159="3115. Logements",ROUND(VLOOKUP(C159,'Informations générales'!$C$66:$E$70,3,FALSE)*(AL159/$AQ$28)/12,0)*12,"")))))</f>
        <v/>
      </c>
      <c r="AG159" s="202"/>
      <c r="AH159" s="113" t="str">
        <f>IF(C159="3111. Logements",ROUND(VLOOKUP(C159,'Informations générales'!$C$66:$H$70,5,FALSE)*(AL159/$AM$28)/12,0)*12,IF(C159="3112. Logements",ROUND(VLOOKUP(C159,'Informations générales'!$C$66:$H$70,5,FALSE)*(AL159/$AN$28)/12,0)*12,IF(C159="3113. Logements",ROUND(VLOOKUP(C159,'Informations générales'!$C$66:$H$70,5,FALSE)*(AL159/$AO$28)/12,0)*12,IF(C159="3114. Logements",ROUND(VLOOKUP(C159,'Informations générales'!$C$66:$H$70,5,FALSE)*(AL159/$AP$28)/12,0)*12,IF(C159="3115. Logements",ROUND(VLOOKUP(C159,'Informations générales'!$C$66:$H$70,5,FALSE)*(AL159/$AQ$28)/12,0)*12,"")))))</f>
        <v/>
      </c>
      <c r="AI159" s="114"/>
      <c r="AJ159" s="114"/>
      <c r="AK159" s="76"/>
      <c r="AL159" s="58">
        <f t="shared" si="43"/>
        <v>0</v>
      </c>
      <c r="AM159" s="58"/>
      <c r="AN159" s="58"/>
      <c r="AO159" s="58"/>
      <c r="AP159" s="58"/>
      <c r="AQ159" s="58"/>
      <c r="AR159" s="58">
        <f t="shared" si="31"/>
        <v>0</v>
      </c>
      <c r="AS159" s="58">
        <f t="shared" si="32"/>
        <v>0</v>
      </c>
      <c r="AT159" s="58">
        <f t="shared" si="33"/>
        <v>0</v>
      </c>
      <c r="AU159" s="58">
        <f t="shared" si="34"/>
        <v>0</v>
      </c>
      <c r="AV159" s="58">
        <f t="shared" si="35"/>
        <v>0</v>
      </c>
      <c r="AW159" s="58">
        <f t="shared" si="36"/>
        <v>0</v>
      </c>
      <c r="AX159" s="58">
        <f t="shared" si="37"/>
        <v>0</v>
      </c>
      <c r="AY159" s="58">
        <f t="shared" si="44"/>
        <v>0</v>
      </c>
      <c r="AZ159" s="62">
        <f t="shared" si="38"/>
        <v>0</v>
      </c>
      <c r="BA159" s="63">
        <f t="shared" si="39"/>
        <v>0</v>
      </c>
      <c r="BB159" s="63">
        <f t="shared" si="40"/>
        <v>0</v>
      </c>
    </row>
    <row r="160" spans="3:54" s="17" customFormat="1" x14ac:dyDescent="0.25">
      <c r="C160" s="215"/>
      <c r="D160" s="216"/>
      <c r="E160" s="88"/>
      <c r="F160" s="217"/>
      <c r="G160" s="234"/>
      <c r="H160" s="218"/>
      <c r="I160" s="76"/>
      <c r="J160" s="77"/>
      <c r="K160" s="76"/>
      <c r="L160" s="78"/>
      <c r="M160" s="78"/>
      <c r="N160" s="76" t="s">
        <v>39</v>
      </c>
      <c r="O160" s="110"/>
      <c r="P160" s="152"/>
      <c r="Q160" s="111" t="str">
        <f>IFERROR(MIN(VLOOKUP(ROUNDDOWN(P160,0),'Aide calcul'!$B$2:$C$282,2,FALSE),O160+1),"")</f>
        <v/>
      </c>
      <c r="R160" s="112" t="str">
        <f t="shared" si="41"/>
        <v/>
      </c>
      <c r="S160" s="152"/>
      <c r="T160" s="152"/>
      <c r="U160" s="152"/>
      <c r="V160" s="152"/>
      <c r="W160" s="152"/>
      <c r="X160" s="152"/>
      <c r="Y160" s="152"/>
      <c r="Z160" s="76"/>
      <c r="AA160" s="76"/>
      <c r="AB160" s="113" t="str">
        <f>IF(C160="3111. Logements",ROUND(VLOOKUP(C160,'Informations générales'!$C$66:$E$70,3,FALSE)*(AL160/$AM$28)/12,0)*12,IF(C160="3112. Logements",ROUND(VLOOKUP(C160,'Informations générales'!$C$66:$E$70,3,FALSE)*(AL160/$AN$28)/12,0)*12,IF(C160="3113. Logements",ROUND(VLOOKUP(C160,'Informations générales'!$C$66:$E$70,3,FALSE)*(AL160/$AO$28)/12,0)*12,IF(C160="3114. Logements",ROUND(VLOOKUP(C160,'Informations générales'!$C$66:$E$70,3,FALSE)*(AL160/$AP$28)/12,0)*12,IF(C160="3115. Logements",ROUND(VLOOKUP(C160,'Informations générales'!$C$66:$E$70,3,FALSE)*(AL160/$AQ$28)/12,0)*12,"")))))</f>
        <v/>
      </c>
      <c r="AC160" s="114"/>
      <c r="AD160" s="113">
        <f t="shared" si="42"/>
        <v>0</v>
      </c>
      <c r="AE160" s="114"/>
      <c r="AF160" s="203" t="str">
        <f>IF(C160="3111. Logements",ROUND(VLOOKUP(C160,'Informations générales'!$C$66:$E$70,3,FALSE)*(AL160/$AM$28)/12,0)*12,IF(C160="3112. Logements",ROUND(VLOOKUP(C160,'Informations générales'!$C$66:$E$70,3,FALSE)*(AL160/$AN$28)/12,0)*12,IF(C160="3113. Logements",ROUND(VLOOKUP(C160,'Informations générales'!$C$66:$E$70,3,FALSE)*(AL160/$AO$28)/12,0)*12,IF(C160="3114. Logements",ROUND(VLOOKUP(C160,'Informations générales'!$C$66:$E$70,3,FALSE)*(AL160/$AP$28)/12,0)*12,IF(C160="3115. Logements",ROUND(VLOOKUP(C160,'Informations générales'!$C$66:$E$70,3,FALSE)*(AL160/$AQ$28)/12,0)*12,"")))))</f>
        <v/>
      </c>
      <c r="AG160" s="202"/>
      <c r="AH160" s="113" t="str">
        <f>IF(C160="3111. Logements",ROUND(VLOOKUP(C160,'Informations générales'!$C$66:$H$70,5,FALSE)*(AL160/$AM$28)/12,0)*12,IF(C160="3112. Logements",ROUND(VLOOKUP(C160,'Informations générales'!$C$66:$H$70,5,FALSE)*(AL160/$AN$28)/12,0)*12,IF(C160="3113. Logements",ROUND(VLOOKUP(C160,'Informations générales'!$C$66:$H$70,5,FALSE)*(AL160/$AO$28)/12,0)*12,IF(C160="3114. Logements",ROUND(VLOOKUP(C160,'Informations générales'!$C$66:$H$70,5,FALSE)*(AL160/$AP$28)/12,0)*12,IF(C160="3115. Logements",ROUND(VLOOKUP(C160,'Informations générales'!$C$66:$H$70,5,FALSE)*(AL160/$AQ$28)/12,0)*12,"")))))</f>
        <v/>
      </c>
      <c r="AI160" s="114"/>
      <c r="AJ160" s="114"/>
      <c r="AK160" s="76"/>
      <c r="AL160" s="58">
        <f t="shared" si="43"/>
        <v>0</v>
      </c>
      <c r="AM160" s="58"/>
      <c r="AN160" s="58"/>
      <c r="AO160" s="58"/>
      <c r="AP160" s="58"/>
      <c r="AQ160" s="58"/>
      <c r="AR160" s="58">
        <f t="shared" si="31"/>
        <v>0</v>
      </c>
      <c r="AS160" s="58">
        <f t="shared" si="32"/>
        <v>0</v>
      </c>
      <c r="AT160" s="58">
        <f t="shared" si="33"/>
        <v>0</v>
      </c>
      <c r="AU160" s="58">
        <f t="shared" si="34"/>
        <v>0</v>
      </c>
      <c r="AV160" s="58">
        <f t="shared" si="35"/>
        <v>0</v>
      </c>
      <c r="AW160" s="58">
        <f t="shared" si="36"/>
        <v>0</v>
      </c>
      <c r="AX160" s="58">
        <f t="shared" si="37"/>
        <v>0</v>
      </c>
      <c r="AY160" s="58">
        <f t="shared" si="44"/>
        <v>0</v>
      </c>
      <c r="AZ160" s="62">
        <f t="shared" si="38"/>
        <v>0</v>
      </c>
      <c r="BA160" s="63">
        <f t="shared" si="39"/>
        <v>0</v>
      </c>
      <c r="BB160" s="63">
        <f t="shared" si="40"/>
        <v>0</v>
      </c>
    </row>
    <row r="161" spans="3:54" s="17" customFormat="1" x14ac:dyDescent="0.25">
      <c r="C161" s="215"/>
      <c r="D161" s="216"/>
      <c r="E161" s="88"/>
      <c r="F161" s="217"/>
      <c r="G161" s="234"/>
      <c r="H161" s="218"/>
      <c r="I161" s="76"/>
      <c r="J161" s="77"/>
      <c r="K161" s="76"/>
      <c r="L161" s="78"/>
      <c r="M161" s="78"/>
      <c r="N161" s="76" t="s">
        <v>39</v>
      </c>
      <c r="O161" s="110"/>
      <c r="P161" s="152"/>
      <c r="Q161" s="111" t="str">
        <f>IFERROR(MIN(VLOOKUP(ROUNDDOWN(P161,0),'Aide calcul'!$B$2:$C$282,2,FALSE),O161+1),"")</f>
        <v/>
      </c>
      <c r="R161" s="112" t="str">
        <f t="shared" si="41"/>
        <v/>
      </c>
      <c r="S161" s="152"/>
      <c r="T161" s="152"/>
      <c r="U161" s="152"/>
      <c r="V161" s="152"/>
      <c r="W161" s="152"/>
      <c r="X161" s="152"/>
      <c r="Y161" s="152"/>
      <c r="Z161" s="76"/>
      <c r="AA161" s="76"/>
      <c r="AB161" s="113" t="str">
        <f>IF(C161="3111. Logements",ROUND(VLOOKUP(C161,'Informations générales'!$C$66:$E$70,3,FALSE)*(AL161/$AM$28)/12,0)*12,IF(C161="3112. Logements",ROUND(VLOOKUP(C161,'Informations générales'!$C$66:$E$70,3,FALSE)*(AL161/$AN$28)/12,0)*12,IF(C161="3113. Logements",ROUND(VLOOKUP(C161,'Informations générales'!$C$66:$E$70,3,FALSE)*(AL161/$AO$28)/12,0)*12,IF(C161="3114. Logements",ROUND(VLOOKUP(C161,'Informations générales'!$C$66:$E$70,3,FALSE)*(AL161/$AP$28)/12,0)*12,IF(C161="3115. Logements",ROUND(VLOOKUP(C161,'Informations générales'!$C$66:$E$70,3,FALSE)*(AL161/$AQ$28)/12,0)*12,"")))))</f>
        <v/>
      </c>
      <c r="AC161" s="114"/>
      <c r="AD161" s="113">
        <f t="shared" si="42"/>
        <v>0</v>
      </c>
      <c r="AE161" s="114"/>
      <c r="AF161" s="203" t="str">
        <f>IF(C161="3111. Logements",ROUND(VLOOKUP(C161,'Informations générales'!$C$66:$E$70,3,FALSE)*(AL161/$AM$28)/12,0)*12,IF(C161="3112. Logements",ROUND(VLOOKUP(C161,'Informations générales'!$C$66:$E$70,3,FALSE)*(AL161/$AN$28)/12,0)*12,IF(C161="3113. Logements",ROUND(VLOOKUP(C161,'Informations générales'!$C$66:$E$70,3,FALSE)*(AL161/$AO$28)/12,0)*12,IF(C161="3114. Logements",ROUND(VLOOKUP(C161,'Informations générales'!$C$66:$E$70,3,FALSE)*(AL161/$AP$28)/12,0)*12,IF(C161="3115. Logements",ROUND(VLOOKUP(C161,'Informations générales'!$C$66:$E$70,3,FALSE)*(AL161/$AQ$28)/12,0)*12,"")))))</f>
        <v/>
      </c>
      <c r="AG161" s="202"/>
      <c r="AH161" s="113" t="str">
        <f>IF(C161="3111. Logements",ROUND(VLOOKUP(C161,'Informations générales'!$C$66:$H$70,5,FALSE)*(AL161/$AM$28)/12,0)*12,IF(C161="3112. Logements",ROUND(VLOOKUP(C161,'Informations générales'!$C$66:$H$70,5,FALSE)*(AL161/$AN$28)/12,0)*12,IF(C161="3113. Logements",ROUND(VLOOKUP(C161,'Informations générales'!$C$66:$H$70,5,FALSE)*(AL161/$AO$28)/12,0)*12,IF(C161="3114. Logements",ROUND(VLOOKUP(C161,'Informations générales'!$C$66:$H$70,5,FALSE)*(AL161/$AP$28)/12,0)*12,IF(C161="3115. Logements",ROUND(VLOOKUP(C161,'Informations générales'!$C$66:$H$70,5,FALSE)*(AL161/$AQ$28)/12,0)*12,"")))))</f>
        <v/>
      </c>
      <c r="AI161" s="114"/>
      <c r="AJ161" s="114"/>
      <c r="AK161" s="76"/>
      <c r="AL161" s="58">
        <f t="shared" si="43"/>
        <v>0</v>
      </c>
      <c r="AM161" s="58"/>
      <c r="AN161" s="58"/>
      <c r="AO161" s="58"/>
      <c r="AP161" s="58"/>
      <c r="AQ161" s="58"/>
      <c r="AR161" s="58">
        <f t="shared" si="31"/>
        <v>0</v>
      </c>
      <c r="AS161" s="58">
        <f t="shared" si="32"/>
        <v>0</v>
      </c>
      <c r="AT161" s="58">
        <f t="shared" si="33"/>
        <v>0</v>
      </c>
      <c r="AU161" s="58">
        <f t="shared" si="34"/>
        <v>0</v>
      </c>
      <c r="AV161" s="58">
        <f t="shared" si="35"/>
        <v>0</v>
      </c>
      <c r="AW161" s="58">
        <f t="shared" si="36"/>
        <v>0</v>
      </c>
      <c r="AX161" s="58">
        <f t="shared" si="37"/>
        <v>0</v>
      </c>
      <c r="AY161" s="58">
        <f t="shared" si="44"/>
        <v>0</v>
      </c>
      <c r="AZ161" s="62">
        <f t="shared" si="38"/>
        <v>0</v>
      </c>
      <c r="BA161" s="63">
        <f t="shared" si="39"/>
        <v>0</v>
      </c>
      <c r="BB161" s="63">
        <f t="shared" si="40"/>
        <v>0</v>
      </c>
    </row>
    <row r="162" spans="3:54" s="17" customFormat="1" x14ac:dyDescent="0.25">
      <c r="C162" s="215"/>
      <c r="D162" s="216"/>
      <c r="E162" s="88"/>
      <c r="F162" s="217"/>
      <c r="G162" s="234"/>
      <c r="H162" s="218"/>
      <c r="I162" s="76"/>
      <c r="J162" s="77"/>
      <c r="K162" s="76"/>
      <c r="L162" s="78"/>
      <c r="M162" s="78"/>
      <c r="N162" s="76" t="s">
        <v>39</v>
      </c>
      <c r="O162" s="110"/>
      <c r="P162" s="152"/>
      <c r="Q162" s="111" t="str">
        <f>IFERROR(MIN(VLOOKUP(ROUNDDOWN(P162,0),'Aide calcul'!$B$2:$C$282,2,FALSE),O162+1),"")</f>
        <v/>
      </c>
      <c r="R162" s="112" t="str">
        <f t="shared" si="41"/>
        <v/>
      </c>
      <c r="S162" s="152"/>
      <c r="T162" s="152"/>
      <c r="U162" s="152"/>
      <c r="V162" s="152"/>
      <c r="W162" s="152"/>
      <c r="X162" s="152"/>
      <c r="Y162" s="152"/>
      <c r="Z162" s="76"/>
      <c r="AA162" s="76"/>
      <c r="AB162" s="113" t="str">
        <f>IF(C162="3111. Logements",ROUND(VLOOKUP(C162,'Informations générales'!$C$66:$E$70,3,FALSE)*(AL162/$AM$28)/12,0)*12,IF(C162="3112. Logements",ROUND(VLOOKUP(C162,'Informations générales'!$C$66:$E$70,3,FALSE)*(AL162/$AN$28)/12,0)*12,IF(C162="3113. Logements",ROUND(VLOOKUP(C162,'Informations générales'!$C$66:$E$70,3,FALSE)*(AL162/$AO$28)/12,0)*12,IF(C162="3114. Logements",ROUND(VLOOKUP(C162,'Informations générales'!$C$66:$E$70,3,FALSE)*(AL162/$AP$28)/12,0)*12,IF(C162="3115. Logements",ROUND(VLOOKUP(C162,'Informations générales'!$C$66:$E$70,3,FALSE)*(AL162/$AQ$28)/12,0)*12,"")))))</f>
        <v/>
      </c>
      <c r="AC162" s="114"/>
      <c r="AD162" s="113">
        <f t="shared" si="42"/>
        <v>0</v>
      </c>
      <c r="AE162" s="114"/>
      <c r="AF162" s="203" t="str">
        <f>IF(C162="3111. Logements",ROUND(VLOOKUP(C162,'Informations générales'!$C$66:$E$70,3,FALSE)*(AL162/$AM$28)/12,0)*12,IF(C162="3112. Logements",ROUND(VLOOKUP(C162,'Informations générales'!$C$66:$E$70,3,FALSE)*(AL162/$AN$28)/12,0)*12,IF(C162="3113. Logements",ROUND(VLOOKUP(C162,'Informations générales'!$C$66:$E$70,3,FALSE)*(AL162/$AO$28)/12,0)*12,IF(C162="3114. Logements",ROUND(VLOOKUP(C162,'Informations générales'!$C$66:$E$70,3,FALSE)*(AL162/$AP$28)/12,0)*12,IF(C162="3115. Logements",ROUND(VLOOKUP(C162,'Informations générales'!$C$66:$E$70,3,FALSE)*(AL162/$AQ$28)/12,0)*12,"")))))</f>
        <v/>
      </c>
      <c r="AG162" s="202"/>
      <c r="AH162" s="113" t="str">
        <f>IF(C162="3111. Logements",ROUND(VLOOKUP(C162,'Informations générales'!$C$66:$H$70,5,FALSE)*(AL162/$AM$28)/12,0)*12,IF(C162="3112. Logements",ROUND(VLOOKUP(C162,'Informations générales'!$C$66:$H$70,5,FALSE)*(AL162/$AN$28)/12,0)*12,IF(C162="3113. Logements",ROUND(VLOOKUP(C162,'Informations générales'!$C$66:$H$70,5,FALSE)*(AL162/$AO$28)/12,0)*12,IF(C162="3114. Logements",ROUND(VLOOKUP(C162,'Informations générales'!$C$66:$H$70,5,FALSE)*(AL162/$AP$28)/12,0)*12,IF(C162="3115. Logements",ROUND(VLOOKUP(C162,'Informations générales'!$C$66:$H$70,5,FALSE)*(AL162/$AQ$28)/12,0)*12,"")))))</f>
        <v/>
      </c>
      <c r="AI162" s="114"/>
      <c r="AJ162" s="114"/>
      <c r="AK162" s="76"/>
      <c r="AL162" s="58">
        <f t="shared" si="43"/>
        <v>0</v>
      </c>
      <c r="AM162" s="58"/>
      <c r="AN162" s="58"/>
      <c r="AO162" s="58"/>
      <c r="AP162" s="58"/>
      <c r="AQ162" s="58"/>
      <c r="AR162" s="58">
        <f t="shared" si="31"/>
        <v>0</v>
      </c>
      <c r="AS162" s="58">
        <f t="shared" si="32"/>
        <v>0</v>
      </c>
      <c r="AT162" s="58">
        <f t="shared" si="33"/>
        <v>0</v>
      </c>
      <c r="AU162" s="58">
        <f t="shared" si="34"/>
        <v>0</v>
      </c>
      <c r="AV162" s="58">
        <f t="shared" si="35"/>
        <v>0</v>
      </c>
      <c r="AW162" s="58">
        <f t="shared" si="36"/>
        <v>0</v>
      </c>
      <c r="AX162" s="58">
        <f t="shared" si="37"/>
        <v>0</v>
      </c>
      <c r="AY162" s="58">
        <f t="shared" si="44"/>
        <v>0</v>
      </c>
      <c r="AZ162" s="62">
        <f t="shared" si="38"/>
        <v>0</v>
      </c>
      <c r="BA162" s="63">
        <f t="shared" si="39"/>
        <v>0</v>
      </c>
      <c r="BB162" s="63">
        <f t="shared" si="40"/>
        <v>0</v>
      </c>
    </row>
    <row r="163" spans="3:54" s="17" customFormat="1" x14ac:dyDescent="0.25">
      <c r="C163" s="215"/>
      <c r="D163" s="216"/>
      <c r="E163" s="88"/>
      <c r="F163" s="217"/>
      <c r="G163" s="234"/>
      <c r="H163" s="218"/>
      <c r="I163" s="76"/>
      <c r="J163" s="77"/>
      <c r="K163" s="76"/>
      <c r="L163" s="78"/>
      <c r="M163" s="78"/>
      <c r="N163" s="76" t="s">
        <v>39</v>
      </c>
      <c r="O163" s="110"/>
      <c r="P163" s="152"/>
      <c r="Q163" s="111" t="str">
        <f>IFERROR(MIN(VLOOKUP(ROUNDDOWN(P163,0),'Aide calcul'!$B$2:$C$282,2,FALSE),O163+1),"")</f>
        <v/>
      </c>
      <c r="R163" s="112" t="str">
        <f t="shared" si="41"/>
        <v/>
      </c>
      <c r="S163" s="152"/>
      <c r="T163" s="152"/>
      <c r="U163" s="152"/>
      <c r="V163" s="152"/>
      <c r="W163" s="152"/>
      <c r="X163" s="152"/>
      <c r="Y163" s="152"/>
      <c r="Z163" s="76"/>
      <c r="AA163" s="76"/>
      <c r="AB163" s="113" t="str">
        <f>IF(C163="3111. Logements",ROUND(VLOOKUP(C163,'Informations générales'!$C$66:$E$70,3,FALSE)*(AL163/$AM$28)/12,0)*12,IF(C163="3112. Logements",ROUND(VLOOKUP(C163,'Informations générales'!$C$66:$E$70,3,FALSE)*(AL163/$AN$28)/12,0)*12,IF(C163="3113. Logements",ROUND(VLOOKUP(C163,'Informations générales'!$C$66:$E$70,3,FALSE)*(AL163/$AO$28)/12,0)*12,IF(C163="3114. Logements",ROUND(VLOOKUP(C163,'Informations générales'!$C$66:$E$70,3,FALSE)*(AL163/$AP$28)/12,0)*12,IF(C163="3115. Logements",ROUND(VLOOKUP(C163,'Informations générales'!$C$66:$E$70,3,FALSE)*(AL163/$AQ$28)/12,0)*12,"")))))</f>
        <v/>
      </c>
      <c r="AC163" s="114"/>
      <c r="AD163" s="113">
        <f t="shared" si="42"/>
        <v>0</v>
      </c>
      <c r="AE163" s="114"/>
      <c r="AF163" s="203" t="str">
        <f>IF(C163="3111. Logements",ROUND(VLOOKUP(C163,'Informations générales'!$C$66:$E$70,3,FALSE)*(AL163/$AM$28)/12,0)*12,IF(C163="3112. Logements",ROUND(VLOOKUP(C163,'Informations générales'!$C$66:$E$70,3,FALSE)*(AL163/$AN$28)/12,0)*12,IF(C163="3113. Logements",ROUND(VLOOKUP(C163,'Informations générales'!$C$66:$E$70,3,FALSE)*(AL163/$AO$28)/12,0)*12,IF(C163="3114. Logements",ROUND(VLOOKUP(C163,'Informations générales'!$C$66:$E$70,3,FALSE)*(AL163/$AP$28)/12,0)*12,IF(C163="3115. Logements",ROUND(VLOOKUP(C163,'Informations générales'!$C$66:$E$70,3,FALSE)*(AL163/$AQ$28)/12,0)*12,"")))))</f>
        <v/>
      </c>
      <c r="AG163" s="202"/>
      <c r="AH163" s="113" t="str">
        <f>IF(C163="3111. Logements",ROUND(VLOOKUP(C163,'Informations générales'!$C$66:$H$70,5,FALSE)*(AL163/$AM$28)/12,0)*12,IF(C163="3112. Logements",ROUND(VLOOKUP(C163,'Informations générales'!$C$66:$H$70,5,FALSE)*(AL163/$AN$28)/12,0)*12,IF(C163="3113. Logements",ROUND(VLOOKUP(C163,'Informations générales'!$C$66:$H$70,5,FALSE)*(AL163/$AO$28)/12,0)*12,IF(C163="3114. Logements",ROUND(VLOOKUP(C163,'Informations générales'!$C$66:$H$70,5,FALSE)*(AL163/$AP$28)/12,0)*12,IF(C163="3115. Logements",ROUND(VLOOKUP(C163,'Informations générales'!$C$66:$H$70,5,FALSE)*(AL163/$AQ$28)/12,0)*12,"")))))</f>
        <v/>
      </c>
      <c r="AI163" s="114"/>
      <c r="AJ163" s="114"/>
      <c r="AK163" s="76"/>
      <c r="AL163" s="58">
        <f t="shared" si="43"/>
        <v>0</v>
      </c>
      <c r="AM163" s="58"/>
      <c r="AN163" s="58"/>
      <c r="AO163" s="58"/>
      <c r="AP163" s="58"/>
      <c r="AQ163" s="58"/>
      <c r="AR163" s="58">
        <f t="shared" si="31"/>
        <v>0</v>
      </c>
      <c r="AS163" s="58">
        <f t="shared" si="32"/>
        <v>0</v>
      </c>
      <c r="AT163" s="58">
        <f t="shared" si="33"/>
        <v>0</v>
      </c>
      <c r="AU163" s="58">
        <f t="shared" si="34"/>
        <v>0</v>
      </c>
      <c r="AV163" s="58">
        <f t="shared" si="35"/>
        <v>0</v>
      </c>
      <c r="AW163" s="58">
        <f t="shared" si="36"/>
        <v>0</v>
      </c>
      <c r="AX163" s="58">
        <f t="shared" si="37"/>
        <v>0</v>
      </c>
      <c r="AY163" s="58">
        <f t="shared" si="44"/>
        <v>0</v>
      </c>
      <c r="AZ163" s="62">
        <f t="shared" si="38"/>
        <v>0</v>
      </c>
      <c r="BA163" s="63">
        <f t="shared" si="39"/>
        <v>0</v>
      </c>
      <c r="BB163" s="63">
        <f t="shared" si="40"/>
        <v>0</v>
      </c>
    </row>
    <row r="164" spans="3:54" s="17" customFormat="1" x14ac:dyDescent="0.25">
      <c r="C164" s="215"/>
      <c r="D164" s="216"/>
      <c r="E164" s="88"/>
      <c r="F164" s="217"/>
      <c r="G164" s="234"/>
      <c r="H164" s="218"/>
      <c r="I164" s="76"/>
      <c r="J164" s="77"/>
      <c r="K164" s="76"/>
      <c r="L164" s="78"/>
      <c r="M164" s="78"/>
      <c r="N164" s="76" t="s">
        <v>39</v>
      </c>
      <c r="O164" s="110"/>
      <c r="P164" s="152"/>
      <c r="Q164" s="111" t="str">
        <f>IFERROR(MIN(VLOOKUP(ROUNDDOWN(P164,0),'Aide calcul'!$B$2:$C$282,2,FALSE),O164+1),"")</f>
        <v/>
      </c>
      <c r="R164" s="112" t="str">
        <f t="shared" si="41"/>
        <v/>
      </c>
      <c r="S164" s="152"/>
      <c r="T164" s="152"/>
      <c r="U164" s="152"/>
      <c r="V164" s="152"/>
      <c r="W164" s="152"/>
      <c r="X164" s="152"/>
      <c r="Y164" s="152"/>
      <c r="Z164" s="76"/>
      <c r="AA164" s="76"/>
      <c r="AB164" s="113" t="str">
        <f>IF(C164="3111. Logements",ROUND(VLOOKUP(C164,'Informations générales'!$C$66:$E$70,3,FALSE)*(AL164/$AM$28)/12,0)*12,IF(C164="3112. Logements",ROUND(VLOOKUP(C164,'Informations générales'!$C$66:$E$70,3,FALSE)*(AL164/$AN$28)/12,0)*12,IF(C164="3113. Logements",ROUND(VLOOKUP(C164,'Informations générales'!$C$66:$E$70,3,FALSE)*(AL164/$AO$28)/12,0)*12,IF(C164="3114. Logements",ROUND(VLOOKUP(C164,'Informations générales'!$C$66:$E$70,3,FALSE)*(AL164/$AP$28)/12,0)*12,IF(C164="3115. Logements",ROUND(VLOOKUP(C164,'Informations générales'!$C$66:$E$70,3,FALSE)*(AL164/$AQ$28)/12,0)*12,"")))))</f>
        <v/>
      </c>
      <c r="AC164" s="114"/>
      <c r="AD164" s="113">
        <f t="shared" si="42"/>
        <v>0</v>
      </c>
      <c r="AE164" s="114"/>
      <c r="AF164" s="203" t="str">
        <f>IF(C164="3111. Logements",ROUND(VLOOKUP(C164,'Informations générales'!$C$66:$E$70,3,FALSE)*(AL164/$AM$28)/12,0)*12,IF(C164="3112. Logements",ROUND(VLOOKUP(C164,'Informations générales'!$C$66:$E$70,3,FALSE)*(AL164/$AN$28)/12,0)*12,IF(C164="3113. Logements",ROUND(VLOOKUP(C164,'Informations générales'!$C$66:$E$70,3,FALSE)*(AL164/$AO$28)/12,0)*12,IF(C164="3114. Logements",ROUND(VLOOKUP(C164,'Informations générales'!$C$66:$E$70,3,FALSE)*(AL164/$AP$28)/12,0)*12,IF(C164="3115. Logements",ROUND(VLOOKUP(C164,'Informations générales'!$C$66:$E$70,3,FALSE)*(AL164/$AQ$28)/12,0)*12,"")))))</f>
        <v/>
      </c>
      <c r="AG164" s="202"/>
      <c r="AH164" s="113" t="str">
        <f>IF(C164="3111. Logements",ROUND(VLOOKUP(C164,'Informations générales'!$C$66:$H$70,5,FALSE)*(AL164/$AM$28)/12,0)*12,IF(C164="3112. Logements",ROUND(VLOOKUP(C164,'Informations générales'!$C$66:$H$70,5,FALSE)*(AL164/$AN$28)/12,0)*12,IF(C164="3113. Logements",ROUND(VLOOKUP(C164,'Informations générales'!$C$66:$H$70,5,FALSE)*(AL164/$AO$28)/12,0)*12,IF(C164="3114. Logements",ROUND(VLOOKUP(C164,'Informations générales'!$C$66:$H$70,5,FALSE)*(AL164/$AP$28)/12,0)*12,IF(C164="3115. Logements",ROUND(VLOOKUP(C164,'Informations générales'!$C$66:$H$70,5,FALSE)*(AL164/$AQ$28)/12,0)*12,"")))))</f>
        <v/>
      </c>
      <c r="AI164" s="114"/>
      <c r="AJ164" s="114"/>
      <c r="AK164" s="76"/>
      <c r="AL164" s="58">
        <f t="shared" si="43"/>
        <v>0</v>
      </c>
      <c r="AM164" s="58"/>
      <c r="AN164" s="58"/>
      <c r="AO164" s="58"/>
      <c r="AP164" s="58"/>
      <c r="AQ164" s="58"/>
      <c r="AR164" s="58">
        <f t="shared" si="31"/>
        <v>0</v>
      </c>
      <c r="AS164" s="58">
        <f t="shared" si="32"/>
        <v>0</v>
      </c>
      <c r="AT164" s="58">
        <f t="shared" si="33"/>
        <v>0</v>
      </c>
      <c r="AU164" s="58">
        <f t="shared" si="34"/>
        <v>0</v>
      </c>
      <c r="AV164" s="58">
        <f t="shared" si="35"/>
        <v>0</v>
      </c>
      <c r="AW164" s="58">
        <f t="shared" si="36"/>
        <v>0</v>
      </c>
      <c r="AX164" s="58">
        <f t="shared" si="37"/>
        <v>0</v>
      </c>
      <c r="AY164" s="58">
        <f t="shared" si="44"/>
        <v>0</v>
      </c>
      <c r="AZ164" s="62">
        <f t="shared" si="38"/>
        <v>0</v>
      </c>
      <c r="BA164" s="63">
        <f t="shared" si="39"/>
        <v>0</v>
      </c>
      <c r="BB164" s="63">
        <f t="shared" si="40"/>
        <v>0</v>
      </c>
    </row>
    <row r="165" spans="3:54" s="17" customFormat="1" x14ac:dyDescent="0.25">
      <c r="C165" s="215"/>
      <c r="D165" s="216"/>
      <c r="E165" s="88"/>
      <c r="F165" s="217"/>
      <c r="G165" s="234"/>
      <c r="H165" s="218"/>
      <c r="I165" s="76"/>
      <c r="J165" s="77"/>
      <c r="K165" s="76"/>
      <c r="L165" s="78"/>
      <c r="M165" s="78"/>
      <c r="N165" s="76" t="s">
        <v>39</v>
      </c>
      <c r="O165" s="110"/>
      <c r="P165" s="152"/>
      <c r="Q165" s="111" t="str">
        <f>IFERROR(MIN(VLOOKUP(ROUNDDOWN(P165,0),'Aide calcul'!$B$2:$C$282,2,FALSE),O165+1),"")</f>
        <v/>
      </c>
      <c r="R165" s="112" t="str">
        <f t="shared" si="41"/>
        <v/>
      </c>
      <c r="S165" s="152"/>
      <c r="T165" s="152"/>
      <c r="U165" s="152"/>
      <c r="V165" s="152"/>
      <c r="W165" s="152"/>
      <c r="X165" s="152"/>
      <c r="Y165" s="152"/>
      <c r="Z165" s="76"/>
      <c r="AA165" s="76"/>
      <c r="AB165" s="113" t="str">
        <f>IF(C165="3111. Logements",ROUND(VLOOKUP(C165,'Informations générales'!$C$66:$E$70,3,FALSE)*(AL165/$AM$28)/12,0)*12,IF(C165="3112. Logements",ROUND(VLOOKUP(C165,'Informations générales'!$C$66:$E$70,3,FALSE)*(AL165/$AN$28)/12,0)*12,IF(C165="3113. Logements",ROUND(VLOOKUP(C165,'Informations générales'!$C$66:$E$70,3,FALSE)*(AL165/$AO$28)/12,0)*12,IF(C165="3114. Logements",ROUND(VLOOKUP(C165,'Informations générales'!$C$66:$E$70,3,FALSE)*(AL165/$AP$28)/12,0)*12,IF(C165="3115. Logements",ROUND(VLOOKUP(C165,'Informations générales'!$C$66:$E$70,3,FALSE)*(AL165/$AQ$28)/12,0)*12,"")))))</f>
        <v/>
      </c>
      <c r="AC165" s="114"/>
      <c r="AD165" s="113">
        <f t="shared" si="42"/>
        <v>0</v>
      </c>
      <c r="AE165" s="114"/>
      <c r="AF165" s="203" t="str">
        <f>IF(C165="3111. Logements",ROUND(VLOOKUP(C165,'Informations générales'!$C$66:$E$70,3,FALSE)*(AL165/$AM$28)/12,0)*12,IF(C165="3112. Logements",ROUND(VLOOKUP(C165,'Informations générales'!$C$66:$E$70,3,FALSE)*(AL165/$AN$28)/12,0)*12,IF(C165="3113. Logements",ROUND(VLOOKUP(C165,'Informations générales'!$C$66:$E$70,3,FALSE)*(AL165/$AO$28)/12,0)*12,IF(C165="3114. Logements",ROUND(VLOOKUP(C165,'Informations générales'!$C$66:$E$70,3,FALSE)*(AL165/$AP$28)/12,0)*12,IF(C165="3115. Logements",ROUND(VLOOKUP(C165,'Informations générales'!$C$66:$E$70,3,FALSE)*(AL165/$AQ$28)/12,0)*12,"")))))</f>
        <v/>
      </c>
      <c r="AG165" s="202"/>
      <c r="AH165" s="113" t="str">
        <f>IF(C165="3111. Logements",ROUND(VLOOKUP(C165,'Informations générales'!$C$66:$H$70,5,FALSE)*(AL165/$AM$28)/12,0)*12,IF(C165="3112. Logements",ROUND(VLOOKUP(C165,'Informations générales'!$C$66:$H$70,5,FALSE)*(AL165/$AN$28)/12,0)*12,IF(C165="3113. Logements",ROUND(VLOOKUP(C165,'Informations générales'!$C$66:$H$70,5,FALSE)*(AL165/$AO$28)/12,0)*12,IF(C165="3114. Logements",ROUND(VLOOKUP(C165,'Informations générales'!$C$66:$H$70,5,FALSE)*(AL165/$AP$28)/12,0)*12,IF(C165="3115. Logements",ROUND(VLOOKUP(C165,'Informations générales'!$C$66:$H$70,5,FALSE)*(AL165/$AQ$28)/12,0)*12,"")))))</f>
        <v/>
      </c>
      <c r="AI165" s="114"/>
      <c r="AJ165" s="114"/>
      <c r="AK165" s="76"/>
      <c r="AL165" s="58">
        <f t="shared" si="43"/>
        <v>0</v>
      </c>
      <c r="AM165" s="58"/>
      <c r="AN165" s="58"/>
      <c r="AO165" s="58"/>
      <c r="AP165" s="58"/>
      <c r="AQ165" s="58"/>
      <c r="AR165" s="58">
        <f t="shared" si="31"/>
        <v>0</v>
      </c>
      <c r="AS165" s="58">
        <f t="shared" si="32"/>
        <v>0</v>
      </c>
      <c r="AT165" s="58">
        <f t="shared" si="33"/>
        <v>0</v>
      </c>
      <c r="AU165" s="58">
        <f t="shared" si="34"/>
        <v>0</v>
      </c>
      <c r="AV165" s="58">
        <f t="shared" si="35"/>
        <v>0</v>
      </c>
      <c r="AW165" s="58">
        <f t="shared" si="36"/>
        <v>0</v>
      </c>
      <c r="AX165" s="58">
        <f t="shared" si="37"/>
        <v>0</v>
      </c>
      <c r="AY165" s="58">
        <f t="shared" si="44"/>
        <v>0</v>
      </c>
      <c r="AZ165" s="62">
        <f t="shared" si="38"/>
        <v>0</v>
      </c>
      <c r="BA165" s="63">
        <f t="shared" si="39"/>
        <v>0</v>
      </c>
      <c r="BB165" s="63">
        <f t="shared" si="40"/>
        <v>0</v>
      </c>
    </row>
    <row r="166" spans="3:54" s="17" customFormat="1" x14ac:dyDescent="0.25">
      <c r="C166" s="215"/>
      <c r="D166" s="216"/>
      <c r="E166" s="88"/>
      <c r="F166" s="217"/>
      <c r="G166" s="234"/>
      <c r="H166" s="218"/>
      <c r="I166" s="76"/>
      <c r="J166" s="77"/>
      <c r="K166" s="76"/>
      <c r="L166" s="78"/>
      <c r="M166" s="78"/>
      <c r="N166" s="76" t="s">
        <v>39</v>
      </c>
      <c r="O166" s="110"/>
      <c r="P166" s="152"/>
      <c r="Q166" s="111" t="str">
        <f>IFERROR(MIN(VLOOKUP(ROUNDDOWN(P166,0),'Aide calcul'!$B$2:$C$282,2,FALSE),O166+1),"")</f>
        <v/>
      </c>
      <c r="R166" s="112" t="str">
        <f t="shared" si="41"/>
        <v/>
      </c>
      <c r="S166" s="152"/>
      <c r="T166" s="152"/>
      <c r="U166" s="152"/>
      <c r="V166" s="152"/>
      <c r="W166" s="152"/>
      <c r="X166" s="152"/>
      <c r="Y166" s="152"/>
      <c r="Z166" s="76"/>
      <c r="AA166" s="76"/>
      <c r="AB166" s="113" t="str">
        <f>IF(C166="3111. Logements",ROUND(VLOOKUP(C166,'Informations générales'!$C$66:$E$70,3,FALSE)*(AL166/$AM$28)/12,0)*12,IF(C166="3112. Logements",ROUND(VLOOKUP(C166,'Informations générales'!$C$66:$E$70,3,FALSE)*(AL166/$AN$28)/12,0)*12,IF(C166="3113. Logements",ROUND(VLOOKUP(C166,'Informations générales'!$C$66:$E$70,3,FALSE)*(AL166/$AO$28)/12,0)*12,IF(C166="3114. Logements",ROUND(VLOOKUP(C166,'Informations générales'!$C$66:$E$70,3,FALSE)*(AL166/$AP$28)/12,0)*12,IF(C166="3115. Logements",ROUND(VLOOKUP(C166,'Informations générales'!$C$66:$E$70,3,FALSE)*(AL166/$AQ$28)/12,0)*12,"")))))</f>
        <v/>
      </c>
      <c r="AC166" s="114"/>
      <c r="AD166" s="113">
        <f t="shared" si="42"/>
        <v>0</v>
      </c>
      <c r="AE166" s="114"/>
      <c r="AF166" s="203" t="str">
        <f>IF(C166="3111. Logements",ROUND(VLOOKUP(C166,'Informations générales'!$C$66:$E$70,3,FALSE)*(AL166/$AM$28)/12,0)*12,IF(C166="3112. Logements",ROUND(VLOOKUP(C166,'Informations générales'!$C$66:$E$70,3,FALSE)*(AL166/$AN$28)/12,0)*12,IF(C166="3113. Logements",ROUND(VLOOKUP(C166,'Informations générales'!$C$66:$E$70,3,FALSE)*(AL166/$AO$28)/12,0)*12,IF(C166="3114. Logements",ROUND(VLOOKUP(C166,'Informations générales'!$C$66:$E$70,3,FALSE)*(AL166/$AP$28)/12,0)*12,IF(C166="3115. Logements",ROUND(VLOOKUP(C166,'Informations générales'!$C$66:$E$70,3,FALSE)*(AL166/$AQ$28)/12,0)*12,"")))))</f>
        <v/>
      </c>
      <c r="AG166" s="202"/>
      <c r="AH166" s="113" t="str">
        <f>IF(C166="3111. Logements",ROUND(VLOOKUP(C166,'Informations générales'!$C$66:$H$70,5,FALSE)*(AL166/$AM$28)/12,0)*12,IF(C166="3112. Logements",ROUND(VLOOKUP(C166,'Informations générales'!$C$66:$H$70,5,FALSE)*(AL166/$AN$28)/12,0)*12,IF(C166="3113. Logements",ROUND(VLOOKUP(C166,'Informations générales'!$C$66:$H$70,5,FALSE)*(AL166/$AO$28)/12,0)*12,IF(C166="3114. Logements",ROUND(VLOOKUP(C166,'Informations générales'!$C$66:$H$70,5,FALSE)*(AL166/$AP$28)/12,0)*12,IF(C166="3115. Logements",ROUND(VLOOKUP(C166,'Informations générales'!$C$66:$H$70,5,FALSE)*(AL166/$AQ$28)/12,0)*12,"")))))</f>
        <v/>
      </c>
      <c r="AI166" s="114"/>
      <c r="AJ166" s="114"/>
      <c r="AK166" s="76"/>
      <c r="AL166" s="58">
        <f t="shared" si="43"/>
        <v>0</v>
      </c>
      <c r="AM166" s="58"/>
      <c r="AN166" s="58"/>
      <c r="AO166" s="58"/>
      <c r="AP166" s="58"/>
      <c r="AQ166" s="58"/>
      <c r="AR166" s="58">
        <f t="shared" si="31"/>
        <v>0</v>
      </c>
      <c r="AS166" s="58">
        <f t="shared" si="32"/>
        <v>0</v>
      </c>
      <c r="AT166" s="58">
        <f t="shared" si="33"/>
        <v>0</v>
      </c>
      <c r="AU166" s="58">
        <f t="shared" si="34"/>
        <v>0</v>
      </c>
      <c r="AV166" s="58">
        <f t="shared" si="35"/>
        <v>0</v>
      </c>
      <c r="AW166" s="58">
        <f t="shared" si="36"/>
        <v>0</v>
      </c>
      <c r="AX166" s="58">
        <f t="shared" si="37"/>
        <v>0</v>
      </c>
      <c r="AY166" s="58">
        <f t="shared" si="44"/>
        <v>0</v>
      </c>
      <c r="AZ166" s="62">
        <f t="shared" si="38"/>
        <v>0</v>
      </c>
      <c r="BA166" s="63">
        <f t="shared" si="39"/>
        <v>0</v>
      </c>
      <c r="BB166" s="63">
        <f t="shared" si="40"/>
        <v>0</v>
      </c>
    </row>
    <row r="167" spans="3:54" s="17" customFormat="1" x14ac:dyDescent="0.25">
      <c r="C167" s="215"/>
      <c r="D167" s="216"/>
      <c r="E167" s="88"/>
      <c r="F167" s="217"/>
      <c r="G167" s="234"/>
      <c r="H167" s="218"/>
      <c r="I167" s="76"/>
      <c r="J167" s="77"/>
      <c r="K167" s="76"/>
      <c r="L167" s="78"/>
      <c r="M167" s="78"/>
      <c r="N167" s="76" t="s">
        <v>39</v>
      </c>
      <c r="O167" s="110"/>
      <c r="P167" s="152"/>
      <c r="Q167" s="111" t="str">
        <f>IFERROR(MIN(VLOOKUP(ROUNDDOWN(P167,0),'Aide calcul'!$B$2:$C$282,2,FALSE),O167+1),"")</f>
        <v/>
      </c>
      <c r="R167" s="112" t="str">
        <f t="shared" si="41"/>
        <v/>
      </c>
      <c r="S167" s="152"/>
      <c r="T167" s="152"/>
      <c r="U167" s="152"/>
      <c r="V167" s="152"/>
      <c r="W167" s="152"/>
      <c r="X167" s="152"/>
      <c r="Y167" s="152"/>
      <c r="Z167" s="76"/>
      <c r="AA167" s="76"/>
      <c r="AB167" s="113" t="str">
        <f>IF(C167="3111. Logements",ROUND(VLOOKUP(C167,'Informations générales'!$C$66:$E$70,3,FALSE)*(AL167/$AM$28)/12,0)*12,IF(C167="3112. Logements",ROUND(VLOOKUP(C167,'Informations générales'!$C$66:$E$70,3,FALSE)*(AL167/$AN$28)/12,0)*12,IF(C167="3113. Logements",ROUND(VLOOKUP(C167,'Informations générales'!$C$66:$E$70,3,FALSE)*(AL167/$AO$28)/12,0)*12,IF(C167="3114. Logements",ROUND(VLOOKUP(C167,'Informations générales'!$C$66:$E$70,3,FALSE)*(AL167/$AP$28)/12,0)*12,IF(C167="3115. Logements",ROUND(VLOOKUP(C167,'Informations générales'!$C$66:$E$70,3,FALSE)*(AL167/$AQ$28)/12,0)*12,"")))))</f>
        <v/>
      </c>
      <c r="AC167" s="114"/>
      <c r="AD167" s="113">
        <f t="shared" si="42"/>
        <v>0</v>
      </c>
      <c r="AE167" s="114"/>
      <c r="AF167" s="203" t="str">
        <f>IF(C167="3111. Logements",ROUND(VLOOKUP(C167,'Informations générales'!$C$66:$E$70,3,FALSE)*(AL167/$AM$28)/12,0)*12,IF(C167="3112. Logements",ROUND(VLOOKUP(C167,'Informations générales'!$C$66:$E$70,3,FALSE)*(AL167/$AN$28)/12,0)*12,IF(C167="3113. Logements",ROUND(VLOOKUP(C167,'Informations générales'!$C$66:$E$70,3,FALSE)*(AL167/$AO$28)/12,0)*12,IF(C167="3114. Logements",ROUND(VLOOKUP(C167,'Informations générales'!$C$66:$E$70,3,FALSE)*(AL167/$AP$28)/12,0)*12,IF(C167="3115. Logements",ROUND(VLOOKUP(C167,'Informations générales'!$C$66:$E$70,3,FALSE)*(AL167/$AQ$28)/12,0)*12,"")))))</f>
        <v/>
      </c>
      <c r="AG167" s="202"/>
      <c r="AH167" s="113" t="str">
        <f>IF(C167="3111. Logements",ROUND(VLOOKUP(C167,'Informations générales'!$C$66:$H$70,5,FALSE)*(AL167/$AM$28)/12,0)*12,IF(C167="3112. Logements",ROUND(VLOOKUP(C167,'Informations générales'!$C$66:$H$70,5,FALSE)*(AL167/$AN$28)/12,0)*12,IF(C167="3113. Logements",ROUND(VLOOKUP(C167,'Informations générales'!$C$66:$H$70,5,FALSE)*(AL167/$AO$28)/12,0)*12,IF(C167="3114. Logements",ROUND(VLOOKUP(C167,'Informations générales'!$C$66:$H$70,5,FALSE)*(AL167/$AP$28)/12,0)*12,IF(C167="3115. Logements",ROUND(VLOOKUP(C167,'Informations générales'!$C$66:$H$70,5,FALSE)*(AL167/$AQ$28)/12,0)*12,"")))))</f>
        <v/>
      </c>
      <c r="AI167" s="114"/>
      <c r="AJ167" s="114"/>
      <c r="AK167" s="76"/>
      <c r="AL167" s="58">
        <f t="shared" si="43"/>
        <v>0</v>
      </c>
      <c r="AM167" s="58"/>
      <c r="AN167" s="58"/>
      <c r="AO167" s="58"/>
      <c r="AP167" s="58"/>
      <c r="AQ167" s="58"/>
      <c r="AR167" s="58">
        <f t="shared" si="31"/>
        <v>0</v>
      </c>
      <c r="AS167" s="58">
        <f t="shared" si="32"/>
        <v>0</v>
      </c>
      <c r="AT167" s="58">
        <f t="shared" si="33"/>
        <v>0</v>
      </c>
      <c r="AU167" s="58">
        <f t="shared" si="34"/>
        <v>0</v>
      </c>
      <c r="AV167" s="58">
        <f t="shared" si="35"/>
        <v>0</v>
      </c>
      <c r="AW167" s="58">
        <f t="shared" si="36"/>
        <v>0</v>
      </c>
      <c r="AX167" s="58">
        <f t="shared" si="37"/>
        <v>0</v>
      </c>
      <c r="AY167" s="58">
        <f t="shared" si="44"/>
        <v>0</v>
      </c>
      <c r="AZ167" s="62">
        <f t="shared" si="38"/>
        <v>0</v>
      </c>
      <c r="BA167" s="63">
        <f t="shared" si="39"/>
        <v>0</v>
      </c>
      <c r="BB167" s="63">
        <f t="shared" si="40"/>
        <v>0</v>
      </c>
    </row>
    <row r="168" spans="3:54" s="17" customFormat="1" x14ac:dyDescent="0.25">
      <c r="C168" s="215"/>
      <c r="D168" s="216"/>
      <c r="E168" s="88"/>
      <c r="F168" s="217"/>
      <c r="G168" s="234"/>
      <c r="H168" s="218"/>
      <c r="I168" s="76"/>
      <c r="J168" s="77"/>
      <c r="K168" s="76"/>
      <c r="L168" s="78"/>
      <c r="M168" s="78"/>
      <c r="N168" s="76" t="s">
        <v>39</v>
      </c>
      <c r="O168" s="110"/>
      <c r="P168" s="152"/>
      <c r="Q168" s="111" t="str">
        <f>IFERROR(MIN(VLOOKUP(ROUNDDOWN(P168,0),'Aide calcul'!$B$2:$C$282,2,FALSE),O168+1),"")</f>
        <v/>
      </c>
      <c r="R168" s="112" t="str">
        <f t="shared" si="41"/>
        <v/>
      </c>
      <c r="S168" s="152"/>
      <c r="T168" s="152"/>
      <c r="U168" s="152"/>
      <c r="V168" s="152"/>
      <c r="W168" s="152"/>
      <c r="X168" s="152"/>
      <c r="Y168" s="152"/>
      <c r="Z168" s="76"/>
      <c r="AA168" s="76"/>
      <c r="AB168" s="113" t="str">
        <f>IF(C168="3111. Logements",ROUND(VLOOKUP(C168,'Informations générales'!$C$66:$E$70,3,FALSE)*(AL168/$AM$28)/12,0)*12,IF(C168="3112. Logements",ROUND(VLOOKUP(C168,'Informations générales'!$C$66:$E$70,3,FALSE)*(AL168/$AN$28)/12,0)*12,IF(C168="3113. Logements",ROUND(VLOOKUP(C168,'Informations générales'!$C$66:$E$70,3,FALSE)*(AL168/$AO$28)/12,0)*12,IF(C168="3114. Logements",ROUND(VLOOKUP(C168,'Informations générales'!$C$66:$E$70,3,FALSE)*(AL168/$AP$28)/12,0)*12,IF(C168="3115. Logements",ROUND(VLOOKUP(C168,'Informations générales'!$C$66:$E$70,3,FALSE)*(AL168/$AQ$28)/12,0)*12,"")))))</f>
        <v/>
      </c>
      <c r="AC168" s="114"/>
      <c r="AD168" s="113">
        <f t="shared" si="42"/>
        <v>0</v>
      </c>
      <c r="AE168" s="114"/>
      <c r="AF168" s="203" t="str">
        <f>IF(C168="3111. Logements",ROUND(VLOOKUP(C168,'Informations générales'!$C$66:$E$70,3,FALSE)*(AL168/$AM$28)/12,0)*12,IF(C168="3112. Logements",ROUND(VLOOKUP(C168,'Informations générales'!$C$66:$E$70,3,FALSE)*(AL168/$AN$28)/12,0)*12,IF(C168="3113. Logements",ROUND(VLOOKUP(C168,'Informations générales'!$C$66:$E$70,3,FALSE)*(AL168/$AO$28)/12,0)*12,IF(C168="3114. Logements",ROUND(VLOOKUP(C168,'Informations générales'!$C$66:$E$70,3,FALSE)*(AL168/$AP$28)/12,0)*12,IF(C168="3115. Logements",ROUND(VLOOKUP(C168,'Informations générales'!$C$66:$E$70,3,FALSE)*(AL168/$AQ$28)/12,0)*12,"")))))</f>
        <v/>
      </c>
      <c r="AG168" s="202"/>
      <c r="AH168" s="113" t="str">
        <f>IF(C168="3111. Logements",ROUND(VLOOKUP(C168,'Informations générales'!$C$66:$H$70,5,FALSE)*(AL168/$AM$28)/12,0)*12,IF(C168="3112. Logements",ROUND(VLOOKUP(C168,'Informations générales'!$C$66:$H$70,5,FALSE)*(AL168/$AN$28)/12,0)*12,IF(C168="3113. Logements",ROUND(VLOOKUP(C168,'Informations générales'!$C$66:$H$70,5,FALSE)*(AL168/$AO$28)/12,0)*12,IF(C168="3114. Logements",ROUND(VLOOKUP(C168,'Informations générales'!$C$66:$H$70,5,FALSE)*(AL168/$AP$28)/12,0)*12,IF(C168="3115. Logements",ROUND(VLOOKUP(C168,'Informations générales'!$C$66:$H$70,5,FALSE)*(AL168/$AQ$28)/12,0)*12,"")))))</f>
        <v/>
      </c>
      <c r="AI168" s="114"/>
      <c r="AJ168" s="114"/>
      <c r="AK168" s="76"/>
      <c r="AL168" s="58">
        <f t="shared" si="43"/>
        <v>0</v>
      </c>
      <c r="AM168" s="58"/>
      <c r="AN168" s="58"/>
      <c r="AO168" s="58"/>
      <c r="AP168" s="58"/>
      <c r="AQ168" s="58"/>
      <c r="AR168" s="58">
        <f t="shared" si="31"/>
        <v>0</v>
      </c>
      <c r="AS168" s="58">
        <f t="shared" si="32"/>
        <v>0</v>
      </c>
      <c r="AT168" s="58">
        <f t="shared" si="33"/>
        <v>0</v>
      </c>
      <c r="AU168" s="58">
        <f t="shared" si="34"/>
        <v>0</v>
      </c>
      <c r="AV168" s="58">
        <f t="shared" si="35"/>
        <v>0</v>
      </c>
      <c r="AW168" s="58">
        <f t="shared" si="36"/>
        <v>0</v>
      </c>
      <c r="AX168" s="58">
        <f t="shared" si="37"/>
        <v>0</v>
      </c>
      <c r="AY168" s="58">
        <f t="shared" si="44"/>
        <v>0</v>
      </c>
      <c r="AZ168" s="62">
        <f t="shared" si="38"/>
        <v>0</v>
      </c>
      <c r="BA168" s="63">
        <f t="shared" si="39"/>
        <v>0</v>
      </c>
      <c r="BB168" s="63">
        <f t="shared" si="40"/>
        <v>0</v>
      </c>
    </row>
    <row r="169" spans="3:54" s="17" customFormat="1" x14ac:dyDescent="0.25">
      <c r="C169" s="215"/>
      <c r="D169" s="216"/>
      <c r="E169" s="88"/>
      <c r="F169" s="217"/>
      <c r="G169" s="234"/>
      <c r="H169" s="218"/>
      <c r="I169" s="76"/>
      <c r="J169" s="77"/>
      <c r="K169" s="76"/>
      <c r="L169" s="78"/>
      <c r="M169" s="78"/>
      <c r="N169" s="76" t="s">
        <v>39</v>
      </c>
      <c r="O169" s="110"/>
      <c r="P169" s="152"/>
      <c r="Q169" s="111" t="str">
        <f>IFERROR(MIN(VLOOKUP(ROUNDDOWN(P169,0),'Aide calcul'!$B$2:$C$282,2,FALSE),O169+1),"")</f>
        <v/>
      </c>
      <c r="R169" s="112" t="str">
        <f t="shared" si="41"/>
        <v/>
      </c>
      <c r="S169" s="152"/>
      <c r="T169" s="152"/>
      <c r="U169" s="152"/>
      <c r="V169" s="152"/>
      <c r="W169" s="152"/>
      <c r="X169" s="152"/>
      <c r="Y169" s="152"/>
      <c r="Z169" s="76"/>
      <c r="AA169" s="76"/>
      <c r="AB169" s="113" t="str">
        <f>IF(C169="3111. Logements",ROUND(VLOOKUP(C169,'Informations générales'!$C$66:$E$70,3,FALSE)*(AL169/$AM$28)/12,0)*12,IF(C169="3112. Logements",ROUND(VLOOKUP(C169,'Informations générales'!$C$66:$E$70,3,FALSE)*(AL169/$AN$28)/12,0)*12,IF(C169="3113. Logements",ROUND(VLOOKUP(C169,'Informations générales'!$C$66:$E$70,3,FALSE)*(AL169/$AO$28)/12,0)*12,IF(C169="3114. Logements",ROUND(VLOOKUP(C169,'Informations générales'!$C$66:$E$70,3,FALSE)*(AL169/$AP$28)/12,0)*12,IF(C169="3115. Logements",ROUND(VLOOKUP(C169,'Informations générales'!$C$66:$E$70,3,FALSE)*(AL169/$AQ$28)/12,0)*12,"")))))</f>
        <v/>
      </c>
      <c r="AC169" s="114"/>
      <c r="AD169" s="113">
        <f t="shared" si="42"/>
        <v>0</v>
      </c>
      <c r="AE169" s="114"/>
      <c r="AF169" s="203" t="str">
        <f>IF(C169="3111. Logements",ROUND(VLOOKUP(C169,'Informations générales'!$C$66:$E$70,3,FALSE)*(AL169/$AM$28)/12,0)*12,IF(C169="3112. Logements",ROUND(VLOOKUP(C169,'Informations générales'!$C$66:$E$70,3,FALSE)*(AL169/$AN$28)/12,0)*12,IF(C169="3113. Logements",ROUND(VLOOKUP(C169,'Informations générales'!$C$66:$E$70,3,FALSE)*(AL169/$AO$28)/12,0)*12,IF(C169="3114. Logements",ROUND(VLOOKUP(C169,'Informations générales'!$C$66:$E$70,3,FALSE)*(AL169/$AP$28)/12,0)*12,IF(C169="3115. Logements",ROUND(VLOOKUP(C169,'Informations générales'!$C$66:$E$70,3,FALSE)*(AL169/$AQ$28)/12,0)*12,"")))))</f>
        <v/>
      </c>
      <c r="AG169" s="202"/>
      <c r="AH169" s="113" t="str">
        <f>IF(C169="3111. Logements",ROUND(VLOOKUP(C169,'Informations générales'!$C$66:$H$70,5,FALSE)*(AL169/$AM$28)/12,0)*12,IF(C169="3112. Logements",ROUND(VLOOKUP(C169,'Informations générales'!$C$66:$H$70,5,FALSE)*(AL169/$AN$28)/12,0)*12,IF(C169="3113. Logements",ROUND(VLOOKUP(C169,'Informations générales'!$C$66:$H$70,5,FALSE)*(AL169/$AO$28)/12,0)*12,IF(C169="3114. Logements",ROUND(VLOOKUP(C169,'Informations générales'!$C$66:$H$70,5,FALSE)*(AL169/$AP$28)/12,0)*12,IF(C169="3115. Logements",ROUND(VLOOKUP(C169,'Informations générales'!$C$66:$H$70,5,FALSE)*(AL169/$AQ$28)/12,0)*12,"")))))</f>
        <v/>
      </c>
      <c r="AI169" s="114"/>
      <c r="AJ169" s="114"/>
      <c r="AK169" s="76"/>
      <c r="AL169" s="58">
        <f t="shared" si="43"/>
        <v>0</v>
      </c>
      <c r="AM169" s="58"/>
      <c r="AN169" s="58"/>
      <c r="AO169" s="58"/>
      <c r="AP169" s="58"/>
      <c r="AQ169" s="58"/>
      <c r="AR169" s="58">
        <f t="shared" si="31"/>
        <v>0</v>
      </c>
      <c r="AS169" s="58">
        <f t="shared" si="32"/>
        <v>0</v>
      </c>
      <c r="AT169" s="58">
        <f t="shared" si="33"/>
        <v>0</v>
      </c>
      <c r="AU169" s="58">
        <f t="shared" si="34"/>
        <v>0</v>
      </c>
      <c r="AV169" s="58">
        <f t="shared" si="35"/>
        <v>0</v>
      </c>
      <c r="AW169" s="58">
        <f t="shared" si="36"/>
        <v>0</v>
      </c>
      <c r="AX169" s="58">
        <f t="shared" si="37"/>
        <v>0</v>
      </c>
      <c r="AY169" s="58">
        <f t="shared" si="44"/>
        <v>0</v>
      </c>
      <c r="AZ169" s="62">
        <f t="shared" si="38"/>
        <v>0</v>
      </c>
      <c r="BA169" s="63">
        <f t="shared" si="39"/>
        <v>0</v>
      </c>
      <c r="BB169" s="63">
        <f t="shared" si="40"/>
        <v>0</v>
      </c>
    </row>
    <row r="170" spans="3:54" s="17" customFormat="1" x14ac:dyDescent="0.25">
      <c r="C170" s="215"/>
      <c r="D170" s="216"/>
      <c r="E170" s="88"/>
      <c r="F170" s="217"/>
      <c r="G170" s="234"/>
      <c r="H170" s="218"/>
      <c r="I170" s="76"/>
      <c r="J170" s="77"/>
      <c r="K170" s="76"/>
      <c r="L170" s="78"/>
      <c r="M170" s="78"/>
      <c r="N170" s="76" t="s">
        <v>39</v>
      </c>
      <c r="O170" s="110"/>
      <c r="P170" s="152"/>
      <c r="Q170" s="111" t="str">
        <f>IFERROR(MIN(VLOOKUP(ROUNDDOWN(P170,0),'Aide calcul'!$B$2:$C$282,2,FALSE),O170+1),"")</f>
        <v/>
      </c>
      <c r="R170" s="112" t="str">
        <f t="shared" si="41"/>
        <v/>
      </c>
      <c r="S170" s="152"/>
      <c r="T170" s="152"/>
      <c r="U170" s="152"/>
      <c r="V170" s="152"/>
      <c r="W170" s="152"/>
      <c r="X170" s="152"/>
      <c r="Y170" s="152"/>
      <c r="Z170" s="76"/>
      <c r="AA170" s="76"/>
      <c r="AB170" s="113" t="str">
        <f>IF(C170="3111. Logements",ROUND(VLOOKUP(C170,'Informations générales'!$C$66:$E$70,3,FALSE)*(AL170/$AM$28)/12,0)*12,IF(C170="3112. Logements",ROUND(VLOOKUP(C170,'Informations générales'!$C$66:$E$70,3,FALSE)*(AL170/$AN$28)/12,0)*12,IF(C170="3113. Logements",ROUND(VLOOKUP(C170,'Informations générales'!$C$66:$E$70,3,FALSE)*(AL170/$AO$28)/12,0)*12,IF(C170="3114. Logements",ROUND(VLOOKUP(C170,'Informations générales'!$C$66:$E$70,3,FALSE)*(AL170/$AP$28)/12,0)*12,IF(C170="3115. Logements",ROUND(VLOOKUP(C170,'Informations générales'!$C$66:$E$70,3,FALSE)*(AL170/$AQ$28)/12,0)*12,"")))))</f>
        <v/>
      </c>
      <c r="AC170" s="114"/>
      <c r="AD170" s="113">
        <f t="shared" si="42"/>
        <v>0</v>
      </c>
      <c r="AE170" s="114"/>
      <c r="AF170" s="203" t="str">
        <f>IF(C170="3111. Logements",ROUND(VLOOKUP(C170,'Informations générales'!$C$66:$E$70,3,FALSE)*(AL170/$AM$28)/12,0)*12,IF(C170="3112. Logements",ROUND(VLOOKUP(C170,'Informations générales'!$C$66:$E$70,3,FALSE)*(AL170/$AN$28)/12,0)*12,IF(C170="3113. Logements",ROUND(VLOOKUP(C170,'Informations générales'!$C$66:$E$70,3,FALSE)*(AL170/$AO$28)/12,0)*12,IF(C170="3114. Logements",ROUND(VLOOKUP(C170,'Informations générales'!$C$66:$E$70,3,FALSE)*(AL170/$AP$28)/12,0)*12,IF(C170="3115. Logements",ROUND(VLOOKUP(C170,'Informations générales'!$C$66:$E$70,3,FALSE)*(AL170/$AQ$28)/12,0)*12,"")))))</f>
        <v/>
      </c>
      <c r="AG170" s="202"/>
      <c r="AH170" s="113" t="str">
        <f>IF(C170="3111. Logements",ROUND(VLOOKUP(C170,'Informations générales'!$C$66:$H$70,5,FALSE)*(AL170/$AM$28)/12,0)*12,IF(C170="3112. Logements",ROUND(VLOOKUP(C170,'Informations générales'!$C$66:$H$70,5,FALSE)*(AL170/$AN$28)/12,0)*12,IF(C170="3113. Logements",ROUND(VLOOKUP(C170,'Informations générales'!$C$66:$H$70,5,FALSE)*(AL170/$AO$28)/12,0)*12,IF(C170="3114. Logements",ROUND(VLOOKUP(C170,'Informations générales'!$C$66:$H$70,5,FALSE)*(AL170/$AP$28)/12,0)*12,IF(C170="3115. Logements",ROUND(VLOOKUP(C170,'Informations générales'!$C$66:$H$70,5,FALSE)*(AL170/$AQ$28)/12,0)*12,"")))))</f>
        <v/>
      </c>
      <c r="AI170" s="114"/>
      <c r="AJ170" s="114"/>
      <c r="AK170" s="76"/>
      <c r="AL170" s="58">
        <f t="shared" si="43"/>
        <v>0</v>
      </c>
      <c r="AM170" s="58"/>
      <c r="AN170" s="58"/>
      <c r="AO170" s="58"/>
      <c r="AP170" s="58"/>
      <c r="AQ170" s="58"/>
      <c r="AR170" s="58">
        <f t="shared" si="31"/>
        <v>0</v>
      </c>
      <c r="AS170" s="58">
        <f t="shared" si="32"/>
        <v>0</v>
      </c>
      <c r="AT170" s="58">
        <f t="shared" si="33"/>
        <v>0</v>
      </c>
      <c r="AU170" s="58">
        <f t="shared" si="34"/>
        <v>0</v>
      </c>
      <c r="AV170" s="58">
        <f t="shared" si="35"/>
        <v>0</v>
      </c>
      <c r="AW170" s="58">
        <f t="shared" si="36"/>
        <v>0</v>
      </c>
      <c r="AX170" s="58">
        <f t="shared" si="37"/>
        <v>0</v>
      </c>
      <c r="AY170" s="58">
        <f t="shared" si="44"/>
        <v>0</v>
      </c>
      <c r="AZ170" s="62">
        <f t="shared" si="38"/>
        <v>0</v>
      </c>
      <c r="BA170" s="63">
        <f t="shared" si="39"/>
        <v>0</v>
      </c>
      <c r="BB170" s="63">
        <f t="shared" si="40"/>
        <v>0</v>
      </c>
    </row>
    <row r="171" spans="3:54" s="17" customFormat="1" x14ac:dyDescent="0.25">
      <c r="C171" s="215"/>
      <c r="D171" s="216"/>
      <c r="E171" s="88"/>
      <c r="F171" s="217"/>
      <c r="G171" s="234"/>
      <c r="H171" s="218"/>
      <c r="I171" s="76"/>
      <c r="J171" s="77"/>
      <c r="K171" s="76"/>
      <c r="L171" s="78"/>
      <c r="M171" s="78"/>
      <c r="N171" s="76" t="s">
        <v>39</v>
      </c>
      <c r="O171" s="110"/>
      <c r="P171" s="152"/>
      <c r="Q171" s="111" t="str">
        <f>IFERROR(MIN(VLOOKUP(ROUNDDOWN(P171,0),'Aide calcul'!$B$2:$C$282,2,FALSE),O171+1),"")</f>
        <v/>
      </c>
      <c r="R171" s="112" t="str">
        <f t="shared" si="41"/>
        <v/>
      </c>
      <c r="S171" s="152"/>
      <c r="T171" s="152"/>
      <c r="U171" s="152"/>
      <c r="V171" s="152"/>
      <c r="W171" s="152"/>
      <c r="X171" s="152"/>
      <c r="Y171" s="152"/>
      <c r="Z171" s="76"/>
      <c r="AA171" s="76"/>
      <c r="AB171" s="113" t="str">
        <f>IF(C171="3111. Logements",ROUND(VLOOKUP(C171,'Informations générales'!$C$66:$E$70,3,FALSE)*(AL171/$AM$28)/12,0)*12,IF(C171="3112. Logements",ROUND(VLOOKUP(C171,'Informations générales'!$C$66:$E$70,3,FALSE)*(AL171/$AN$28)/12,0)*12,IF(C171="3113. Logements",ROUND(VLOOKUP(C171,'Informations générales'!$C$66:$E$70,3,FALSE)*(AL171/$AO$28)/12,0)*12,IF(C171="3114. Logements",ROUND(VLOOKUP(C171,'Informations générales'!$C$66:$E$70,3,FALSE)*(AL171/$AP$28)/12,0)*12,IF(C171="3115. Logements",ROUND(VLOOKUP(C171,'Informations générales'!$C$66:$E$70,3,FALSE)*(AL171/$AQ$28)/12,0)*12,"")))))</f>
        <v/>
      </c>
      <c r="AC171" s="114"/>
      <c r="AD171" s="113">
        <f t="shared" si="42"/>
        <v>0</v>
      </c>
      <c r="AE171" s="114"/>
      <c r="AF171" s="203" t="str">
        <f>IF(C171="3111. Logements",ROUND(VLOOKUP(C171,'Informations générales'!$C$66:$E$70,3,FALSE)*(AL171/$AM$28)/12,0)*12,IF(C171="3112. Logements",ROUND(VLOOKUP(C171,'Informations générales'!$C$66:$E$70,3,FALSE)*(AL171/$AN$28)/12,0)*12,IF(C171="3113. Logements",ROUND(VLOOKUP(C171,'Informations générales'!$C$66:$E$70,3,FALSE)*(AL171/$AO$28)/12,0)*12,IF(C171="3114. Logements",ROUND(VLOOKUP(C171,'Informations générales'!$C$66:$E$70,3,FALSE)*(AL171/$AP$28)/12,0)*12,IF(C171="3115. Logements",ROUND(VLOOKUP(C171,'Informations générales'!$C$66:$E$70,3,FALSE)*(AL171/$AQ$28)/12,0)*12,"")))))</f>
        <v/>
      </c>
      <c r="AG171" s="202"/>
      <c r="AH171" s="113" t="str">
        <f>IF(C171="3111. Logements",ROUND(VLOOKUP(C171,'Informations générales'!$C$66:$H$70,5,FALSE)*(AL171/$AM$28)/12,0)*12,IF(C171="3112. Logements",ROUND(VLOOKUP(C171,'Informations générales'!$C$66:$H$70,5,FALSE)*(AL171/$AN$28)/12,0)*12,IF(C171="3113. Logements",ROUND(VLOOKUP(C171,'Informations générales'!$C$66:$H$70,5,FALSE)*(AL171/$AO$28)/12,0)*12,IF(C171="3114. Logements",ROUND(VLOOKUP(C171,'Informations générales'!$C$66:$H$70,5,FALSE)*(AL171/$AP$28)/12,0)*12,IF(C171="3115. Logements",ROUND(VLOOKUP(C171,'Informations générales'!$C$66:$H$70,5,FALSE)*(AL171/$AQ$28)/12,0)*12,"")))))</f>
        <v/>
      </c>
      <c r="AI171" s="114"/>
      <c r="AJ171" s="114"/>
      <c r="AK171" s="76"/>
      <c r="AL171" s="58">
        <f t="shared" si="43"/>
        <v>0</v>
      </c>
      <c r="AM171" s="58"/>
      <c r="AN171" s="58"/>
      <c r="AO171" s="58"/>
      <c r="AP171" s="58"/>
      <c r="AQ171" s="58"/>
      <c r="AR171" s="58">
        <f t="shared" si="31"/>
        <v>0</v>
      </c>
      <c r="AS171" s="58">
        <f t="shared" si="32"/>
        <v>0</v>
      </c>
      <c r="AT171" s="58">
        <f t="shared" si="33"/>
        <v>0</v>
      </c>
      <c r="AU171" s="58">
        <f t="shared" si="34"/>
        <v>0</v>
      </c>
      <c r="AV171" s="58">
        <f t="shared" si="35"/>
        <v>0</v>
      </c>
      <c r="AW171" s="58">
        <f t="shared" si="36"/>
        <v>0</v>
      </c>
      <c r="AX171" s="58">
        <f t="shared" si="37"/>
        <v>0</v>
      </c>
      <c r="AY171" s="58">
        <f t="shared" si="44"/>
        <v>0</v>
      </c>
      <c r="AZ171" s="62">
        <f t="shared" si="38"/>
        <v>0</v>
      </c>
      <c r="BA171" s="63">
        <f t="shared" si="39"/>
        <v>0</v>
      </c>
      <c r="BB171" s="63">
        <f t="shared" si="40"/>
        <v>0</v>
      </c>
    </row>
    <row r="172" spans="3:54" s="17" customFormat="1" x14ac:dyDescent="0.25">
      <c r="C172" s="215"/>
      <c r="D172" s="216"/>
      <c r="E172" s="88"/>
      <c r="F172" s="217"/>
      <c r="G172" s="234"/>
      <c r="H172" s="218"/>
      <c r="I172" s="76"/>
      <c r="J172" s="77"/>
      <c r="K172" s="76"/>
      <c r="L172" s="78"/>
      <c r="M172" s="78"/>
      <c r="N172" s="76" t="s">
        <v>39</v>
      </c>
      <c r="O172" s="110"/>
      <c r="P172" s="152"/>
      <c r="Q172" s="111" t="str">
        <f>IFERROR(MIN(VLOOKUP(ROUNDDOWN(P172,0),'Aide calcul'!$B$2:$C$282,2,FALSE),O172+1),"")</f>
        <v/>
      </c>
      <c r="R172" s="112" t="str">
        <f t="shared" si="41"/>
        <v/>
      </c>
      <c r="S172" s="152"/>
      <c r="T172" s="152"/>
      <c r="U172" s="152"/>
      <c r="V172" s="152"/>
      <c r="W172" s="152"/>
      <c r="X172" s="152"/>
      <c r="Y172" s="152"/>
      <c r="Z172" s="76"/>
      <c r="AA172" s="76"/>
      <c r="AB172" s="113" t="str">
        <f>IF(C172="3111. Logements",ROUND(VLOOKUP(C172,'Informations générales'!$C$66:$E$70,3,FALSE)*(AL172/$AM$28)/12,0)*12,IF(C172="3112. Logements",ROUND(VLOOKUP(C172,'Informations générales'!$C$66:$E$70,3,FALSE)*(AL172/$AN$28)/12,0)*12,IF(C172="3113. Logements",ROUND(VLOOKUP(C172,'Informations générales'!$C$66:$E$70,3,FALSE)*(AL172/$AO$28)/12,0)*12,IF(C172="3114. Logements",ROUND(VLOOKUP(C172,'Informations générales'!$C$66:$E$70,3,FALSE)*(AL172/$AP$28)/12,0)*12,IF(C172="3115. Logements",ROUND(VLOOKUP(C172,'Informations générales'!$C$66:$E$70,3,FALSE)*(AL172/$AQ$28)/12,0)*12,"")))))</f>
        <v/>
      </c>
      <c r="AC172" s="114"/>
      <c r="AD172" s="113">
        <f t="shared" si="42"/>
        <v>0</v>
      </c>
      <c r="AE172" s="114"/>
      <c r="AF172" s="203" t="str">
        <f>IF(C172="3111. Logements",ROUND(VLOOKUP(C172,'Informations générales'!$C$66:$E$70,3,FALSE)*(AL172/$AM$28)/12,0)*12,IF(C172="3112. Logements",ROUND(VLOOKUP(C172,'Informations générales'!$C$66:$E$70,3,FALSE)*(AL172/$AN$28)/12,0)*12,IF(C172="3113. Logements",ROUND(VLOOKUP(C172,'Informations générales'!$C$66:$E$70,3,FALSE)*(AL172/$AO$28)/12,0)*12,IF(C172="3114. Logements",ROUND(VLOOKUP(C172,'Informations générales'!$C$66:$E$70,3,FALSE)*(AL172/$AP$28)/12,0)*12,IF(C172="3115. Logements",ROUND(VLOOKUP(C172,'Informations générales'!$C$66:$E$70,3,FALSE)*(AL172/$AQ$28)/12,0)*12,"")))))</f>
        <v/>
      </c>
      <c r="AG172" s="202"/>
      <c r="AH172" s="113" t="str">
        <f>IF(C172="3111. Logements",ROUND(VLOOKUP(C172,'Informations générales'!$C$66:$H$70,5,FALSE)*(AL172/$AM$28)/12,0)*12,IF(C172="3112. Logements",ROUND(VLOOKUP(C172,'Informations générales'!$C$66:$H$70,5,FALSE)*(AL172/$AN$28)/12,0)*12,IF(C172="3113. Logements",ROUND(VLOOKUP(C172,'Informations générales'!$C$66:$H$70,5,FALSE)*(AL172/$AO$28)/12,0)*12,IF(C172="3114. Logements",ROUND(VLOOKUP(C172,'Informations générales'!$C$66:$H$70,5,FALSE)*(AL172/$AP$28)/12,0)*12,IF(C172="3115. Logements",ROUND(VLOOKUP(C172,'Informations générales'!$C$66:$H$70,5,FALSE)*(AL172/$AQ$28)/12,0)*12,"")))))</f>
        <v/>
      </c>
      <c r="AI172" s="114"/>
      <c r="AJ172" s="114"/>
      <c r="AK172" s="76"/>
      <c r="AL172" s="58">
        <f t="shared" si="43"/>
        <v>0</v>
      </c>
      <c r="AM172" s="58"/>
      <c r="AN172" s="58"/>
      <c r="AO172" s="58"/>
      <c r="AP172" s="58"/>
      <c r="AQ172" s="58"/>
      <c r="AR172" s="58">
        <f t="shared" si="31"/>
        <v>0</v>
      </c>
      <c r="AS172" s="58">
        <f t="shared" si="32"/>
        <v>0</v>
      </c>
      <c r="AT172" s="58">
        <f t="shared" si="33"/>
        <v>0</v>
      </c>
      <c r="AU172" s="58">
        <f t="shared" si="34"/>
        <v>0</v>
      </c>
      <c r="AV172" s="58">
        <f t="shared" si="35"/>
        <v>0</v>
      </c>
      <c r="AW172" s="58">
        <f t="shared" si="36"/>
        <v>0</v>
      </c>
      <c r="AX172" s="58">
        <f t="shared" si="37"/>
        <v>0</v>
      </c>
      <c r="AY172" s="58">
        <f t="shared" si="44"/>
        <v>0</v>
      </c>
      <c r="AZ172" s="62">
        <f t="shared" si="38"/>
        <v>0</v>
      </c>
      <c r="BA172" s="63">
        <f t="shared" si="39"/>
        <v>0</v>
      </c>
      <c r="BB172" s="63">
        <f t="shared" si="40"/>
        <v>0</v>
      </c>
    </row>
    <row r="173" spans="3:54" s="17" customFormat="1" x14ac:dyDescent="0.25">
      <c r="C173" s="215"/>
      <c r="D173" s="216"/>
      <c r="E173" s="88"/>
      <c r="F173" s="217"/>
      <c r="G173" s="234"/>
      <c r="H173" s="218"/>
      <c r="I173" s="76"/>
      <c r="J173" s="77"/>
      <c r="K173" s="76"/>
      <c r="L173" s="78"/>
      <c r="M173" s="78"/>
      <c r="N173" s="76" t="s">
        <v>39</v>
      </c>
      <c r="O173" s="110"/>
      <c r="P173" s="152"/>
      <c r="Q173" s="111" t="str">
        <f>IFERROR(MIN(VLOOKUP(ROUNDDOWN(P173,0),'Aide calcul'!$B$2:$C$282,2,FALSE),O173+1),"")</f>
        <v/>
      </c>
      <c r="R173" s="112" t="str">
        <f t="shared" si="41"/>
        <v/>
      </c>
      <c r="S173" s="152"/>
      <c r="T173" s="152"/>
      <c r="U173" s="152"/>
      <c r="V173" s="152"/>
      <c r="W173" s="152"/>
      <c r="X173" s="152"/>
      <c r="Y173" s="152"/>
      <c r="Z173" s="76"/>
      <c r="AA173" s="76"/>
      <c r="AB173" s="113" t="str">
        <f>IF(C173="3111. Logements",ROUND(VLOOKUP(C173,'Informations générales'!$C$66:$E$70,3,FALSE)*(AL173/$AM$28)/12,0)*12,IF(C173="3112. Logements",ROUND(VLOOKUP(C173,'Informations générales'!$C$66:$E$70,3,FALSE)*(AL173/$AN$28)/12,0)*12,IF(C173="3113. Logements",ROUND(VLOOKUP(C173,'Informations générales'!$C$66:$E$70,3,FALSE)*(AL173/$AO$28)/12,0)*12,IF(C173="3114. Logements",ROUND(VLOOKUP(C173,'Informations générales'!$C$66:$E$70,3,FALSE)*(AL173/$AP$28)/12,0)*12,IF(C173="3115. Logements",ROUND(VLOOKUP(C173,'Informations générales'!$C$66:$E$70,3,FALSE)*(AL173/$AQ$28)/12,0)*12,"")))))</f>
        <v/>
      </c>
      <c r="AC173" s="114"/>
      <c r="AD173" s="113">
        <f t="shared" si="42"/>
        <v>0</v>
      </c>
      <c r="AE173" s="114"/>
      <c r="AF173" s="203" t="str">
        <f>IF(C173="3111. Logements",ROUND(VLOOKUP(C173,'Informations générales'!$C$66:$E$70,3,FALSE)*(AL173/$AM$28)/12,0)*12,IF(C173="3112. Logements",ROUND(VLOOKUP(C173,'Informations générales'!$C$66:$E$70,3,FALSE)*(AL173/$AN$28)/12,0)*12,IF(C173="3113. Logements",ROUND(VLOOKUP(C173,'Informations générales'!$C$66:$E$70,3,FALSE)*(AL173/$AO$28)/12,0)*12,IF(C173="3114. Logements",ROUND(VLOOKUP(C173,'Informations générales'!$C$66:$E$70,3,FALSE)*(AL173/$AP$28)/12,0)*12,IF(C173="3115. Logements",ROUND(VLOOKUP(C173,'Informations générales'!$C$66:$E$70,3,FALSE)*(AL173/$AQ$28)/12,0)*12,"")))))</f>
        <v/>
      </c>
      <c r="AG173" s="202"/>
      <c r="AH173" s="113" t="str">
        <f>IF(C173="3111. Logements",ROUND(VLOOKUP(C173,'Informations générales'!$C$66:$H$70,5,FALSE)*(AL173/$AM$28)/12,0)*12,IF(C173="3112. Logements",ROUND(VLOOKUP(C173,'Informations générales'!$C$66:$H$70,5,FALSE)*(AL173/$AN$28)/12,0)*12,IF(C173="3113. Logements",ROUND(VLOOKUP(C173,'Informations générales'!$C$66:$H$70,5,FALSE)*(AL173/$AO$28)/12,0)*12,IF(C173="3114. Logements",ROUND(VLOOKUP(C173,'Informations générales'!$C$66:$H$70,5,FALSE)*(AL173/$AP$28)/12,0)*12,IF(C173="3115. Logements",ROUND(VLOOKUP(C173,'Informations générales'!$C$66:$H$70,5,FALSE)*(AL173/$AQ$28)/12,0)*12,"")))))</f>
        <v/>
      </c>
      <c r="AI173" s="114"/>
      <c r="AJ173" s="114"/>
      <c r="AK173" s="76"/>
      <c r="AL173" s="58">
        <f t="shared" si="43"/>
        <v>0</v>
      </c>
      <c r="AM173" s="58"/>
      <c r="AN173" s="58"/>
      <c r="AO173" s="58"/>
      <c r="AP173" s="58"/>
      <c r="AQ173" s="58"/>
      <c r="AR173" s="58">
        <f t="shared" si="31"/>
        <v>0</v>
      </c>
      <c r="AS173" s="58">
        <f t="shared" si="32"/>
        <v>0</v>
      </c>
      <c r="AT173" s="58">
        <f t="shared" si="33"/>
        <v>0</v>
      </c>
      <c r="AU173" s="58">
        <f t="shared" si="34"/>
        <v>0</v>
      </c>
      <c r="AV173" s="58">
        <f t="shared" si="35"/>
        <v>0</v>
      </c>
      <c r="AW173" s="58">
        <f t="shared" si="36"/>
        <v>0</v>
      </c>
      <c r="AX173" s="58">
        <f t="shared" si="37"/>
        <v>0</v>
      </c>
      <c r="AY173" s="58">
        <f t="shared" si="44"/>
        <v>0</v>
      </c>
      <c r="AZ173" s="62">
        <f t="shared" si="38"/>
        <v>0</v>
      </c>
      <c r="BA173" s="63">
        <f t="shared" si="39"/>
        <v>0</v>
      </c>
      <c r="BB173" s="63">
        <f t="shared" si="40"/>
        <v>0</v>
      </c>
    </row>
    <row r="174" spans="3:54" s="17" customFormat="1" x14ac:dyDescent="0.25">
      <c r="C174" s="215"/>
      <c r="D174" s="216"/>
      <c r="E174" s="88"/>
      <c r="F174" s="217"/>
      <c r="G174" s="234"/>
      <c r="H174" s="218"/>
      <c r="I174" s="76"/>
      <c r="J174" s="77"/>
      <c r="K174" s="76"/>
      <c r="L174" s="78"/>
      <c r="M174" s="78"/>
      <c r="N174" s="76" t="s">
        <v>39</v>
      </c>
      <c r="O174" s="110"/>
      <c r="P174" s="152"/>
      <c r="Q174" s="111" t="str">
        <f>IFERROR(MIN(VLOOKUP(ROUNDDOWN(P174,0),'Aide calcul'!$B$2:$C$282,2,FALSE),O174+1),"")</f>
        <v/>
      </c>
      <c r="R174" s="112" t="str">
        <f t="shared" si="41"/>
        <v/>
      </c>
      <c r="S174" s="152"/>
      <c r="T174" s="152"/>
      <c r="U174" s="152"/>
      <c r="V174" s="152"/>
      <c r="W174" s="152"/>
      <c r="X174" s="152"/>
      <c r="Y174" s="152"/>
      <c r="Z174" s="76"/>
      <c r="AA174" s="76"/>
      <c r="AB174" s="113" t="str">
        <f>IF(C174="3111. Logements",ROUND(VLOOKUP(C174,'Informations générales'!$C$66:$E$70,3,FALSE)*(AL174/$AM$28)/12,0)*12,IF(C174="3112. Logements",ROUND(VLOOKUP(C174,'Informations générales'!$C$66:$E$70,3,FALSE)*(AL174/$AN$28)/12,0)*12,IF(C174="3113. Logements",ROUND(VLOOKUP(C174,'Informations générales'!$C$66:$E$70,3,FALSE)*(AL174/$AO$28)/12,0)*12,IF(C174="3114. Logements",ROUND(VLOOKUP(C174,'Informations générales'!$C$66:$E$70,3,FALSE)*(AL174/$AP$28)/12,0)*12,IF(C174="3115. Logements",ROUND(VLOOKUP(C174,'Informations générales'!$C$66:$E$70,3,FALSE)*(AL174/$AQ$28)/12,0)*12,"")))))</f>
        <v/>
      </c>
      <c r="AC174" s="114"/>
      <c r="AD174" s="113">
        <f t="shared" si="42"/>
        <v>0</v>
      </c>
      <c r="AE174" s="114"/>
      <c r="AF174" s="203" t="str">
        <f>IF(C174="3111. Logements",ROUND(VLOOKUP(C174,'Informations générales'!$C$66:$E$70,3,FALSE)*(AL174/$AM$28)/12,0)*12,IF(C174="3112. Logements",ROUND(VLOOKUP(C174,'Informations générales'!$C$66:$E$70,3,FALSE)*(AL174/$AN$28)/12,0)*12,IF(C174="3113. Logements",ROUND(VLOOKUP(C174,'Informations générales'!$C$66:$E$70,3,FALSE)*(AL174/$AO$28)/12,0)*12,IF(C174="3114. Logements",ROUND(VLOOKUP(C174,'Informations générales'!$C$66:$E$70,3,FALSE)*(AL174/$AP$28)/12,0)*12,IF(C174="3115. Logements",ROUND(VLOOKUP(C174,'Informations générales'!$C$66:$E$70,3,FALSE)*(AL174/$AQ$28)/12,0)*12,"")))))</f>
        <v/>
      </c>
      <c r="AG174" s="202"/>
      <c r="AH174" s="113" t="str">
        <f>IF(C174="3111. Logements",ROUND(VLOOKUP(C174,'Informations générales'!$C$66:$H$70,5,FALSE)*(AL174/$AM$28)/12,0)*12,IF(C174="3112. Logements",ROUND(VLOOKUP(C174,'Informations générales'!$C$66:$H$70,5,FALSE)*(AL174/$AN$28)/12,0)*12,IF(C174="3113. Logements",ROUND(VLOOKUP(C174,'Informations générales'!$C$66:$H$70,5,FALSE)*(AL174/$AO$28)/12,0)*12,IF(C174="3114. Logements",ROUND(VLOOKUP(C174,'Informations générales'!$C$66:$H$70,5,FALSE)*(AL174/$AP$28)/12,0)*12,IF(C174="3115. Logements",ROUND(VLOOKUP(C174,'Informations générales'!$C$66:$H$70,5,FALSE)*(AL174/$AQ$28)/12,0)*12,"")))))</f>
        <v/>
      </c>
      <c r="AI174" s="114"/>
      <c r="AJ174" s="114"/>
      <c r="AK174" s="76"/>
      <c r="AL174" s="58">
        <f t="shared" si="43"/>
        <v>0</v>
      </c>
      <c r="AM174" s="58"/>
      <c r="AN174" s="58"/>
      <c r="AO174" s="58"/>
      <c r="AP174" s="58"/>
      <c r="AQ174" s="58"/>
      <c r="AR174" s="58">
        <f t="shared" si="31"/>
        <v>0</v>
      </c>
      <c r="AS174" s="58">
        <f t="shared" si="32"/>
        <v>0</v>
      </c>
      <c r="AT174" s="58">
        <f t="shared" si="33"/>
        <v>0</v>
      </c>
      <c r="AU174" s="58">
        <f t="shared" si="34"/>
        <v>0</v>
      </c>
      <c r="AV174" s="58">
        <f t="shared" si="35"/>
        <v>0</v>
      </c>
      <c r="AW174" s="58">
        <f t="shared" si="36"/>
        <v>0</v>
      </c>
      <c r="AX174" s="58">
        <f t="shared" si="37"/>
        <v>0</v>
      </c>
      <c r="AY174" s="58">
        <f t="shared" si="44"/>
        <v>0</v>
      </c>
      <c r="AZ174" s="62">
        <f t="shared" si="38"/>
        <v>0</v>
      </c>
      <c r="BA174" s="63">
        <f t="shared" si="39"/>
        <v>0</v>
      </c>
      <c r="BB174" s="63">
        <f t="shared" si="40"/>
        <v>0</v>
      </c>
    </row>
    <row r="175" spans="3:54" s="17" customFormat="1" x14ac:dyDescent="0.25">
      <c r="C175" s="215"/>
      <c r="D175" s="216"/>
      <c r="E175" s="88"/>
      <c r="F175" s="217"/>
      <c r="G175" s="234"/>
      <c r="H175" s="218"/>
      <c r="I175" s="76"/>
      <c r="J175" s="77"/>
      <c r="K175" s="76"/>
      <c r="L175" s="78"/>
      <c r="M175" s="78"/>
      <c r="N175" s="76" t="s">
        <v>39</v>
      </c>
      <c r="O175" s="110"/>
      <c r="P175" s="152"/>
      <c r="Q175" s="111" t="str">
        <f>IFERROR(MIN(VLOOKUP(ROUNDDOWN(P175,0),'Aide calcul'!$B$2:$C$282,2,FALSE),O175+1),"")</f>
        <v/>
      </c>
      <c r="R175" s="112" t="str">
        <f t="shared" si="41"/>
        <v/>
      </c>
      <c r="S175" s="152"/>
      <c r="T175" s="152"/>
      <c r="U175" s="152"/>
      <c r="V175" s="152"/>
      <c r="W175" s="152"/>
      <c r="X175" s="152"/>
      <c r="Y175" s="152"/>
      <c r="Z175" s="76"/>
      <c r="AA175" s="76"/>
      <c r="AB175" s="113" t="str">
        <f>IF(C175="3111. Logements",ROUND(VLOOKUP(C175,'Informations générales'!$C$66:$E$70,3,FALSE)*(AL175/$AM$28)/12,0)*12,IF(C175="3112. Logements",ROUND(VLOOKUP(C175,'Informations générales'!$C$66:$E$70,3,FALSE)*(AL175/$AN$28)/12,0)*12,IF(C175="3113. Logements",ROUND(VLOOKUP(C175,'Informations générales'!$C$66:$E$70,3,FALSE)*(AL175/$AO$28)/12,0)*12,IF(C175="3114. Logements",ROUND(VLOOKUP(C175,'Informations générales'!$C$66:$E$70,3,FALSE)*(AL175/$AP$28)/12,0)*12,IF(C175="3115. Logements",ROUND(VLOOKUP(C175,'Informations générales'!$C$66:$E$70,3,FALSE)*(AL175/$AQ$28)/12,0)*12,"")))))</f>
        <v/>
      </c>
      <c r="AC175" s="114"/>
      <c r="AD175" s="113">
        <f t="shared" si="42"/>
        <v>0</v>
      </c>
      <c r="AE175" s="114"/>
      <c r="AF175" s="203" t="str">
        <f>IF(C175="3111. Logements",ROUND(VLOOKUP(C175,'Informations générales'!$C$66:$E$70,3,FALSE)*(AL175/$AM$28)/12,0)*12,IF(C175="3112. Logements",ROUND(VLOOKUP(C175,'Informations générales'!$C$66:$E$70,3,FALSE)*(AL175/$AN$28)/12,0)*12,IF(C175="3113. Logements",ROUND(VLOOKUP(C175,'Informations générales'!$C$66:$E$70,3,FALSE)*(AL175/$AO$28)/12,0)*12,IF(C175="3114. Logements",ROUND(VLOOKUP(C175,'Informations générales'!$C$66:$E$70,3,FALSE)*(AL175/$AP$28)/12,0)*12,IF(C175="3115. Logements",ROUND(VLOOKUP(C175,'Informations générales'!$C$66:$E$70,3,FALSE)*(AL175/$AQ$28)/12,0)*12,"")))))</f>
        <v/>
      </c>
      <c r="AG175" s="202"/>
      <c r="AH175" s="113" t="str">
        <f>IF(C175="3111. Logements",ROUND(VLOOKUP(C175,'Informations générales'!$C$66:$H$70,5,FALSE)*(AL175/$AM$28)/12,0)*12,IF(C175="3112. Logements",ROUND(VLOOKUP(C175,'Informations générales'!$C$66:$H$70,5,FALSE)*(AL175/$AN$28)/12,0)*12,IF(C175="3113. Logements",ROUND(VLOOKUP(C175,'Informations générales'!$C$66:$H$70,5,FALSE)*(AL175/$AO$28)/12,0)*12,IF(C175="3114. Logements",ROUND(VLOOKUP(C175,'Informations générales'!$C$66:$H$70,5,FALSE)*(AL175/$AP$28)/12,0)*12,IF(C175="3115. Logements",ROUND(VLOOKUP(C175,'Informations générales'!$C$66:$H$70,5,FALSE)*(AL175/$AQ$28)/12,0)*12,"")))))</f>
        <v/>
      </c>
      <c r="AI175" s="114"/>
      <c r="AJ175" s="114"/>
      <c r="AK175" s="76"/>
      <c r="AL175" s="58">
        <f t="shared" si="43"/>
        <v>0</v>
      </c>
      <c r="AM175" s="58"/>
      <c r="AN175" s="58"/>
      <c r="AO175" s="58"/>
      <c r="AP175" s="58"/>
      <c r="AQ175" s="58"/>
      <c r="AR175" s="58">
        <f t="shared" si="31"/>
        <v>0</v>
      </c>
      <c r="AS175" s="58">
        <f t="shared" si="32"/>
        <v>0</v>
      </c>
      <c r="AT175" s="58">
        <f t="shared" si="33"/>
        <v>0</v>
      </c>
      <c r="AU175" s="58">
        <f t="shared" si="34"/>
        <v>0</v>
      </c>
      <c r="AV175" s="58">
        <f t="shared" si="35"/>
        <v>0</v>
      </c>
      <c r="AW175" s="58">
        <f t="shared" si="36"/>
        <v>0</v>
      </c>
      <c r="AX175" s="58">
        <f t="shared" si="37"/>
        <v>0</v>
      </c>
      <c r="AY175" s="58">
        <f t="shared" si="44"/>
        <v>0</v>
      </c>
      <c r="AZ175" s="62">
        <f t="shared" si="38"/>
        <v>0</v>
      </c>
      <c r="BA175" s="63">
        <f t="shared" si="39"/>
        <v>0</v>
      </c>
      <c r="BB175" s="63">
        <f t="shared" si="40"/>
        <v>0</v>
      </c>
    </row>
    <row r="176" spans="3:54" s="17" customFormat="1" x14ac:dyDescent="0.25">
      <c r="C176" s="215"/>
      <c r="D176" s="216"/>
      <c r="E176" s="88"/>
      <c r="F176" s="217"/>
      <c r="G176" s="234"/>
      <c r="H176" s="218"/>
      <c r="I176" s="76"/>
      <c r="J176" s="77"/>
      <c r="K176" s="76"/>
      <c r="L176" s="78"/>
      <c r="M176" s="78"/>
      <c r="N176" s="76" t="s">
        <v>39</v>
      </c>
      <c r="O176" s="110"/>
      <c r="P176" s="152"/>
      <c r="Q176" s="111" t="str">
        <f>IFERROR(MIN(VLOOKUP(ROUNDDOWN(P176,0),'Aide calcul'!$B$2:$C$282,2,FALSE),O176+1),"")</f>
        <v/>
      </c>
      <c r="R176" s="112" t="str">
        <f t="shared" si="41"/>
        <v/>
      </c>
      <c r="S176" s="152"/>
      <c r="T176" s="152"/>
      <c r="U176" s="152"/>
      <c r="V176" s="152"/>
      <c r="W176" s="152"/>
      <c r="X176" s="152"/>
      <c r="Y176" s="152"/>
      <c r="Z176" s="76"/>
      <c r="AA176" s="76"/>
      <c r="AB176" s="113" t="str">
        <f>IF(C176="3111. Logements",ROUND(VLOOKUP(C176,'Informations générales'!$C$66:$E$70,3,FALSE)*(AL176/$AM$28)/12,0)*12,IF(C176="3112. Logements",ROUND(VLOOKUP(C176,'Informations générales'!$C$66:$E$70,3,FALSE)*(AL176/$AN$28)/12,0)*12,IF(C176="3113. Logements",ROUND(VLOOKUP(C176,'Informations générales'!$C$66:$E$70,3,FALSE)*(AL176/$AO$28)/12,0)*12,IF(C176="3114. Logements",ROUND(VLOOKUP(C176,'Informations générales'!$C$66:$E$70,3,FALSE)*(AL176/$AP$28)/12,0)*12,IF(C176="3115. Logements",ROUND(VLOOKUP(C176,'Informations générales'!$C$66:$E$70,3,FALSE)*(AL176/$AQ$28)/12,0)*12,"")))))</f>
        <v/>
      </c>
      <c r="AC176" s="114"/>
      <c r="AD176" s="113">
        <f t="shared" si="42"/>
        <v>0</v>
      </c>
      <c r="AE176" s="114"/>
      <c r="AF176" s="203" t="str">
        <f>IF(C176="3111. Logements",ROUND(VLOOKUP(C176,'Informations générales'!$C$66:$E$70,3,FALSE)*(AL176/$AM$28)/12,0)*12,IF(C176="3112. Logements",ROUND(VLOOKUP(C176,'Informations générales'!$C$66:$E$70,3,FALSE)*(AL176/$AN$28)/12,0)*12,IF(C176="3113. Logements",ROUND(VLOOKUP(C176,'Informations générales'!$C$66:$E$70,3,FALSE)*(AL176/$AO$28)/12,0)*12,IF(C176="3114. Logements",ROUND(VLOOKUP(C176,'Informations générales'!$C$66:$E$70,3,FALSE)*(AL176/$AP$28)/12,0)*12,IF(C176="3115. Logements",ROUND(VLOOKUP(C176,'Informations générales'!$C$66:$E$70,3,FALSE)*(AL176/$AQ$28)/12,0)*12,"")))))</f>
        <v/>
      </c>
      <c r="AG176" s="202"/>
      <c r="AH176" s="113" t="str">
        <f>IF(C176="3111. Logements",ROUND(VLOOKUP(C176,'Informations générales'!$C$66:$H$70,5,FALSE)*(AL176/$AM$28)/12,0)*12,IF(C176="3112. Logements",ROUND(VLOOKUP(C176,'Informations générales'!$C$66:$H$70,5,FALSE)*(AL176/$AN$28)/12,0)*12,IF(C176="3113. Logements",ROUND(VLOOKUP(C176,'Informations générales'!$C$66:$H$70,5,FALSE)*(AL176/$AO$28)/12,0)*12,IF(C176="3114. Logements",ROUND(VLOOKUP(C176,'Informations générales'!$C$66:$H$70,5,FALSE)*(AL176/$AP$28)/12,0)*12,IF(C176="3115. Logements",ROUND(VLOOKUP(C176,'Informations générales'!$C$66:$H$70,5,FALSE)*(AL176/$AQ$28)/12,0)*12,"")))))</f>
        <v/>
      </c>
      <c r="AI176" s="114"/>
      <c r="AJ176" s="114"/>
      <c r="AK176" s="76"/>
      <c r="AL176" s="58">
        <f t="shared" si="43"/>
        <v>0</v>
      </c>
      <c r="AM176" s="58"/>
      <c r="AN176" s="58"/>
      <c r="AO176" s="58"/>
      <c r="AP176" s="58"/>
      <c r="AQ176" s="58"/>
      <c r="AR176" s="58">
        <f t="shared" si="31"/>
        <v>0</v>
      </c>
      <c r="AS176" s="58">
        <f t="shared" si="32"/>
        <v>0</v>
      </c>
      <c r="AT176" s="58">
        <f t="shared" si="33"/>
        <v>0</v>
      </c>
      <c r="AU176" s="58">
        <f t="shared" si="34"/>
        <v>0</v>
      </c>
      <c r="AV176" s="58">
        <f t="shared" si="35"/>
        <v>0</v>
      </c>
      <c r="AW176" s="58">
        <f t="shared" si="36"/>
        <v>0</v>
      </c>
      <c r="AX176" s="58">
        <f t="shared" si="37"/>
        <v>0</v>
      </c>
      <c r="AY176" s="58">
        <f t="shared" si="44"/>
        <v>0</v>
      </c>
      <c r="AZ176" s="62">
        <f t="shared" si="38"/>
        <v>0</v>
      </c>
      <c r="BA176" s="63">
        <f t="shared" si="39"/>
        <v>0</v>
      </c>
      <c r="BB176" s="63">
        <f t="shared" si="40"/>
        <v>0</v>
      </c>
    </row>
    <row r="177" spans="3:54" s="17" customFormat="1" x14ac:dyDescent="0.25">
      <c r="C177" s="215"/>
      <c r="D177" s="216"/>
      <c r="E177" s="88"/>
      <c r="F177" s="217"/>
      <c r="G177" s="234"/>
      <c r="H177" s="218"/>
      <c r="I177" s="76"/>
      <c r="J177" s="77"/>
      <c r="K177" s="76"/>
      <c r="L177" s="78"/>
      <c r="M177" s="78"/>
      <c r="N177" s="76" t="s">
        <v>39</v>
      </c>
      <c r="O177" s="110"/>
      <c r="P177" s="152"/>
      <c r="Q177" s="111" t="str">
        <f>IFERROR(MIN(VLOOKUP(ROUNDDOWN(P177,0),'Aide calcul'!$B$2:$C$282,2,FALSE),O177+1),"")</f>
        <v/>
      </c>
      <c r="R177" s="112" t="str">
        <f t="shared" si="41"/>
        <v/>
      </c>
      <c r="S177" s="152"/>
      <c r="T177" s="152"/>
      <c r="U177" s="152"/>
      <c r="V177" s="152"/>
      <c r="W177" s="152"/>
      <c r="X177" s="152"/>
      <c r="Y177" s="152"/>
      <c r="Z177" s="76"/>
      <c r="AA177" s="76"/>
      <c r="AB177" s="113" t="str">
        <f>IF(C177="3111. Logements",ROUND(VLOOKUP(C177,'Informations générales'!$C$66:$E$70,3,FALSE)*(AL177/$AM$28)/12,0)*12,IF(C177="3112. Logements",ROUND(VLOOKUP(C177,'Informations générales'!$C$66:$E$70,3,FALSE)*(AL177/$AN$28)/12,0)*12,IF(C177="3113. Logements",ROUND(VLOOKUP(C177,'Informations générales'!$C$66:$E$70,3,FALSE)*(AL177/$AO$28)/12,0)*12,IF(C177="3114. Logements",ROUND(VLOOKUP(C177,'Informations générales'!$C$66:$E$70,3,FALSE)*(AL177/$AP$28)/12,0)*12,IF(C177="3115. Logements",ROUND(VLOOKUP(C177,'Informations générales'!$C$66:$E$70,3,FALSE)*(AL177/$AQ$28)/12,0)*12,"")))))</f>
        <v/>
      </c>
      <c r="AC177" s="114"/>
      <c r="AD177" s="113">
        <f t="shared" si="42"/>
        <v>0</v>
      </c>
      <c r="AE177" s="114"/>
      <c r="AF177" s="203" t="str">
        <f>IF(C177="3111. Logements",ROUND(VLOOKUP(C177,'Informations générales'!$C$66:$E$70,3,FALSE)*(AL177/$AM$28)/12,0)*12,IF(C177="3112. Logements",ROUND(VLOOKUP(C177,'Informations générales'!$C$66:$E$70,3,FALSE)*(AL177/$AN$28)/12,0)*12,IF(C177="3113. Logements",ROUND(VLOOKUP(C177,'Informations générales'!$C$66:$E$70,3,FALSE)*(AL177/$AO$28)/12,0)*12,IF(C177="3114. Logements",ROUND(VLOOKUP(C177,'Informations générales'!$C$66:$E$70,3,FALSE)*(AL177/$AP$28)/12,0)*12,IF(C177="3115. Logements",ROUND(VLOOKUP(C177,'Informations générales'!$C$66:$E$70,3,FALSE)*(AL177/$AQ$28)/12,0)*12,"")))))</f>
        <v/>
      </c>
      <c r="AG177" s="202"/>
      <c r="AH177" s="113" t="str">
        <f>IF(C177="3111. Logements",ROUND(VLOOKUP(C177,'Informations générales'!$C$66:$H$70,5,FALSE)*(AL177/$AM$28)/12,0)*12,IF(C177="3112. Logements",ROUND(VLOOKUP(C177,'Informations générales'!$C$66:$H$70,5,FALSE)*(AL177/$AN$28)/12,0)*12,IF(C177="3113. Logements",ROUND(VLOOKUP(C177,'Informations générales'!$C$66:$H$70,5,FALSE)*(AL177/$AO$28)/12,0)*12,IF(C177="3114. Logements",ROUND(VLOOKUP(C177,'Informations générales'!$C$66:$H$70,5,FALSE)*(AL177/$AP$28)/12,0)*12,IF(C177="3115. Logements",ROUND(VLOOKUP(C177,'Informations générales'!$C$66:$H$70,5,FALSE)*(AL177/$AQ$28)/12,0)*12,"")))))</f>
        <v/>
      </c>
      <c r="AI177" s="114"/>
      <c r="AJ177" s="114"/>
      <c r="AK177" s="76"/>
      <c r="AL177" s="58">
        <f t="shared" si="43"/>
        <v>0</v>
      </c>
      <c r="AM177" s="58"/>
      <c r="AN177" s="58"/>
      <c r="AO177" s="58"/>
      <c r="AP177" s="58"/>
      <c r="AQ177" s="58"/>
      <c r="AR177" s="58">
        <f t="shared" si="31"/>
        <v>0</v>
      </c>
      <c r="AS177" s="58">
        <f t="shared" si="32"/>
        <v>0</v>
      </c>
      <c r="AT177" s="58">
        <f t="shared" si="33"/>
        <v>0</v>
      </c>
      <c r="AU177" s="58">
        <f t="shared" si="34"/>
        <v>0</v>
      </c>
      <c r="AV177" s="58">
        <f t="shared" si="35"/>
        <v>0</v>
      </c>
      <c r="AW177" s="58">
        <f t="shared" si="36"/>
        <v>0</v>
      </c>
      <c r="AX177" s="58">
        <f t="shared" si="37"/>
        <v>0</v>
      </c>
      <c r="AY177" s="58">
        <f t="shared" si="44"/>
        <v>0</v>
      </c>
      <c r="AZ177" s="62">
        <f t="shared" si="38"/>
        <v>0</v>
      </c>
      <c r="BA177" s="63">
        <f t="shared" si="39"/>
        <v>0</v>
      </c>
      <c r="BB177" s="63">
        <f t="shared" si="40"/>
        <v>0</v>
      </c>
    </row>
    <row r="178" spans="3:54" s="17" customFormat="1" x14ac:dyDescent="0.25">
      <c r="C178" s="215"/>
      <c r="D178" s="216"/>
      <c r="E178" s="88"/>
      <c r="F178" s="217"/>
      <c r="G178" s="234"/>
      <c r="H178" s="218"/>
      <c r="I178" s="76"/>
      <c r="J178" s="77"/>
      <c r="K178" s="76"/>
      <c r="L178" s="78"/>
      <c r="M178" s="78"/>
      <c r="N178" s="76" t="s">
        <v>39</v>
      </c>
      <c r="O178" s="110"/>
      <c r="P178" s="152"/>
      <c r="Q178" s="111" t="str">
        <f>IFERROR(MIN(VLOOKUP(ROUNDDOWN(P178,0),'Aide calcul'!$B$2:$C$282,2,FALSE),O178+1),"")</f>
        <v/>
      </c>
      <c r="R178" s="112" t="str">
        <f t="shared" si="41"/>
        <v/>
      </c>
      <c r="S178" s="152"/>
      <c r="T178" s="152"/>
      <c r="U178" s="152"/>
      <c r="V178" s="152"/>
      <c r="W178" s="152"/>
      <c r="X178" s="152"/>
      <c r="Y178" s="152"/>
      <c r="Z178" s="76"/>
      <c r="AA178" s="76"/>
      <c r="AB178" s="113" t="str">
        <f>IF(C178="3111. Logements",ROUND(VLOOKUP(C178,'Informations générales'!$C$66:$E$70,3,FALSE)*(AL178/$AM$28)/12,0)*12,IF(C178="3112. Logements",ROUND(VLOOKUP(C178,'Informations générales'!$C$66:$E$70,3,FALSE)*(AL178/$AN$28)/12,0)*12,IF(C178="3113. Logements",ROUND(VLOOKUP(C178,'Informations générales'!$C$66:$E$70,3,FALSE)*(AL178/$AO$28)/12,0)*12,IF(C178="3114. Logements",ROUND(VLOOKUP(C178,'Informations générales'!$C$66:$E$70,3,FALSE)*(AL178/$AP$28)/12,0)*12,IF(C178="3115. Logements",ROUND(VLOOKUP(C178,'Informations générales'!$C$66:$E$70,3,FALSE)*(AL178/$AQ$28)/12,0)*12,"")))))</f>
        <v/>
      </c>
      <c r="AC178" s="114"/>
      <c r="AD178" s="113">
        <f t="shared" si="42"/>
        <v>0</v>
      </c>
      <c r="AE178" s="114"/>
      <c r="AF178" s="203" t="str">
        <f>IF(C178="3111. Logements",ROUND(VLOOKUP(C178,'Informations générales'!$C$66:$E$70,3,FALSE)*(AL178/$AM$28)/12,0)*12,IF(C178="3112. Logements",ROUND(VLOOKUP(C178,'Informations générales'!$C$66:$E$70,3,FALSE)*(AL178/$AN$28)/12,0)*12,IF(C178="3113. Logements",ROUND(VLOOKUP(C178,'Informations générales'!$C$66:$E$70,3,FALSE)*(AL178/$AO$28)/12,0)*12,IF(C178="3114. Logements",ROUND(VLOOKUP(C178,'Informations générales'!$C$66:$E$70,3,FALSE)*(AL178/$AP$28)/12,0)*12,IF(C178="3115. Logements",ROUND(VLOOKUP(C178,'Informations générales'!$C$66:$E$70,3,FALSE)*(AL178/$AQ$28)/12,0)*12,"")))))</f>
        <v/>
      </c>
      <c r="AG178" s="202"/>
      <c r="AH178" s="113" t="str">
        <f>IF(C178="3111. Logements",ROUND(VLOOKUP(C178,'Informations générales'!$C$66:$H$70,5,FALSE)*(AL178/$AM$28)/12,0)*12,IF(C178="3112. Logements",ROUND(VLOOKUP(C178,'Informations générales'!$C$66:$H$70,5,FALSE)*(AL178/$AN$28)/12,0)*12,IF(C178="3113. Logements",ROUND(VLOOKUP(C178,'Informations générales'!$C$66:$H$70,5,FALSE)*(AL178/$AO$28)/12,0)*12,IF(C178="3114. Logements",ROUND(VLOOKUP(C178,'Informations générales'!$C$66:$H$70,5,FALSE)*(AL178/$AP$28)/12,0)*12,IF(C178="3115. Logements",ROUND(VLOOKUP(C178,'Informations générales'!$C$66:$H$70,5,FALSE)*(AL178/$AQ$28)/12,0)*12,"")))))</f>
        <v/>
      </c>
      <c r="AI178" s="114"/>
      <c r="AJ178" s="114"/>
      <c r="AK178" s="76"/>
      <c r="AL178" s="58">
        <f t="shared" si="43"/>
        <v>0</v>
      </c>
      <c r="AM178" s="58"/>
      <c r="AN178" s="58"/>
      <c r="AO178" s="58"/>
      <c r="AP178" s="58"/>
      <c r="AQ178" s="58"/>
      <c r="AR178" s="58">
        <f t="shared" si="31"/>
        <v>0</v>
      </c>
      <c r="AS178" s="58">
        <f t="shared" si="32"/>
        <v>0</v>
      </c>
      <c r="AT178" s="58">
        <f t="shared" si="33"/>
        <v>0</v>
      </c>
      <c r="AU178" s="58">
        <f t="shared" si="34"/>
        <v>0</v>
      </c>
      <c r="AV178" s="58">
        <f t="shared" si="35"/>
        <v>0</v>
      </c>
      <c r="AW178" s="58">
        <f t="shared" si="36"/>
        <v>0</v>
      </c>
      <c r="AX178" s="58">
        <f t="shared" si="37"/>
        <v>0</v>
      </c>
      <c r="AY178" s="58">
        <f t="shared" si="44"/>
        <v>0</v>
      </c>
      <c r="AZ178" s="62">
        <f t="shared" si="38"/>
        <v>0</v>
      </c>
      <c r="BA178" s="63">
        <f t="shared" si="39"/>
        <v>0</v>
      </c>
      <c r="BB178" s="63">
        <f t="shared" si="40"/>
        <v>0</v>
      </c>
    </row>
    <row r="179" spans="3:54" s="17" customFormat="1" x14ac:dyDescent="0.25">
      <c r="C179" s="215"/>
      <c r="D179" s="216"/>
      <c r="E179" s="88"/>
      <c r="F179" s="217"/>
      <c r="G179" s="234"/>
      <c r="H179" s="218"/>
      <c r="I179" s="76"/>
      <c r="J179" s="77"/>
      <c r="K179" s="76"/>
      <c r="L179" s="78"/>
      <c r="M179" s="78"/>
      <c r="N179" s="76" t="s">
        <v>39</v>
      </c>
      <c r="O179" s="110"/>
      <c r="P179" s="152"/>
      <c r="Q179" s="111" t="str">
        <f>IFERROR(MIN(VLOOKUP(ROUNDDOWN(P179,0),'Aide calcul'!$B$2:$C$282,2,FALSE),O179+1),"")</f>
        <v/>
      </c>
      <c r="R179" s="112" t="str">
        <f t="shared" si="41"/>
        <v/>
      </c>
      <c r="S179" s="152"/>
      <c r="T179" s="152"/>
      <c r="U179" s="152"/>
      <c r="V179" s="152"/>
      <c r="W179" s="152"/>
      <c r="X179" s="152"/>
      <c r="Y179" s="152"/>
      <c r="Z179" s="76"/>
      <c r="AA179" s="76"/>
      <c r="AB179" s="113" t="str">
        <f>IF(C179="3111. Logements",ROUND(VLOOKUP(C179,'Informations générales'!$C$66:$E$70,3,FALSE)*(AL179/$AM$28)/12,0)*12,IF(C179="3112. Logements",ROUND(VLOOKUP(C179,'Informations générales'!$C$66:$E$70,3,FALSE)*(AL179/$AN$28)/12,0)*12,IF(C179="3113. Logements",ROUND(VLOOKUP(C179,'Informations générales'!$C$66:$E$70,3,FALSE)*(AL179/$AO$28)/12,0)*12,IF(C179="3114. Logements",ROUND(VLOOKUP(C179,'Informations générales'!$C$66:$E$70,3,FALSE)*(AL179/$AP$28)/12,0)*12,IF(C179="3115. Logements",ROUND(VLOOKUP(C179,'Informations générales'!$C$66:$E$70,3,FALSE)*(AL179/$AQ$28)/12,0)*12,"")))))</f>
        <v/>
      </c>
      <c r="AC179" s="114"/>
      <c r="AD179" s="113">
        <f t="shared" si="42"/>
        <v>0</v>
      </c>
      <c r="AE179" s="114"/>
      <c r="AF179" s="203" t="str">
        <f>IF(C179="3111. Logements",ROUND(VLOOKUP(C179,'Informations générales'!$C$66:$E$70,3,FALSE)*(AL179/$AM$28)/12,0)*12,IF(C179="3112. Logements",ROUND(VLOOKUP(C179,'Informations générales'!$C$66:$E$70,3,FALSE)*(AL179/$AN$28)/12,0)*12,IF(C179="3113. Logements",ROUND(VLOOKUP(C179,'Informations générales'!$C$66:$E$70,3,FALSE)*(AL179/$AO$28)/12,0)*12,IF(C179="3114. Logements",ROUND(VLOOKUP(C179,'Informations générales'!$C$66:$E$70,3,FALSE)*(AL179/$AP$28)/12,0)*12,IF(C179="3115. Logements",ROUND(VLOOKUP(C179,'Informations générales'!$C$66:$E$70,3,FALSE)*(AL179/$AQ$28)/12,0)*12,"")))))</f>
        <v/>
      </c>
      <c r="AG179" s="202"/>
      <c r="AH179" s="113" t="str">
        <f>IF(C179="3111. Logements",ROUND(VLOOKUP(C179,'Informations générales'!$C$66:$H$70,5,FALSE)*(AL179/$AM$28)/12,0)*12,IF(C179="3112. Logements",ROUND(VLOOKUP(C179,'Informations générales'!$C$66:$H$70,5,FALSE)*(AL179/$AN$28)/12,0)*12,IF(C179="3113. Logements",ROUND(VLOOKUP(C179,'Informations générales'!$C$66:$H$70,5,FALSE)*(AL179/$AO$28)/12,0)*12,IF(C179="3114. Logements",ROUND(VLOOKUP(C179,'Informations générales'!$C$66:$H$70,5,FALSE)*(AL179/$AP$28)/12,0)*12,IF(C179="3115. Logements",ROUND(VLOOKUP(C179,'Informations générales'!$C$66:$H$70,5,FALSE)*(AL179/$AQ$28)/12,0)*12,"")))))</f>
        <v/>
      </c>
      <c r="AI179" s="114"/>
      <c r="AJ179" s="114"/>
      <c r="AK179" s="76"/>
      <c r="AL179" s="58">
        <f t="shared" si="43"/>
        <v>0</v>
      </c>
      <c r="AM179" s="58"/>
      <c r="AN179" s="58"/>
      <c r="AO179" s="58"/>
      <c r="AP179" s="58"/>
      <c r="AQ179" s="58"/>
      <c r="AR179" s="58">
        <f t="shared" si="31"/>
        <v>0</v>
      </c>
      <c r="AS179" s="58">
        <f t="shared" si="32"/>
        <v>0</v>
      </c>
      <c r="AT179" s="58">
        <f t="shared" si="33"/>
        <v>0</v>
      </c>
      <c r="AU179" s="58">
        <f t="shared" si="34"/>
        <v>0</v>
      </c>
      <c r="AV179" s="58">
        <f t="shared" si="35"/>
        <v>0</v>
      </c>
      <c r="AW179" s="58">
        <f t="shared" si="36"/>
        <v>0</v>
      </c>
      <c r="AX179" s="58">
        <f t="shared" si="37"/>
        <v>0</v>
      </c>
      <c r="AY179" s="58">
        <f t="shared" si="44"/>
        <v>0</v>
      </c>
      <c r="AZ179" s="62">
        <f t="shared" si="38"/>
        <v>0</v>
      </c>
      <c r="BA179" s="63">
        <f t="shared" si="39"/>
        <v>0</v>
      </c>
      <c r="BB179" s="63">
        <f t="shared" si="40"/>
        <v>0</v>
      </c>
    </row>
    <row r="180" spans="3:54" s="17" customFormat="1" x14ac:dyDescent="0.25">
      <c r="C180" s="215"/>
      <c r="D180" s="216"/>
      <c r="E180" s="88"/>
      <c r="F180" s="217"/>
      <c r="G180" s="234"/>
      <c r="H180" s="218"/>
      <c r="I180" s="76"/>
      <c r="J180" s="77"/>
      <c r="K180" s="76"/>
      <c r="L180" s="78"/>
      <c r="M180" s="78"/>
      <c r="N180" s="76" t="s">
        <v>39</v>
      </c>
      <c r="O180" s="110"/>
      <c r="P180" s="152"/>
      <c r="Q180" s="111" t="str">
        <f>IFERROR(MIN(VLOOKUP(ROUNDDOWN(P180,0),'Aide calcul'!$B$2:$C$282,2,FALSE),O180+1),"")</f>
        <v/>
      </c>
      <c r="R180" s="112" t="str">
        <f t="shared" si="41"/>
        <v/>
      </c>
      <c r="S180" s="152"/>
      <c r="T180" s="152"/>
      <c r="U180" s="152"/>
      <c r="V180" s="152"/>
      <c r="W180" s="152"/>
      <c r="X180" s="152"/>
      <c r="Y180" s="152"/>
      <c r="Z180" s="76"/>
      <c r="AA180" s="76"/>
      <c r="AB180" s="113" t="str">
        <f>IF(C180="3111. Logements",ROUND(VLOOKUP(C180,'Informations générales'!$C$66:$E$70,3,FALSE)*(AL180/$AM$28)/12,0)*12,IF(C180="3112. Logements",ROUND(VLOOKUP(C180,'Informations générales'!$C$66:$E$70,3,FALSE)*(AL180/$AN$28)/12,0)*12,IF(C180="3113. Logements",ROUND(VLOOKUP(C180,'Informations générales'!$C$66:$E$70,3,FALSE)*(AL180/$AO$28)/12,0)*12,IF(C180="3114. Logements",ROUND(VLOOKUP(C180,'Informations générales'!$C$66:$E$70,3,FALSE)*(AL180/$AP$28)/12,0)*12,IF(C180="3115. Logements",ROUND(VLOOKUP(C180,'Informations générales'!$C$66:$E$70,3,FALSE)*(AL180/$AQ$28)/12,0)*12,"")))))</f>
        <v/>
      </c>
      <c r="AC180" s="114"/>
      <c r="AD180" s="113">
        <f t="shared" si="42"/>
        <v>0</v>
      </c>
      <c r="AE180" s="114"/>
      <c r="AF180" s="203" t="str">
        <f>IF(C180="3111. Logements",ROUND(VLOOKUP(C180,'Informations générales'!$C$66:$E$70,3,FALSE)*(AL180/$AM$28)/12,0)*12,IF(C180="3112. Logements",ROUND(VLOOKUP(C180,'Informations générales'!$C$66:$E$70,3,FALSE)*(AL180/$AN$28)/12,0)*12,IF(C180="3113. Logements",ROUND(VLOOKUP(C180,'Informations générales'!$C$66:$E$70,3,FALSE)*(AL180/$AO$28)/12,0)*12,IF(C180="3114. Logements",ROUND(VLOOKUP(C180,'Informations générales'!$C$66:$E$70,3,FALSE)*(AL180/$AP$28)/12,0)*12,IF(C180="3115. Logements",ROUND(VLOOKUP(C180,'Informations générales'!$C$66:$E$70,3,FALSE)*(AL180/$AQ$28)/12,0)*12,"")))))</f>
        <v/>
      </c>
      <c r="AG180" s="202"/>
      <c r="AH180" s="113" t="str">
        <f>IF(C180="3111. Logements",ROUND(VLOOKUP(C180,'Informations générales'!$C$66:$H$70,5,FALSE)*(AL180/$AM$28)/12,0)*12,IF(C180="3112. Logements",ROUND(VLOOKUP(C180,'Informations générales'!$C$66:$H$70,5,FALSE)*(AL180/$AN$28)/12,0)*12,IF(C180="3113. Logements",ROUND(VLOOKUP(C180,'Informations générales'!$C$66:$H$70,5,FALSE)*(AL180/$AO$28)/12,0)*12,IF(C180="3114. Logements",ROUND(VLOOKUP(C180,'Informations générales'!$C$66:$H$70,5,FALSE)*(AL180/$AP$28)/12,0)*12,IF(C180="3115. Logements",ROUND(VLOOKUP(C180,'Informations générales'!$C$66:$H$70,5,FALSE)*(AL180/$AQ$28)/12,0)*12,"")))))</f>
        <v/>
      </c>
      <c r="AI180" s="114"/>
      <c r="AJ180" s="114"/>
      <c r="AK180" s="76"/>
      <c r="AL180" s="58">
        <f t="shared" si="43"/>
        <v>0</v>
      </c>
      <c r="AM180" s="58"/>
      <c r="AN180" s="58"/>
      <c r="AO180" s="58"/>
      <c r="AP180" s="58"/>
      <c r="AQ180" s="58"/>
      <c r="AR180" s="58">
        <f t="shared" si="31"/>
        <v>0</v>
      </c>
      <c r="AS180" s="58">
        <f t="shared" si="32"/>
        <v>0</v>
      </c>
      <c r="AT180" s="58">
        <f t="shared" si="33"/>
        <v>0</v>
      </c>
      <c r="AU180" s="58">
        <f t="shared" si="34"/>
        <v>0</v>
      </c>
      <c r="AV180" s="58">
        <f t="shared" si="35"/>
        <v>0</v>
      </c>
      <c r="AW180" s="58">
        <f t="shared" si="36"/>
        <v>0</v>
      </c>
      <c r="AX180" s="58">
        <f t="shared" si="37"/>
        <v>0</v>
      </c>
      <c r="AY180" s="58">
        <f t="shared" si="44"/>
        <v>0</v>
      </c>
      <c r="AZ180" s="62">
        <f t="shared" si="38"/>
        <v>0</v>
      </c>
      <c r="BA180" s="63">
        <f t="shared" si="39"/>
        <v>0</v>
      </c>
      <c r="BB180" s="63">
        <f t="shared" si="40"/>
        <v>0</v>
      </c>
    </row>
    <row r="181" spans="3:54" s="17" customFormat="1" x14ac:dyDescent="0.25">
      <c r="C181" s="215"/>
      <c r="D181" s="216"/>
      <c r="E181" s="88"/>
      <c r="F181" s="217"/>
      <c r="G181" s="234"/>
      <c r="H181" s="218"/>
      <c r="I181" s="76"/>
      <c r="J181" s="77"/>
      <c r="K181" s="76"/>
      <c r="L181" s="78"/>
      <c r="M181" s="78"/>
      <c r="N181" s="76" t="s">
        <v>39</v>
      </c>
      <c r="O181" s="110"/>
      <c r="P181" s="152"/>
      <c r="Q181" s="111" t="str">
        <f>IFERROR(MIN(VLOOKUP(ROUNDDOWN(P181,0),'Aide calcul'!$B$2:$C$282,2,FALSE),O181+1),"")</f>
        <v/>
      </c>
      <c r="R181" s="112" t="str">
        <f t="shared" si="41"/>
        <v/>
      </c>
      <c r="S181" s="152"/>
      <c r="T181" s="152"/>
      <c r="U181" s="152"/>
      <c r="V181" s="152"/>
      <c r="W181" s="152"/>
      <c r="X181" s="152"/>
      <c r="Y181" s="152"/>
      <c r="Z181" s="76"/>
      <c r="AA181" s="76"/>
      <c r="AB181" s="113" t="str">
        <f>IF(C181="3111. Logements",ROUND(VLOOKUP(C181,'Informations générales'!$C$66:$E$70,3,FALSE)*(AL181/$AM$28)/12,0)*12,IF(C181="3112. Logements",ROUND(VLOOKUP(C181,'Informations générales'!$C$66:$E$70,3,FALSE)*(AL181/$AN$28)/12,0)*12,IF(C181="3113. Logements",ROUND(VLOOKUP(C181,'Informations générales'!$C$66:$E$70,3,FALSE)*(AL181/$AO$28)/12,0)*12,IF(C181="3114. Logements",ROUND(VLOOKUP(C181,'Informations générales'!$C$66:$E$70,3,FALSE)*(AL181/$AP$28)/12,0)*12,IF(C181="3115. Logements",ROUND(VLOOKUP(C181,'Informations générales'!$C$66:$E$70,3,FALSE)*(AL181/$AQ$28)/12,0)*12,"")))))</f>
        <v/>
      </c>
      <c r="AC181" s="114"/>
      <c r="AD181" s="113">
        <f t="shared" si="42"/>
        <v>0</v>
      </c>
      <c r="AE181" s="114"/>
      <c r="AF181" s="203" t="str">
        <f>IF(C181="3111. Logements",ROUND(VLOOKUP(C181,'Informations générales'!$C$66:$E$70,3,FALSE)*(AL181/$AM$28)/12,0)*12,IF(C181="3112. Logements",ROUND(VLOOKUP(C181,'Informations générales'!$C$66:$E$70,3,FALSE)*(AL181/$AN$28)/12,0)*12,IF(C181="3113. Logements",ROUND(VLOOKUP(C181,'Informations générales'!$C$66:$E$70,3,FALSE)*(AL181/$AO$28)/12,0)*12,IF(C181="3114. Logements",ROUND(VLOOKUP(C181,'Informations générales'!$C$66:$E$70,3,FALSE)*(AL181/$AP$28)/12,0)*12,IF(C181="3115. Logements",ROUND(VLOOKUP(C181,'Informations générales'!$C$66:$E$70,3,FALSE)*(AL181/$AQ$28)/12,0)*12,"")))))</f>
        <v/>
      </c>
      <c r="AG181" s="202"/>
      <c r="AH181" s="113" t="str">
        <f>IF(C181="3111. Logements",ROUND(VLOOKUP(C181,'Informations générales'!$C$66:$H$70,5,FALSE)*(AL181/$AM$28)/12,0)*12,IF(C181="3112. Logements",ROUND(VLOOKUP(C181,'Informations générales'!$C$66:$H$70,5,FALSE)*(AL181/$AN$28)/12,0)*12,IF(C181="3113. Logements",ROUND(VLOOKUP(C181,'Informations générales'!$C$66:$H$70,5,FALSE)*(AL181/$AO$28)/12,0)*12,IF(C181="3114. Logements",ROUND(VLOOKUP(C181,'Informations générales'!$C$66:$H$70,5,FALSE)*(AL181/$AP$28)/12,0)*12,IF(C181="3115. Logements",ROUND(VLOOKUP(C181,'Informations générales'!$C$66:$H$70,5,FALSE)*(AL181/$AQ$28)/12,0)*12,"")))))</f>
        <v/>
      </c>
      <c r="AI181" s="114"/>
      <c r="AJ181" s="114"/>
      <c r="AK181" s="76"/>
      <c r="AL181" s="58">
        <f t="shared" si="43"/>
        <v>0</v>
      </c>
      <c r="AM181" s="58"/>
      <c r="AN181" s="58"/>
      <c r="AO181" s="58"/>
      <c r="AP181" s="58"/>
      <c r="AQ181" s="58"/>
      <c r="AR181" s="58">
        <f t="shared" si="31"/>
        <v>0</v>
      </c>
      <c r="AS181" s="58">
        <f t="shared" si="32"/>
        <v>0</v>
      </c>
      <c r="AT181" s="58">
        <f t="shared" si="33"/>
        <v>0</v>
      </c>
      <c r="AU181" s="58">
        <f t="shared" si="34"/>
        <v>0</v>
      </c>
      <c r="AV181" s="58">
        <f t="shared" si="35"/>
        <v>0</v>
      </c>
      <c r="AW181" s="58">
        <f t="shared" si="36"/>
        <v>0</v>
      </c>
      <c r="AX181" s="58">
        <f t="shared" si="37"/>
        <v>0</v>
      </c>
      <c r="AY181" s="58">
        <f t="shared" si="44"/>
        <v>0</v>
      </c>
      <c r="AZ181" s="62">
        <f t="shared" si="38"/>
        <v>0</v>
      </c>
      <c r="BA181" s="63">
        <f t="shared" si="39"/>
        <v>0</v>
      </c>
      <c r="BB181" s="63">
        <f t="shared" si="40"/>
        <v>0</v>
      </c>
    </row>
    <row r="182" spans="3:54" s="17" customFormat="1" x14ac:dyDescent="0.25">
      <c r="C182" s="215"/>
      <c r="D182" s="216"/>
      <c r="E182" s="88"/>
      <c r="F182" s="217"/>
      <c r="G182" s="234"/>
      <c r="H182" s="218"/>
      <c r="I182" s="76"/>
      <c r="J182" s="77"/>
      <c r="K182" s="76"/>
      <c r="L182" s="78"/>
      <c r="M182" s="78"/>
      <c r="N182" s="76" t="s">
        <v>39</v>
      </c>
      <c r="O182" s="110"/>
      <c r="P182" s="152"/>
      <c r="Q182" s="111" t="str">
        <f>IFERROR(MIN(VLOOKUP(ROUNDDOWN(P182,0),'Aide calcul'!$B$2:$C$282,2,FALSE),O182+1),"")</f>
        <v/>
      </c>
      <c r="R182" s="112" t="str">
        <f t="shared" si="41"/>
        <v/>
      </c>
      <c r="S182" s="152"/>
      <c r="T182" s="152"/>
      <c r="U182" s="152"/>
      <c r="V182" s="152"/>
      <c r="W182" s="152"/>
      <c r="X182" s="152"/>
      <c r="Y182" s="152"/>
      <c r="Z182" s="76"/>
      <c r="AA182" s="76"/>
      <c r="AB182" s="113" t="str">
        <f>IF(C182="3111. Logements",ROUND(VLOOKUP(C182,'Informations générales'!$C$66:$E$70,3,FALSE)*(AL182/$AM$28)/12,0)*12,IF(C182="3112. Logements",ROUND(VLOOKUP(C182,'Informations générales'!$C$66:$E$70,3,FALSE)*(AL182/$AN$28)/12,0)*12,IF(C182="3113. Logements",ROUND(VLOOKUP(C182,'Informations générales'!$C$66:$E$70,3,FALSE)*(AL182/$AO$28)/12,0)*12,IF(C182="3114. Logements",ROUND(VLOOKUP(C182,'Informations générales'!$C$66:$E$70,3,FALSE)*(AL182/$AP$28)/12,0)*12,IF(C182="3115. Logements",ROUND(VLOOKUP(C182,'Informations générales'!$C$66:$E$70,3,FALSE)*(AL182/$AQ$28)/12,0)*12,"")))))</f>
        <v/>
      </c>
      <c r="AC182" s="114"/>
      <c r="AD182" s="113">
        <f t="shared" si="42"/>
        <v>0</v>
      </c>
      <c r="AE182" s="114"/>
      <c r="AF182" s="203" t="str">
        <f>IF(C182="3111. Logements",ROUND(VLOOKUP(C182,'Informations générales'!$C$66:$E$70,3,FALSE)*(AL182/$AM$28)/12,0)*12,IF(C182="3112. Logements",ROUND(VLOOKUP(C182,'Informations générales'!$C$66:$E$70,3,FALSE)*(AL182/$AN$28)/12,0)*12,IF(C182="3113. Logements",ROUND(VLOOKUP(C182,'Informations générales'!$C$66:$E$70,3,FALSE)*(AL182/$AO$28)/12,0)*12,IF(C182="3114. Logements",ROUND(VLOOKUP(C182,'Informations générales'!$C$66:$E$70,3,FALSE)*(AL182/$AP$28)/12,0)*12,IF(C182="3115. Logements",ROUND(VLOOKUP(C182,'Informations générales'!$C$66:$E$70,3,FALSE)*(AL182/$AQ$28)/12,0)*12,"")))))</f>
        <v/>
      </c>
      <c r="AG182" s="202"/>
      <c r="AH182" s="113" t="str">
        <f>IF(C182="3111. Logements",ROUND(VLOOKUP(C182,'Informations générales'!$C$66:$H$70,5,FALSE)*(AL182/$AM$28)/12,0)*12,IF(C182="3112. Logements",ROUND(VLOOKUP(C182,'Informations générales'!$C$66:$H$70,5,FALSE)*(AL182/$AN$28)/12,0)*12,IF(C182="3113. Logements",ROUND(VLOOKUP(C182,'Informations générales'!$C$66:$H$70,5,FALSE)*(AL182/$AO$28)/12,0)*12,IF(C182="3114. Logements",ROUND(VLOOKUP(C182,'Informations générales'!$C$66:$H$70,5,FALSE)*(AL182/$AP$28)/12,0)*12,IF(C182="3115. Logements",ROUND(VLOOKUP(C182,'Informations générales'!$C$66:$H$70,5,FALSE)*(AL182/$AQ$28)/12,0)*12,"")))))</f>
        <v/>
      </c>
      <c r="AI182" s="114"/>
      <c r="AJ182" s="114"/>
      <c r="AK182" s="76"/>
      <c r="AL182" s="58">
        <f t="shared" si="43"/>
        <v>0</v>
      </c>
      <c r="AM182" s="58"/>
      <c r="AN182" s="58"/>
      <c r="AO182" s="58"/>
      <c r="AP182" s="58"/>
      <c r="AQ182" s="58"/>
      <c r="AR182" s="58">
        <f t="shared" si="31"/>
        <v>0</v>
      </c>
      <c r="AS182" s="58">
        <f t="shared" si="32"/>
        <v>0</v>
      </c>
      <c r="AT182" s="58">
        <f t="shared" si="33"/>
        <v>0</v>
      </c>
      <c r="AU182" s="58">
        <f t="shared" si="34"/>
        <v>0</v>
      </c>
      <c r="AV182" s="58">
        <f t="shared" si="35"/>
        <v>0</v>
      </c>
      <c r="AW182" s="58">
        <f t="shared" si="36"/>
        <v>0</v>
      </c>
      <c r="AX182" s="58">
        <f t="shared" si="37"/>
        <v>0</v>
      </c>
      <c r="AY182" s="58">
        <f t="shared" si="44"/>
        <v>0</v>
      </c>
      <c r="AZ182" s="62">
        <f t="shared" si="38"/>
        <v>0</v>
      </c>
      <c r="BA182" s="63">
        <f t="shared" si="39"/>
        <v>0</v>
      </c>
      <c r="BB182" s="63">
        <f t="shared" si="40"/>
        <v>0</v>
      </c>
    </row>
    <row r="183" spans="3:54" s="17" customFormat="1" x14ac:dyDescent="0.25">
      <c r="C183" s="215"/>
      <c r="D183" s="216"/>
      <c r="E183" s="88"/>
      <c r="F183" s="217"/>
      <c r="G183" s="234"/>
      <c r="H183" s="218"/>
      <c r="I183" s="76"/>
      <c r="J183" s="77"/>
      <c r="K183" s="76"/>
      <c r="L183" s="78"/>
      <c r="M183" s="78"/>
      <c r="N183" s="76" t="s">
        <v>39</v>
      </c>
      <c r="O183" s="110"/>
      <c r="P183" s="152"/>
      <c r="Q183" s="111" t="str">
        <f>IFERROR(MIN(VLOOKUP(ROUNDDOWN(P183,0),'Aide calcul'!$B$2:$C$282,2,FALSE),O183+1),"")</f>
        <v/>
      </c>
      <c r="R183" s="112" t="str">
        <f t="shared" si="41"/>
        <v/>
      </c>
      <c r="S183" s="152"/>
      <c r="T183" s="152"/>
      <c r="U183" s="152"/>
      <c r="V183" s="152"/>
      <c r="W183" s="152"/>
      <c r="X183" s="152"/>
      <c r="Y183" s="152"/>
      <c r="Z183" s="76"/>
      <c r="AA183" s="76"/>
      <c r="AB183" s="113" t="str">
        <f>IF(C183="3111. Logements",ROUND(VLOOKUP(C183,'Informations générales'!$C$66:$E$70,3,FALSE)*(AL183/$AM$28)/12,0)*12,IF(C183="3112. Logements",ROUND(VLOOKUP(C183,'Informations générales'!$C$66:$E$70,3,FALSE)*(AL183/$AN$28)/12,0)*12,IF(C183="3113. Logements",ROUND(VLOOKUP(C183,'Informations générales'!$C$66:$E$70,3,FALSE)*(AL183/$AO$28)/12,0)*12,IF(C183="3114. Logements",ROUND(VLOOKUP(C183,'Informations générales'!$C$66:$E$70,3,FALSE)*(AL183/$AP$28)/12,0)*12,IF(C183="3115. Logements",ROUND(VLOOKUP(C183,'Informations générales'!$C$66:$E$70,3,FALSE)*(AL183/$AQ$28)/12,0)*12,"")))))</f>
        <v/>
      </c>
      <c r="AC183" s="114"/>
      <c r="AD183" s="113">
        <f t="shared" si="42"/>
        <v>0</v>
      </c>
      <c r="AE183" s="114"/>
      <c r="AF183" s="203" t="str">
        <f>IF(C183="3111. Logements",ROUND(VLOOKUP(C183,'Informations générales'!$C$66:$E$70,3,FALSE)*(AL183/$AM$28)/12,0)*12,IF(C183="3112. Logements",ROUND(VLOOKUP(C183,'Informations générales'!$C$66:$E$70,3,FALSE)*(AL183/$AN$28)/12,0)*12,IF(C183="3113. Logements",ROUND(VLOOKUP(C183,'Informations générales'!$C$66:$E$70,3,FALSE)*(AL183/$AO$28)/12,0)*12,IF(C183="3114. Logements",ROUND(VLOOKUP(C183,'Informations générales'!$C$66:$E$70,3,FALSE)*(AL183/$AP$28)/12,0)*12,IF(C183="3115. Logements",ROUND(VLOOKUP(C183,'Informations générales'!$C$66:$E$70,3,FALSE)*(AL183/$AQ$28)/12,0)*12,"")))))</f>
        <v/>
      </c>
      <c r="AG183" s="202"/>
      <c r="AH183" s="113" t="str">
        <f>IF(C183="3111. Logements",ROUND(VLOOKUP(C183,'Informations générales'!$C$66:$H$70,5,FALSE)*(AL183/$AM$28)/12,0)*12,IF(C183="3112. Logements",ROUND(VLOOKUP(C183,'Informations générales'!$C$66:$H$70,5,FALSE)*(AL183/$AN$28)/12,0)*12,IF(C183="3113. Logements",ROUND(VLOOKUP(C183,'Informations générales'!$C$66:$H$70,5,FALSE)*(AL183/$AO$28)/12,0)*12,IF(C183="3114. Logements",ROUND(VLOOKUP(C183,'Informations générales'!$C$66:$H$70,5,FALSE)*(AL183/$AP$28)/12,0)*12,IF(C183="3115. Logements",ROUND(VLOOKUP(C183,'Informations générales'!$C$66:$H$70,5,FALSE)*(AL183/$AQ$28)/12,0)*12,"")))))</f>
        <v/>
      </c>
      <c r="AI183" s="114"/>
      <c r="AJ183" s="114"/>
      <c r="AK183" s="76"/>
      <c r="AL183" s="58">
        <f t="shared" si="43"/>
        <v>0</v>
      </c>
      <c r="AM183" s="58"/>
      <c r="AN183" s="58"/>
      <c r="AO183" s="58"/>
      <c r="AP183" s="58"/>
      <c r="AQ183" s="58"/>
      <c r="AR183" s="58">
        <f t="shared" si="31"/>
        <v>0</v>
      </c>
      <c r="AS183" s="58">
        <f t="shared" si="32"/>
        <v>0</v>
      </c>
      <c r="AT183" s="58">
        <f t="shared" si="33"/>
        <v>0</v>
      </c>
      <c r="AU183" s="58">
        <f t="shared" si="34"/>
        <v>0</v>
      </c>
      <c r="AV183" s="58">
        <f t="shared" si="35"/>
        <v>0</v>
      </c>
      <c r="AW183" s="58">
        <f t="shared" si="36"/>
        <v>0</v>
      </c>
      <c r="AX183" s="58">
        <f t="shared" si="37"/>
        <v>0</v>
      </c>
      <c r="AY183" s="58">
        <f t="shared" si="44"/>
        <v>0</v>
      </c>
      <c r="AZ183" s="62">
        <f t="shared" si="38"/>
        <v>0</v>
      </c>
      <c r="BA183" s="63">
        <f t="shared" si="39"/>
        <v>0</v>
      </c>
      <c r="BB183" s="63">
        <f t="shared" si="40"/>
        <v>0</v>
      </c>
    </row>
    <row r="184" spans="3:54" s="17" customFormat="1" x14ac:dyDescent="0.25">
      <c r="C184" s="215"/>
      <c r="D184" s="216"/>
      <c r="E184" s="88"/>
      <c r="F184" s="217"/>
      <c r="G184" s="234"/>
      <c r="H184" s="218"/>
      <c r="I184" s="76"/>
      <c r="J184" s="77"/>
      <c r="K184" s="76"/>
      <c r="L184" s="78"/>
      <c r="M184" s="78"/>
      <c r="N184" s="76" t="s">
        <v>39</v>
      </c>
      <c r="O184" s="110"/>
      <c r="P184" s="152"/>
      <c r="Q184" s="111" t="str">
        <f>IFERROR(MIN(VLOOKUP(ROUNDDOWN(P184,0),'Aide calcul'!$B$2:$C$282,2,FALSE),O184+1),"")</f>
        <v/>
      </c>
      <c r="R184" s="112" t="str">
        <f t="shared" si="41"/>
        <v/>
      </c>
      <c r="S184" s="152"/>
      <c r="T184" s="152"/>
      <c r="U184" s="152"/>
      <c r="V184" s="152"/>
      <c r="W184" s="152"/>
      <c r="X184" s="152"/>
      <c r="Y184" s="152"/>
      <c r="Z184" s="76"/>
      <c r="AA184" s="76"/>
      <c r="AB184" s="113" t="str">
        <f>IF(C184="3111. Logements",ROUND(VLOOKUP(C184,'Informations générales'!$C$66:$E$70,3,FALSE)*(AL184/$AM$28)/12,0)*12,IF(C184="3112. Logements",ROUND(VLOOKUP(C184,'Informations générales'!$C$66:$E$70,3,FALSE)*(AL184/$AN$28)/12,0)*12,IF(C184="3113. Logements",ROUND(VLOOKUP(C184,'Informations générales'!$C$66:$E$70,3,FALSE)*(AL184/$AO$28)/12,0)*12,IF(C184="3114. Logements",ROUND(VLOOKUP(C184,'Informations générales'!$C$66:$E$70,3,FALSE)*(AL184/$AP$28)/12,0)*12,IF(C184="3115. Logements",ROUND(VLOOKUP(C184,'Informations générales'!$C$66:$E$70,3,FALSE)*(AL184/$AQ$28)/12,0)*12,"")))))</f>
        <v/>
      </c>
      <c r="AC184" s="114"/>
      <c r="AD184" s="113">
        <f t="shared" si="42"/>
        <v>0</v>
      </c>
      <c r="AE184" s="114"/>
      <c r="AF184" s="203" t="str">
        <f>IF(C184="3111. Logements",ROUND(VLOOKUP(C184,'Informations générales'!$C$66:$E$70,3,FALSE)*(AL184/$AM$28)/12,0)*12,IF(C184="3112. Logements",ROUND(VLOOKUP(C184,'Informations générales'!$C$66:$E$70,3,FALSE)*(AL184/$AN$28)/12,0)*12,IF(C184="3113. Logements",ROUND(VLOOKUP(C184,'Informations générales'!$C$66:$E$70,3,FALSE)*(AL184/$AO$28)/12,0)*12,IF(C184="3114. Logements",ROUND(VLOOKUP(C184,'Informations générales'!$C$66:$E$70,3,FALSE)*(AL184/$AP$28)/12,0)*12,IF(C184="3115. Logements",ROUND(VLOOKUP(C184,'Informations générales'!$C$66:$E$70,3,FALSE)*(AL184/$AQ$28)/12,0)*12,"")))))</f>
        <v/>
      </c>
      <c r="AG184" s="202"/>
      <c r="AH184" s="113" t="str">
        <f>IF(C184="3111. Logements",ROUND(VLOOKUP(C184,'Informations générales'!$C$66:$H$70,5,FALSE)*(AL184/$AM$28)/12,0)*12,IF(C184="3112. Logements",ROUND(VLOOKUP(C184,'Informations générales'!$C$66:$H$70,5,FALSE)*(AL184/$AN$28)/12,0)*12,IF(C184="3113. Logements",ROUND(VLOOKUP(C184,'Informations générales'!$C$66:$H$70,5,FALSE)*(AL184/$AO$28)/12,0)*12,IF(C184="3114. Logements",ROUND(VLOOKUP(C184,'Informations générales'!$C$66:$H$70,5,FALSE)*(AL184/$AP$28)/12,0)*12,IF(C184="3115. Logements",ROUND(VLOOKUP(C184,'Informations générales'!$C$66:$H$70,5,FALSE)*(AL184/$AQ$28)/12,0)*12,"")))))</f>
        <v/>
      </c>
      <c r="AI184" s="114"/>
      <c r="AJ184" s="114"/>
      <c r="AK184" s="76"/>
      <c r="AL184" s="58">
        <f t="shared" si="43"/>
        <v>0</v>
      </c>
      <c r="AM184" s="58"/>
      <c r="AN184" s="58"/>
      <c r="AO184" s="58"/>
      <c r="AP184" s="58"/>
      <c r="AQ184" s="58"/>
      <c r="AR184" s="58">
        <f t="shared" si="31"/>
        <v>0</v>
      </c>
      <c r="AS184" s="58">
        <f t="shared" si="32"/>
        <v>0</v>
      </c>
      <c r="AT184" s="58">
        <f t="shared" si="33"/>
        <v>0</v>
      </c>
      <c r="AU184" s="58">
        <f t="shared" si="34"/>
        <v>0</v>
      </c>
      <c r="AV184" s="58">
        <f t="shared" si="35"/>
        <v>0</v>
      </c>
      <c r="AW184" s="58">
        <f t="shared" si="36"/>
        <v>0</v>
      </c>
      <c r="AX184" s="58">
        <f t="shared" si="37"/>
        <v>0</v>
      </c>
      <c r="AY184" s="58">
        <f t="shared" si="44"/>
        <v>0</v>
      </c>
      <c r="AZ184" s="62">
        <f t="shared" si="38"/>
        <v>0</v>
      </c>
      <c r="BA184" s="63">
        <f t="shared" si="39"/>
        <v>0</v>
      </c>
      <c r="BB184" s="63">
        <f t="shared" si="40"/>
        <v>0</v>
      </c>
    </row>
    <row r="185" spans="3:54" s="17" customFormat="1" x14ac:dyDescent="0.25">
      <c r="C185" s="215"/>
      <c r="D185" s="216"/>
      <c r="E185" s="88"/>
      <c r="F185" s="217"/>
      <c r="G185" s="234"/>
      <c r="H185" s="218"/>
      <c r="I185" s="76"/>
      <c r="J185" s="77"/>
      <c r="K185" s="76"/>
      <c r="L185" s="78"/>
      <c r="M185" s="78"/>
      <c r="N185" s="76" t="s">
        <v>39</v>
      </c>
      <c r="O185" s="110"/>
      <c r="P185" s="152"/>
      <c r="Q185" s="111" t="str">
        <f>IFERROR(MIN(VLOOKUP(ROUNDDOWN(P185,0),'Aide calcul'!$B$2:$C$282,2,FALSE),O185+1),"")</f>
        <v/>
      </c>
      <c r="R185" s="112" t="str">
        <f t="shared" si="41"/>
        <v/>
      </c>
      <c r="S185" s="152"/>
      <c r="T185" s="152"/>
      <c r="U185" s="152"/>
      <c r="V185" s="152"/>
      <c r="W185" s="152"/>
      <c r="X185" s="152"/>
      <c r="Y185" s="152"/>
      <c r="Z185" s="76"/>
      <c r="AA185" s="76"/>
      <c r="AB185" s="113" t="str">
        <f>IF(C185="3111. Logements",ROUND(VLOOKUP(C185,'Informations générales'!$C$66:$E$70,3,FALSE)*(AL185/$AM$28)/12,0)*12,IF(C185="3112. Logements",ROUND(VLOOKUP(C185,'Informations générales'!$C$66:$E$70,3,FALSE)*(AL185/$AN$28)/12,0)*12,IF(C185="3113. Logements",ROUND(VLOOKUP(C185,'Informations générales'!$C$66:$E$70,3,FALSE)*(AL185/$AO$28)/12,0)*12,IF(C185="3114. Logements",ROUND(VLOOKUP(C185,'Informations générales'!$C$66:$E$70,3,FALSE)*(AL185/$AP$28)/12,0)*12,IF(C185="3115. Logements",ROUND(VLOOKUP(C185,'Informations générales'!$C$66:$E$70,3,FALSE)*(AL185/$AQ$28)/12,0)*12,"")))))</f>
        <v/>
      </c>
      <c r="AC185" s="114"/>
      <c r="AD185" s="113">
        <f t="shared" si="42"/>
        <v>0</v>
      </c>
      <c r="AE185" s="114"/>
      <c r="AF185" s="203" t="str">
        <f>IF(C185="3111. Logements",ROUND(VLOOKUP(C185,'Informations générales'!$C$66:$E$70,3,FALSE)*(AL185/$AM$28)/12,0)*12,IF(C185="3112. Logements",ROUND(VLOOKUP(C185,'Informations générales'!$C$66:$E$70,3,FALSE)*(AL185/$AN$28)/12,0)*12,IF(C185="3113. Logements",ROUND(VLOOKUP(C185,'Informations générales'!$C$66:$E$70,3,FALSE)*(AL185/$AO$28)/12,0)*12,IF(C185="3114. Logements",ROUND(VLOOKUP(C185,'Informations générales'!$C$66:$E$70,3,FALSE)*(AL185/$AP$28)/12,0)*12,IF(C185="3115. Logements",ROUND(VLOOKUP(C185,'Informations générales'!$C$66:$E$70,3,FALSE)*(AL185/$AQ$28)/12,0)*12,"")))))</f>
        <v/>
      </c>
      <c r="AG185" s="202"/>
      <c r="AH185" s="113" t="str">
        <f>IF(C185="3111. Logements",ROUND(VLOOKUP(C185,'Informations générales'!$C$66:$H$70,5,FALSE)*(AL185/$AM$28)/12,0)*12,IF(C185="3112. Logements",ROUND(VLOOKUP(C185,'Informations générales'!$C$66:$H$70,5,FALSE)*(AL185/$AN$28)/12,0)*12,IF(C185="3113. Logements",ROUND(VLOOKUP(C185,'Informations générales'!$C$66:$H$70,5,FALSE)*(AL185/$AO$28)/12,0)*12,IF(C185="3114. Logements",ROUND(VLOOKUP(C185,'Informations générales'!$C$66:$H$70,5,FALSE)*(AL185/$AP$28)/12,0)*12,IF(C185="3115. Logements",ROUND(VLOOKUP(C185,'Informations générales'!$C$66:$H$70,5,FALSE)*(AL185/$AQ$28)/12,0)*12,"")))))</f>
        <v/>
      </c>
      <c r="AI185" s="114"/>
      <c r="AJ185" s="114"/>
      <c r="AK185" s="76"/>
      <c r="AL185" s="58">
        <f t="shared" si="43"/>
        <v>0</v>
      </c>
      <c r="AM185" s="58"/>
      <c r="AN185" s="58"/>
      <c r="AO185" s="58"/>
      <c r="AP185" s="58"/>
      <c r="AQ185" s="58"/>
      <c r="AR185" s="58">
        <f t="shared" si="31"/>
        <v>0</v>
      </c>
      <c r="AS185" s="58">
        <f t="shared" si="32"/>
        <v>0</v>
      </c>
      <c r="AT185" s="58">
        <f t="shared" si="33"/>
        <v>0</v>
      </c>
      <c r="AU185" s="58">
        <f t="shared" si="34"/>
        <v>0</v>
      </c>
      <c r="AV185" s="58">
        <f t="shared" si="35"/>
        <v>0</v>
      </c>
      <c r="AW185" s="58">
        <f t="shared" si="36"/>
        <v>0</v>
      </c>
      <c r="AX185" s="58">
        <f t="shared" si="37"/>
        <v>0</v>
      </c>
      <c r="AY185" s="58">
        <f t="shared" si="44"/>
        <v>0</v>
      </c>
      <c r="AZ185" s="62">
        <f t="shared" si="38"/>
        <v>0</v>
      </c>
      <c r="BA185" s="63">
        <f t="shared" si="39"/>
        <v>0</v>
      </c>
      <c r="BB185" s="63">
        <f t="shared" si="40"/>
        <v>0</v>
      </c>
    </row>
    <row r="186" spans="3:54" s="17" customFormat="1" x14ac:dyDescent="0.25">
      <c r="C186" s="215"/>
      <c r="D186" s="216"/>
      <c r="E186" s="88"/>
      <c r="F186" s="217"/>
      <c r="G186" s="234"/>
      <c r="H186" s="218"/>
      <c r="I186" s="76"/>
      <c r="J186" s="77"/>
      <c r="K186" s="76"/>
      <c r="L186" s="78"/>
      <c r="M186" s="78"/>
      <c r="N186" s="76" t="s">
        <v>39</v>
      </c>
      <c r="O186" s="110"/>
      <c r="P186" s="152"/>
      <c r="Q186" s="111" t="str">
        <f>IFERROR(MIN(VLOOKUP(ROUNDDOWN(P186,0),'Aide calcul'!$B$2:$C$282,2,FALSE),O186+1),"")</f>
        <v/>
      </c>
      <c r="R186" s="112" t="str">
        <f t="shared" si="41"/>
        <v/>
      </c>
      <c r="S186" s="152"/>
      <c r="T186" s="152"/>
      <c r="U186" s="152"/>
      <c r="V186" s="152"/>
      <c r="W186" s="152"/>
      <c r="X186" s="152"/>
      <c r="Y186" s="152"/>
      <c r="Z186" s="76"/>
      <c r="AA186" s="76"/>
      <c r="AB186" s="113" t="str">
        <f>IF(C186="3111. Logements",ROUND(VLOOKUP(C186,'Informations générales'!$C$66:$E$70,3,FALSE)*(AL186/$AM$28)/12,0)*12,IF(C186="3112. Logements",ROUND(VLOOKUP(C186,'Informations générales'!$C$66:$E$70,3,FALSE)*(AL186/$AN$28)/12,0)*12,IF(C186="3113. Logements",ROUND(VLOOKUP(C186,'Informations générales'!$C$66:$E$70,3,FALSE)*(AL186/$AO$28)/12,0)*12,IF(C186="3114. Logements",ROUND(VLOOKUP(C186,'Informations générales'!$C$66:$E$70,3,FALSE)*(AL186/$AP$28)/12,0)*12,IF(C186="3115. Logements",ROUND(VLOOKUP(C186,'Informations générales'!$C$66:$E$70,3,FALSE)*(AL186/$AQ$28)/12,0)*12,"")))))</f>
        <v/>
      </c>
      <c r="AC186" s="114"/>
      <c r="AD186" s="113">
        <f t="shared" si="42"/>
        <v>0</v>
      </c>
      <c r="AE186" s="114"/>
      <c r="AF186" s="203" t="str">
        <f>IF(C186="3111. Logements",ROUND(VLOOKUP(C186,'Informations générales'!$C$66:$E$70,3,FALSE)*(AL186/$AM$28)/12,0)*12,IF(C186="3112. Logements",ROUND(VLOOKUP(C186,'Informations générales'!$C$66:$E$70,3,FALSE)*(AL186/$AN$28)/12,0)*12,IF(C186="3113. Logements",ROUND(VLOOKUP(C186,'Informations générales'!$C$66:$E$70,3,FALSE)*(AL186/$AO$28)/12,0)*12,IF(C186="3114. Logements",ROUND(VLOOKUP(C186,'Informations générales'!$C$66:$E$70,3,FALSE)*(AL186/$AP$28)/12,0)*12,IF(C186="3115. Logements",ROUND(VLOOKUP(C186,'Informations générales'!$C$66:$E$70,3,FALSE)*(AL186/$AQ$28)/12,0)*12,"")))))</f>
        <v/>
      </c>
      <c r="AG186" s="202"/>
      <c r="AH186" s="113" t="str">
        <f>IF(C186="3111. Logements",ROUND(VLOOKUP(C186,'Informations générales'!$C$66:$H$70,5,FALSE)*(AL186/$AM$28)/12,0)*12,IF(C186="3112. Logements",ROUND(VLOOKUP(C186,'Informations générales'!$C$66:$H$70,5,FALSE)*(AL186/$AN$28)/12,0)*12,IF(C186="3113. Logements",ROUND(VLOOKUP(C186,'Informations générales'!$C$66:$H$70,5,FALSE)*(AL186/$AO$28)/12,0)*12,IF(C186="3114. Logements",ROUND(VLOOKUP(C186,'Informations générales'!$C$66:$H$70,5,FALSE)*(AL186/$AP$28)/12,0)*12,IF(C186="3115. Logements",ROUND(VLOOKUP(C186,'Informations générales'!$C$66:$H$70,5,FALSE)*(AL186/$AQ$28)/12,0)*12,"")))))</f>
        <v/>
      </c>
      <c r="AI186" s="114"/>
      <c r="AJ186" s="114"/>
      <c r="AK186" s="76"/>
      <c r="AL186" s="58">
        <f t="shared" si="43"/>
        <v>0</v>
      </c>
      <c r="AM186" s="58"/>
      <c r="AN186" s="58"/>
      <c r="AO186" s="58"/>
      <c r="AP186" s="58"/>
      <c r="AQ186" s="58"/>
      <c r="AR186" s="58">
        <f t="shared" si="31"/>
        <v>0</v>
      </c>
      <c r="AS186" s="58">
        <f t="shared" si="32"/>
        <v>0</v>
      </c>
      <c r="AT186" s="58">
        <f t="shared" si="33"/>
        <v>0</v>
      </c>
      <c r="AU186" s="58">
        <f t="shared" si="34"/>
        <v>0</v>
      </c>
      <c r="AV186" s="58">
        <f t="shared" si="35"/>
        <v>0</v>
      </c>
      <c r="AW186" s="58">
        <f t="shared" si="36"/>
        <v>0</v>
      </c>
      <c r="AX186" s="58">
        <f t="shared" si="37"/>
        <v>0</v>
      </c>
      <c r="AY186" s="58">
        <f t="shared" si="44"/>
        <v>0</v>
      </c>
      <c r="AZ186" s="62">
        <f t="shared" si="38"/>
        <v>0</v>
      </c>
      <c r="BA186" s="63">
        <f t="shared" si="39"/>
        <v>0</v>
      </c>
      <c r="BB186" s="63">
        <f t="shared" si="40"/>
        <v>0</v>
      </c>
    </row>
    <row r="187" spans="3:54" s="17" customFormat="1" x14ac:dyDescent="0.25">
      <c r="C187" s="215"/>
      <c r="D187" s="216"/>
      <c r="E187" s="88"/>
      <c r="F187" s="217"/>
      <c r="G187" s="234"/>
      <c r="H187" s="218"/>
      <c r="I187" s="76"/>
      <c r="J187" s="77"/>
      <c r="K187" s="76"/>
      <c r="L187" s="78"/>
      <c r="M187" s="78"/>
      <c r="N187" s="76" t="s">
        <v>39</v>
      </c>
      <c r="O187" s="110"/>
      <c r="P187" s="152"/>
      <c r="Q187" s="111" t="str">
        <f>IFERROR(MIN(VLOOKUP(ROUNDDOWN(P187,0),'Aide calcul'!$B$2:$C$282,2,FALSE),O187+1),"")</f>
        <v/>
      </c>
      <c r="R187" s="112" t="str">
        <f t="shared" si="41"/>
        <v/>
      </c>
      <c r="S187" s="152"/>
      <c r="T187" s="152"/>
      <c r="U187" s="152"/>
      <c r="V187" s="152"/>
      <c r="W187" s="152"/>
      <c r="X187" s="152"/>
      <c r="Y187" s="152"/>
      <c r="Z187" s="76"/>
      <c r="AA187" s="76"/>
      <c r="AB187" s="113" t="str">
        <f>IF(C187="3111. Logements",ROUND(VLOOKUP(C187,'Informations générales'!$C$66:$E$70,3,FALSE)*(AL187/$AM$28)/12,0)*12,IF(C187="3112. Logements",ROUND(VLOOKUP(C187,'Informations générales'!$C$66:$E$70,3,FALSE)*(AL187/$AN$28)/12,0)*12,IF(C187="3113. Logements",ROUND(VLOOKUP(C187,'Informations générales'!$C$66:$E$70,3,FALSE)*(AL187/$AO$28)/12,0)*12,IF(C187="3114. Logements",ROUND(VLOOKUP(C187,'Informations générales'!$C$66:$E$70,3,FALSE)*(AL187/$AP$28)/12,0)*12,IF(C187="3115. Logements",ROUND(VLOOKUP(C187,'Informations générales'!$C$66:$E$70,3,FALSE)*(AL187/$AQ$28)/12,0)*12,"")))))</f>
        <v/>
      </c>
      <c r="AC187" s="114"/>
      <c r="AD187" s="113">
        <f t="shared" si="42"/>
        <v>0</v>
      </c>
      <c r="AE187" s="114"/>
      <c r="AF187" s="203" t="str">
        <f>IF(C187="3111. Logements",ROUND(VLOOKUP(C187,'Informations générales'!$C$66:$E$70,3,FALSE)*(AL187/$AM$28)/12,0)*12,IF(C187="3112. Logements",ROUND(VLOOKUP(C187,'Informations générales'!$C$66:$E$70,3,FALSE)*(AL187/$AN$28)/12,0)*12,IF(C187="3113. Logements",ROUND(VLOOKUP(C187,'Informations générales'!$C$66:$E$70,3,FALSE)*(AL187/$AO$28)/12,0)*12,IF(C187="3114. Logements",ROUND(VLOOKUP(C187,'Informations générales'!$C$66:$E$70,3,FALSE)*(AL187/$AP$28)/12,0)*12,IF(C187="3115. Logements",ROUND(VLOOKUP(C187,'Informations générales'!$C$66:$E$70,3,FALSE)*(AL187/$AQ$28)/12,0)*12,"")))))</f>
        <v/>
      </c>
      <c r="AG187" s="202"/>
      <c r="AH187" s="113" t="str">
        <f>IF(C187="3111. Logements",ROUND(VLOOKUP(C187,'Informations générales'!$C$66:$H$70,5,FALSE)*(AL187/$AM$28)/12,0)*12,IF(C187="3112. Logements",ROUND(VLOOKUP(C187,'Informations générales'!$C$66:$H$70,5,FALSE)*(AL187/$AN$28)/12,0)*12,IF(C187="3113. Logements",ROUND(VLOOKUP(C187,'Informations générales'!$C$66:$H$70,5,FALSE)*(AL187/$AO$28)/12,0)*12,IF(C187="3114. Logements",ROUND(VLOOKUP(C187,'Informations générales'!$C$66:$H$70,5,FALSE)*(AL187/$AP$28)/12,0)*12,IF(C187="3115. Logements",ROUND(VLOOKUP(C187,'Informations générales'!$C$66:$H$70,5,FALSE)*(AL187/$AQ$28)/12,0)*12,"")))))</f>
        <v/>
      </c>
      <c r="AI187" s="114"/>
      <c r="AJ187" s="114"/>
      <c r="AK187" s="76"/>
      <c r="AL187" s="58">
        <f t="shared" si="43"/>
        <v>0</v>
      </c>
      <c r="AM187" s="58"/>
      <c r="AN187" s="58"/>
      <c r="AO187" s="58"/>
      <c r="AP187" s="58"/>
      <c r="AQ187" s="58"/>
      <c r="AR187" s="58">
        <f t="shared" si="31"/>
        <v>0</v>
      </c>
      <c r="AS187" s="58">
        <f t="shared" si="32"/>
        <v>0</v>
      </c>
      <c r="AT187" s="58">
        <f t="shared" si="33"/>
        <v>0</v>
      </c>
      <c r="AU187" s="58">
        <f t="shared" si="34"/>
        <v>0</v>
      </c>
      <c r="AV187" s="58">
        <f t="shared" si="35"/>
        <v>0</v>
      </c>
      <c r="AW187" s="58">
        <f t="shared" si="36"/>
        <v>0</v>
      </c>
      <c r="AX187" s="58">
        <f t="shared" si="37"/>
        <v>0</v>
      </c>
      <c r="AY187" s="58">
        <f t="shared" si="44"/>
        <v>0</v>
      </c>
      <c r="AZ187" s="62">
        <f t="shared" si="38"/>
        <v>0</v>
      </c>
      <c r="BA187" s="63">
        <f t="shared" si="39"/>
        <v>0</v>
      </c>
      <c r="BB187" s="63">
        <f t="shared" si="40"/>
        <v>0</v>
      </c>
    </row>
    <row r="188" spans="3:54" s="17" customFormat="1" x14ac:dyDescent="0.25">
      <c r="C188" s="215"/>
      <c r="D188" s="216"/>
      <c r="E188" s="88"/>
      <c r="F188" s="217"/>
      <c r="G188" s="234"/>
      <c r="H188" s="218"/>
      <c r="I188" s="76"/>
      <c r="J188" s="77"/>
      <c r="K188" s="76"/>
      <c r="L188" s="78"/>
      <c r="M188" s="78"/>
      <c r="N188" s="76" t="s">
        <v>39</v>
      </c>
      <c r="O188" s="110"/>
      <c r="P188" s="152"/>
      <c r="Q188" s="111" t="str">
        <f>IFERROR(MIN(VLOOKUP(ROUNDDOWN(P188,0),'Aide calcul'!$B$2:$C$282,2,FALSE),O188+1),"")</f>
        <v/>
      </c>
      <c r="R188" s="112" t="str">
        <f t="shared" si="41"/>
        <v/>
      </c>
      <c r="S188" s="152"/>
      <c r="T188" s="152"/>
      <c r="U188" s="152"/>
      <c r="V188" s="152"/>
      <c r="W188" s="152"/>
      <c r="X188" s="152"/>
      <c r="Y188" s="152"/>
      <c r="Z188" s="76"/>
      <c r="AA188" s="76"/>
      <c r="AB188" s="113" t="str">
        <f>IF(C188="3111. Logements",ROUND(VLOOKUP(C188,'Informations générales'!$C$66:$E$70,3,FALSE)*(AL188/$AM$28)/12,0)*12,IF(C188="3112. Logements",ROUND(VLOOKUP(C188,'Informations générales'!$C$66:$E$70,3,FALSE)*(AL188/$AN$28)/12,0)*12,IF(C188="3113. Logements",ROUND(VLOOKUP(C188,'Informations générales'!$C$66:$E$70,3,FALSE)*(AL188/$AO$28)/12,0)*12,IF(C188="3114. Logements",ROUND(VLOOKUP(C188,'Informations générales'!$C$66:$E$70,3,FALSE)*(AL188/$AP$28)/12,0)*12,IF(C188="3115. Logements",ROUND(VLOOKUP(C188,'Informations générales'!$C$66:$E$70,3,FALSE)*(AL188/$AQ$28)/12,0)*12,"")))))</f>
        <v/>
      </c>
      <c r="AC188" s="114"/>
      <c r="AD188" s="113">
        <f t="shared" si="42"/>
        <v>0</v>
      </c>
      <c r="AE188" s="114"/>
      <c r="AF188" s="203" t="str">
        <f>IF(C188="3111. Logements",ROUND(VLOOKUP(C188,'Informations générales'!$C$66:$E$70,3,FALSE)*(AL188/$AM$28)/12,0)*12,IF(C188="3112. Logements",ROUND(VLOOKUP(C188,'Informations générales'!$C$66:$E$70,3,FALSE)*(AL188/$AN$28)/12,0)*12,IF(C188="3113. Logements",ROUND(VLOOKUP(C188,'Informations générales'!$C$66:$E$70,3,FALSE)*(AL188/$AO$28)/12,0)*12,IF(C188="3114. Logements",ROUND(VLOOKUP(C188,'Informations générales'!$C$66:$E$70,3,FALSE)*(AL188/$AP$28)/12,0)*12,IF(C188="3115. Logements",ROUND(VLOOKUP(C188,'Informations générales'!$C$66:$E$70,3,FALSE)*(AL188/$AQ$28)/12,0)*12,"")))))</f>
        <v/>
      </c>
      <c r="AG188" s="202"/>
      <c r="AH188" s="113" t="str">
        <f>IF(C188="3111. Logements",ROUND(VLOOKUP(C188,'Informations générales'!$C$66:$H$70,5,FALSE)*(AL188/$AM$28)/12,0)*12,IF(C188="3112. Logements",ROUND(VLOOKUP(C188,'Informations générales'!$C$66:$H$70,5,FALSE)*(AL188/$AN$28)/12,0)*12,IF(C188="3113. Logements",ROUND(VLOOKUP(C188,'Informations générales'!$C$66:$H$70,5,FALSE)*(AL188/$AO$28)/12,0)*12,IF(C188="3114. Logements",ROUND(VLOOKUP(C188,'Informations générales'!$C$66:$H$70,5,FALSE)*(AL188/$AP$28)/12,0)*12,IF(C188="3115. Logements",ROUND(VLOOKUP(C188,'Informations générales'!$C$66:$H$70,5,FALSE)*(AL188/$AQ$28)/12,0)*12,"")))))</f>
        <v/>
      </c>
      <c r="AI188" s="114"/>
      <c r="AJ188" s="114"/>
      <c r="AK188" s="76"/>
      <c r="AL188" s="58">
        <f t="shared" si="43"/>
        <v>0</v>
      </c>
      <c r="AM188" s="58"/>
      <c r="AN188" s="58"/>
      <c r="AO188" s="58"/>
      <c r="AP188" s="58"/>
      <c r="AQ188" s="58"/>
      <c r="AR188" s="58">
        <f t="shared" si="31"/>
        <v>0</v>
      </c>
      <c r="AS188" s="58">
        <f t="shared" si="32"/>
        <v>0</v>
      </c>
      <c r="AT188" s="58">
        <f t="shared" si="33"/>
        <v>0</v>
      </c>
      <c r="AU188" s="58">
        <f t="shared" si="34"/>
        <v>0</v>
      </c>
      <c r="AV188" s="58">
        <f t="shared" si="35"/>
        <v>0</v>
      </c>
      <c r="AW188" s="58">
        <f t="shared" si="36"/>
        <v>0</v>
      </c>
      <c r="AX188" s="58">
        <f t="shared" si="37"/>
        <v>0</v>
      </c>
      <c r="AY188" s="58">
        <f t="shared" si="44"/>
        <v>0</v>
      </c>
      <c r="AZ188" s="62">
        <f t="shared" si="38"/>
        <v>0</v>
      </c>
      <c r="BA188" s="63">
        <f t="shared" si="39"/>
        <v>0</v>
      </c>
      <c r="BB188" s="63">
        <f t="shared" si="40"/>
        <v>0</v>
      </c>
    </row>
    <row r="189" spans="3:54" s="17" customFormat="1" x14ac:dyDescent="0.25">
      <c r="C189" s="215"/>
      <c r="D189" s="216"/>
      <c r="E189" s="88"/>
      <c r="F189" s="217"/>
      <c r="G189" s="234"/>
      <c r="H189" s="218"/>
      <c r="I189" s="76"/>
      <c r="J189" s="77"/>
      <c r="K189" s="76"/>
      <c r="L189" s="78"/>
      <c r="M189" s="78"/>
      <c r="N189" s="76" t="s">
        <v>39</v>
      </c>
      <c r="O189" s="110"/>
      <c r="P189" s="152"/>
      <c r="Q189" s="111" t="str">
        <f>IFERROR(MIN(VLOOKUP(ROUNDDOWN(P189,0),'Aide calcul'!$B$2:$C$282,2,FALSE),O189+1),"")</f>
        <v/>
      </c>
      <c r="R189" s="112" t="str">
        <f t="shared" si="41"/>
        <v/>
      </c>
      <c r="S189" s="152"/>
      <c r="T189" s="152"/>
      <c r="U189" s="152"/>
      <c r="V189" s="152"/>
      <c r="W189" s="152"/>
      <c r="X189" s="152"/>
      <c r="Y189" s="152"/>
      <c r="Z189" s="76"/>
      <c r="AA189" s="76"/>
      <c r="AB189" s="113" t="str">
        <f>IF(C189="3111. Logements",ROUND(VLOOKUP(C189,'Informations générales'!$C$66:$E$70,3,FALSE)*(AL189/$AM$28)/12,0)*12,IF(C189="3112. Logements",ROUND(VLOOKUP(C189,'Informations générales'!$C$66:$E$70,3,FALSE)*(AL189/$AN$28)/12,0)*12,IF(C189="3113. Logements",ROUND(VLOOKUP(C189,'Informations générales'!$C$66:$E$70,3,FALSE)*(AL189/$AO$28)/12,0)*12,IF(C189="3114. Logements",ROUND(VLOOKUP(C189,'Informations générales'!$C$66:$E$70,3,FALSE)*(AL189/$AP$28)/12,0)*12,IF(C189="3115. Logements",ROUND(VLOOKUP(C189,'Informations générales'!$C$66:$E$70,3,FALSE)*(AL189/$AQ$28)/12,0)*12,"")))))</f>
        <v/>
      </c>
      <c r="AC189" s="114"/>
      <c r="AD189" s="113">
        <f t="shared" si="42"/>
        <v>0</v>
      </c>
      <c r="AE189" s="114"/>
      <c r="AF189" s="203" t="str">
        <f>IF(C189="3111. Logements",ROUND(VLOOKUP(C189,'Informations générales'!$C$66:$E$70,3,FALSE)*(AL189/$AM$28)/12,0)*12,IF(C189="3112. Logements",ROUND(VLOOKUP(C189,'Informations générales'!$C$66:$E$70,3,FALSE)*(AL189/$AN$28)/12,0)*12,IF(C189="3113. Logements",ROUND(VLOOKUP(C189,'Informations générales'!$C$66:$E$70,3,FALSE)*(AL189/$AO$28)/12,0)*12,IF(C189="3114. Logements",ROUND(VLOOKUP(C189,'Informations générales'!$C$66:$E$70,3,FALSE)*(AL189/$AP$28)/12,0)*12,IF(C189="3115. Logements",ROUND(VLOOKUP(C189,'Informations générales'!$C$66:$E$70,3,FALSE)*(AL189/$AQ$28)/12,0)*12,"")))))</f>
        <v/>
      </c>
      <c r="AG189" s="202"/>
      <c r="AH189" s="113" t="str">
        <f>IF(C189="3111. Logements",ROUND(VLOOKUP(C189,'Informations générales'!$C$66:$H$70,5,FALSE)*(AL189/$AM$28)/12,0)*12,IF(C189="3112. Logements",ROUND(VLOOKUP(C189,'Informations générales'!$C$66:$H$70,5,FALSE)*(AL189/$AN$28)/12,0)*12,IF(C189="3113. Logements",ROUND(VLOOKUP(C189,'Informations générales'!$C$66:$H$70,5,FALSE)*(AL189/$AO$28)/12,0)*12,IF(C189="3114. Logements",ROUND(VLOOKUP(C189,'Informations générales'!$C$66:$H$70,5,FALSE)*(AL189/$AP$28)/12,0)*12,IF(C189="3115. Logements",ROUND(VLOOKUP(C189,'Informations générales'!$C$66:$H$70,5,FALSE)*(AL189/$AQ$28)/12,0)*12,"")))))</f>
        <v/>
      </c>
      <c r="AI189" s="114"/>
      <c r="AJ189" s="114"/>
      <c r="AK189" s="76"/>
      <c r="AL189" s="58">
        <f t="shared" si="43"/>
        <v>0</v>
      </c>
      <c r="AM189" s="58"/>
      <c r="AN189" s="58"/>
      <c r="AO189" s="58"/>
      <c r="AP189" s="58"/>
      <c r="AQ189" s="58"/>
      <c r="AR189" s="58">
        <f t="shared" si="31"/>
        <v>0</v>
      </c>
      <c r="AS189" s="58">
        <f t="shared" si="32"/>
        <v>0</v>
      </c>
      <c r="AT189" s="58">
        <f t="shared" si="33"/>
        <v>0</v>
      </c>
      <c r="AU189" s="58">
        <f t="shared" si="34"/>
        <v>0</v>
      </c>
      <c r="AV189" s="58">
        <f t="shared" si="35"/>
        <v>0</v>
      </c>
      <c r="AW189" s="58">
        <f t="shared" si="36"/>
        <v>0</v>
      </c>
      <c r="AX189" s="58">
        <f t="shared" si="37"/>
        <v>0</v>
      </c>
      <c r="AY189" s="58">
        <f t="shared" si="44"/>
        <v>0</v>
      </c>
      <c r="AZ189" s="62">
        <f t="shared" si="38"/>
        <v>0</v>
      </c>
      <c r="BA189" s="63">
        <f t="shared" si="39"/>
        <v>0</v>
      </c>
      <c r="BB189" s="63">
        <f t="shared" si="40"/>
        <v>0</v>
      </c>
    </row>
    <row r="190" spans="3:54" s="17" customFormat="1" x14ac:dyDescent="0.25">
      <c r="C190" s="215"/>
      <c r="D190" s="216"/>
      <c r="E190" s="88"/>
      <c r="F190" s="217"/>
      <c r="G190" s="234"/>
      <c r="H190" s="218"/>
      <c r="I190" s="76"/>
      <c r="J190" s="77"/>
      <c r="K190" s="76"/>
      <c r="L190" s="78"/>
      <c r="M190" s="78"/>
      <c r="N190" s="76" t="s">
        <v>39</v>
      </c>
      <c r="O190" s="110"/>
      <c r="P190" s="152"/>
      <c r="Q190" s="111" t="str">
        <f>IFERROR(MIN(VLOOKUP(ROUNDDOWN(P190,0),'Aide calcul'!$B$2:$C$282,2,FALSE),O190+1),"")</f>
        <v/>
      </c>
      <c r="R190" s="112" t="str">
        <f t="shared" si="41"/>
        <v/>
      </c>
      <c r="S190" s="152"/>
      <c r="T190" s="152"/>
      <c r="U190" s="152"/>
      <c r="V190" s="152"/>
      <c r="W190" s="152"/>
      <c r="X190" s="152"/>
      <c r="Y190" s="152"/>
      <c r="Z190" s="76"/>
      <c r="AA190" s="76"/>
      <c r="AB190" s="113" t="str">
        <f>IF(C190="3111. Logements",ROUND(VLOOKUP(C190,'Informations générales'!$C$66:$E$70,3,FALSE)*(AL190/$AM$28)/12,0)*12,IF(C190="3112. Logements",ROUND(VLOOKUP(C190,'Informations générales'!$C$66:$E$70,3,FALSE)*(AL190/$AN$28)/12,0)*12,IF(C190="3113. Logements",ROUND(VLOOKUP(C190,'Informations générales'!$C$66:$E$70,3,FALSE)*(AL190/$AO$28)/12,0)*12,IF(C190="3114. Logements",ROUND(VLOOKUP(C190,'Informations générales'!$C$66:$E$70,3,FALSE)*(AL190/$AP$28)/12,0)*12,IF(C190="3115. Logements",ROUND(VLOOKUP(C190,'Informations générales'!$C$66:$E$70,3,FALSE)*(AL190/$AQ$28)/12,0)*12,"")))))</f>
        <v/>
      </c>
      <c r="AC190" s="114"/>
      <c r="AD190" s="113">
        <f t="shared" si="42"/>
        <v>0</v>
      </c>
      <c r="AE190" s="114"/>
      <c r="AF190" s="203" t="str">
        <f>IF(C190="3111. Logements",ROUND(VLOOKUP(C190,'Informations générales'!$C$66:$E$70,3,FALSE)*(AL190/$AM$28)/12,0)*12,IF(C190="3112. Logements",ROUND(VLOOKUP(C190,'Informations générales'!$C$66:$E$70,3,FALSE)*(AL190/$AN$28)/12,0)*12,IF(C190="3113. Logements",ROUND(VLOOKUP(C190,'Informations générales'!$C$66:$E$70,3,FALSE)*(AL190/$AO$28)/12,0)*12,IF(C190="3114. Logements",ROUND(VLOOKUP(C190,'Informations générales'!$C$66:$E$70,3,FALSE)*(AL190/$AP$28)/12,0)*12,IF(C190="3115. Logements",ROUND(VLOOKUP(C190,'Informations générales'!$C$66:$E$70,3,FALSE)*(AL190/$AQ$28)/12,0)*12,"")))))</f>
        <v/>
      </c>
      <c r="AG190" s="202"/>
      <c r="AH190" s="113" t="str">
        <f>IF(C190="3111. Logements",ROUND(VLOOKUP(C190,'Informations générales'!$C$66:$H$70,5,FALSE)*(AL190/$AM$28)/12,0)*12,IF(C190="3112. Logements",ROUND(VLOOKUP(C190,'Informations générales'!$C$66:$H$70,5,FALSE)*(AL190/$AN$28)/12,0)*12,IF(C190="3113. Logements",ROUND(VLOOKUP(C190,'Informations générales'!$C$66:$H$70,5,FALSE)*(AL190/$AO$28)/12,0)*12,IF(C190="3114. Logements",ROUND(VLOOKUP(C190,'Informations générales'!$C$66:$H$70,5,FALSE)*(AL190/$AP$28)/12,0)*12,IF(C190="3115. Logements",ROUND(VLOOKUP(C190,'Informations générales'!$C$66:$H$70,5,FALSE)*(AL190/$AQ$28)/12,0)*12,"")))))</f>
        <v/>
      </c>
      <c r="AI190" s="114"/>
      <c r="AJ190" s="114"/>
      <c r="AK190" s="76"/>
      <c r="AL190" s="58">
        <f t="shared" si="43"/>
        <v>0</v>
      </c>
      <c r="AM190" s="58"/>
      <c r="AN190" s="58"/>
      <c r="AO190" s="58"/>
      <c r="AP190" s="58"/>
      <c r="AQ190" s="58"/>
      <c r="AR190" s="58">
        <f t="shared" si="31"/>
        <v>0</v>
      </c>
      <c r="AS190" s="58">
        <f t="shared" si="32"/>
        <v>0</v>
      </c>
      <c r="AT190" s="58">
        <f t="shared" si="33"/>
        <v>0</v>
      </c>
      <c r="AU190" s="58">
        <f t="shared" si="34"/>
        <v>0</v>
      </c>
      <c r="AV190" s="58">
        <f t="shared" si="35"/>
        <v>0</v>
      </c>
      <c r="AW190" s="58">
        <f t="shared" si="36"/>
        <v>0</v>
      </c>
      <c r="AX190" s="58">
        <f t="shared" si="37"/>
        <v>0</v>
      </c>
      <c r="AY190" s="58">
        <f t="shared" si="44"/>
        <v>0</v>
      </c>
      <c r="AZ190" s="62">
        <f t="shared" si="38"/>
        <v>0</v>
      </c>
      <c r="BA190" s="63">
        <f t="shared" si="39"/>
        <v>0</v>
      </c>
      <c r="BB190" s="63">
        <f t="shared" si="40"/>
        <v>0</v>
      </c>
    </row>
    <row r="191" spans="3:54" s="17" customFormat="1" x14ac:dyDescent="0.25">
      <c r="C191" s="215"/>
      <c r="D191" s="216"/>
      <c r="E191" s="88"/>
      <c r="F191" s="217"/>
      <c r="G191" s="234"/>
      <c r="H191" s="218"/>
      <c r="I191" s="76"/>
      <c r="J191" s="77"/>
      <c r="K191" s="76"/>
      <c r="L191" s="78"/>
      <c r="M191" s="78"/>
      <c r="N191" s="76" t="s">
        <v>39</v>
      </c>
      <c r="O191" s="110"/>
      <c r="P191" s="152"/>
      <c r="Q191" s="111" t="str">
        <f>IFERROR(MIN(VLOOKUP(ROUNDDOWN(P191,0),'Aide calcul'!$B$2:$C$282,2,FALSE),O191+1),"")</f>
        <v/>
      </c>
      <c r="R191" s="112" t="str">
        <f t="shared" si="41"/>
        <v/>
      </c>
      <c r="S191" s="152"/>
      <c r="T191" s="152"/>
      <c r="U191" s="152"/>
      <c r="V191" s="152"/>
      <c r="W191" s="152"/>
      <c r="X191" s="152"/>
      <c r="Y191" s="152"/>
      <c r="Z191" s="76"/>
      <c r="AA191" s="76"/>
      <c r="AB191" s="113" t="str">
        <f>IF(C191="3111. Logements",ROUND(VLOOKUP(C191,'Informations générales'!$C$66:$E$70,3,FALSE)*(AL191/$AM$28)/12,0)*12,IF(C191="3112. Logements",ROUND(VLOOKUP(C191,'Informations générales'!$C$66:$E$70,3,FALSE)*(AL191/$AN$28)/12,0)*12,IF(C191="3113. Logements",ROUND(VLOOKUP(C191,'Informations générales'!$C$66:$E$70,3,FALSE)*(AL191/$AO$28)/12,0)*12,IF(C191="3114. Logements",ROUND(VLOOKUP(C191,'Informations générales'!$C$66:$E$70,3,FALSE)*(AL191/$AP$28)/12,0)*12,IF(C191="3115. Logements",ROUND(VLOOKUP(C191,'Informations générales'!$C$66:$E$70,3,FALSE)*(AL191/$AQ$28)/12,0)*12,"")))))</f>
        <v/>
      </c>
      <c r="AC191" s="114"/>
      <c r="AD191" s="113">
        <f t="shared" si="42"/>
        <v>0</v>
      </c>
      <c r="AE191" s="114"/>
      <c r="AF191" s="203" t="str">
        <f>IF(C191="3111. Logements",ROUND(VLOOKUP(C191,'Informations générales'!$C$66:$E$70,3,FALSE)*(AL191/$AM$28)/12,0)*12,IF(C191="3112. Logements",ROUND(VLOOKUP(C191,'Informations générales'!$C$66:$E$70,3,FALSE)*(AL191/$AN$28)/12,0)*12,IF(C191="3113. Logements",ROUND(VLOOKUP(C191,'Informations générales'!$C$66:$E$70,3,FALSE)*(AL191/$AO$28)/12,0)*12,IF(C191="3114. Logements",ROUND(VLOOKUP(C191,'Informations générales'!$C$66:$E$70,3,FALSE)*(AL191/$AP$28)/12,0)*12,IF(C191="3115. Logements",ROUND(VLOOKUP(C191,'Informations générales'!$C$66:$E$70,3,FALSE)*(AL191/$AQ$28)/12,0)*12,"")))))</f>
        <v/>
      </c>
      <c r="AG191" s="202"/>
      <c r="AH191" s="113" t="str">
        <f>IF(C191="3111. Logements",ROUND(VLOOKUP(C191,'Informations générales'!$C$66:$H$70,5,FALSE)*(AL191/$AM$28)/12,0)*12,IF(C191="3112. Logements",ROUND(VLOOKUP(C191,'Informations générales'!$C$66:$H$70,5,FALSE)*(AL191/$AN$28)/12,0)*12,IF(C191="3113. Logements",ROUND(VLOOKUP(C191,'Informations générales'!$C$66:$H$70,5,FALSE)*(AL191/$AO$28)/12,0)*12,IF(C191="3114. Logements",ROUND(VLOOKUP(C191,'Informations générales'!$C$66:$H$70,5,FALSE)*(AL191/$AP$28)/12,0)*12,IF(C191="3115. Logements",ROUND(VLOOKUP(C191,'Informations générales'!$C$66:$H$70,5,FALSE)*(AL191/$AQ$28)/12,0)*12,"")))))</f>
        <v/>
      </c>
      <c r="AI191" s="114"/>
      <c r="AJ191" s="114"/>
      <c r="AK191" s="76"/>
      <c r="AL191" s="58">
        <f t="shared" si="43"/>
        <v>0</v>
      </c>
      <c r="AM191" s="58"/>
      <c r="AN191" s="58"/>
      <c r="AO191" s="58"/>
      <c r="AP191" s="58"/>
      <c r="AQ191" s="58"/>
      <c r="AR191" s="58">
        <f t="shared" si="31"/>
        <v>0</v>
      </c>
      <c r="AS191" s="58">
        <f t="shared" si="32"/>
        <v>0</v>
      </c>
      <c r="AT191" s="58">
        <f t="shared" si="33"/>
        <v>0</v>
      </c>
      <c r="AU191" s="58">
        <f t="shared" si="34"/>
        <v>0</v>
      </c>
      <c r="AV191" s="58">
        <f t="shared" si="35"/>
        <v>0</v>
      </c>
      <c r="AW191" s="58">
        <f t="shared" si="36"/>
        <v>0</v>
      </c>
      <c r="AX191" s="58">
        <f t="shared" si="37"/>
        <v>0</v>
      </c>
      <c r="AY191" s="58">
        <f t="shared" si="44"/>
        <v>0</v>
      </c>
      <c r="AZ191" s="62">
        <f t="shared" si="38"/>
        <v>0</v>
      </c>
      <c r="BA191" s="63">
        <f t="shared" si="39"/>
        <v>0</v>
      </c>
      <c r="BB191" s="63">
        <f t="shared" si="40"/>
        <v>0</v>
      </c>
    </row>
    <row r="192" spans="3:54" s="17" customFormat="1" x14ac:dyDescent="0.25">
      <c r="C192" s="215"/>
      <c r="D192" s="216"/>
      <c r="E192" s="88"/>
      <c r="F192" s="217"/>
      <c r="G192" s="234"/>
      <c r="H192" s="218"/>
      <c r="I192" s="76"/>
      <c r="J192" s="77"/>
      <c r="K192" s="76"/>
      <c r="L192" s="78"/>
      <c r="M192" s="78"/>
      <c r="N192" s="76" t="s">
        <v>39</v>
      </c>
      <c r="O192" s="110"/>
      <c r="P192" s="152"/>
      <c r="Q192" s="111" t="str">
        <f>IFERROR(MIN(VLOOKUP(ROUNDDOWN(P192,0),'Aide calcul'!$B$2:$C$282,2,FALSE),O192+1),"")</f>
        <v/>
      </c>
      <c r="R192" s="112" t="str">
        <f t="shared" si="41"/>
        <v/>
      </c>
      <c r="S192" s="152"/>
      <c r="T192" s="152"/>
      <c r="U192" s="152"/>
      <c r="V192" s="152"/>
      <c r="W192" s="152"/>
      <c r="X192" s="152"/>
      <c r="Y192" s="152"/>
      <c r="Z192" s="76"/>
      <c r="AA192" s="76"/>
      <c r="AB192" s="113" t="str">
        <f>IF(C192="3111. Logements",ROUND(VLOOKUP(C192,'Informations générales'!$C$66:$E$70,3,FALSE)*(AL192/$AM$28)/12,0)*12,IF(C192="3112. Logements",ROUND(VLOOKUP(C192,'Informations générales'!$C$66:$E$70,3,FALSE)*(AL192/$AN$28)/12,0)*12,IF(C192="3113. Logements",ROUND(VLOOKUP(C192,'Informations générales'!$C$66:$E$70,3,FALSE)*(AL192/$AO$28)/12,0)*12,IF(C192="3114. Logements",ROUND(VLOOKUP(C192,'Informations générales'!$C$66:$E$70,3,FALSE)*(AL192/$AP$28)/12,0)*12,IF(C192="3115. Logements",ROUND(VLOOKUP(C192,'Informations générales'!$C$66:$E$70,3,FALSE)*(AL192/$AQ$28)/12,0)*12,"")))))</f>
        <v/>
      </c>
      <c r="AC192" s="114"/>
      <c r="AD192" s="113">
        <f t="shared" si="42"/>
        <v>0</v>
      </c>
      <c r="AE192" s="114"/>
      <c r="AF192" s="203" t="str">
        <f>IF(C192="3111. Logements",ROUND(VLOOKUP(C192,'Informations générales'!$C$66:$E$70,3,FALSE)*(AL192/$AM$28)/12,0)*12,IF(C192="3112. Logements",ROUND(VLOOKUP(C192,'Informations générales'!$C$66:$E$70,3,FALSE)*(AL192/$AN$28)/12,0)*12,IF(C192="3113. Logements",ROUND(VLOOKUP(C192,'Informations générales'!$C$66:$E$70,3,FALSE)*(AL192/$AO$28)/12,0)*12,IF(C192="3114. Logements",ROUND(VLOOKUP(C192,'Informations générales'!$C$66:$E$70,3,FALSE)*(AL192/$AP$28)/12,0)*12,IF(C192="3115. Logements",ROUND(VLOOKUP(C192,'Informations générales'!$C$66:$E$70,3,FALSE)*(AL192/$AQ$28)/12,0)*12,"")))))</f>
        <v/>
      </c>
      <c r="AG192" s="202"/>
      <c r="AH192" s="113" t="str">
        <f>IF(C192="3111. Logements",ROUND(VLOOKUP(C192,'Informations générales'!$C$66:$H$70,5,FALSE)*(AL192/$AM$28)/12,0)*12,IF(C192="3112. Logements",ROUND(VLOOKUP(C192,'Informations générales'!$C$66:$H$70,5,FALSE)*(AL192/$AN$28)/12,0)*12,IF(C192="3113. Logements",ROUND(VLOOKUP(C192,'Informations générales'!$C$66:$H$70,5,FALSE)*(AL192/$AO$28)/12,0)*12,IF(C192="3114. Logements",ROUND(VLOOKUP(C192,'Informations générales'!$C$66:$H$70,5,FALSE)*(AL192/$AP$28)/12,0)*12,IF(C192="3115. Logements",ROUND(VLOOKUP(C192,'Informations générales'!$C$66:$H$70,5,FALSE)*(AL192/$AQ$28)/12,0)*12,"")))))</f>
        <v/>
      </c>
      <c r="AI192" s="114"/>
      <c r="AJ192" s="114"/>
      <c r="AK192" s="76"/>
      <c r="AL192" s="58">
        <f t="shared" si="43"/>
        <v>0</v>
      </c>
      <c r="AM192" s="58"/>
      <c r="AN192" s="58"/>
      <c r="AO192" s="58"/>
      <c r="AP192" s="58"/>
      <c r="AQ192" s="58"/>
      <c r="AR192" s="58">
        <f t="shared" si="31"/>
        <v>0</v>
      </c>
      <c r="AS192" s="58">
        <f t="shared" si="32"/>
        <v>0</v>
      </c>
      <c r="AT192" s="58">
        <f t="shared" si="33"/>
        <v>0</v>
      </c>
      <c r="AU192" s="58">
        <f t="shared" si="34"/>
        <v>0</v>
      </c>
      <c r="AV192" s="58">
        <f t="shared" si="35"/>
        <v>0</v>
      </c>
      <c r="AW192" s="58">
        <f t="shared" si="36"/>
        <v>0</v>
      </c>
      <c r="AX192" s="58">
        <f t="shared" si="37"/>
        <v>0</v>
      </c>
      <c r="AY192" s="58">
        <f t="shared" si="44"/>
        <v>0</v>
      </c>
      <c r="AZ192" s="62">
        <f t="shared" si="38"/>
        <v>0</v>
      </c>
      <c r="BA192" s="63">
        <f t="shared" si="39"/>
        <v>0</v>
      </c>
      <c r="BB192" s="63">
        <f t="shared" si="40"/>
        <v>0</v>
      </c>
    </row>
    <row r="193" spans="3:54" s="17" customFormat="1" x14ac:dyDescent="0.25">
      <c r="C193" s="215"/>
      <c r="D193" s="216"/>
      <c r="E193" s="88"/>
      <c r="F193" s="217"/>
      <c r="G193" s="234"/>
      <c r="H193" s="218"/>
      <c r="I193" s="76"/>
      <c r="J193" s="77"/>
      <c r="K193" s="76"/>
      <c r="L193" s="78"/>
      <c r="M193" s="78"/>
      <c r="N193" s="76" t="s">
        <v>39</v>
      </c>
      <c r="O193" s="110"/>
      <c r="P193" s="152"/>
      <c r="Q193" s="111" t="str">
        <f>IFERROR(MIN(VLOOKUP(ROUNDDOWN(P193,0),'Aide calcul'!$B$2:$C$282,2,FALSE),O193+1),"")</f>
        <v/>
      </c>
      <c r="R193" s="112" t="str">
        <f t="shared" si="41"/>
        <v/>
      </c>
      <c r="S193" s="152"/>
      <c r="T193" s="152"/>
      <c r="U193" s="152"/>
      <c r="V193" s="152"/>
      <c r="W193" s="152"/>
      <c r="X193" s="152"/>
      <c r="Y193" s="152"/>
      <c r="Z193" s="76"/>
      <c r="AA193" s="76"/>
      <c r="AB193" s="113" t="str">
        <f>IF(C193="3111. Logements",ROUND(VLOOKUP(C193,'Informations générales'!$C$66:$E$70,3,FALSE)*(AL193/$AM$28)/12,0)*12,IF(C193="3112. Logements",ROUND(VLOOKUP(C193,'Informations générales'!$C$66:$E$70,3,FALSE)*(AL193/$AN$28)/12,0)*12,IF(C193="3113. Logements",ROUND(VLOOKUP(C193,'Informations générales'!$C$66:$E$70,3,FALSE)*(AL193/$AO$28)/12,0)*12,IF(C193="3114. Logements",ROUND(VLOOKUP(C193,'Informations générales'!$C$66:$E$70,3,FALSE)*(AL193/$AP$28)/12,0)*12,IF(C193="3115. Logements",ROUND(VLOOKUP(C193,'Informations générales'!$C$66:$E$70,3,FALSE)*(AL193/$AQ$28)/12,0)*12,"")))))</f>
        <v/>
      </c>
      <c r="AC193" s="114"/>
      <c r="AD193" s="113">
        <f t="shared" si="42"/>
        <v>0</v>
      </c>
      <c r="AE193" s="114"/>
      <c r="AF193" s="203" t="str">
        <f>IF(C193="3111. Logements",ROUND(VLOOKUP(C193,'Informations générales'!$C$66:$E$70,3,FALSE)*(AL193/$AM$28)/12,0)*12,IF(C193="3112. Logements",ROUND(VLOOKUP(C193,'Informations générales'!$C$66:$E$70,3,FALSE)*(AL193/$AN$28)/12,0)*12,IF(C193="3113. Logements",ROUND(VLOOKUP(C193,'Informations générales'!$C$66:$E$70,3,FALSE)*(AL193/$AO$28)/12,0)*12,IF(C193="3114. Logements",ROUND(VLOOKUP(C193,'Informations générales'!$C$66:$E$70,3,FALSE)*(AL193/$AP$28)/12,0)*12,IF(C193="3115. Logements",ROUND(VLOOKUP(C193,'Informations générales'!$C$66:$E$70,3,FALSE)*(AL193/$AQ$28)/12,0)*12,"")))))</f>
        <v/>
      </c>
      <c r="AG193" s="202"/>
      <c r="AH193" s="113" t="str">
        <f>IF(C193="3111. Logements",ROUND(VLOOKUP(C193,'Informations générales'!$C$66:$H$70,5,FALSE)*(AL193/$AM$28)/12,0)*12,IF(C193="3112. Logements",ROUND(VLOOKUP(C193,'Informations générales'!$C$66:$H$70,5,FALSE)*(AL193/$AN$28)/12,0)*12,IF(C193="3113. Logements",ROUND(VLOOKUP(C193,'Informations générales'!$C$66:$H$70,5,FALSE)*(AL193/$AO$28)/12,0)*12,IF(C193="3114. Logements",ROUND(VLOOKUP(C193,'Informations générales'!$C$66:$H$70,5,FALSE)*(AL193/$AP$28)/12,0)*12,IF(C193="3115. Logements",ROUND(VLOOKUP(C193,'Informations générales'!$C$66:$H$70,5,FALSE)*(AL193/$AQ$28)/12,0)*12,"")))))</f>
        <v/>
      </c>
      <c r="AI193" s="114"/>
      <c r="AJ193" s="114"/>
      <c r="AK193" s="76"/>
      <c r="AL193" s="58">
        <f t="shared" si="43"/>
        <v>0</v>
      </c>
      <c r="AM193" s="58"/>
      <c r="AN193" s="58"/>
      <c r="AO193" s="58"/>
      <c r="AP193" s="58"/>
      <c r="AQ193" s="58"/>
      <c r="AR193" s="58">
        <f t="shared" si="31"/>
        <v>0</v>
      </c>
      <c r="AS193" s="58">
        <f t="shared" si="32"/>
        <v>0</v>
      </c>
      <c r="AT193" s="58">
        <f t="shared" si="33"/>
        <v>0</v>
      </c>
      <c r="AU193" s="58">
        <f t="shared" si="34"/>
        <v>0</v>
      </c>
      <c r="AV193" s="58">
        <f t="shared" si="35"/>
        <v>0</v>
      </c>
      <c r="AW193" s="58">
        <f t="shared" si="36"/>
        <v>0</v>
      </c>
      <c r="AX193" s="58">
        <f t="shared" si="37"/>
        <v>0</v>
      </c>
      <c r="AY193" s="58">
        <f t="shared" si="44"/>
        <v>0</v>
      </c>
      <c r="AZ193" s="62">
        <f t="shared" si="38"/>
        <v>0</v>
      </c>
      <c r="BA193" s="63">
        <f t="shared" si="39"/>
        <v>0</v>
      </c>
      <c r="BB193" s="63">
        <f t="shared" si="40"/>
        <v>0</v>
      </c>
    </row>
    <row r="194" spans="3:54" s="17" customFormat="1" x14ac:dyDescent="0.25">
      <c r="C194" s="215"/>
      <c r="D194" s="216"/>
      <c r="E194" s="88"/>
      <c r="F194" s="217"/>
      <c r="G194" s="234"/>
      <c r="H194" s="218"/>
      <c r="I194" s="76"/>
      <c r="J194" s="77"/>
      <c r="K194" s="76"/>
      <c r="L194" s="78"/>
      <c r="M194" s="78"/>
      <c r="N194" s="76" t="s">
        <v>39</v>
      </c>
      <c r="O194" s="110"/>
      <c r="P194" s="152"/>
      <c r="Q194" s="111" t="str">
        <f>IFERROR(MIN(VLOOKUP(ROUNDDOWN(P194,0),'Aide calcul'!$B$2:$C$282,2,FALSE),O194+1),"")</f>
        <v/>
      </c>
      <c r="R194" s="112" t="str">
        <f t="shared" si="41"/>
        <v/>
      </c>
      <c r="S194" s="152"/>
      <c r="T194" s="152"/>
      <c r="U194" s="152"/>
      <c r="V194" s="152"/>
      <c r="W194" s="152"/>
      <c r="X194" s="152"/>
      <c r="Y194" s="152"/>
      <c r="Z194" s="76"/>
      <c r="AA194" s="76"/>
      <c r="AB194" s="113" t="str">
        <f>IF(C194="3111. Logements",ROUND(VLOOKUP(C194,'Informations générales'!$C$66:$E$70,3,FALSE)*(AL194/$AM$28)/12,0)*12,IF(C194="3112. Logements",ROUND(VLOOKUP(C194,'Informations générales'!$C$66:$E$70,3,FALSE)*(AL194/$AN$28)/12,0)*12,IF(C194="3113. Logements",ROUND(VLOOKUP(C194,'Informations générales'!$C$66:$E$70,3,FALSE)*(AL194/$AO$28)/12,0)*12,IF(C194="3114. Logements",ROUND(VLOOKUP(C194,'Informations générales'!$C$66:$E$70,3,FALSE)*(AL194/$AP$28)/12,0)*12,IF(C194="3115. Logements",ROUND(VLOOKUP(C194,'Informations générales'!$C$66:$E$70,3,FALSE)*(AL194/$AQ$28)/12,0)*12,"")))))</f>
        <v/>
      </c>
      <c r="AC194" s="114"/>
      <c r="AD194" s="113">
        <f t="shared" si="42"/>
        <v>0</v>
      </c>
      <c r="AE194" s="114"/>
      <c r="AF194" s="203" t="str">
        <f>IF(C194="3111. Logements",ROUND(VLOOKUP(C194,'Informations générales'!$C$66:$E$70,3,FALSE)*(AL194/$AM$28)/12,0)*12,IF(C194="3112. Logements",ROUND(VLOOKUP(C194,'Informations générales'!$C$66:$E$70,3,FALSE)*(AL194/$AN$28)/12,0)*12,IF(C194="3113. Logements",ROUND(VLOOKUP(C194,'Informations générales'!$C$66:$E$70,3,FALSE)*(AL194/$AO$28)/12,0)*12,IF(C194="3114. Logements",ROUND(VLOOKUP(C194,'Informations générales'!$C$66:$E$70,3,FALSE)*(AL194/$AP$28)/12,0)*12,IF(C194="3115. Logements",ROUND(VLOOKUP(C194,'Informations générales'!$C$66:$E$70,3,FALSE)*(AL194/$AQ$28)/12,0)*12,"")))))</f>
        <v/>
      </c>
      <c r="AG194" s="202"/>
      <c r="AH194" s="113" t="str">
        <f>IF(C194="3111. Logements",ROUND(VLOOKUP(C194,'Informations générales'!$C$66:$H$70,5,FALSE)*(AL194/$AM$28)/12,0)*12,IF(C194="3112. Logements",ROUND(VLOOKUP(C194,'Informations générales'!$C$66:$H$70,5,FALSE)*(AL194/$AN$28)/12,0)*12,IF(C194="3113. Logements",ROUND(VLOOKUP(C194,'Informations générales'!$C$66:$H$70,5,FALSE)*(AL194/$AO$28)/12,0)*12,IF(C194="3114. Logements",ROUND(VLOOKUP(C194,'Informations générales'!$C$66:$H$70,5,FALSE)*(AL194/$AP$28)/12,0)*12,IF(C194="3115. Logements",ROUND(VLOOKUP(C194,'Informations générales'!$C$66:$H$70,5,FALSE)*(AL194/$AQ$28)/12,0)*12,"")))))</f>
        <v/>
      </c>
      <c r="AI194" s="114"/>
      <c r="AJ194" s="114"/>
      <c r="AK194" s="76"/>
      <c r="AL194" s="58">
        <f t="shared" si="43"/>
        <v>0</v>
      </c>
      <c r="AM194" s="58"/>
      <c r="AN194" s="58"/>
      <c r="AO194" s="58"/>
      <c r="AP194" s="58"/>
      <c r="AQ194" s="58"/>
      <c r="AR194" s="58">
        <f t="shared" si="31"/>
        <v>0</v>
      </c>
      <c r="AS194" s="58">
        <f t="shared" si="32"/>
        <v>0</v>
      </c>
      <c r="AT194" s="58">
        <f t="shared" si="33"/>
        <v>0</v>
      </c>
      <c r="AU194" s="58">
        <f t="shared" si="34"/>
        <v>0</v>
      </c>
      <c r="AV194" s="58">
        <f t="shared" si="35"/>
        <v>0</v>
      </c>
      <c r="AW194" s="58">
        <f t="shared" si="36"/>
        <v>0</v>
      </c>
      <c r="AX194" s="58">
        <f t="shared" si="37"/>
        <v>0</v>
      </c>
      <c r="AY194" s="58">
        <f t="shared" si="44"/>
        <v>0</v>
      </c>
      <c r="AZ194" s="62">
        <f t="shared" si="38"/>
        <v>0</v>
      </c>
      <c r="BA194" s="63">
        <f t="shared" si="39"/>
        <v>0</v>
      </c>
      <c r="BB194" s="63">
        <f t="shared" si="40"/>
        <v>0</v>
      </c>
    </row>
    <row r="195" spans="3:54" s="17" customFormat="1" x14ac:dyDescent="0.25">
      <c r="C195" s="215"/>
      <c r="D195" s="216"/>
      <c r="E195" s="88"/>
      <c r="F195" s="217"/>
      <c r="G195" s="234"/>
      <c r="H195" s="218"/>
      <c r="I195" s="76"/>
      <c r="J195" s="77"/>
      <c r="K195" s="76"/>
      <c r="L195" s="78"/>
      <c r="M195" s="78"/>
      <c r="N195" s="76" t="s">
        <v>39</v>
      </c>
      <c r="O195" s="110"/>
      <c r="P195" s="152"/>
      <c r="Q195" s="111" t="str">
        <f>IFERROR(MIN(VLOOKUP(ROUNDDOWN(P195,0),'Aide calcul'!$B$2:$C$282,2,FALSE),O195+1),"")</f>
        <v/>
      </c>
      <c r="R195" s="112" t="str">
        <f t="shared" si="41"/>
        <v/>
      </c>
      <c r="S195" s="152"/>
      <c r="T195" s="152"/>
      <c r="U195" s="152"/>
      <c r="V195" s="152"/>
      <c r="W195" s="152"/>
      <c r="X195" s="152"/>
      <c r="Y195" s="152"/>
      <c r="Z195" s="76"/>
      <c r="AA195" s="76"/>
      <c r="AB195" s="113" t="str">
        <f>IF(C195="3111. Logements",ROUND(VLOOKUP(C195,'Informations générales'!$C$66:$E$70,3,FALSE)*(AL195/$AM$28)/12,0)*12,IF(C195="3112. Logements",ROUND(VLOOKUP(C195,'Informations générales'!$C$66:$E$70,3,FALSE)*(AL195/$AN$28)/12,0)*12,IF(C195="3113. Logements",ROUND(VLOOKUP(C195,'Informations générales'!$C$66:$E$70,3,FALSE)*(AL195/$AO$28)/12,0)*12,IF(C195="3114. Logements",ROUND(VLOOKUP(C195,'Informations générales'!$C$66:$E$70,3,FALSE)*(AL195/$AP$28)/12,0)*12,IF(C195="3115. Logements",ROUND(VLOOKUP(C195,'Informations générales'!$C$66:$E$70,3,FALSE)*(AL195/$AQ$28)/12,0)*12,"")))))</f>
        <v/>
      </c>
      <c r="AC195" s="114"/>
      <c r="AD195" s="113">
        <f t="shared" si="42"/>
        <v>0</v>
      </c>
      <c r="AE195" s="114"/>
      <c r="AF195" s="203" t="str">
        <f>IF(C195="3111. Logements",ROUND(VLOOKUP(C195,'Informations générales'!$C$66:$E$70,3,FALSE)*(AL195/$AM$28)/12,0)*12,IF(C195="3112. Logements",ROUND(VLOOKUP(C195,'Informations générales'!$C$66:$E$70,3,FALSE)*(AL195/$AN$28)/12,0)*12,IF(C195="3113. Logements",ROUND(VLOOKUP(C195,'Informations générales'!$C$66:$E$70,3,FALSE)*(AL195/$AO$28)/12,0)*12,IF(C195="3114. Logements",ROUND(VLOOKUP(C195,'Informations générales'!$C$66:$E$70,3,FALSE)*(AL195/$AP$28)/12,0)*12,IF(C195="3115. Logements",ROUND(VLOOKUP(C195,'Informations générales'!$C$66:$E$70,3,FALSE)*(AL195/$AQ$28)/12,0)*12,"")))))</f>
        <v/>
      </c>
      <c r="AG195" s="202"/>
      <c r="AH195" s="113" t="str">
        <f>IF(C195="3111. Logements",ROUND(VLOOKUP(C195,'Informations générales'!$C$66:$H$70,5,FALSE)*(AL195/$AM$28)/12,0)*12,IF(C195="3112. Logements",ROUND(VLOOKUP(C195,'Informations générales'!$C$66:$H$70,5,FALSE)*(AL195/$AN$28)/12,0)*12,IF(C195="3113. Logements",ROUND(VLOOKUP(C195,'Informations générales'!$C$66:$H$70,5,FALSE)*(AL195/$AO$28)/12,0)*12,IF(C195="3114. Logements",ROUND(VLOOKUP(C195,'Informations générales'!$C$66:$H$70,5,FALSE)*(AL195/$AP$28)/12,0)*12,IF(C195="3115. Logements",ROUND(VLOOKUP(C195,'Informations générales'!$C$66:$H$70,5,FALSE)*(AL195/$AQ$28)/12,0)*12,"")))))</f>
        <v/>
      </c>
      <c r="AI195" s="114"/>
      <c r="AJ195" s="114"/>
      <c r="AK195" s="76"/>
      <c r="AL195" s="58">
        <f t="shared" si="43"/>
        <v>0</v>
      </c>
      <c r="AM195" s="58"/>
      <c r="AN195" s="58"/>
      <c r="AO195" s="58"/>
      <c r="AP195" s="58"/>
      <c r="AQ195" s="58"/>
      <c r="AR195" s="58">
        <f t="shared" si="31"/>
        <v>0</v>
      </c>
      <c r="AS195" s="58">
        <f t="shared" si="32"/>
        <v>0</v>
      </c>
      <c r="AT195" s="58">
        <f t="shared" si="33"/>
        <v>0</v>
      </c>
      <c r="AU195" s="58">
        <f t="shared" si="34"/>
        <v>0</v>
      </c>
      <c r="AV195" s="58">
        <f t="shared" si="35"/>
        <v>0</v>
      </c>
      <c r="AW195" s="58">
        <f t="shared" si="36"/>
        <v>0</v>
      </c>
      <c r="AX195" s="58">
        <f t="shared" si="37"/>
        <v>0</v>
      </c>
      <c r="AY195" s="58">
        <f t="shared" si="44"/>
        <v>0</v>
      </c>
      <c r="AZ195" s="62">
        <f t="shared" si="38"/>
        <v>0</v>
      </c>
      <c r="BA195" s="63">
        <f t="shared" si="39"/>
        <v>0</v>
      </c>
      <c r="BB195" s="63">
        <f t="shared" si="40"/>
        <v>0</v>
      </c>
    </row>
    <row r="196" spans="3:54" s="17" customFormat="1" x14ac:dyDescent="0.25">
      <c r="C196" s="215"/>
      <c r="D196" s="216"/>
      <c r="E196" s="88"/>
      <c r="F196" s="217"/>
      <c r="G196" s="234"/>
      <c r="H196" s="218"/>
      <c r="I196" s="76"/>
      <c r="J196" s="77"/>
      <c r="K196" s="76"/>
      <c r="L196" s="78"/>
      <c r="M196" s="78"/>
      <c r="N196" s="76" t="s">
        <v>39</v>
      </c>
      <c r="O196" s="110"/>
      <c r="P196" s="152"/>
      <c r="Q196" s="111" t="str">
        <f>IFERROR(MIN(VLOOKUP(ROUNDDOWN(P196,0),'Aide calcul'!$B$2:$C$282,2,FALSE),O196+1),"")</f>
        <v/>
      </c>
      <c r="R196" s="112" t="str">
        <f t="shared" si="41"/>
        <v/>
      </c>
      <c r="S196" s="152"/>
      <c r="T196" s="152"/>
      <c r="U196" s="152"/>
      <c r="V196" s="152"/>
      <c r="W196" s="152"/>
      <c r="X196" s="152"/>
      <c r="Y196" s="152"/>
      <c r="Z196" s="76"/>
      <c r="AA196" s="76"/>
      <c r="AB196" s="113" t="str">
        <f>IF(C196="3111. Logements",ROUND(VLOOKUP(C196,'Informations générales'!$C$66:$E$70,3,FALSE)*(AL196/$AM$28)/12,0)*12,IF(C196="3112. Logements",ROUND(VLOOKUP(C196,'Informations générales'!$C$66:$E$70,3,FALSE)*(AL196/$AN$28)/12,0)*12,IF(C196="3113. Logements",ROUND(VLOOKUP(C196,'Informations générales'!$C$66:$E$70,3,FALSE)*(AL196/$AO$28)/12,0)*12,IF(C196="3114. Logements",ROUND(VLOOKUP(C196,'Informations générales'!$C$66:$E$70,3,FALSE)*(AL196/$AP$28)/12,0)*12,IF(C196="3115. Logements",ROUND(VLOOKUP(C196,'Informations générales'!$C$66:$E$70,3,FALSE)*(AL196/$AQ$28)/12,0)*12,"")))))</f>
        <v/>
      </c>
      <c r="AC196" s="114"/>
      <c r="AD196" s="113">
        <f t="shared" si="42"/>
        <v>0</v>
      </c>
      <c r="AE196" s="114"/>
      <c r="AF196" s="203" t="str">
        <f>IF(C196="3111. Logements",ROUND(VLOOKUP(C196,'Informations générales'!$C$66:$E$70,3,FALSE)*(AL196/$AM$28)/12,0)*12,IF(C196="3112. Logements",ROUND(VLOOKUP(C196,'Informations générales'!$C$66:$E$70,3,FALSE)*(AL196/$AN$28)/12,0)*12,IF(C196="3113. Logements",ROUND(VLOOKUP(C196,'Informations générales'!$C$66:$E$70,3,FALSE)*(AL196/$AO$28)/12,0)*12,IF(C196="3114. Logements",ROUND(VLOOKUP(C196,'Informations générales'!$C$66:$E$70,3,FALSE)*(AL196/$AP$28)/12,0)*12,IF(C196="3115. Logements",ROUND(VLOOKUP(C196,'Informations générales'!$C$66:$E$70,3,FALSE)*(AL196/$AQ$28)/12,0)*12,"")))))</f>
        <v/>
      </c>
      <c r="AG196" s="202"/>
      <c r="AH196" s="113" t="str">
        <f>IF(C196="3111. Logements",ROUND(VLOOKUP(C196,'Informations générales'!$C$66:$H$70,5,FALSE)*(AL196/$AM$28)/12,0)*12,IF(C196="3112. Logements",ROUND(VLOOKUP(C196,'Informations générales'!$C$66:$H$70,5,FALSE)*(AL196/$AN$28)/12,0)*12,IF(C196="3113. Logements",ROUND(VLOOKUP(C196,'Informations générales'!$C$66:$H$70,5,FALSE)*(AL196/$AO$28)/12,0)*12,IF(C196="3114. Logements",ROUND(VLOOKUP(C196,'Informations générales'!$C$66:$H$70,5,FALSE)*(AL196/$AP$28)/12,0)*12,IF(C196="3115. Logements",ROUND(VLOOKUP(C196,'Informations générales'!$C$66:$H$70,5,FALSE)*(AL196/$AQ$28)/12,0)*12,"")))))</f>
        <v/>
      </c>
      <c r="AI196" s="114"/>
      <c r="AJ196" s="114"/>
      <c r="AK196" s="76"/>
      <c r="AL196" s="58">
        <f t="shared" si="43"/>
        <v>0</v>
      </c>
      <c r="AM196" s="58"/>
      <c r="AN196" s="58"/>
      <c r="AO196" s="58"/>
      <c r="AP196" s="58"/>
      <c r="AQ196" s="58"/>
      <c r="AR196" s="58">
        <f t="shared" si="31"/>
        <v>0</v>
      </c>
      <c r="AS196" s="58">
        <f t="shared" si="32"/>
        <v>0</v>
      </c>
      <c r="AT196" s="58">
        <f t="shared" si="33"/>
        <v>0</v>
      </c>
      <c r="AU196" s="58">
        <f t="shared" si="34"/>
        <v>0</v>
      </c>
      <c r="AV196" s="58">
        <f t="shared" si="35"/>
        <v>0</v>
      </c>
      <c r="AW196" s="58">
        <f t="shared" si="36"/>
        <v>0</v>
      </c>
      <c r="AX196" s="58">
        <f t="shared" si="37"/>
        <v>0</v>
      </c>
      <c r="AY196" s="58">
        <f t="shared" si="44"/>
        <v>0</v>
      </c>
      <c r="AZ196" s="62">
        <f t="shared" si="38"/>
        <v>0</v>
      </c>
      <c r="BA196" s="63">
        <f t="shared" si="39"/>
        <v>0</v>
      </c>
      <c r="BB196" s="63">
        <f t="shared" si="40"/>
        <v>0</v>
      </c>
    </row>
    <row r="197" spans="3:54" s="17" customFormat="1" x14ac:dyDescent="0.25">
      <c r="C197" s="215"/>
      <c r="D197" s="216"/>
      <c r="E197" s="88"/>
      <c r="F197" s="217"/>
      <c r="G197" s="234"/>
      <c r="H197" s="218"/>
      <c r="I197" s="76"/>
      <c r="J197" s="77"/>
      <c r="K197" s="76"/>
      <c r="L197" s="78"/>
      <c r="M197" s="78"/>
      <c r="N197" s="76" t="s">
        <v>39</v>
      </c>
      <c r="O197" s="110"/>
      <c r="P197" s="152"/>
      <c r="Q197" s="111" t="str">
        <f>IFERROR(MIN(VLOOKUP(ROUNDDOWN(P197,0),'Aide calcul'!$B$2:$C$282,2,FALSE),O197+1),"")</f>
        <v/>
      </c>
      <c r="R197" s="112" t="str">
        <f t="shared" si="41"/>
        <v/>
      </c>
      <c r="S197" s="152"/>
      <c r="T197" s="152"/>
      <c r="U197" s="152"/>
      <c r="V197" s="152"/>
      <c r="W197" s="152"/>
      <c r="X197" s="152"/>
      <c r="Y197" s="152"/>
      <c r="Z197" s="76"/>
      <c r="AA197" s="76"/>
      <c r="AB197" s="113" t="str">
        <f>IF(C197="3111. Logements",ROUND(VLOOKUP(C197,'Informations générales'!$C$66:$E$70,3,FALSE)*(AL197/$AM$28)/12,0)*12,IF(C197="3112. Logements",ROUND(VLOOKUP(C197,'Informations générales'!$C$66:$E$70,3,FALSE)*(AL197/$AN$28)/12,0)*12,IF(C197="3113. Logements",ROUND(VLOOKUP(C197,'Informations générales'!$C$66:$E$70,3,FALSE)*(AL197/$AO$28)/12,0)*12,IF(C197="3114. Logements",ROUND(VLOOKUP(C197,'Informations générales'!$C$66:$E$70,3,FALSE)*(AL197/$AP$28)/12,0)*12,IF(C197="3115. Logements",ROUND(VLOOKUP(C197,'Informations générales'!$C$66:$E$70,3,FALSE)*(AL197/$AQ$28)/12,0)*12,"")))))</f>
        <v/>
      </c>
      <c r="AC197" s="114"/>
      <c r="AD197" s="113">
        <f t="shared" si="42"/>
        <v>0</v>
      </c>
      <c r="AE197" s="114"/>
      <c r="AF197" s="203" t="str">
        <f>IF(C197="3111. Logements",ROUND(VLOOKUP(C197,'Informations générales'!$C$66:$E$70,3,FALSE)*(AL197/$AM$28)/12,0)*12,IF(C197="3112. Logements",ROUND(VLOOKUP(C197,'Informations générales'!$C$66:$E$70,3,FALSE)*(AL197/$AN$28)/12,0)*12,IF(C197="3113. Logements",ROUND(VLOOKUP(C197,'Informations générales'!$C$66:$E$70,3,FALSE)*(AL197/$AO$28)/12,0)*12,IF(C197="3114. Logements",ROUND(VLOOKUP(C197,'Informations générales'!$C$66:$E$70,3,FALSE)*(AL197/$AP$28)/12,0)*12,IF(C197="3115. Logements",ROUND(VLOOKUP(C197,'Informations générales'!$C$66:$E$70,3,FALSE)*(AL197/$AQ$28)/12,0)*12,"")))))</f>
        <v/>
      </c>
      <c r="AG197" s="202"/>
      <c r="AH197" s="113" t="str">
        <f>IF(C197="3111. Logements",ROUND(VLOOKUP(C197,'Informations générales'!$C$66:$H$70,5,FALSE)*(AL197/$AM$28)/12,0)*12,IF(C197="3112. Logements",ROUND(VLOOKUP(C197,'Informations générales'!$C$66:$H$70,5,FALSE)*(AL197/$AN$28)/12,0)*12,IF(C197="3113. Logements",ROUND(VLOOKUP(C197,'Informations générales'!$C$66:$H$70,5,FALSE)*(AL197/$AO$28)/12,0)*12,IF(C197="3114. Logements",ROUND(VLOOKUP(C197,'Informations générales'!$C$66:$H$70,5,FALSE)*(AL197/$AP$28)/12,0)*12,IF(C197="3115. Logements",ROUND(VLOOKUP(C197,'Informations générales'!$C$66:$H$70,5,FALSE)*(AL197/$AQ$28)/12,0)*12,"")))))</f>
        <v/>
      </c>
      <c r="AI197" s="114"/>
      <c r="AJ197" s="114"/>
      <c r="AK197" s="76"/>
      <c r="AL197" s="58">
        <f t="shared" si="43"/>
        <v>0</v>
      </c>
      <c r="AM197" s="58"/>
      <c r="AN197" s="58"/>
      <c r="AO197" s="58"/>
      <c r="AP197" s="58"/>
      <c r="AQ197" s="58"/>
      <c r="AR197" s="58">
        <f t="shared" si="31"/>
        <v>0</v>
      </c>
      <c r="AS197" s="58">
        <f t="shared" si="32"/>
        <v>0</v>
      </c>
      <c r="AT197" s="58">
        <f t="shared" si="33"/>
        <v>0</v>
      </c>
      <c r="AU197" s="58">
        <f t="shared" si="34"/>
        <v>0</v>
      </c>
      <c r="AV197" s="58">
        <f t="shared" si="35"/>
        <v>0</v>
      </c>
      <c r="AW197" s="58">
        <f t="shared" si="36"/>
        <v>0</v>
      </c>
      <c r="AX197" s="58">
        <f t="shared" si="37"/>
        <v>0</v>
      </c>
      <c r="AY197" s="58">
        <f t="shared" si="44"/>
        <v>0</v>
      </c>
      <c r="AZ197" s="62">
        <f t="shared" si="38"/>
        <v>0</v>
      </c>
      <c r="BA197" s="63">
        <f t="shared" si="39"/>
        <v>0</v>
      </c>
      <c r="BB197" s="63">
        <f t="shared" si="40"/>
        <v>0</v>
      </c>
    </row>
    <row r="198" spans="3:54" s="17" customFormat="1" x14ac:dyDescent="0.25">
      <c r="C198" s="215"/>
      <c r="D198" s="216"/>
      <c r="E198" s="88"/>
      <c r="F198" s="217"/>
      <c r="G198" s="234"/>
      <c r="H198" s="218"/>
      <c r="I198" s="76"/>
      <c r="J198" s="77"/>
      <c r="K198" s="76"/>
      <c r="L198" s="78"/>
      <c r="M198" s="78"/>
      <c r="N198" s="76" t="s">
        <v>39</v>
      </c>
      <c r="O198" s="110"/>
      <c r="P198" s="152"/>
      <c r="Q198" s="111" t="str">
        <f>IFERROR(MIN(VLOOKUP(ROUNDDOWN(P198,0),'Aide calcul'!$B$2:$C$282,2,FALSE),O198+1),"")</f>
        <v/>
      </c>
      <c r="R198" s="112" t="str">
        <f t="shared" si="41"/>
        <v/>
      </c>
      <c r="S198" s="152"/>
      <c r="T198" s="152"/>
      <c r="U198" s="152"/>
      <c r="V198" s="152"/>
      <c r="W198" s="152"/>
      <c r="X198" s="152"/>
      <c r="Y198" s="152"/>
      <c r="Z198" s="76"/>
      <c r="AA198" s="76"/>
      <c r="AB198" s="113" t="str">
        <f>IF(C198="3111. Logements",ROUND(VLOOKUP(C198,'Informations générales'!$C$66:$E$70,3,FALSE)*(AL198/$AM$28)/12,0)*12,IF(C198="3112. Logements",ROUND(VLOOKUP(C198,'Informations générales'!$C$66:$E$70,3,FALSE)*(AL198/$AN$28)/12,0)*12,IF(C198="3113. Logements",ROUND(VLOOKUP(C198,'Informations générales'!$C$66:$E$70,3,FALSE)*(AL198/$AO$28)/12,0)*12,IF(C198="3114. Logements",ROUND(VLOOKUP(C198,'Informations générales'!$C$66:$E$70,3,FALSE)*(AL198/$AP$28)/12,0)*12,IF(C198="3115. Logements",ROUND(VLOOKUP(C198,'Informations générales'!$C$66:$E$70,3,FALSE)*(AL198/$AQ$28)/12,0)*12,"")))))</f>
        <v/>
      </c>
      <c r="AC198" s="114"/>
      <c r="AD198" s="113">
        <f t="shared" si="42"/>
        <v>0</v>
      </c>
      <c r="AE198" s="114"/>
      <c r="AF198" s="203" t="str">
        <f>IF(C198="3111. Logements",ROUND(VLOOKUP(C198,'Informations générales'!$C$66:$E$70,3,FALSE)*(AL198/$AM$28)/12,0)*12,IF(C198="3112. Logements",ROUND(VLOOKUP(C198,'Informations générales'!$C$66:$E$70,3,FALSE)*(AL198/$AN$28)/12,0)*12,IF(C198="3113. Logements",ROUND(VLOOKUP(C198,'Informations générales'!$C$66:$E$70,3,FALSE)*(AL198/$AO$28)/12,0)*12,IF(C198="3114. Logements",ROUND(VLOOKUP(C198,'Informations générales'!$C$66:$E$70,3,FALSE)*(AL198/$AP$28)/12,0)*12,IF(C198="3115. Logements",ROUND(VLOOKUP(C198,'Informations générales'!$C$66:$E$70,3,FALSE)*(AL198/$AQ$28)/12,0)*12,"")))))</f>
        <v/>
      </c>
      <c r="AG198" s="202"/>
      <c r="AH198" s="113" t="str">
        <f>IF(C198="3111. Logements",ROUND(VLOOKUP(C198,'Informations générales'!$C$66:$H$70,5,FALSE)*(AL198/$AM$28)/12,0)*12,IF(C198="3112. Logements",ROUND(VLOOKUP(C198,'Informations générales'!$C$66:$H$70,5,FALSE)*(AL198/$AN$28)/12,0)*12,IF(C198="3113. Logements",ROUND(VLOOKUP(C198,'Informations générales'!$C$66:$H$70,5,FALSE)*(AL198/$AO$28)/12,0)*12,IF(C198="3114. Logements",ROUND(VLOOKUP(C198,'Informations générales'!$C$66:$H$70,5,FALSE)*(AL198/$AP$28)/12,0)*12,IF(C198="3115. Logements",ROUND(VLOOKUP(C198,'Informations générales'!$C$66:$H$70,5,FALSE)*(AL198/$AQ$28)/12,0)*12,"")))))</f>
        <v/>
      </c>
      <c r="AI198" s="114"/>
      <c r="AJ198" s="114"/>
      <c r="AK198" s="76"/>
      <c r="AL198" s="58">
        <f t="shared" si="43"/>
        <v>0</v>
      </c>
      <c r="AM198" s="58"/>
      <c r="AN198" s="58"/>
      <c r="AO198" s="58"/>
      <c r="AP198" s="58"/>
      <c r="AQ198" s="58"/>
      <c r="AR198" s="58">
        <f t="shared" si="31"/>
        <v>0</v>
      </c>
      <c r="AS198" s="58">
        <f t="shared" si="32"/>
        <v>0</v>
      </c>
      <c r="AT198" s="58">
        <f t="shared" si="33"/>
        <v>0</v>
      </c>
      <c r="AU198" s="58">
        <f t="shared" si="34"/>
        <v>0</v>
      </c>
      <c r="AV198" s="58">
        <f t="shared" si="35"/>
        <v>0</v>
      </c>
      <c r="AW198" s="58">
        <f t="shared" si="36"/>
        <v>0</v>
      </c>
      <c r="AX198" s="58">
        <f t="shared" si="37"/>
        <v>0</v>
      </c>
      <c r="AY198" s="58">
        <f t="shared" si="44"/>
        <v>0</v>
      </c>
      <c r="AZ198" s="62">
        <f t="shared" si="38"/>
        <v>0</v>
      </c>
      <c r="BA198" s="63">
        <f t="shared" si="39"/>
        <v>0</v>
      </c>
      <c r="BB198" s="63">
        <f t="shared" si="40"/>
        <v>0</v>
      </c>
    </row>
    <row r="199" spans="3:54" s="17" customFormat="1" x14ac:dyDescent="0.25">
      <c r="C199" s="215"/>
      <c r="D199" s="216"/>
      <c r="E199" s="88"/>
      <c r="F199" s="217"/>
      <c r="G199" s="234"/>
      <c r="H199" s="218"/>
      <c r="I199" s="76"/>
      <c r="J199" s="77"/>
      <c r="K199" s="76"/>
      <c r="L199" s="78"/>
      <c r="M199" s="78"/>
      <c r="N199" s="76" t="s">
        <v>39</v>
      </c>
      <c r="O199" s="110"/>
      <c r="P199" s="152"/>
      <c r="Q199" s="111" t="str">
        <f>IFERROR(MIN(VLOOKUP(ROUNDDOWN(P199,0),'Aide calcul'!$B$2:$C$282,2,FALSE),O199+1),"")</f>
        <v/>
      </c>
      <c r="R199" s="112" t="str">
        <f t="shared" si="41"/>
        <v/>
      </c>
      <c r="S199" s="152"/>
      <c r="T199" s="152"/>
      <c r="U199" s="152"/>
      <c r="V199" s="152"/>
      <c r="W199" s="152"/>
      <c r="X199" s="152"/>
      <c r="Y199" s="152"/>
      <c r="Z199" s="76"/>
      <c r="AA199" s="76"/>
      <c r="AB199" s="113" t="str">
        <f>IF(C199="3111. Logements",ROUND(VLOOKUP(C199,'Informations générales'!$C$66:$E$70,3,FALSE)*(AL199/$AM$28)/12,0)*12,IF(C199="3112. Logements",ROUND(VLOOKUP(C199,'Informations générales'!$C$66:$E$70,3,FALSE)*(AL199/$AN$28)/12,0)*12,IF(C199="3113. Logements",ROUND(VLOOKUP(C199,'Informations générales'!$C$66:$E$70,3,FALSE)*(AL199/$AO$28)/12,0)*12,IF(C199="3114. Logements",ROUND(VLOOKUP(C199,'Informations générales'!$C$66:$E$70,3,FALSE)*(AL199/$AP$28)/12,0)*12,IF(C199="3115. Logements",ROUND(VLOOKUP(C199,'Informations générales'!$C$66:$E$70,3,FALSE)*(AL199/$AQ$28)/12,0)*12,"")))))</f>
        <v/>
      </c>
      <c r="AC199" s="114"/>
      <c r="AD199" s="113">
        <f t="shared" si="42"/>
        <v>0</v>
      </c>
      <c r="AE199" s="114"/>
      <c r="AF199" s="203" t="str">
        <f>IF(C199="3111. Logements",ROUND(VLOOKUP(C199,'Informations générales'!$C$66:$E$70,3,FALSE)*(AL199/$AM$28)/12,0)*12,IF(C199="3112. Logements",ROUND(VLOOKUP(C199,'Informations générales'!$C$66:$E$70,3,FALSE)*(AL199/$AN$28)/12,0)*12,IF(C199="3113. Logements",ROUND(VLOOKUP(C199,'Informations générales'!$C$66:$E$70,3,FALSE)*(AL199/$AO$28)/12,0)*12,IF(C199="3114. Logements",ROUND(VLOOKUP(C199,'Informations générales'!$C$66:$E$70,3,FALSE)*(AL199/$AP$28)/12,0)*12,IF(C199="3115. Logements",ROUND(VLOOKUP(C199,'Informations générales'!$C$66:$E$70,3,FALSE)*(AL199/$AQ$28)/12,0)*12,"")))))</f>
        <v/>
      </c>
      <c r="AG199" s="202"/>
      <c r="AH199" s="113" t="str">
        <f>IF(C199="3111. Logements",ROUND(VLOOKUP(C199,'Informations générales'!$C$66:$H$70,5,FALSE)*(AL199/$AM$28)/12,0)*12,IF(C199="3112. Logements",ROUND(VLOOKUP(C199,'Informations générales'!$C$66:$H$70,5,FALSE)*(AL199/$AN$28)/12,0)*12,IF(C199="3113. Logements",ROUND(VLOOKUP(C199,'Informations générales'!$C$66:$H$70,5,FALSE)*(AL199/$AO$28)/12,0)*12,IF(C199="3114. Logements",ROUND(VLOOKUP(C199,'Informations générales'!$C$66:$H$70,5,FALSE)*(AL199/$AP$28)/12,0)*12,IF(C199="3115. Logements",ROUND(VLOOKUP(C199,'Informations générales'!$C$66:$H$70,5,FALSE)*(AL199/$AQ$28)/12,0)*12,"")))))</f>
        <v/>
      </c>
      <c r="AI199" s="114"/>
      <c r="AJ199" s="114"/>
      <c r="AK199" s="76"/>
      <c r="AL199" s="58">
        <f t="shared" si="43"/>
        <v>0</v>
      </c>
      <c r="AM199" s="58"/>
      <c r="AN199" s="58"/>
      <c r="AO199" s="58"/>
      <c r="AP199" s="58"/>
      <c r="AQ199" s="58"/>
      <c r="AR199" s="58">
        <f t="shared" si="31"/>
        <v>0</v>
      </c>
      <c r="AS199" s="58">
        <f t="shared" si="32"/>
        <v>0</v>
      </c>
      <c r="AT199" s="58">
        <f t="shared" si="33"/>
        <v>0</v>
      </c>
      <c r="AU199" s="58">
        <f t="shared" si="34"/>
        <v>0</v>
      </c>
      <c r="AV199" s="58">
        <f t="shared" si="35"/>
        <v>0</v>
      </c>
      <c r="AW199" s="58">
        <f t="shared" si="36"/>
        <v>0</v>
      </c>
      <c r="AX199" s="58">
        <f t="shared" si="37"/>
        <v>0</v>
      </c>
      <c r="AY199" s="58">
        <f t="shared" si="44"/>
        <v>0</v>
      </c>
      <c r="AZ199" s="62">
        <f t="shared" si="38"/>
        <v>0</v>
      </c>
      <c r="BA199" s="63">
        <f t="shared" si="39"/>
        <v>0</v>
      </c>
      <c r="BB199" s="63">
        <f t="shared" si="40"/>
        <v>0</v>
      </c>
    </row>
    <row r="200" spans="3:54" s="17" customFormat="1" x14ac:dyDescent="0.25">
      <c r="C200" s="215"/>
      <c r="D200" s="216"/>
      <c r="E200" s="88"/>
      <c r="F200" s="217"/>
      <c r="G200" s="234"/>
      <c r="H200" s="218"/>
      <c r="I200" s="76"/>
      <c r="J200" s="77"/>
      <c r="K200" s="76"/>
      <c r="L200" s="78"/>
      <c r="M200" s="78"/>
      <c r="N200" s="76" t="s">
        <v>39</v>
      </c>
      <c r="O200" s="110"/>
      <c r="P200" s="152"/>
      <c r="Q200" s="111" t="str">
        <f>IFERROR(MIN(VLOOKUP(ROUNDDOWN(P200,0),'Aide calcul'!$B$2:$C$282,2,FALSE),O200+1),"")</f>
        <v/>
      </c>
      <c r="R200" s="112" t="str">
        <f t="shared" si="41"/>
        <v/>
      </c>
      <c r="S200" s="152"/>
      <c r="T200" s="152"/>
      <c r="U200" s="152"/>
      <c r="V200" s="152"/>
      <c r="W200" s="152"/>
      <c r="X200" s="152"/>
      <c r="Y200" s="152"/>
      <c r="Z200" s="76"/>
      <c r="AA200" s="76"/>
      <c r="AB200" s="113" t="str">
        <f>IF(C200="3111. Logements",ROUND(VLOOKUP(C200,'Informations générales'!$C$66:$E$70,3,FALSE)*(AL200/$AM$28)/12,0)*12,IF(C200="3112. Logements",ROUND(VLOOKUP(C200,'Informations générales'!$C$66:$E$70,3,FALSE)*(AL200/$AN$28)/12,0)*12,IF(C200="3113. Logements",ROUND(VLOOKUP(C200,'Informations générales'!$C$66:$E$70,3,FALSE)*(AL200/$AO$28)/12,0)*12,IF(C200="3114. Logements",ROUND(VLOOKUP(C200,'Informations générales'!$C$66:$E$70,3,FALSE)*(AL200/$AP$28)/12,0)*12,IF(C200="3115. Logements",ROUND(VLOOKUP(C200,'Informations générales'!$C$66:$E$70,3,FALSE)*(AL200/$AQ$28)/12,0)*12,"")))))</f>
        <v/>
      </c>
      <c r="AC200" s="114"/>
      <c r="AD200" s="113">
        <f t="shared" si="42"/>
        <v>0</v>
      </c>
      <c r="AE200" s="114"/>
      <c r="AF200" s="203" t="str">
        <f>IF(C200="3111. Logements",ROUND(VLOOKUP(C200,'Informations générales'!$C$66:$E$70,3,FALSE)*(AL200/$AM$28)/12,0)*12,IF(C200="3112. Logements",ROUND(VLOOKUP(C200,'Informations générales'!$C$66:$E$70,3,FALSE)*(AL200/$AN$28)/12,0)*12,IF(C200="3113. Logements",ROUND(VLOOKUP(C200,'Informations générales'!$C$66:$E$70,3,FALSE)*(AL200/$AO$28)/12,0)*12,IF(C200="3114. Logements",ROUND(VLOOKUP(C200,'Informations générales'!$C$66:$E$70,3,FALSE)*(AL200/$AP$28)/12,0)*12,IF(C200="3115. Logements",ROUND(VLOOKUP(C200,'Informations générales'!$C$66:$E$70,3,FALSE)*(AL200/$AQ$28)/12,0)*12,"")))))</f>
        <v/>
      </c>
      <c r="AG200" s="202"/>
      <c r="AH200" s="113" t="str">
        <f>IF(C200="3111. Logements",ROUND(VLOOKUP(C200,'Informations générales'!$C$66:$H$70,5,FALSE)*(AL200/$AM$28)/12,0)*12,IF(C200="3112. Logements",ROUND(VLOOKUP(C200,'Informations générales'!$C$66:$H$70,5,FALSE)*(AL200/$AN$28)/12,0)*12,IF(C200="3113. Logements",ROUND(VLOOKUP(C200,'Informations générales'!$C$66:$H$70,5,FALSE)*(AL200/$AO$28)/12,0)*12,IF(C200="3114. Logements",ROUND(VLOOKUP(C200,'Informations générales'!$C$66:$H$70,5,FALSE)*(AL200/$AP$28)/12,0)*12,IF(C200="3115. Logements",ROUND(VLOOKUP(C200,'Informations générales'!$C$66:$H$70,5,FALSE)*(AL200/$AQ$28)/12,0)*12,"")))))</f>
        <v/>
      </c>
      <c r="AI200" s="114"/>
      <c r="AJ200" s="114"/>
      <c r="AK200" s="76"/>
      <c r="AL200" s="58">
        <f t="shared" si="43"/>
        <v>0</v>
      </c>
      <c r="AM200" s="58"/>
      <c r="AN200" s="58"/>
      <c r="AO200" s="58"/>
      <c r="AP200" s="58"/>
      <c r="AQ200" s="58"/>
      <c r="AR200" s="58">
        <f t="shared" si="31"/>
        <v>0</v>
      </c>
      <c r="AS200" s="58">
        <f t="shared" si="32"/>
        <v>0</v>
      </c>
      <c r="AT200" s="58">
        <f t="shared" si="33"/>
        <v>0</v>
      </c>
      <c r="AU200" s="58">
        <f t="shared" si="34"/>
        <v>0</v>
      </c>
      <c r="AV200" s="58">
        <f t="shared" si="35"/>
        <v>0</v>
      </c>
      <c r="AW200" s="58">
        <f t="shared" si="36"/>
        <v>0</v>
      </c>
      <c r="AX200" s="58">
        <f t="shared" si="37"/>
        <v>0</v>
      </c>
      <c r="AY200" s="58">
        <f t="shared" si="44"/>
        <v>0</v>
      </c>
      <c r="AZ200" s="62">
        <f t="shared" si="38"/>
        <v>0</v>
      </c>
      <c r="BA200" s="63">
        <f t="shared" si="39"/>
        <v>0</v>
      </c>
      <c r="BB200" s="63">
        <f t="shared" si="40"/>
        <v>0</v>
      </c>
    </row>
    <row r="201" spans="3:54" s="17" customFormat="1" x14ac:dyDescent="0.25">
      <c r="C201" s="215"/>
      <c r="D201" s="216"/>
      <c r="E201" s="88"/>
      <c r="F201" s="217"/>
      <c r="G201" s="234"/>
      <c r="H201" s="218"/>
      <c r="I201" s="76"/>
      <c r="J201" s="77"/>
      <c r="K201" s="76"/>
      <c r="L201" s="78"/>
      <c r="M201" s="78"/>
      <c r="N201" s="76" t="s">
        <v>39</v>
      </c>
      <c r="O201" s="110"/>
      <c r="P201" s="152"/>
      <c r="Q201" s="111" t="str">
        <f>IFERROR(MIN(VLOOKUP(ROUNDDOWN(P201,0),'Aide calcul'!$B$2:$C$282,2,FALSE),O201+1),"")</f>
        <v/>
      </c>
      <c r="R201" s="112" t="str">
        <f t="shared" si="41"/>
        <v/>
      </c>
      <c r="S201" s="152"/>
      <c r="T201" s="152"/>
      <c r="U201" s="152"/>
      <c r="V201" s="152"/>
      <c r="W201" s="152"/>
      <c r="X201" s="152"/>
      <c r="Y201" s="152"/>
      <c r="Z201" s="76"/>
      <c r="AA201" s="76"/>
      <c r="AB201" s="113" t="str">
        <f>IF(C201="3111. Logements",ROUND(VLOOKUP(C201,'Informations générales'!$C$66:$E$70,3,FALSE)*(AL201/$AM$28)/12,0)*12,IF(C201="3112. Logements",ROUND(VLOOKUP(C201,'Informations générales'!$C$66:$E$70,3,FALSE)*(AL201/$AN$28)/12,0)*12,IF(C201="3113. Logements",ROUND(VLOOKUP(C201,'Informations générales'!$C$66:$E$70,3,FALSE)*(AL201/$AO$28)/12,0)*12,IF(C201="3114. Logements",ROUND(VLOOKUP(C201,'Informations générales'!$C$66:$E$70,3,FALSE)*(AL201/$AP$28)/12,0)*12,IF(C201="3115. Logements",ROUND(VLOOKUP(C201,'Informations générales'!$C$66:$E$70,3,FALSE)*(AL201/$AQ$28)/12,0)*12,"")))))</f>
        <v/>
      </c>
      <c r="AC201" s="114"/>
      <c r="AD201" s="113">
        <f t="shared" si="42"/>
        <v>0</v>
      </c>
      <c r="AE201" s="114"/>
      <c r="AF201" s="203" t="str">
        <f>IF(C201="3111. Logements",ROUND(VLOOKUP(C201,'Informations générales'!$C$66:$E$70,3,FALSE)*(AL201/$AM$28)/12,0)*12,IF(C201="3112. Logements",ROUND(VLOOKUP(C201,'Informations générales'!$C$66:$E$70,3,FALSE)*(AL201/$AN$28)/12,0)*12,IF(C201="3113. Logements",ROUND(VLOOKUP(C201,'Informations générales'!$C$66:$E$70,3,FALSE)*(AL201/$AO$28)/12,0)*12,IF(C201="3114. Logements",ROUND(VLOOKUP(C201,'Informations générales'!$C$66:$E$70,3,FALSE)*(AL201/$AP$28)/12,0)*12,IF(C201="3115. Logements",ROUND(VLOOKUP(C201,'Informations générales'!$C$66:$E$70,3,FALSE)*(AL201/$AQ$28)/12,0)*12,"")))))</f>
        <v/>
      </c>
      <c r="AG201" s="202"/>
      <c r="AH201" s="113" t="str">
        <f>IF(C201="3111. Logements",ROUND(VLOOKUP(C201,'Informations générales'!$C$66:$H$70,5,FALSE)*(AL201/$AM$28)/12,0)*12,IF(C201="3112. Logements",ROUND(VLOOKUP(C201,'Informations générales'!$C$66:$H$70,5,FALSE)*(AL201/$AN$28)/12,0)*12,IF(C201="3113. Logements",ROUND(VLOOKUP(C201,'Informations générales'!$C$66:$H$70,5,FALSE)*(AL201/$AO$28)/12,0)*12,IF(C201="3114. Logements",ROUND(VLOOKUP(C201,'Informations générales'!$C$66:$H$70,5,FALSE)*(AL201/$AP$28)/12,0)*12,IF(C201="3115. Logements",ROUND(VLOOKUP(C201,'Informations générales'!$C$66:$H$70,5,FALSE)*(AL201/$AQ$28)/12,0)*12,"")))))</f>
        <v/>
      </c>
      <c r="AI201" s="114"/>
      <c r="AJ201" s="114"/>
      <c r="AK201" s="76"/>
      <c r="AL201" s="58">
        <f t="shared" si="43"/>
        <v>0</v>
      </c>
      <c r="AM201" s="58"/>
      <c r="AN201" s="58"/>
      <c r="AO201" s="58"/>
      <c r="AP201" s="58"/>
      <c r="AQ201" s="58"/>
      <c r="AR201" s="58">
        <f t="shared" si="31"/>
        <v>0</v>
      </c>
      <c r="AS201" s="58">
        <f t="shared" si="32"/>
        <v>0</v>
      </c>
      <c r="AT201" s="58">
        <f t="shared" si="33"/>
        <v>0</v>
      </c>
      <c r="AU201" s="58">
        <f t="shared" si="34"/>
        <v>0</v>
      </c>
      <c r="AV201" s="58">
        <f t="shared" si="35"/>
        <v>0</v>
      </c>
      <c r="AW201" s="58">
        <f t="shared" si="36"/>
        <v>0</v>
      </c>
      <c r="AX201" s="58">
        <f t="shared" si="37"/>
        <v>0</v>
      </c>
      <c r="AY201" s="58">
        <f t="shared" si="44"/>
        <v>0</v>
      </c>
      <c r="AZ201" s="62">
        <f t="shared" si="38"/>
        <v>0</v>
      </c>
      <c r="BA201" s="63">
        <f t="shared" si="39"/>
        <v>0</v>
      </c>
      <c r="BB201" s="63">
        <f t="shared" si="40"/>
        <v>0</v>
      </c>
    </row>
    <row r="202" spans="3:54" s="17" customFormat="1" x14ac:dyDescent="0.25">
      <c r="C202" s="215"/>
      <c r="D202" s="216"/>
      <c r="E202" s="88"/>
      <c r="F202" s="217"/>
      <c r="G202" s="234"/>
      <c r="H202" s="218"/>
      <c r="I202" s="76"/>
      <c r="J202" s="77"/>
      <c r="K202" s="76"/>
      <c r="L202" s="78"/>
      <c r="M202" s="78"/>
      <c r="N202" s="76" t="s">
        <v>39</v>
      </c>
      <c r="O202" s="110"/>
      <c r="P202" s="152"/>
      <c r="Q202" s="111" t="str">
        <f>IFERROR(MIN(VLOOKUP(ROUNDDOWN(P202,0),'Aide calcul'!$B$2:$C$282,2,FALSE),O202+1),"")</f>
        <v/>
      </c>
      <c r="R202" s="112" t="str">
        <f t="shared" si="41"/>
        <v/>
      </c>
      <c r="S202" s="152"/>
      <c r="T202" s="152"/>
      <c r="U202" s="152"/>
      <c r="V202" s="152"/>
      <c r="W202" s="152"/>
      <c r="X202" s="152"/>
      <c r="Y202" s="152"/>
      <c r="Z202" s="76"/>
      <c r="AA202" s="76"/>
      <c r="AB202" s="113" t="str">
        <f>IF(C202="3111. Logements",ROUND(VLOOKUP(C202,'Informations générales'!$C$66:$E$70,3,FALSE)*(AL202/$AM$28)/12,0)*12,IF(C202="3112. Logements",ROUND(VLOOKUP(C202,'Informations générales'!$C$66:$E$70,3,FALSE)*(AL202/$AN$28)/12,0)*12,IF(C202="3113. Logements",ROUND(VLOOKUP(C202,'Informations générales'!$C$66:$E$70,3,FALSE)*(AL202/$AO$28)/12,0)*12,IF(C202="3114. Logements",ROUND(VLOOKUP(C202,'Informations générales'!$C$66:$E$70,3,FALSE)*(AL202/$AP$28)/12,0)*12,IF(C202="3115. Logements",ROUND(VLOOKUP(C202,'Informations générales'!$C$66:$E$70,3,FALSE)*(AL202/$AQ$28)/12,0)*12,"")))))</f>
        <v/>
      </c>
      <c r="AC202" s="114"/>
      <c r="AD202" s="113">
        <f t="shared" si="42"/>
        <v>0</v>
      </c>
      <c r="AE202" s="114"/>
      <c r="AF202" s="203" t="str">
        <f>IF(C202="3111. Logements",ROUND(VLOOKUP(C202,'Informations générales'!$C$66:$E$70,3,FALSE)*(AL202/$AM$28)/12,0)*12,IF(C202="3112. Logements",ROUND(VLOOKUP(C202,'Informations générales'!$C$66:$E$70,3,FALSE)*(AL202/$AN$28)/12,0)*12,IF(C202="3113. Logements",ROUND(VLOOKUP(C202,'Informations générales'!$C$66:$E$70,3,FALSE)*(AL202/$AO$28)/12,0)*12,IF(C202="3114. Logements",ROUND(VLOOKUP(C202,'Informations générales'!$C$66:$E$70,3,FALSE)*(AL202/$AP$28)/12,0)*12,IF(C202="3115. Logements",ROUND(VLOOKUP(C202,'Informations générales'!$C$66:$E$70,3,FALSE)*(AL202/$AQ$28)/12,0)*12,"")))))</f>
        <v/>
      </c>
      <c r="AG202" s="202"/>
      <c r="AH202" s="113" t="str">
        <f>IF(C202="3111. Logements",ROUND(VLOOKUP(C202,'Informations générales'!$C$66:$H$70,5,FALSE)*(AL202/$AM$28)/12,0)*12,IF(C202="3112. Logements",ROUND(VLOOKUP(C202,'Informations générales'!$C$66:$H$70,5,FALSE)*(AL202/$AN$28)/12,0)*12,IF(C202="3113. Logements",ROUND(VLOOKUP(C202,'Informations générales'!$C$66:$H$70,5,FALSE)*(AL202/$AO$28)/12,0)*12,IF(C202="3114. Logements",ROUND(VLOOKUP(C202,'Informations générales'!$C$66:$H$70,5,FALSE)*(AL202/$AP$28)/12,0)*12,IF(C202="3115. Logements",ROUND(VLOOKUP(C202,'Informations générales'!$C$66:$H$70,5,FALSE)*(AL202/$AQ$28)/12,0)*12,"")))))</f>
        <v/>
      </c>
      <c r="AI202" s="114"/>
      <c r="AJ202" s="114"/>
      <c r="AK202" s="76"/>
      <c r="AL202" s="58">
        <f t="shared" si="43"/>
        <v>0</v>
      </c>
      <c r="AM202" s="58"/>
      <c r="AN202" s="58"/>
      <c r="AO202" s="58"/>
      <c r="AP202" s="58"/>
      <c r="AQ202" s="58"/>
      <c r="AR202" s="58">
        <f t="shared" si="31"/>
        <v>0</v>
      </c>
      <c r="AS202" s="58">
        <f t="shared" si="32"/>
        <v>0</v>
      </c>
      <c r="AT202" s="58">
        <f t="shared" si="33"/>
        <v>0</v>
      </c>
      <c r="AU202" s="58">
        <f t="shared" si="34"/>
        <v>0</v>
      </c>
      <c r="AV202" s="58">
        <f t="shared" si="35"/>
        <v>0</v>
      </c>
      <c r="AW202" s="58">
        <f t="shared" si="36"/>
        <v>0</v>
      </c>
      <c r="AX202" s="58">
        <f t="shared" si="37"/>
        <v>0</v>
      </c>
      <c r="AY202" s="58">
        <f t="shared" si="44"/>
        <v>0</v>
      </c>
      <c r="AZ202" s="62">
        <f t="shared" si="38"/>
        <v>0</v>
      </c>
      <c r="BA202" s="63">
        <f t="shared" si="39"/>
        <v>0</v>
      </c>
      <c r="BB202" s="63">
        <f t="shared" si="40"/>
        <v>0</v>
      </c>
    </row>
    <row r="203" spans="3:54" s="17" customFormat="1" x14ac:dyDescent="0.25">
      <c r="C203" s="215"/>
      <c r="D203" s="216"/>
      <c r="E203" s="88"/>
      <c r="F203" s="217"/>
      <c r="G203" s="234"/>
      <c r="H203" s="218"/>
      <c r="I203" s="76"/>
      <c r="J203" s="77"/>
      <c r="K203" s="76"/>
      <c r="L203" s="78"/>
      <c r="M203" s="78"/>
      <c r="N203" s="76" t="s">
        <v>39</v>
      </c>
      <c r="O203" s="110"/>
      <c r="P203" s="152"/>
      <c r="Q203" s="111" t="str">
        <f>IFERROR(MIN(VLOOKUP(ROUNDDOWN(P203,0),'Aide calcul'!$B$2:$C$282,2,FALSE),O203+1),"")</f>
        <v/>
      </c>
      <c r="R203" s="112" t="str">
        <f t="shared" si="41"/>
        <v/>
      </c>
      <c r="S203" s="152"/>
      <c r="T203" s="152"/>
      <c r="U203" s="152"/>
      <c r="V203" s="152"/>
      <c r="W203" s="152"/>
      <c r="X203" s="152"/>
      <c r="Y203" s="152"/>
      <c r="Z203" s="76"/>
      <c r="AA203" s="76"/>
      <c r="AB203" s="113" t="str">
        <f>IF(C203="3111. Logements",ROUND(VLOOKUP(C203,'Informations générales'!$C$66:$E$70,3,FALSE)*(AL203/$AM$28)/12,0)*12,IF(C203="3112. Logements",ROUND(VLOOKUP(C203,'Informations générales'!$C$66:$E$70,3,FALSE)*(AL203/$AN$28)/12,0)*12,IF(C203="3113. Logements",ROUND(VLOOKUP(C203,'Informations générales'!$C$66:$E$70,3,FALSE)*(AL203/$AO$28)/12,0)*12,IF(C203="3114. Logements",ROUND(VLOOKUP(C203,'Informations générales'!$C$66:$E$70,3,FALSE)*(AL203/$AP$28)/12,0)*12,IF(C203="3115. Logements",ROUND(VLOOKUP(C203,'Informations générales'!$C$66:$E$70,3,FALSE)*(AL203/$AQ$28)/12,0)*12,"")))))</f>
        <v/>
      </c>
      <c r="AC203" s="114"/>
      <c r="AD203" s="113">
        <f t="shared" si="42"/>
        <v>0</v>
      </c>
      <c r="AE203" s="114"/>
      <c r="AF203" s="203" t="str">
        <f>IF(C203="3111. Logements",ROUND(VLOOKUP(C203,'Informations générales'!$C$66:$E$70,3,FALSE)*(AL203/$AM$28)/12,0)*12,IF(C203="3112. Logements",ROUND(VLOOKUP(C203,'Informations générales'!$C$66:$E$70,3,FALSE)*(AL203/$AN$28)/12,0)*12,IF(C203="3113. Logements",ROUND(VLOOKUP(C203,'Informations générales'!$C$66:$E$70,3,FALSE)*(AL203/$AO$28)/12,0)*12,IF(C203="3114. Logements",ROUND(VLOOKUP(C203,'Informations générales'!$C$66:$E$70,3,FALSE)*(AL203/$AP$28)/12,0)*12,IF(C203="3115. Logements",ROUND(VLOOKUP(C203,'Informations générales'!$C$66:$E$70,3,FALSE)*(AL203/$AQ$28)/12,0)*12,"")))))</f>
        <v/>
      </c>
      <c r="AG203" s="202"/>
      <c r="AH203" s="113" t="str">
        <f>IF(C203="3111. Logements",ROUND(VLOOKUP(C203,'Informations générales'!$C$66:$H$70,5,FALSE)*(AL203/$AM$28)/12,0)*12,IF(C203="3112. Logements",ROUND(VLOOKUP(C203,'Informations générales'!$C$66:$H$70,5,FALSE)*(AL203/$AN$28)/12,0)*12,IF(C203="3113. Logements",ROUND(VLOOKUP(C203,'Informations générales'!$C$66:$H$70,5,FALSE)*(AL203/$AO$28)/12,0)*12,IF(C203="3114. Logements",ROUND(VLOOKUP(C203,'Informations générales'!$C$66:$H$70,5,FALSE)*(AL203/$AP$28)/12,0)*12,IF(C203="3115. Logements",ROUND(VLOOKUP(C203,'Informations générales'!$C$66:$H$70,5,FALSE)*(AL203/$AQ$28)/12,0)*12,"")))))</f>
        <v/>
      </c>
      <c r="AI203" s="114"/>
      <c r="AJ203" s="114"/>
      <c r="AK203" s="76"/>
      <c r="AL203" s="58">
        <f t="shared" si="43"/>
        <v>0</v>
      </c>
      <c r="AM203" s="58"/>
      <c r="AN203" s="58"/>
      <c r="AO203" s="58"/>
      <c r="AP203" s="58"/>
      <c r="AQ203" s="58"/>
      <c r="AR203" s="58">
        <f t="shared" si="31"/>
        <v>0</v>
      </c>
      <c r="AS203" s="58">
        <f t="shared" si="32"/>
        <v>0</v>
      </c>
      <c r="AT203" s="58">
        <f t="shared" si="33"/>
        <v>0</v>
      </c>
      <c r="AU203" s="58">
        <f t="shared" si="34"/>
        <v>0</v>
      </c>
      <c r="AV203" s="58">
        <f t="shared" si="35"/>
        <v>0</v>
      </c>
      <c r="AW203" s="58">
        <f t="shared" si="36"/>
        <v>0</v>
      </c>
      <c r="AX203" s="58">
        <f t="shared" si="37"/>
        <v>0</v>
      </c>
      <c r="AY203" s="58">
        <f t="shared" si="44"/>
        <v>0</v>
      </c>
      <c r="AZ203" s="62">
        <f t="shared" si="38"/>
        <v>0</v>
      </c>
      <c r="BA203" s="63">
        <f t="shared" si="39"/>
        <v>0</v>
      </c>
      <c r="BB203" s="63">
        <f t="shared" si="40"/>
        <v>0</v>
      </c>
    </row>
    <row r="204" spans="3:54" s="17" customFormat="1" x14ac:dyDescent="0.25">
      <c r="C204" s="215"/>
      <c r="D204" s="216"/>
      <c r="E204" s="88"/>
      <c r="F204" s="217"/>
      <c r="G204" s="234"/>
      <c r="H204" s="218"/>
      <c r="I204" s="76"/>
      <c r="J204" s="77"/>
      <c r="K204" s="76"/>
      <c r="L204" s="78"/>
      <c r="M204" s="78"/>
      <c r="N204" s="76" t="s">
        <v>39</v>
      </c>
      <c r="O204" s="110"/>
      <c r="P204" s="152"/>
      <c r="Q204" s="111" t="str">
        <f>IFERROR(MIN(VLOOKUP(ROUNDDOWN(P204,0),'Aide calcul'!$B$2:$C$282,2,FALSE),O204+1),"")</f>
        <v/>
      </c>
      <c r="R204" s="112" t="str">
        <f t="shared" si="41"/>
        <v/>
      </c>
      <c r="S204" s="152"/>
      <c r="T204" s="152"/>
      <c r="U204" s="152"/>
      <c r="V204" s="152"/>
      <c r="W204" s="152"/>
      <c r="X204" s="152"/>
      <c r="Y204" s="152"/>
      <c r="Z204" s="76"/>
      <c r="AA204" s="76"/>
      <c r="AB204" s="113" t="str">
        <f>IF(C204="3111. Logements",ROUND(VLOOKUP(C204,'Informations générales'!$C$66:$E$70,3,FALSE)*(AL204/$AM$28)/12,0)*12,IF(C204="3112. Logements",ROUND(VLOOKUP(C204,'Informations générales'!$C$66:$E$70,3,FALSE)*(AL204/$AN$28)/12,0)*12,IF(C204="3113. Logements",ROUND(VLOOKUP(C204,'Informations générales'!$C$66:$E$70,3,FALSE)*(AL204/$AO$28)/12,0)*12,IF(C204="3114. Logements",ROUND(VLOOKUP(C204,'Informations générales'!$C$66:$E$70,3,FALSE)*(AL204/$AP$28)/12,0)*12,IF(C204="3115. Logements",ROUND(VLOOKUP(C204,'Informations générales'!$C$66:$E$70,3,FALSE)*(AL204/$AQ$28)/12,0)*12,"")))))</f>
        <v/>
      </c>
      <c r="AC204" s="114"/>
      <c r="AD204" s="113">
        <f t="shared" si="42"/>
        <v>0</v>
      </c>
      <c r="AE204" s="114"/>
      <c r="AF204" s="203" t="str">
        <f>IF(C204="3111. Logements",ROUND(VLOOKUP(C204,'Informations générales'!$C$66:$E$70,3,FALSE)*(AL204/$AM$28)/12,0)*12,IF(C204="3112. Logements",ROUND(VLOOKUP(C204,'Informations générales'!$C$66:$E$70,3,FALSE)*(AL204/$AN$28)/12,0)*12,IF(C204="3113. Logements",ROUND(VLOOKUP(C204,'Informations générales'!$C$66:$E$70,3,FALSE)*(AL204/$AO$28)/12,0)*12,IF(C204="3114. Logements",ROUND(VLOOKUP(C204,'Informations générales'!$C$66:$E$70,3,FALSE)*(AL204/$AP$28)/12,0)*12,IF(C204="3115. Logements",ROUND(VLOOKUP(C204,'Informations générales'!$C$66:$E$70,3,FALSE)*(AL204/$AQ$28)/12,0)*12,"")))))</f>
        <v/>
      </c>
      <c r="AG204" s="202"/>
      <c r="AH204" s="113" t="str">
        <f>IF(C204="3111. Logements",ROUND(VLOOKUP(C204,'Informations générales'!$C$66:$H$70,5,FALSE)*(AL204/$AM$28)/12,0)*12,IF(C204="3112. Logements",ROUND(VLOOKUP(C204,'Informations générales'!$C$66:$H$70,5,FALSE)*(AL204/$AN$28)/12,0)*12,IF(C204="3113. Logements",ROUND(VLOOKUP(C204,'Informations générales'!$C$66:$H$70,5,FALSE)*(AL204/$AO$28)/12,0)*12,IF(C204="3114. Logements",ROUND(VLOOKUP(C204,'Informations générales'!$C$66:$H$70,5,FALSE)*(AL204/$AP$28)/12,0)*12,IF(C204="3115. Logements",ROUND(VLOOKUP(C204,'Informations générales'!$C$66:$H$70,5,FALSE)*(AL204/$AQ$28)/12,0)*12,"")))))</f>
        <v/>
      </c>
      <c r="AI204" s="114"/>
      <c r="AJ204" s="114"/>
      <c r="AK204" s="76"/>
      <c r="AL204" s="58">
        <f t="shared" si="43"/>
        <v>0</v>
      </c>
      <c r="AM204" s="58"/>
      <c r="AN204" s="58"/>
      <c r="AO204" s="58"/>
      <c r="AP204" s="58"/>
      <c r="AQ204" s="58"/>
      <c r="AR204" s="58">
        <f t="shared" si="31"/>
        <v>0</v>
      </c>
      <c r="AS204" s="58">
        <f t="shared" si="32"/>
        <v>0</v>
      </c>
      <c r="AT204" s="58">
        <f t="shared" si="33"/>
        <v>0</v>
      </c>
      <c r="AU204" s="58">
        <f t="shared" si="34"/>
        <v>0</v>
      </c>
      <c r="AV204" s="58">
        <f t="shared" si="35"/>
        <v>0</v>
      </c>
      <c r="AW204" s="58">
        <f t="shared" si="36"/>
        <v>0</v>
      </c>
      <c r="AX204" s="58">
        <f t="shared" si="37"/>
        <v>0</v>
      </c>
      <c r="AY204" s="58">
        <f t="shared" si="44"/>
        <v>0</v>
      </c>
      <c r="AZ204" s="62">
        <f t="shared" si="38"/>
        <v>0</v>
      </c>
      <c r="BA204" s="63">
        <f t="shared" si="39"/>
        <v>0</v>
      </c>
      <c r="BB204" s="63">
        <f t="shared" si="40"/>
        <v>0</v>
      </c>
    </row>
    <row r="205" spans="3:54" s="17" customFormat="1" x14ac:dyDescent="0.25">
      <c r="C205" s="215"/>
      <c r="D205" s="216"/>
      <c r="E205" s="88"/>
      <c r="F205" s="217"/>
      <c r="G205" s="234"/>
      <c r="H205" s="218"/>
      <c r="I205" s="76"/>
      <c r="J205" s="77"/>
      <c r="K205" s="76"/>
      <c r="L205" s="78"/>
      <c r="M205" s="78"/>
      <c r="N205" s="76" t="s">
        <v>39</v>
      </c>
      <c r="O205" s="110"/>
      <c r="P205" s="152"/>
      <c r="Q205" s="111" t="str">
        <f>IFERROR(MIN(VLOOKUP(ROUNDDOWN(P205,0),'Aide calcul'!$B$2:$C$282,2,FALSE),O205+1),"")</f>
        <v/>
      </c>
      <c r="R205" s="112" t="str">
        <f t="shared" si="41"/>
        <v/>
      </c>
      <c r="S205" s="152"/>
      <c r="T205" s="152"/>
      <c r="U205" s="152"/>
      <c r="V205" s="152"/>
      <c r="W205" s="152"/>
      <c r="X205" s="152"/>
      <c r="Y205" s="152"/>
      <c r="Z205" s="76"/>
      <c r="AA205" s="76"/>
      <c r="AB205" s="113" t="str">
        <f>IF(C205="3111. Logements",ROUND(VLOOKUP(C205,'Informations générales'!$C$66:$E$70,3,FALSE)*(AL205/$AM$28)/12,0)*12,IF(C205="3112. Logements",ROUND(VLOOKUP(C205,'Informations générales'!$C$66:$E$70,3,FALSE)*(AL205/$AN$28)/12,0)*12,IF(C205="3113. Logements",ROUND(VLOOKUP(C205,'Informations générales'!$C$66:$E$70,3,FALSE)*(AL205/$AO$28)/12,0)*12,IF(C205="3114. Logements",ROUND(VLOOKUP(C205,'Informations générales'!$C$66:$E$70,3,FALSE)*(AL205/$AP$28)/12,0)*12,IF(C205="3115. Logements",ROUND(VLOOKUP(C205,'Informations générales'!$C$66:$E$70,3,FALSE)*(AL205/$AQ$28)/12,0)*12,"")))))</f>
        <v/>
      </c>
      <c r="AC205" s="114"/>
      <c r="AD205" s="113">
        <f t="shared" si="42"/>
        <v>0</v>
      </c>
      <c r="AE205" s="114"/>
      <c r="AF205" s="203" t="str">
        <f>IF(C205="3111. Logements",ROUND(VLOOKUP(C205,'Informations générales'!$C$66:$E$70,3,FALSE)*(AL205/$AM$28)/12,0)*12,IF(C205="3112. Logements",ROUND(VLOOKUP(C205,'Informations générales'!$C$66:$E$70,3,FALSE)*(AL205/$AN$28)/12,0)*12,IF(C205="3113. Logements",ROUND(VLOOKUP(C205,'Informations générales'!$C$66:$E$70,3,FALSE)*(AL205/$AO$28)/12,0)*12,IF(C205="3114. Logements",ROUND(VLOOKUP(C205,'Informations générales'!$C$66:$E$70,3,FALSE)*(AL205/$AP$28)/12,0)*12,IF(C205="3115. Logements",ROUND(VLOOKUP(C205,'Informations générales'!$C$66:$E$70,3,FALSE)*(AL205/$AQ$28)/12,0)*12,"")))))</f>
        <v/>
      </c>
      <c r="AG205" s="202"/>
      <c r="AH205" s="113" t="str">
        <f>IF(C205="3111. Logements",ROUND(VLOOKUP(C205,'Informations générales'!$C$66:$H$70,5,FALSE)*(AL205/$AM$28)/12,0)*12,IF(C205="3112. Logements",ROUND(VLOOKUP(C205,'Informations générales'!$C$66:$H$70,5,FALSE)*(AL205/$AN$28)/12,0)*12,IF(C205="3113. Logements",ROUND(VLOOKUP(C205,'Informations générales'!$C$66:$H$70,5,FALSE)*(AL205/$AO$28)/12,0)*12,IF(C205="3114. Logements",ROUND(VLOOKUP(C205,'Informations générales'!$C$66:$H$70,5,FALSE)*(AL205/$AP$28)/12,0)*12,IF(C205="3115. Logements",ROUND(VLOOKUP(C205,'Informations générales'!$C$66:$H$70,5,FALSE)*(AL205/$AQ$28)/12,0)*12,"")))))</f>
        <v/>
      </c>
      <c r="AI205" s="114"/>
      <c r="AJ205" s="114"/>
      <c r="AK205" s="76"/>
      <c r="AL205" s="58">
        <f t="shared" si="43"/>
        <v>0</v>
      </c>
      <c r="AM205" s="58"/>
      <c r="AN205" s="58"/>
      <c r="AO205" s="58"/>
      <c r="AP205" s="58"/>
      <c r="AQ205" s="58"/>
      <c r="AR205" s="58">
        <f t="shared" si="31"/>
        <v>0</v>
      </c>
      <c r="AS205" s="58">
        <f t="shared" si="32"/>
        <v>0</v>
      </c>
      <c r="AT205" s="58">
        <f t="shared" si="33"/>
        <v>0</v>
      </c>
      <c r="AU205" s="58">
        <f t="shared" si="34"/>
        <v>0</v>
      </c>
      <c r="AV205" s="58">
        <f t="shared" si="35"/>
        <v>0</v>
      </c>
      <c r="AW205" s="58">
        <f t="shared" si="36"/>
        <v>0</v>
      </c>
      <c r="AX205" s="58">
        <f t="shared" si="37"/>
        <v>0</v>
      </c>
      <c r="AY205" s="58">
        <f t="shared" si="44"/>
        <v>0</v>
      </c>
      <c r="AZ205" s="62">
        <f t="shared" si="38"/>
        <v>0</v>
      </c>
      <c r="BA205" s="63">
        <f t="shared" si="39"/>
        <v>0</v>
      </c>
      <c r="BB205" s="63">
        <f t="shared" si="40"/>
        <v>0</v>
      </c>
    </row>
    <row r="206" spans="3:54" s="17" customFormat="1" x14ac:dyDescent="0.25">
      <c r="C206" s="215"/>
      <c r="D206" s="216"/>
      <c r="E206" s="88"/>
      <c r="F206" s="217"/>
      <c r="G206" s="234"/>
      <c r="H206" s="218"/>
      <c r="I206" s="76"/>
      <c r="J206" s="77"/>
      <c r="K206" s="76"/>
      <c r="L206" s="78"/>
      <c r="M206" s="78"/>
      <c r="N206" s="76" t="s">
        <v>39</v>
      </c>
      <c r="O206" s="110"/>
      <c r="P206" s="152"/>
      <c r="Q206" s="111" t="str">
        <f>IFERROR(MIN(VLOOKUP(ROUNDDOWN(P206,0),'Aide calcul'!$B$2:$C$282,2,FALSE),O206+1),"")</f>
        <v/>
      </c>
      <c r="R206" s="112" t="str">
        <f t="shared" si="41"/>
        <v/>
      </c>
      <c r="S206" s="152"/>
      <c r="T206" s="152"/>
      <c r="U206" s="152"/>
      <c r="V206" s="152"/>
      <c r="W206" s="152"/>
      <c r="X206" s="152"/>
      <c r="Y206" s="152"/>
      <c r="Z206" s="76"/>
      <c r="AA206" s="76"/>
      <c r="AB206" s="113" t="str">
        <f>IF(C206="3111. Logements",ROUND(VLOOKUP(C206,'Informations générales'!$C$66:$E$70,3,FALSE)*(AL206/$AM$28)/12,0)*12,IF(C206="3112. Logements",ROUND(VLOOKUP(C206,'Informations générales'!$C$66:$E$70,3,FALSE)*(AL206/$AN$28)/12,0)*12,IF(C206="3113. Logements",ROUND(VLOOKUP(C206,'Informations générales'!$C$66:$E$70,3,FALSE)*(AL206/$AO$28)/12,0)*12,IF(C206="3114. Logements",ROUND(VLOOKUP(C206,'Informations générales'!$C$66:$E$70,3,FALSE)*(AL206/$AP$28)/12,0)*12,IF(C206="3115. Logements",ROUND(VLOOKUP(C206,'Informations générales'!$C$66:$E$70,3,FALSE)*(AL206/$AQ$28)/12,0)*12,"")))))</f>
        <v/>
      </c>
      <c r="AC206" s="114"/>
      <c r="AD206" s="113">
        <f t="shared" si="42"/>
        <v>0</v>
      </c>
      <c r="AE206" s="114"/>
      <c r="AF206" s="203" t="str">
        <f>IF(C206="3111. Logements",ROUND(VLOOKUP(C206,'Informations générales'!$C$66:$E$70,3,FALSE)*(AL206/$AM$28)/12,0)*12,IF(C206="3112. Logements",ROUND(VLOOKUP(C206,'Informations générales'!$C$66:$E$70,3,FALSE)*(AL206/$AN$28)/12,0)*12,IF(C206="3113. Logements",ROUND(VLOOKUP(C206,'Informations générales'!$C$66:$E$70,3,FALSE)*(AL206/$AO$28)/12,0)*12,IF(C206="3114. Logements",ROUND(VLOOKUP(C206,'Informations générales'!$C$66:$E$70,3,FALSE)*(AL206/$AP$28)/12,0)*12,IF(C206="3115. Logements",ROUND(VLOOKUP(C206,'Informations générales'!$C$66:$E$70,3,FALSE)*(AL206/$AQ$28)/12,0)*12,"")))))</f>
        <v/>
      </c>
      <c r="AG206" s="202"/>
      <c r="AH206" s="113" t="str">
        <f>IF(C206="3111. Logements",ROUND(VLOOKUP(C206,'Informations générales'!$C$66:$H$70,5,FALSE)*(AL206/$AM$28)/12,0)*12,IF(C206="3112. Logements",ROUND(VLOOKUP(C206,'Informations générales'!$C$66:$H$70,5,FALSE)*(AL206/$AN$28)/12,0)*12,IF(C206="3113. Logements",ROUND(VLOOKUP(C206,'Informations générales'!$C$66:$H$70,5,FALSE)*(AL206/$AO$28)/12,0)*12,IF(C206="3114. Logements",ROUND(VLOOKUP(C206,'Informations générales'!$C$66:$H$70,5,FALSE)*(AL206/$AP$28)/12,0)*12,IF(C206="3115. Logements",ROUND(VLOOKUP(C206,'Informations générales'!$C$66:$H$70,5,FALSE)*(AL206/$AQ$28)/12,0)*12,"")))))</f>
        <v/>
      </c>
      <c r="AI206" s="114"/>
      <c r="AJ206" s="114"/>
      <c r="AK206" s="76"/>
      <c r="AL206" s="58">
        <f t="shared" si="43"/>
        <v>0</v>
      </c>
      <c r="AM206" s="58"/>
      <c r="AN206" s="58"/>
      <c r="AO206" s="58"/>
      <c r="AP206" s="58"/>
      <c r="AQ206" s="58"/>
      <c r="AR206" s="58">
        <f t="shared" si="31"/>
        <v>0</v>
      </c>
      <c r="AS206" s="58">
        <f t="shared" si="32"/>
        <v>0</v>
      </c>
      <c r="AT206" s="58">
        <f t="shared" si="33"/>
        <v>0</v>
      </c>
      <c r="AU206" s="58">
        <f t="shared" si="34"/>
        <v>0</v>
      </c>
      <c r="AV206" s="58">
        <f t="shared" si="35"/>
        <v>0</v>
      </c>
      <c r="AW206" s="58">
        <f t="shared" si="36"/>
        <v>0</v>
      </c>
      <c r="AX206" s="58">
        <f t="shared" si="37"/>
        <v>0</v>
      </c>
      <c r="AY206" s="58">
        <f t="shared" si="44"/>
        <v>0</v>
      </c>
      <c r="AZ206" s="62">
        <f t="shared" si="38"/>
        <v>0</v>
      </c>
      <c r="BA206" s="63">
        <f t="shared" si="39"/>
        <v>0</v>
      </c>
      <c r="BB206" s="63">
        <f t="shared" si="40"/>
        <v>0</v>
      </c>
    </row>
    <row r="207" spans="3:54" s="17" customFormat="1" x14ac:dyDescent="0.25">
      <c r="C207" s="215"/>
      <c r="D207" s="216"/>
      <c r="E207" s="88"/>
      <c r="F207" s="217"/>
      <c r="G207" s="234"/>
      <c r="H207" s="218"/>
      <c r="I207" s="76"/>
      <c r="J207" s="77"/>
      <c r="K207" s="76"/>
      <c r="L207" s="78"/>
      <c r="M207" s="78"/>
      <c r="N207" s="76" t="s">
        <v>39</v>
      </c>
      <c r="O207" s="110"/>
      <c r="P207" s="152"/>
      <c r="Q207" s="111" t="str">
        <f>IFERROR(MIN(VLOOKUP(ROUNDDOWN(P207,0),'Aide calcul'!$B$2:$C$282,2,FALSE),O207+1),"")</f>
        <v/>
      </c>
      <c r="R207" s="112" t="str">
        <f t="shared" si="41"/>
        <v/>
      </c>
      <c r="S207" s="152"/>
      <c r="T207" s="152"/>
      <c r="U207" s="152"/>
      <c r="V207" s="152"/>
      <c r="W207" s="152"/>
      <c r="X207" s="152"/>
      <c r="Y207" s="152"/>
      <c r="Z207" s="76"/>
      <c r="AA207" s="76"/>
      <c r="AB207" s="113" t="str">
        <f>IF(C207="3111. Logements",ROUND(VLOOKUP(C207,'Informations générales'!$C$66:$E$70,3,FALSE)*(AL207/$AM$28)/12,0)*12,IF(C207="3112. Logements",ROUND(VLOOKUP(C207,'Informations générales'!$C$66:$E$70,3,FALSE)*(AL207/$AN$28)/12,0)*12,IF(C207="3113. Logements",ROUND(VLOOKUP(C207,'Informations générales'!$C$66:$E$70,3,FALSE)*(AL207/$AO$28)/12,0)*12,IF(C207="3114. Logements",ROUND(VLOOKUP(C207,'Informations générales'!$C$66:$E$70,3,FALSE)*(AL207/$AP$28)/12,0)*12,IF(C207="3115. Logements",ROUND(VLOOKUP(C207,'Informations générales'!$C$66:$E$70,3,FALSE)*(AL207/$AQ$28)/12,0)*12,"")))))</f>
        <v/>
      </c>
      <c r="AC207" s="114"/>
      <c r="AD207" s="113">
        <f t="shared" si="42"/>
        <v>0</v>
      </c>
      <c r="AE207" s="114"/>
      <c r="AF207" s="203" t="str">
        <f>IF(C207="3111. Logements",ROUND(VLOOKUP(C207,'Informations générales'!$C$66:$E$70,3,FALSE)*(AL207/$AM$28)/12,0)*12,IF(C207="3112. Logements",ROUND(VLOOKUP(C207,'Informations générales'!$C$66:$E$70,3,FALSE)*(AL207/$AN$28)/12,0)*12,IF(C207="3113. Logements",ROUND(VLOOKUP(C207,'Informations générales'!$C$66:$E$70,3,FALSE)*(AL207/$AO$28)/12,0)*12,IF(C207="3114. Logements",ROUND(VLOOKUP(C207,'Informations générales'!$C$66:$E$70,3,FALSE)*(AL207/$AP$28)/12,0)*12,IF(C207="3115. Logements",ROUND(VLOOKUP(C207,'Informations générales'!$C$66:$E$70,3,FALSE)*(AL207/$AQ$28)/12,0)*12,"")))))</f>
        <v/>
      </c>
      <c r="AG207" s="202"/>
      <c r="AH207" s="113" t="str">
        <f>IF(C207="3111. Logements",ROUND(VLOOKUP(C207,'Informations générales'!$C$66:$H$70,5,FALSE)*(AL207/$AM$28)/12,0)*12,IF(C207="3112. Logements",ROUND(VLOOKUP(C207,'Informations générales'!$C$66:$H$70,5,FALSE)*(AL207/$AN$28)/12,0)*12,IF(C207="3113. Logements",ROUND(VLOOKUP(C207,'Informations générales'!$C$66:$H$70,5,FALSE)*(AL207/$AO$28)/12,0)*12,IF(C207="3114. Logements",ROUND(VLOOKUP(C207,'Informations générales'!$C$66:$H$70,5,FALSE)*(AL207/$AP$28)/12,0)*12,IF(C207="3115. Logements",ROUND(VLOOKUP(C207,'Informations générales'!$C$66:$H$70,5,FALSE)*(AL207/$AQ$28)/12,0)*12,"")))))</f>
        <v/>
      </c>
      <c r="AI207" s="114"/>
      <c r="AJ207" s="114"/>
      <c r="AK207" s="76"/>
      <c r="AL207" s="58">
        <f t="shared" si="43"/>
        <v>0</v>
      </c>
      <c r="AM207" s="58"/>
      <c r="AN207" s="58"/>
      <c r="AO207" s="58"/>
      <c r="AP207" s="58"/>
      <c r="AQ207" s="58"/>
      <c r="AR207" s="58">
        <f t="shared" si="31"/>
        <v>0</v>
      </c>
      <c r="AS207" s="58">
        <f t="shared" si="32"/>
        <v>0</v>
      </c>
      <c r="AT207" s="58">
        <f t="shared" si="33"/>
        <v>0</v>
      </c>
      <c r="AU207" s="58">
        <f t="shared" si="34"/>
        <v>0</v>
      </c>
      <c r="AV207" s="58">
        <f t="shared" si="35"/>
        <v>0</v>
      </c>
      <c r="AW207" s="58">
        <f t="shared" si="36"/>
        <v>0</v>
      </c>
      <c r="AX207" s="58">
        <f t="shared" si="37"/>
        <v>0</v>
      </c>
      <c r="AY207" s="58">
        <f t="shared" si="44"/>
        <v>0</v>
      </c>
      <c r="AZ207" s="62">
        <f t="shared" si="38"/>
        <v>0</v>
      </c>
      <c r="BA207" s="63">
        <f t="shared" si="39"/>
        <v>0</v>
      </c>
      <c r="BB207" s="63">
        <f t="shared" si="40"/>
        <v>0</v>
      </c>
    </row>
    <row r="208" spans="3:54" s="17" customFormat="1" x14ac:dyDescent="0.25">
      <c r="C208" s="215"/>
      <c r="D208" s="216"/>
      <c r="E208" s="88"/>
      <c r="F208" s="217"/>
      <c r="G208" s="234"/>
      <c r="H208" s="218"/>
      <c r="I208" s="76"/>
      <c r="J208" s="77"/>
      <c r="K208" s="76"/>
      <c r="L208" s="78"/>
      <c r="M208" s="78"/>
      <c r="N208" s="76" t="s">
        <v>39</v>
      </c>
      <c r="O208" s="110"/>
      <c r="P208" s="152"/>
      <c r="Q208" s="111" t="str">
        <f>IFERROR(MIN(VLOOKUP(ROUNDDOWN(P208,0),'Aide calcul'!$B$2:$C$282,2,FALSE),O208+1),"")</f>
        <v/>
      </c>
      <c r="R208" s="112" t="str">
        <f t="shared" si="41"/>
        <v/>
      </c>
      <c r="S208" s="152"/>
      <c r="T208" s="152"/>
      <c r="U208" s="152"/>
      <c r="V208" s="152"/>
      <c r="W208" s="152"/>
      <c r="X208" s="152"/>
      <c r="Y208" s="152"/>
      <c r="Z208" s="76"/>
      <c r="AA208" s="76"/>
      <c r="AB208" s="113" t="str">
        <f>IF(C208="3111. Logements",ROUND(VLOOKUP(C208,'Informations générales'!$C$66:$E$70,3,FALSE)*(AL208/$AM$28)/12,0)*12,IF(C208="3112. Logements",ROUND(VLOOKUP(C208,'Informations générales'!$C$66:$E$70,3,FALSE)*(AL208/$AN$28)/12,0)*12,IF(C208="3113. Logements",ROUND(VLOOKUP(C208,'Informations générales'!$C$66:$E$70,3,FALSE)*(AL208/$AO$28)/12,0)*12,IF(C208="3114. Logements",ROUND(VLOOKUP(C208,'Informations générales'!$C$66:$E$70,3,FALSE)*(AL208/$AP$28)/12,0)*12,IF(C208="3115. Logements",ROUND(VLOOKUP(C208,'Informations générales'!$C$66:$E$70,3,FALSE)*(AL208/$AQ$28)/12,0)*12,"")))))</f>
        <v/>
      </c>
      <c r="AC208" s="114"/>
      <c r="AD208" s="113">
        <f t="shared" si="42"/>
        <v>0</v>
      </c>
      <c r="AE208" s="114"/>
      <c r="AF208" s="203" t="str">
        <f>IF(C208="3111. Logements",ROUND(VLOOKUP(C208,'Informations générales'!$C$66:$E$70,3,FALSE)*(AL208/$AM$28)/12,0)*12,IF(C208="3112. Logements",ROUND(VLOOKUP(C208,'Informations générales'!$C$66:$E$70,3,FALSE)*(AL208/$AN$28)/12,0)*12,IF(C208="3113. Logements",ROUND(VLOOKUP(C208,'Informations générales'!$C$66:$E$70,3,FALSE)*(AL208/$AO$28)/12,0)*12,IF(C208="3114. Logements",ROUND(VLOOKUP(C208,'Informations générales'!$C$66:$E$70,3,FALSE)*(AL208/$AP$28)/12,0)*12,IF(C208="3115. Logements",ROUND(VLOOKUP(C208,'Informations générales'!$C$66:$E$70,3,FALSE)*(AL208/$AQ$28)/12,0)*12,"")))))</f>
        <v/>
      </c>
      <c r="AG208" s="202"/>
      <c r="AH208" s="113" t="str">
        <f>IF(C208="3111. Logements",ROUND(VLOOKUP(C208,'Informations générales'!$C$66:$H$70,5,FALSE)*(AL208/$AM$28)/12,0)*12,IF(C208="3112. Logements",ROUND(VLOOKUP(C208,'Informations générales'!$C$66:$H$70,5,FALSE)*(AL208/$AN$28)/12,0)*12,IF(C208="3113. Logements",ROUND(VLOOKUP(C208,'Informations générales'!$C$66:$H$70,5,FALSE)*(AL208/$AO$28)/12,0)*12,IF(C208="3114. Logements",ROUND(VLOOKUP(C208,'Informations générales'!$C$66:$H$70,5,FALSE)*(AL208/$AP$28)/12,0)*12,IF(C208="3115. Logements",ROUND(VLOOKUP(C208,'Informations générales'!$C$66:$H$70,5,FALSE)*(AL208/$AQ$28)/12,0)*12,"")))))</f>
        <v/>
      </c>
      <c r="AI208" s="114"/>
      <c r="AJ208" s="114"/>
      <c r="AK208" s="76"/>
      <c r="AL208" s="58">
        <f t="shared" si="43"/>
        <v>0</v>
      </c>
      <c r="AM208" s="58"/>
      <c r="AN208" s="58"/>
      <c r="AO208" s="58"/>
      <c r="AP208" s="58"/>
      <c r="AQ208" s="58"/>
      <c r="AR208" s="58">
        <f t="shared" si="31"/>
        <v>0</v>
      </c>
      <c r="AS208" s="58">
        <f t="shared" si="32"/>
        <v>0</v>
      </c>
      <c r="AT208" s="58">
        <f t="shared" si="33"/>
        <v>0</v>
      </c>
      <c r="AU208" s="58">
        <f t="shared" si="34"/>
        <v>0</v>
      </c>
      <c r="AV208" s="58">
        <f t="shared" si="35"/>
        <v>0</v>
      </c>
      <c r="AW208" s="58">
        <f t="shared" si="36"/>
        <v>0</v>
      </c>
      <c r="AX208" s="58">
        <f t="shared" si="37"/>
        <v>0</v>
      </c>
      <c r="AY208" s="58">
        <f t="shared" si="44"/>
        <v>0</v>
      </c>
      <c r="AZ208" s="62">
        <f t="shared" si="38"/>
        <v>0</v>
      </c>
      <c r="BA208" s="63">
        <f t="shared" si="39"/>
        <v>0</v>
      </c>
      <c r="BB208" s="63">
        <f t="shared" si="40"/>
        <v>0</v>
      </c>
    </row>
    <row r="209" spans="3:54" s="17" customFormat="1" x14ac:dyDescent="0.25">
      <c r="C209" s="215"/>
      <c r="D209" s="216"/>
      <c r="E209" s="88"/>
      <c r="F209" s="217"/>
      <c r="G209" s="234"/>
      <c r="H209" s="218"/>
      <c r="I209" s="76"/>
      <c r="J209" s="77"/>
      <c r="K209" s="76"/>
      <c r="L209" s="78"/>
      <c r="M209" s="78"/>
      <c r="N209" s="76" t="s">
        <v>39</v>
      </c>
      <c r="O209" s="110"/>
      <c r="P209" s="152"/>
      <c r="Q209" s="111" t="str">
        <f>IFERROR(MIN(VLOOKUP(ROUNDDOWN(P209,0),'Aide calcul'!$B$2:$C$282,2,FALSE),O209+1),"")</f>
        <v/>
      </c>
      <c r="R209" s="112" t="str">
        <f t="shared" si="41"/>
        <v/>
      </c>
      <c r="S209" s="152"/>
      <c r="T209" s="152"/>
      <c r="U209" s="152"/>
      <c r="V209" s="152"/>
      <c r="W209" s="152"/>
      <c r="X209" s="152"/>
      <c r="Y209" s="152"/>
      <c r="Z209" s="76"/>
      <c r="AA209" s="76"/>
      <c r="AB209" s="113" t="str">
        <f>IF(C209="3111. Logements",ROUND(VLOOKUP(C209,'Informations générales'!$C$66:$E$70,3,FALSE)*(AL209/$AM$28)/12,0)*12,IF(C209="3112. Logements",ROUND(VLOOKUP(C209,'Informations générales'!$C$66:$E$70,3,FALSE)*(AL209/$AN$28)/12,0)*12,IF(C209="3113. Logements",ROUND(VLOOKUP(C209,'Informations générales'!$C$66:$E$70,3,FALSE)*(AL209/$AO$28)/12,0)*12,IF(C209="3114. Logements",ROUND(VLOOKUP(C209,'Informations générales'!$C$66:$E$70,3,FALSE)*(AL209/$AP$28)/12,0)*12,IF(C209="3115. Logements",ROUND(VLOOKUP(C209,'Informations générales'!$C$66:$E$70,3,FALSE)*(AL209/$AQ$28)/12,0)*12,"")))))</f>
        <v/>
      </c>
      <c r="AC209" s="114"/>
      <c r="AD209" s="113">
        <f t="shared" si="42"/>
        <v>0</v>
      </c>
      <c r="AE209" s="114"/>
      <c r="AF209" s="203" t="str">
        <f>IF(C209="3111. Logements",ROUND(VLOOKUP(C209,'Informations générales'!$C$66:$E$70,3,FALSE)*(AL209/$AM$28)/12,0)*12,IF(C209="3112. Logements",ROUND(VLOOKUP(C209,'Informations générales'!$C$66:$E$70,3,FALSE)*(AL209/$AN$28)/12,0)*12,IF(C209="3113. Logements",ROUND(VLOOKUP(C209,'Informations générales'!$C$66:$E$70,3,FALSE)*(AL209/$AO$28)/12,0)*12,IF(C209="3114. Logements",ROUND(VLOOKUP(C209,'Informations générales'!$C$66:$E$70,3,FALSE)*(AL209/$AP$28)/12,0)*12,IF(C209="3115. Logements",ROUND(VLOOKUP(C209,'Informations générales'!$C$66:$E$70,3,FALSE)*(AL209/$AQ$28)/12,0)*12,"")))))</f>
        <v/>
      </c>
      <c r="AG209" s="202"/>
      <c r="AH209" s="113" t="str">
        <f>IF(C209="3111. Logements",ROUND(VLOOKUP(C209,'Informations générales'!$C$66:$H$70,5,FALSE)*(AL209/$AM$28)/12,0)*12,IF(C209="3112. Logements",ROUND(VLOOKUP(C209,'Informations générales'!$C$66:$H$70,5,FALSE)*(AL209/$AN$28)/12,0)*12,IF(C209="3113. Logements",ROUND(VLOOKUP(C209,'Informations générales'!$C$66:$H$70,5,FALSE)*(AL209/$AO$28)/12,0)*12,IF(C209="3114. Logements",ROUND(VLOOKUP(C209,'Informations générales'!$C$66:$H$70,5,FALSE)*(AL209/$AP$28)/12,0)*12,IF(C209="3115. Logements",ROUND(VLOOKUP(C209,'Informations générales'!$C$66:$H$70,5,FALSE)*(AL209/$AQ$28)/12,0)*12,"")))))</f>
        <v/>
      </c>
      <c r="AI209" s="114"/>
      <c r="AJ209" s="114"/>
      <c r="AK209" s="76"/>
      <c r="AL209" s="58">
        <f t="shared" si="43"/>
        <v>0</v>
      </c>
      <c r="AM209" s="58"/>
      <c r="AN209" s="58"/>
      <c r="AO209" s="58"/>
      <c r="AP209" s="58"/>
      <c r="AQ209" s="58"/>
      <c r="AR209" s="58">
        <f t="shared" si="31"/>
        <v>0</v>
      </c>
      <c r="AS209" s="58">
        <f t="shared" si="32"/>
        <v>0</v>
      </c>
      <c r="AT209" s="58">
        <f t="shared" si="33"/>
        <v>0</v>
      </c>
      <c r="AU209" s="58">
        <f t="shared" si="34"/>
        <v>0</v>
      </c>
      <c r="AV209" s="58">
        <f t="shared" si="35"/>
        <v>0</v>
      </c>
      <c r="AW209" s="58">
        <f t="shared" si="36"/>
        <v>0</v>
      </c>
      <c r="AX209" s="58">
        <f t="shared" si="37"/>
        <v>0</v>
      </c>
      <c r="AY209" s="58">
        <f t="shared" si="44"/>
        <v>0</v>
      </c>
      <c r="AZ209" s="62">
        <f t="shared" si="38"/>
        <v>0</v>
      </c>
      <c r="BA209" s="63">
        <f t="shared" si="39"/>
        <v>0</v>
      </c>
      <c r="BB209" s="63">
        <f t="shared" si="40"/>
        <v>0</v>
      </c>
    </row>
    <row r="210" spans="3:54" s="17" customFormat="1" x14ac:dyDescent="0.25">
      <c r="C210" s="215"/>
      <c r="D210" s="216"/>
      <c r="E210" s="88"/>
      <c r="F210" s="217"/>
      <c r="G210" s="234"/>
      <c r="H210" s="218"/>
      <c r="I210" s="76"/>
      <c r="J210" s="77"/>
      <c r="K210" s="76"/>
      <c r="L210" s="78"/>
      <c r="M210" s="78"/>
      <c r="N210" s="76" t="s">
        <v>39</v>
      </c>
      <c r="O210" s="110"/>
      <c r="P210" s="152"/>
      <c r="Q210" s="111" t="str">
        <f>IFERROR(MIN(VLOOKUP(ROUNDDOWN(P210,0),'Aide calcul'!$B$2:$C$282,2,FALSE),O210+1),"")</f>
        <v/>
      </c>
      <c r="R210" s="112" t="str">
        <f t="shared" si="41"/>
        <v/>
      </c>
      <c r="S210" s="152"/>
      <c r="T210" s="152"/>
      <c r="U210" s="152"/>
      <c r="V210" s="152"/>
      <c r="W210" s="152"/>
      <c r="X210" s="152"/>
      <c r="Y210" s="152"/>
      <c r="Z210" s="76"/>
      <c r="AA210" s="76"/>
      <c r="AB210" s="113" t="str">
        <f>IF(C210="3111. Logements",ROUND(VLOOKUP(C210,'Informations générales'!$C$66:$E$70,3,FALSE)*(AL210/$AM$28)/12,0)*12,IF(C210="3112. Logements",ROUND(VLOOKUP(C210,'Informations générales'!$C$66:$E$70,3,FALSE)*(AL210/$AN$28)/12,0)*12,IF(C210="3113. Logements",ROUND(VLOOKUP(C210,'Informations générales'!$C$66:$E$70,3,FALSE)*(AL210/$AO$28)/12,0)*12,IF(C210="3114. Logements",ROUND(VLOOKUP(C210,'Informations générales'!$C$66:$E$70,3,FALSE)*(AL210/$AP$28)/12,0)*12,IF(C210="3115. Logements",ROUND(VLOOKUP(C210,'Informations générales'!$C$66:$E$70,3,FALSE)*(AL210/$AQ$28)/12,0)*12,"")))))</f>
        <v/>
      </c>
      <c r="AC210" s="114"/>
      <c r="AD210" s="113">
        <f t="shared" si="42"/>
        <v>0</v>
      </c>
      <c r="AE210" s="114"/>
      <c r="AF210" s="203" t="str">
        <f>IF(C210="3111. Logements",ROUND(VLOOKUP(C210,'Informations générales'!$C$66:$E$70,3,FALSE)*(AL210/$AM$28)/12,0)*12,IF(C210="3112. Logements",ROUND(VLOOKUP(C210,'Informations générales'!$C$66:$E$70,3,FALSE)*(AL210/$AN$28)/12,0)*12,IF(C210="3113. Logements",ROUND(VLOOKUP(C210,'Informations générales'!$C$66:$E$70,3,FALSE)*(AL210/$AO$28)/12,0)*12,IF(C210="3114. Logements",ROUND(VLOOKUP(C210,'Informations générales'!$C$66:$E$70,3,FALSE)*(AL210/$AP$28)/12,0)*12,IF(C210="3115. Logements",ROUND(VLOOKUP(C210,'Informations générales'!$C$66:$E$70,3,FALSE)*(AL210/$AQ$28)/12,0)*12,"")))))</f>
        <v/>
      </c>
      <c r="AG210" s="202"/>
      <c r="AH210" s="113" t="str">
        <f>IF(C210="3111. Logements",ROUND(VLOOKUP(C210,'Informations générales'!$C$66:$H$70,5,FALSE)*(AL210/$AM$28)/12,0)*12,IF(C210="3112. Logements",ROUND(VLOOKUP(C210,'Informations générales'!$C$66:$H$70,5,FALSE)*(AL210/$AN$28)/12,0)*12,IF(C210="3113. Logements",ROUND(VLOOKUP(C210,'Informations générales'!$C$66:$H$70,5,FALSE)*(AL210/$AO$28)/12,0)*12,IF(C210="3114. Logements",ROUND(VLOOKUP(C210,'Informations générales'!$C$66:$H$70,5,FALSE)*(AL210/$AP$28)/12,0)*12,IF(C210="3115. Logements",ROUND(VLOOKUP(C210,'Informations générales'!$C$66:$H$70,5,FALSE)*(AL210/$AQ$28)/12,0)*12,"")))))</f>
        <v/>
      </c>
      <c r="AI210" s="114"/>
      <c r="AJ210" s="114"/>
      <c r="AK210" s="76"/>
      <c r="AL210" s="58">
        <f t="shared" si="43"/>
        <v>0</v>
      </c>
      <c r="AM210" s="58"/>
      <c r="AN210" s="58"/>
      <c r="AO210" s="58"/>
      <c r="AP210" s="58"/>
      <c r="AQ210" s="58"/>
      <c r="AR210" s="58">
        <f t="shared" si="31"/>
        <v>0</v>
      </c>
      <c r="AS210" s="58">
        <f t="shared" si="32"/>
        <v>0</v>
      </c>
      <c r="AT210" s="58">
        <f t="shared" si="33"/>
        <v>0</v>
      </c>
      <c r="AU210" s="58">
        <f t="shared" si="34"/>
        <v>0</v>
      </c>
      <c r="AV210" s="58">
        <f t="shared" si="35"/>
        <v>0</v>
      </c>
      <c r="AW210" s="58">
        <f t="shared" si="36"/>
        <v>0</v>
      </c>
      <c r="AX210" s="58">
        <f t="shared" si="37"/>
        <v>0</v>
      </c>
      <c r="AY210" s="58">
        <f t="shared" si="44"/>
        <v>0</v>
      </c>
      <c r="AZ210" s="62">
        <f t="shared" si="38"/>
        <v>0</v>
      </c>
      <c r="BA210" s="63">
        <f t="shared" si="39"/>
        <v>0</v>
      </c>
      <c r="BB210" s="63">
        <f t="shared" si="40"/>
        <v>0</v>
      </c>
    </row>
    <row r="211" spans="3:54" s="17" customFormat="1" x14ac:dyDescent="0.25">
      <c r="C211" s="215"/>
      <c r="D211" s="216"/>
      <c r="E211" s="88"/>
      <c r="F211" s="217"/>
      <c r="G211" s="234"/>
      <c r="H211" s="218"/>
      <c r="I211" s="76"/>
      <c r="J211" s="77"/>
      <c r="K211" s="76"/>
      <c r="L211" s="78"/>
      <c r="M211" s="78"/>
      <c r="N211" s="76" t="s">
        <v>39</v>
      </c>
      <c r="O211" s="110"/>
      <c r="P211" s="152"/>
      <c r="Q211" s="111" t="str">
        <f>IFERROR(MIN(VLOOKUP(ROUNDDOWN(P211,0),'Aide calcul'!$B$2:$C$282,2,FALSE),O211+1),"")</f>
        <v/>
      </c>
      <c r="R211" s="112" t="str">
        <f t="shared" si="41"/>
        <v/>
      </c>
      <c r="S211" s="152"/>
      <c r="T211" s="152"/>
      <c r="U211" s="152"/>
      <c r="V211" s="152"/>
      <c r="W211" s="152"/>
      <c r="X211" s="152"/>
      <c r="Y211" s="152"/>
      <c r="Z211" s="76"/>
      <c r="AA211" s="76"/>
      <c r="AB211" s="113" t="str">
        <f>IF(C211="3111. Logements",ROUND(VLOOKUP(C211,'Informations générales'!$C$66:$E$70,3,FALSE)*(AL211/$AM$28)/12,0)*12,IF(C211="3112. Logements",ROUND(VLOOKUP(C211,'Informations générales'!$C$66:$E$70,3,FALSE)*(AL211/$AN$28)/12,0)*12,IF(C211="3113. Logements",ROUND(VLOOKUP(C211,'Informations générales'!$C$66:$E$70,3,FALSE)*(AL211/$AO$28)/12,0)*12,IF(C211="3114. Logements",ROUND(VLOOKUP(C211,'Informations générales'!$C$66:$E$70,3,FALSE)*(AL211/$AP$28)/12,0)*12,IF(C211="3115. Logements",ROUND(VLOOKUP(C211,'Informations générales'!$C$66:$E$70,3,FALSE)*(AL211/$AQ$28)/12,0)*12,"")))))</f>
        <v/>
      </c>
      <c r="AC211" s="114"/>
      <c r="AD211" s="113">
        <f t="shared" si="42"/>
        <v>0</v>
      </c>
      <c r="AE211" s="114"/>
      <c r="AF211" s="203" t="str">
        <f>IF(C211="3111. Logements",ROUND(VLOOKUP(C211,'Informations générales'!$C$66:$E$70,3,FALSE)*(AL211/$AM$28)/12,0)*12,IF(C211="3112. Logements",ROUND(VLOOKUP(C211,'Informations générales'!$C$66:$E$70,3,FALSE)*(AL211/$AN$28)/12,0)*12,IF(C211="3113. Logements",ROUND(VLOOKUP(C211,'Informations générales'!$C$66:$E$70,3,FALSE)*(AL211/$AO$28)/12,0)*12,IF(C211="3114. Logements",ROUND(VLOOKUP(C211,'Informations générales'!$C$66:$E$70,3,FALSE)*(AL211/$AP$28)/12,0)*12,IF(C211="3115. Logements",ROUND(VLOOKUP(C211,'Informations générales'!$C$66:$E$70,3,FALSE)*(AL211/$AQ$28)/12,0)*12,"")))))</f>
        <v/>
      </c>
      <c r="AG211" s="202"/>
      <c r="AH211" s="113" t="str">
        <f>IF(C211="3111. Logements",ROUND(VLOOKUP(C211,'Informations générales'!$C$66:$H$70,5,FALSE)*(AL211/$AM$28)/12,0)*12,IF(C211="3112. Logements",ROUND(VLOOKUP(C211,'Informations générales'!$C$66:$H$70,5,FALSE)*(AL211/$AN$28)/12,0)*12,IF(C211="3113. Logements",ROUND(VLOOKUP(C211,'Informations générales'!$C$66:$H$70,5,FALSE)*(AL211/$AO$28)/12,0)*12,IF(C211="3114. Logements",ROUND(VLOOKUP(C211,'Informations générales'!$C$66:$H$70,5,FALSE)*(AL211/$AP$28)/12,0)*12,IF(C211="3115. Logements",ROUND(VLOOKUP(C211,'Informations générales'!$C$66:$H$70,5,FALSE)*(AL211/$AQ$28)/12,0)*12,"")))))</f>
        <v/>
      </c>
      <c r="AI211" s="114"/>
      <c r="AJ211" s="114"/>
      <c r="AK211" s="76"/>
      <c r="AL211" s="58">
        <f t="shared" si="43"/>
        <v>0</v>
      </c>
      <c r="AM211" s="58"/>
      <c r="AN211" s="58"/>
      <c r="AO211" s="58"/>
      <c r="AP211" s="58"/>
      <c r="AQ211" s="58"/>
      <c r="AR211" s="58">
        <f t="shared" si="31"/>
        <v>0</v>
      </c>
      <c r="AS211" s="58">
        <f t="shared" si="32"/>
        <v>0</v>
      </c>
      <c r="AT211" s="58">
        <f t="shared" si="33"/>
        <v>0</v>
      </c>
      <c r="AU211" s="58">
        <f t="shared" si="34"/>
        <v>0</v>
      </c>
      <c r="AV211" s="58">
        <f t="shared" si="35"/>
        <v>0</v>
      </c>
      <c r="AW211" s="58">
        <f t="shared" si="36"/>
        <v>0</v>
      </c>
      <c r="AX211" s="58">
        <f t="shared" si="37"/>
        <v>0</v>
      </c>
      <c r="AY211" s="58">
        <f t="shared" si="44"/>
        <v>0</v>
      </c>
      <c r="AZ211" s="62">
        <f t="shared" si="38"/>
        <v>0</v>
      </c>
      <c r="BA211" s="63">
        <f t="shared" si="39"/>
        <v>0</v>
      </c>
      <c r="BB211" s="63">
        <f t="shared" si="40"/>
        <v>0</v>
      </c>
    </row>
    <row r="212" spans="3:54" s="17" customFormat="1" x14ac:dyDescent="0.25">
      <c r="C212" s="215"/>
      <c r="D212" s="216"/>
      <c r="E212" s="88"/>
      <c r="F212" s="217"/>
      <c r="G212" s="234"/>
      <c r="H212" s="218"/>
      <c r="I212" s="76"/>
      <c r="J212" s="77"/>
      <c r="K212" s="76"/>
      <c r="L212" s="78"/>
      <c r="M212" s="78"/>
      <c r="N212" s="76" t="s">
        <v>39</v>
      </c>
      <c r="O212" s="110"/>
      <c r="P212" s="152"/>
      <c r="Q212" s="111" t="str">
        <f>IFERROR(MIN(VLOOKUP(ROUNDDOWN(P212,0),'Aide calcul'!$B$2:$C$282,2,FALSE),O212+1),"")</f>
        <v/>
      </c>
      <c r="R212" s="112" t="str">
        <f t="shared" si="41"/>
        <v/>
      </c>
      <c r="S212" s="152"/>
      <c r="T212" s="152"/>
      <c r="U212" s="152"/>
      <c r="V212" s="152"/>
      <c r="W212" s="152"/>
      <c r="X212" s="152"/>
      <c r="Y212" s="152"/>
      <c r="Z212" s="76"/>
      <c r="AA212" s="76"/>
      <c r="AB212" s="113" t="str">
        <f>IF(C212="3111. Logements",ROUND(VLOOKUP(C212,'Informations générales'!$C$66:$E$70,3,FALSE)*(AL212/$AM$28)/12,0)*12,IF(C212="3112. Logements",ROUND(VLOOKUP(C212,'Informations générales'!$C$66:$E$70,3,FALSE)*(AL212/$AN$28)/12,0)*12,IF(C212="3113. Logements",ROUND(VLOOKUP(C212,'Informations générales'!$C$66:$E$70,3,FALSE)*(AL212/$AO$28)/12,0)*12,IF(C212="3114. Logements",ROUND(VLOOKUP(C212,'Informations générales'!$C$66:$E$70,3,FALSE)*(AL212/$AP$28)/12,0)*12,IF(C212="3115. Logements",ROUND(VLOOKUP(C212,'Informations générales'!$C$66:$E$70,3,FALSE)*(AL212/$AQ$28)/12,0)*12,"")))))</f>
        <v/>
      </c>
      <c r="AC212" s="114"/>
      <c r="AD212" s="113">
        <f t="shared" si="42"/>
        <v>0</v>
      </c>
      <c r="AE212" s="114"/>
      <c r="AF212" s="203" t="str">
        <f>IF(C212="3111. Logements",ROUND(VLOOKUP(C212,'Informations générales'!$C$66:$E$70,3,FALSE)*(AL212/$AM$28)/12,0)*12,IF(C212="3112. Logements",ROUND(VLOOKUP(C212,'Informations générales'!$C$66:$E$70,3,FALSE)*(AL212/$AN$28)/12,0)*12,IF(C212="3113. Logements",ROUND(VLOOKUP(C212,'Informations générales'!$C$66:$E$70,3,FALSE)*(AL212/$AO$28)/12,0)*12,IF(C212="3114. Logements",ROUND(VLOOKUP(C212,'Informations générales'!$C$66:$E$70,3,FALSE)*(AL212/$AP$28)/12,0)*12,IF(C212="3115. Logements",ROUND(VLOOKUP(C212,'Informations générales'!$C$66:$E$70,3,FALSE)*(AL212/$AQ$28)/12,0)*12,"")))))</f>
        <v/>
      </c>
      <c r="AG212" s="202"/>
      <c r="AH212" s="113" t="str">
        <f>IF(C212="3111. Logements",ROUND(VLOOKUP(C212,'Informations générales'!$C$66:$H$70,5,FALSE)*(AL212/$AM$28)/12,0)*12,IF(C212="3112. Logements",ROUND(VLOOKUP(C212,'Informations générales'!$C$66:$H$70,5,FALSE)*(AL212/$AN$28)/12,0)*12,IF(C212="3113. Logements",ROUND(VLOOKUP(C212,'Informations générales'!$C$66:$H$70,5,FALSE)*(AL212/$AO$28)/12,0)*12,IF(C212="3114. Logements",ROUND(VLOOKUP(C212,'Informations générales'!$C$66:$H$70,5,FALSE)*(AL212/$AP$28)/12,0)*12,IF(C212="3115. Logements",ROUND(VLOOKUP(C212,'Informations générales'!$C$66:$H$70,5,FALSE)*(AL212/$AQ$28)/12,0)*12,"")))))</f>
        <v/>
      </c>
      <c r="AI212" s="114"/>
      <c r="AJ212" s="114"/>
      <c r="AK212" s="76"/>
      <c r="AL212" s="58">
        <f t="shared" si="43"/>
        <v>0</v>
      </c>
      <c r="AM212" s="58"/>
      <c r="AN212" s="58"/>
      <c r="AO212" s="58"/>
      <c r="AP212" s="58"/>
      <c r="AQ212" s="58"/>
      <c r="AR212" s="58">
        <f t="shared" si="31"/>
        <v>0</v>
      </c>
      <c r="AS212" s="58">
        <f t="shared" si="32"/>
        <v>0</v>
      </c>
      <c r="AT212" s="58">
        <f t="shared" si="33"/>
        <v>0</v>
      </c>
      <c r="AU212" s="58">
        <f t="shared" si="34"/>
        <v>0</v>
      </c>
      <c r="AV212" s="58">
        <f t="shared" si="35"/>
        <v>0</v>
      </c>
      <c r="AW212" s="58">
        <f t="shared" si="36"/>
        <v>0</v>
      </c>
      <c r="AX212" s="58">
        <f t="shared" si="37"/>
        <v>0</v>
      </c>
      <c r="AY212" s="58">
        <f t="shared" si="44"/>
        <v>0</v>
      </c>
      <c r="AZ212" s="62">
        <f t="shared" si="38"/>
        <v>0</v>
      </c>
      <c r="BA212" s="63">
        <f t="shared" si="39"/>
        <v>0</v>
      </c>
      <c r="BB212" s="63">
        <f t="shared" si="40"/>
        <v>0</v>
      </c>
    </row>
    <row r="213" spans="3:54" s="17" customFormat="1" x14ac:dyDescent="0.25">
      <c r="C213" s="215"/>
      <c r="D213" s="216"/>
      <c r="E213" s="88"/>
      <c r="F213" s="217"/>
      <c r="G213" s="234"/>
      <c r="H213" s="218"/>
      <c r="I213" s="76"/>
      <c r="J213" s="77"/>
      <c r="K213" s="76"/>
      <c r="L213" s="78"/>
      <c r="M213" s="78"/>
      <c r="N213" s="76" t="s">
        <v>39</v>
      </c>
      <c r="O213" s="110"/>
      <c r="P213" s="152"/>
      <c r="Q213" s="111" t="str">
        <f>IFERROR(MIN(VLOOKUP(ROUNDDOWN(P213,0),'Aide calcul'!$B$2:$C$282,2,FALSE),O213+1),"")</f>
        <v/>
      </c>
      <c r="R213" s="112" t="str">
        <f t="shared" si="41"/>
        <v/>
      </c>
      <c r="S213" s="152"/>
      <c r="T213" s="152"/>
      <c r="U213" s="152"/>
      <c r="V213" s="152"/>
      <c r="W213" s="152"/>
      <c r="X213" s="152"/>
      <c r="Y213" s="152"/>
      <c r="Z213" s="76"/>
      <c r="AA213" s="76"/>
      <c r="AB213" s="113" t="str">
        <f>IF(C213="3111. Logements",ROUND(VLOOKUP(C213,'Informations générales'!$C$66:$E$70,3,FALSE)*(AL213/$AM$28)/12,0)*12,IF(C213="3112. Logements",ROUND(VLOOKUP(C213,'Informations générales'!$C$66:$E$70,3,FALSE)*(AL213/$AN$28)/12,0)*12,IF(C213="3113. Logements",ROUND(VLOOKUP(C213,'Informations générales'!$C$66:$E$70,3,FALSE)*(AL213/$AO$28)/12,0)*12,IF(C213="3114. Logements",ROUND(VLOOKUP(C213,'Informations générales'!$C$66:$E$70,3,FALSE)*(AL213/$AP$28)/12,0)*12,IF(C213="3115. Logements",ROUND(VLOOKUP(C213,'Informations générales'!$C$66:$E$70,3,FALSE)*(AL213/$AQ$28)/12,0)*12,"")))))</f>
        <v/>
      </c>
      <c r="AC213" s="114"/>
      <c r="AD213" s="113">
        <f t="shared" si="42"/>
        <v>0</v>
      </c>
      <c r="AE213" s="114"/>
      <c r="AF213" s="203" t="str">
        <f>IF(C213="3111. Logements",ROUND(VLOOKUP(C213,'Informations générales'!$C$66:$E$70,3,FALSE)*(AL213/$AM$28)/12,0)*12,IF(C213="3112. Logements",ROUND(VLOOKUP(C213,'Informations générales'!$C$66:$E$70,3,FALSE)*(AL213/$AN$28)/12,0)*12,IF(C213="3113. Logements",ROUND(VLOOKUP(C213,'Informations générales'!$C$66:$E$70,3,FALSE)*(AL213/$AO$28)/12,0)*12,IF(C213="3114. Logements",ROUND(VLOOKUP(C213,'Informations générales'!$C$66:$E$70,3,FALSE)*(AL213/$AP$28)/12,0)*12,IF(C213="3115. Logements",ROUND(VLOOKUP(C213,'Informations générales'!$C$66:$E$70,3,FALSE)*(AL213/$AQ$28)/12,0)*12,"")))))</f>
        <v/>
      </c>
      <c r="AG213" s="202"/>
      <c r="AH213" s="113" t="str">
        <f>IF(C213="3111. Logements",ROUND(VLOOKUP(C213,'Informations générales'!$C$66:$H$70,5,FALSE)*(AL213/$AM$28)/12,0)*12,IF(C213="3112. Logements",ROUND(VLOOKUP(C213,'Informations générales'!$C$66:$H$70,5,FALSE)*(AL213/$AN$28)/12,0)*12,IF(C213="3113. Logements",ROUND(VLOOKUP(C213,'Informations générales'!$C$66:$H$70,5,FALSE)*(AL213/$AO$28)/12,0)*12,IF(C213="3114. Logements",ROUND(VLOOKUP(C213,'Informations générales'!$C$66:$H$70,5,FALSE)*(AL213/$AP$28)/12,0)*12,IF(C213="3115. Logements",ROUND(VLOOKUP(C213,'Informations générales'!$C$66:$H$70,5,FALSE)*(AL213/$AQ$28)/12,0)*12,"")))))</f>
        <v/>
      </c>
      <c r="AI213" s="114"/>
      <c r="AJ213" s="114"/>
      <c r="AK213" s="76"/>
      <c r="AL213" s="58">
        <f t="shared" si="43"/>
        <v>0</v>
      </c>
      <c r="AM213" s="58"/>
      <c r="AN213" s="58"/>
      <c r="AO213" s="58"/>
      <c r="AP213" s="58"/>
      <c r="AQ213" s="58"/>
      <c r="AR213" s="58">
        <f t="shared" si="31"/>
        <v>0</v>
      </c>
      <c r="AS213" s="58">
        <f t="shared" si="32"/>
        <v>0</v>
      </c>
      <c r="AT213" s="58">
        <f t="shared" si="33"/>
        <v>0</v>
      </c>
      <c r="AU213" s="58">
        <f t="shared" si="34"/>
        <v>0</v>
      </c>
      <c r="AV213" s="58">
        <f t="shared" si="35"/>
        <v>0</v>
      </c>
      <c r="AW213" s="58">
        <f t="shared" si="36"/>
        <v>0</v>
      </c>
      <c r="AX213" s="58">
        <f t="shared" si="37"/>
        <v>0</v>
      </c>
      <c r="AY213" s="58">
        <f t="shared" si="44"/>
        <v>0</v>
      </c>
      <c r="AZ213" s="62">
        <f t="shared" si="38"/>
        <v>0</v>
      </c>
      <c r="BA213" s="63">
        <f t="shared" si="39"/>
        <v>0</v>
      </c>
      <c r="BB213" s="63">
        <f t="shared" si="40"/>
        <v>0</v>
      </c>
    </row>
    <row r="214" spans="3:54" s="17" customFormat="1" x14ac:dyDescent="0.25">
      <c r="C214" s="215"/>
      <c r="D214" s="216"/>
      <c r="E214" s="88"/>
      <c r="F214" s="217"/>
      <c r="G214" s="234"/>
      <c r="H214" s="218"/>
      <c r="I214" s="76"/>
      <c r="J214" s="77"/>
      <c r="K214" s="76"/>
      <c r="L214" s="78"/>
      <c r="M214" s="78"/>
      <c r="N214" s="76" t="s">
        <v>39</v>
      </c>
      <c r="O214" s="110"/>
      <c r="P214" s="152"/>
      <c r="Q214" s="111" t="str">
        <f>IFERROR(MIN(VLOOKUP(ROUNDDOWN(P214,0),'Aide calcul'!$B$2:$C$282,2,FALSE),O214+1),"")</f>
        <v/>
      </c>
      <c r="R214" s="112" t="str">
        <f t="shared" si="41"/>
        <v/>
      </c>
      <c r="S214" s="152"/>
      <c r="T214" s="152"/>
      <c r="U214" s="152"/>
      <c r="V214" s="152"/>
      <c r="W214" s="152"/>
      <c r="X214" s="152"/>
      <c r="Y214" s="152"/>
      <c r="Z214" s="76"/>
      <c r="AA214" s="76"/>
      <c r="AB214" s="113" t="str">
        <f>IF(C214="3111. Logements",ROUND(VLOOKUP(C214,'Informations générales'!$C$66:$E$70,3,FALSE)*(AL214/$AM$28)/12,0)*12,IF(C214="3112. Logements",ROUND(VLOOKUP(C214,'Informations générales'!$C$66:$E$70,3,FALSE)*(AL214/$AN$28)/12,0)*12,IF(C214="3113. Logements",ROUND(VLOOKUP(C214,'Informations générales'!$C$66:$E$70,3,FALSE)*(AL214/$AO$28)/12,0)*12,IF(C214="3114. Logements",ROUND(VLOOKUP(C214,'Informations générales'!$C$66:$E$70,3,FALSE)*(AL214/$AP$28)/12,0)*12,IF(C214="3115. Logements",ROUND(VLOOKUP(C214,'Informations générales'!$C$66:$E$70,3,FALSE)*(AL214/$AQ$28)/12,0)*12,"")))))</f>
        <v/>
      </c>
      <c r="AC214" s="114"/>
      <c r="AD214" s="113">
        <f t="shared" si="42"/>
        <v>0</v>
      </c>
      <c r="AE214" s="114"/>
      <c r="AF214" s="203" t="str">
        <f>IF(C214="3111. Logements",ROUND(VLOOKUP(C214,'Informations générales'!$C$66:$E$70,3,FALSE)*(AL214/$AM$28)/12,0)*12,IF(C214="3112. Logements",ROUND(VLOOKUP(C214,'Informations générales'!$C$66:$E$70,3,FALSE)*(AL214/$AN$28)/12,0)*12,IF(C214="3113. Logements",ROUND(VLOOKUP(C214,'Informations générales'!$C$66:$E$70,3,FALSE)*(AL214/$AO$28)/12,0)*12,IF(C214="3114. Logements",ROUND(VLOOKUP(C214,'Informations générales'!$C$66:$E$70,3,FALSE)*(AL214/$AP$28)/12,0)*12,IF(C214="3115. Logements",ROUND(VLOOKUP(C214,'Informations générales'!$C$66:$E$70,3,FALSE)*(AL214/$AQ$28)/12,0)*12,"")))))</f>
        <v/>
      </c>
      <c r="AG214" s="202"/>
      <c r="AH214" s="113" t="str">
        <f>IF(C214="3111. Logements",ROUND(VLOOKUP(C214,'Informations générales'!$C$66:$H$70,5,FALSE)*(AL214/$AM$28)/12,0)*12,IF(C214="3112. Logements",ROUND(VLOOKUP(C214,'Informations générales'!$C$66:$H$70,5,FALSE)*(AL214/$AN$28)/12,0)*12,IF(C214="3113. Logements",ROUND(VLOOKUP(C214,'Informations générales'!$C$66:$H$70,5,FALSE)*(AL214/$AO$28)/12,0)*12,IF(C214="3114. Logements",ROUND(VLOOKUP(C214,'Informations générales'!$C$66:$H$70,5,FALSE)*(AL214/$AP$28)/12,0)*12,IF(C214="3115. Logements",ROUND(VLOOKUP(C214,'Informations générales'!$C$66:$H$70,5,FALSE)*(AL214/$AQ$28)/12,0)*12,"")))))</f>
        <v/>
      </c>
      <c r="AI214" s="114"/>
      <c r="AJ214" s="114"/>
      <c r="AK214" s="76"/>
      <c r="AL214" s="58">
        <f t="shared" si="43"/>
        <v>0</v>
      </c>
      <c r="AM214" s="58"/>
      <c r="AN214" s="58"/>
      <c r="AO214" s="58"/>
      <c r="AP214" s="58"/>
      <c r="AQ214" s="58"/>
      <c r="AR214" s="58">
        <f t="shared" si="31"/>
        <v>0</v>
      </c>
      <c r="AS214" s="58">
        <f t="shared" si="32"/>
        <v>0</v>
      </c>
      <c r="AT214" s="58">
        <f t="shared" si="33"/>
        <v>0</v>
      </c>
      <c r="AU214" s="58">
        <f t="shared" si="34"/>
        <v>0</v>
      </c>
      <c r="AV214" s="58">
        <f t="shared" si="35"/>
        <v>0</v>
      </c>
      <c r="AW214" s="58">
        <f t="shared" si="36"/>
        <v>0</v>
      </c>
      <c r="AX214" s="58">
        <f t="shared" si="37"/>
        <v>0</v>
      </c>
      <c r="AY214" s="58">
        <f t="shared" si="44"/>
        <v>0</v>
      </c>
      <c r="AZ214" s="62">
        <f t="shared" si="38"/>
        <v>0</v>
      </c>
      <c r="BA214" s="63">
        <f t="shared" si="39"/>
        <v>0</v>
      </c>
      <c r="BB214" s="63">
        <f t="shared" si="40"/>
        <v>0</v>
      </c>
    </row>
    <row r="215" spans="3:54" s="17" customFormat="1" x14ac:dyDescent="0.25">
      <c r="C215" s="215"/>
      <c r="D215" s="216"/>
      <c r="E215" s="88"/>
      <c r="F215" s="217"/>
      <c r="G215" s="234"/>
      <c r="H215" s="218"/>
      <c r="I215" s="76"/>
      <c r="J215" s="77"/>
      <c r="K215" s="76"/>
      <c r="L215" s="78"/>
      <c r="M215" s="78"/>
      <c r="N215" s="76" t="s">
        <v>39</v>
      </c>
      <c r="O215" s="110"/>
      <c r="P215" s="152"/>
      <c r="Q215" s="111" t="str">
        <f>IFERROR(MIN(VLOOKUP(ROUNDDOWN(P215,0),'Aide calcul'!$B$2:$C$282,2,FALSE),O215+1),"")</f>
        <v/>
      </c>
      <c r="R215" s="112" t="str">
        <f t="shared" si="41"/>
        <v/>
      </c>
      <c r="S215" s="152"/>
      <c r="T215" s="152"/>
      <c r="U215" s="152"/>
      <c r="V215" s="152"/>
      <c r="W215" s="152"/>
      <c r="X215" s="152"/>
      <c r="Y215" s="152"/>
      <c r="Z215" s="76"/>
      <c r="AA215" s="76"/>
      <c r="AB215" s="113" t="str">
        <f>IF(C215="3111. Logements",ROUND(VLOOKUP(C215,'Informations générales'!$C$66:$E$70,3,FALSE)*(AL215/$AM$28)/12,0)*12,IF(C215="3112. Logements",ROUND(VLOOKUP(C215,'Informations générales'!$C$66:$E$70,3,FALSE)*(AL215/$AN$28)/12,0)*12,IF(C215="3113. Logements",ROUND(VLOOKUP(C215,'Informations générales'!$C$66:$E$70,3,FALSE)*(AL215/$AO$28)/12,0)*12,IF(C215="3114. Logements",ROUND(VLOOKUP(C215,'Informations générales'!$C$66:$E$70,3,FALSE)*(AL215/$AP$28)/12,0)*12,IF(C215="3115. Logements",ROUND(VLOOKUP(C215,'Informations générales'!$C$66:$E$70,3,FALSE)*(AL215/$AQ$28)/12,0)*12,"")))))</f>
        <v/>
      </c>
      <c r="AC215" s="114"/>
      <c r="AD215" s="113">
        <f t="shared" si="42"/>
        <v>0</v>
      </c>
      <c r="AE215" s="114"/>
      <c r="AF215" s="203" t="str">
        <f>IF(C215="3111. Logements",ROUND(VLOOKUP(C215,'Informations générales'!$C$66:$E$70,3,FALSE)*(AL215/$AM$28)/12,0)*12,IF(C215="3112. Logements",ROUND(VLOOKUP(C215,'Informations générales'!$C$66:$E$70,3,FALSE)*(AL215/$AN$28)/12,0)*12,IF(C215="3113. Logements",ROUND(VLOOKUP(C215,'Informations générales'!$C$66:$E$70,3,FALSE)*(AL215/$AO$28)/12,0)*12,IF(C215="3114. Logements",ROUND(VLOOKUP(C215,'Informations générales'!$C$66:$E$70,3,FALSE)*(AL215/$AP$28)/12,0)*12,IF(C215="3115. Logements",ROUND(VLOOKUP(C215,'Informations générales'!$C$66:$E$70,3,FALSE)*(AL215/$AQ$28)/12,0)*12,"")))))</f>
        <v/>
      </c>
      <c r="AG215" s="202"/>
      <c r="AH215" s="113" t="str">
        <f>IF(C215="3111. Logements",ROUND(VLOOKUP(C215,'Informations générales'!$C$66:$H$70,5,FALSE)*(AL215/$AM$28)/12,0)*12,IF(C215="3112. Logements",ROUND(VLOOKUP(C215,'Informations générales'!$C$66:$H$70,5,FALSE)*(AL215/$AN$28)/12,0)*12,IF(C215="3113. Logements",ROUND(VLOOKUP(C215,'Informations générales'!$C$66:$H$70,5,FALSE)*(AL215/$AO$28)/12,0)*12,IF(C215="3114. Logements",ROUND(VLOOKUP(C215,'Informations générales'!$C$66:$H$70,5,FALSE)*(AL215/$AP$28)/12,0)*12,IF(C215="3115. Logements",ROUND(VLOOKUP(C215,'Informations générales'!$C$66:$H$70,5,FALSE)*(AL215/$AQ$28)/12,0)*12,"")))))</f>
        <v/>
      </c>
      <c r="AI215" s="114"/>
      <c r="AJ215" s="114"/>
      <c r="AK215" s="76"/>
      <c r="AL215" s="58">
        <f t="shared" si="43"/>
        <v>0</v>
      </c>
      <c r="AM215" s="58"/>
      <c r="AN215" s="58"/>
      <c r="AO215" s="58"/>
      <c r="AP215" s="58"/>
      <c r="AQ215" s="58"/>
      <c r="AR215" s="58">
        <f t="shared" si="31"/>
        <v>0</v>
      </c>
      <c r="AS215" s="58">
        <f t="shared" si="32"/>
        <v>0</v>
      </c>
      <c r="AT215" s="58">
        <f t="shared" si="33"/>
        <v>0</v>
      </c>
      <c r="AU215" s="58">
        <f t="shared" si="34"/>
        <v>0</v>
      </c>
      <c r="AV215" s="58">
        <f t="shared" si="35"/>
        <v>0</v>
      </c>
      <c r="AW215" s="58">
        <f t="shared" si="36"/>
        <v>0</v>
      </c>
      <c r="AX215" s="58">
        <f t="shared" si="37"/>
        <v>0</v>
      </c>
      <c r="AY215" s="58">
        <f t="shared" si="44"/>
        <v>0</v>
      </c>
      <c r="AZ215" s="62">
        <f t="shared" si="38"/>
        <v>0</v>
      </c>
      <c r="BA215" s="63">
        <f t="shared" si="39"/>
        <v>0</v>
      </c>
      <c r="BB215" s="63">
        <f t="shared" si="40"/>
        <v>0</v>
      </c>
    </row>
    <row r="216" spans="3:54" s="17" customFormat="1" x14ac:dyDescent="0.25">
      <c r="C216" s="215"/>
      <c r="D216" s="216"/>
      <c r="E216" s="88"/>
      <c r="F216" s="217"/>
      <c r="G216" s="234"/>
      <c r="H216" s="218"/>
      <c r="I216" s="76"/>
      <c r="J216" s="77"/>
      <c r="K216" s="76"/>
      <c r="L216" s="78"/>
      <c r="M216" s="78"/>
      <c r="N216" s="76" t="s">
        <v>39</v>
      </c>
      <c r="O216" s="110"/>
      <c r="P216" s="152"/>
      <c r="Q216" s="111" t="str">
        <f>IFERROR(MIN(VLOOKUP(ROUNDDOWN(P216,0),'Aide calcul'!$B$2:$C$282,2,FALSE),O216+1),"")</f>
        <v/>
      </c>
      <c r="R216" s="112" t="str">
        <f t="shared" si="41"/>
        <v/>
      </c>
      <c r="S216" s="152"/>
      <c r="T216" s="152"/>
      <c r="U216" s="152"/>
      <c r="V216" s="152"/>
      <c r="W216" s="152"/>
      <c r="X216" s="152"/>
      <c r="Y216" s="152"/>
      <c r="Z216" s="76"/>
      <c r="AA216" s="76"/>
      <c r="AB216" s="113" t="str">
        <f>IF(C216="3111. Logements",ROUND(VLOOKUP(C216,'Informations générales'!$C$66:$E$70,3,FALSE)*(AL216/$AM$28)/12,0)*12,IF(C216="3112. Logements",ROUND(VLOOKUP(C216,'Informations générales'!$C$66:$E$70,3,FALSE)*(AL216/$AN$28)/12,0)*12,IF(C216="3113. Logements",ROUND(VLOOKUP(C216,'Informations générales'!$C$66:$E$70,3,FALSE)*(AL216/$AO$28)/12,0)*12,IF(C216="3114. Logements",ROUND(VLOOKUP(C216,'Informations générales'!$C$66:$E$70,3,FALSE)*(AL216/$AP$28)/12,0)*12,IF(C216="3115. Logements",ROUND(VLOOKUP(C216,'Informations générales'!$C$66:$E$70,3,FALSE)*(AL216/$AQ$28)/12,0)*12,"")))))</f>
        <v/>
      </c>
      <c r="AC216" s="114"/>
      <c r="AD216" s="113">
        <f t="shared" si="42"/>
        <v>0</v>
      </c>
      <c r="AE216" s="114"/>
      <c r="AF216" s="203" t="str">
        <f>IF(C216="3111. Logements",ROUND(VLOOKUP(C216,'Informations générales'!$C$66:$E$70,3,FALSE)*(AL216/$AM$28)/12,0)*12,IF(C216="3112. Logements",ROUND(VLOOKUP(C216,'Informations générales'!$C$66:$E$70,3,FALSE)*(AL216/$AN$28)/12,0)*12,IF(C216="3113. Logements",ROUND(VLOOKUP(C216,'Informations générales'!$C$66:$E$70,3,FALSE)*(AL216/$AO$28)/12,0)*12,IF(C216="3114. Logements",ROUND(VLOOKUP(C216,'Informations générales'!$C$66:$E$70,3,FALSE)*(AL216/$AP$28)/12,0)*12,IF(C216="3115. Logements",ROUND(VLOOKUP(C216,'Informations générales'!$C$66:$E$70,3,FALSE)*(AL216/$AQ$28)/12,0)*12,"")))))</f>
        <v/>
      </c>
      <c r="AG216" s="202"/>
      <c r="AH216" s="113" t="str">
        <f>IF(C216="3111. Logements",ROUND(VLOOKUP(C216,'Informations générales'!$C$66:$H$70,5,FALSE)*(AL216/$AM$28)/12,0)*12,IF(C216="3112. Logements",ROUND(VLOOKUP(C216,'Informations générales'!$C$66:$H$70,5,FALSE)*(AL216/$AN$28)/12,0)*12,IF(C216="3113. Logements",ROUND(VLOOKUP(C216,'Informations générales'!$C$66:$H$70,5,FALSE)*(AL216/$AO$28)/12,0)*12,IF(C216="3114. Logements",ROUND(VLOOKUP(C216,'Informations générales'!$C$66:$H$70,5,FALSE)*(AL216/$AP$28)/12,0)*12,IF(C216="3115. Logements",ROUND(VLOOKUP(C216,'Informations générales'!$C$66:$H$70,5,FALSE)*(AL216/$AQ$28)/12,0)*12,"")))))</f>
        <v/>
      </c>
      <c r="AI216" s="114"/>
      <c r="AJ216" s="114"/>
      <c r="AK216" s="76"/>
      <c r="AL216" s="58">
        <f t="shared" si="43"/>
        <v>0</v>
      </c>
      <c r="AM216" s="58"/>
      <c r="AN216" s="58"/>
      <c r="AO216" s="58"/>
      <c r="AP216" s="58"/>
      <c r="AQ216" s="58"/>
      <c r="AR216" s="58">
        <f t="shared" si="31"/>
        <v>0</v>
      </c>
      <c r="AS216" s="58">
        <f t="shared" si="32"/>
        <v>0</v>
      </c>
      <c r="AT216" s="58">
        <f t="shared" si="33"/>
        <v>0</v>
      </c>
      <c r="AU216" s="58">
        <f t="shared" si="34"/>
        <v>0</v>
      </c>
      <c r="AV216" s="58">
        <f t="shared" si="35"/>
        <v>0</v>
      </c>
      <c r="AW216" s="58">
        <f t="shared" si="36"/>
        <v>0</v>
      </c>
      <c r="AX216" s="58">
        <f t="shared" si="37"/>
        <v>0</v>
      </c>
      <c r="AY216" s="58">
        <f t="shared" si="44"/>
        <v>0</v>
      </c>
      <c r="AZ216" s="62">
        <f t="shared" si="38"/>
        <v>0</v>
      </c>
      <c r="BA216" s="63">
        <f t="shared" si="39"/>
        <v>0</v>
      </c>
      <c r="BB216" s="63">
        <f t="shared" si="40"/>
        <v>0</v>
      </c>
    </row>
    <row r="217" spans="3:54" s="17" customFormat="1" x14ac:dyDescent="0.25">
      <c r="C217" s="215"/>
      <c r="D217" s="216"/>
      <c r="E217" s="88"/>
      <c r="F217" s="217"/>
      <c r="G217" s="234"/>
      <c r="H217" s="218"/>
      <c r="I217" s="76"/>
      <c r="J217" s="77"/>
      <c r="K217" s="76"/>
      <c r="L217" s="78"/>
      <c r="M217" s="78"/>
      <c r="N217" s="76" t="s">
        <v>39</v>
      </c>
      <c r="O217" s="110"/>
      <c r="P217" s="152"/>
      <c r="Q217" s="111" t="str">
        <f>IFERROR(MIN(VLOOKUP(ROUNDDOWN(P217,0),'Aide calcul'!$B$2:$C$282,2,FALSE),O217+1),"")</f>
        <v/>
      </c>
      <c r="R217" s="112" t="str">
        <f t="shared" si="41"/>
        <v/>
      </c>
      <c r="S217" s="152"/>
      <c r="T217" s="152"/>
      <c r="U217" s="152"/>
      <c r="V217" s="152"/>
      <c r="W217" s="152"/>
      <c r="X217" s="152"/>
      <c r="Y217" s="152"/>
      <c r="Z217" s="76"/>
      <c r="AA217" s="76"/>
      <c r="AB217" s="113" t="str">
        <f>IF(C217="3111. Logements",ROUND(VLOOKUP(C217,'Informations générales'!$C$66:$E$70,3,FALSE)*(AL217/$AM$28)/12,0)*12,IF(C217="3112. Logements",ROUND(VLOOKUP(C217,'Informations générales'!$C$66:$E$70,3,FALSE)*(AL217/$AN$28)/12,0)*12,IF(C217="3113. Logements",ROUND(VLOOKUP(C217,'Informations générales'!$C$66:$E$70,3,FALSE)*(AL217/$AO$28)/12,0)*12,IF(C217="3114. Logements",ROUND(VLOOKUP(C217,'Informations générales'!$C$66:$E$70,3,FALSE)*(AL217/$AP$28)/12,0)*12,IF(C217="3115. Logements",ROUND(VLOOKUP(C217,'Informations générales'!$C$66:$E$70,3,FALSE)*(AL217/$AQ$28)/12,0)*12,"")))))</f>
        <v/>
      </c>
      <c r="AC217" s="114"/>
      <c r="AD217" s="113">
        <f t="shared" si="42"/>
        <v>0</v>
      </c>
      <c r="AE217" s="114"/>
      <c r="AF217" s="203" t="str">
        <f>IF(C217="3111. Logements",ROUND(VLOOKUP(C217,'Informations générales'!$C$66:$E$70,3,FALSE)*(AL217/$AM$28)/12,0)*12,IF(C217="3112. Logements",ROUND(VLOOKUP(C217,'Informations générales'!$C$66:$E$70,3,FALSE)*(AL217/$AN$28)/12,0)*12,IF(C217="3113. Logements",ROUND(VLOOKUP(C217,'Informations générales'!$C$66:$E$70,3,FALSE)*(AL217/$AO$28)/12,0)*12,IF(C217="3114. Logements",ROUND(VLOOKUP(C217,'Informations générales'!$C$66:$E$70,3,FALSE)*(AL217/$AP$28)/12,0)*12,IF(C217="3115. Logements",ROUND(VLOOKUP(C217,'Informations générales'!$C$66:$E$70,3,FALSE)*(AL217/$AQ$28)/12,0)*12,"")))))</f>
        <v/>
      </c>
      <c r="AG217" s="202"/>
      <c r="AH217" s="113" t="str">
        <f>IF(C217="3111. Logements",ROUND(VLOOKUP(C217,'Informations générales'!$C$66:$H$70,5,FALSE)*(AL217/$AM$28)/12,0)*12,IF(C217="3112. Logements",ROUND(VLOOKUP(C217,'Informations générales'!$C$66:$H$70,5,FALSE)*(AL217/$AN$28)/12,0)*12,IF(C217="3113. Logements",ROUND(VLOOKUP(C217,'Informations générales'!$C$66:$H$70,5,FALSE)*(AL217/$AO$28)/12,0)*12,IF(C217="3114. Logements",ROUND(VLOOKUP(C217,'Informations générales'!$C$66:$H$70,5,FALSE)*(AL217/$AP$28)/12,0)*12,IF(C217="3115. Logements",ROUND(VLOOKUP(C217,'Informations générales'!$C$66:$H$70,5,FALSE)*(AL217/$AQ$28)/12,0)*12,"")))))</f>
        <v/>
      </c>
      <c r="AI217" s="114"/>
      <c r="AJ217" s="114"/>
      <c r="AK217" s="76"/>
      <c r="AL217" s="58">
        <f t="shared" si="43"/>
        <v>0</v>
      </c>
      <c r="AM217" s="58"/>
      <c r="AN217" s="58"/>
      <c r="AO217" s="58"/>
      <c r="AP217" s="58"/>
      <c r="AQ217" s="58"/>
      <c r="AR217" s="58">
        <f t="shared" si="31"/>
        <v>0</v>
      </c>
      <c r="AS217" s="58">
        <f t="shared" si="32"/>
        <v>0</v>
      </c>
      <c r="AT217" s="58">
        <f t="shared" si="33"/>
        <v>0</v>
      </c>
      <c r="AU217" s="58">
        <f t="shared" si="34"/>
        <v>0</v>
      </c>
      <c r="AV217" s="58">
        <f t="shared" si="35"/>
        <v>0</v>
      </c>
      <c r="AW217" s="58">
        <f t="shared" si="36"/>
        <v>0</v>
      </c>
      <c r="AX217" s="58">
        <f t="shared" si="37"/>
        <v>0</v>
      </c>
      <c r="AY217" s="58">
        <f t="shared" si="44"/>
        <v>0</v>
      </c>
      <c r="AZ217" s="62">
        <f t="shared" si="38"/>
        <v>0</v>
      </c>
      <c r="BA217" s="63">
        <f t="shared" si="39"/>
        <v>0</v>
      </c>
      <c r="BB217" s="63">
        <f t="shared" si="40"/>
        <v>0</v>
      </c>
    </row>
    <row r="218" spans="3:54" s="17" customFormat="1" x14ac:dyDescent="0.25">
      <c r="C218" s="215"/>
      <c r="D218" s="216"/>
      <c r="E218" s="88"/>
      <c r="F218" s="217"/>
      <c r="G218" s="234"/>
      <c r="H218" s="218"/>
      <c r="I218" s="76"/>
      <c r="J218" s="77"/>
      <c r="K218" s="76"/>
      <c r="L218" s="78"/>
      <c r="M218" s="78"/>
      <c r="N218" s="76" t="s">
        <v>39</v>
      </c>
      <c r="O218" s="110"/>
      <c r="P218" s="152"/>
      <c r="Q218" s="111" t="str">
        <f>IFERROR(MIN(VLOOKUP(ROUNDDOWN(P218,0),'Aide calcul'!$B$2:$C$282,2,FALSE),O218+1),"")</f>
        <v/>
      </c>
      <c r="R218" s="112" t="str">
        <f t="shared" si="41"/>
        <v/>
      </c>
      <c r="S218" s="152"/>
      <c r="T218" s="152"/>
      <c r="U218" s="152"/>
      <c r="V218" s="152"/>
      <c r="W218" s="152"/>
      <c r="X218" s="152"/>
      <c r="Y218" s="152"/>
      <c r="Z218" s="76"/>
      <c r="AA218" s="76"/>
      <c r="AB218" s="113" t="str">
        <f>IF(C218="3111. Logements",ROUND(VLOOKUP(C218,'Informations générales'!$C$66:$E$70,3,FALSE)*(AL218/$AM$28)/12,0)*12,IF(C218="3112. Logements",ROUND(VLOOKUP(C218,'Informations générales'!$C$66:$E$70,3,FALSE)*(AL218/$AN$28)/12,0)*12,IF(C218="3113. Logements",ROUND(VLOOKUP(C218,'Informations générales'!$C$66:$E$70,3,FALSE)*(AL218/$AO$28)/12,0)*12,IF(C218="3114. Logements",ROUND(VLOOKUP(C218,'Informations générales'!$C$66:$E$70,3,FALSE)*(AL218/$AP$28)/12,0)*12,IF(C218="3115. Logements",ROUND(VLOOKUP(C218,'Informations générales'!$C$66:$E$70,3,FALSE)*(AL218/$AQ$28)/12,0)*12,"")))))</f>
        <v/>
      </c>
      <c r="AC218" s="114"/>
      <c r="AD218" s="113">
        <f t="shared" si="42"/>
        <v>0</v>
      </c>
      <c r="AE218" s="114"/>
      <c r="AF218" s="203" t="str">
        <f>IF(C218="3111. Logements",ROUND(VLOOKUP(C218,'Informations générales'!$C$66:$E$70,3,FALSE)*(AL218/$AM$28)/12,0)*12,IF(C218="3112. Logements",ROUND(VLOOKUP(C218,'Informations générales'!$C$66:$E$70,3,FALSE)*(AL218/$AN$28)/12,0)*12,IF(C218="3113. Logements",ROUND(VLOOKUP(C218,'Informations générales'!$C$66:$E$70,3,FALSE)*(AL218/$AO$28)/12,0)*12,IF(C218="3114. Logements",ROUND(VLOOKUP(C218,'Informations générales'!$C$66:$E$70,3,FALSE)*(AL218/$AP$28)/12,0)*12,IF(C218="3115. Logements",ROUND(VLOOKUP(C218,'Informations générales'!$C$66:$E$70,3,FALSE)*(AL218/$AQ$28)/12,0)*12,"")))))</f>
        <v/>
      </c>
      <c r="AG218" s="202"/>
      <c r="AH218" s="113" t="str">
        <f>IF(C218="3111. Logements",ROUND(VLOOKUP(C218,'Informations générales'!$C$66:$H$70,5,FALSE)*(AL218/$AM$28)/12,0)*12,IF(C218="3112. Logements",ROUND(VLOOKUP(C218,'Informations générales'!$C$66:$H$70,5,FALSE)*(AL218/$AN$28)/12,0)*12,IF(C218="3113. Logements",ROUND(VLOOKUP(C218,'Informations générales'!$C$66:$H$70,5,FALSE)*(AL218/$AO$28)/12,0)*12,IF(C218="3114. Logements",ROUND(VLOOKUP(C218,'Informations générales'!$C$66:$H$70,5,FALSE)*(AL218/$AP$28)/12,0)*12,IF(C218="3115. Logements",ROUND(VLOOKUP(C218,'Informations générales'!$C$66:$H$70,5,FALSE)*(AL218/$AQ$28)/12,0)*12,"")))))</f>
        <v/>
      </c>
      <c r="AI218" s="114"/>
      <c r="AJ218" s="114"/>
      <c r="AK218" s="76"/>
      <c r="AL218" s="58">
        <f t="shared" si="43"/>
        <v>0</v>
      </c>
      <c r="AM218" s="58"/>
      <c r="AN218" s="58"/>
      <c r="AO218" s="58"/>
      <c r="AP218" s="58"/>
      <c r="AQ218" s="58"/>
      <c r="AR218" s="58">
        <f t="shared" si="31"/>
        <v>0</v>
      </c>
      <c r="AS218" s="58">
        <f t="shared" si="32"/>
        <v>0</v>
      </c>
      <c r="AT218" s="58">
        <f t="shared" si="33"/>
        <v>0</v>
      </c>
      <c r="AU218" s="58">
        <f t="shared" si="34"/>
        <v>0</v>
      </c>
      <c r="AV218" s="58">
        <f t="shared" si="35"/>
        <v>0</v>
      </c>
      <c r="AW218" s="58">
        <f t="shared" si="36"/>
        <v>0</v>
      </c>
      <c r="AX218" s="58">
        <f t="shared" si="37"/>
        <v>0</v>
      </c>
      <c r="AY218" s="58">
        <f t="shared" si="44"/>
        <v>0</v>
      </c>
      <c r="AZ218" s="62">
        <f t="shared" si="38"/>
        <v>0</v>
      </c>
      <c r="BA218" s="63">
        <f t="shared" si="39"/>
        <v>0</v>
      </c>
      <c r="BB218" s="63">
        <f t="shared" si="40"/>
        <v>0</v>
      </c>
    </row>
    <row r="219" spans="3:54" s="17" customFormat="1" x14ac:dyDescent="0.25">
      <c r="C219" s="215"/>
      <c r="D219" s="216"/>
      <c r="E219" s="88"/>
      <c r="F219" s="217"/>
      <c r="G219" s="234"/>
      <c r="H219" s="218"/>
      <c r="I219" s="76"/>
      <c r="J219" s="77"/>
      <c r="K219" s="76"/>
      <c r="L219" s="78"/>
      <c r="M219" s="78"/>
      <c r="N219" s="76" t="s">
        <v>39</v>
      </c>
      <c r="O219" s="110"/>
      <c r="P219" s="152"/>
      <c r="Q219" s="111" t="str">
        <f>IFERROR(MIN(VLOOKUP(ROUNDDOWN(P219,0),'Aide calcul'!$B$2:$C$282,2,FALSE),O219+1),"")</f>
        <v/>
      </c>
      <c r="R219" s="112" t="str">
        <f t="shared" si="41"/>
        <v/>
      </c>
      <c r="S219" s="152"/>
      <c r="T219" s="152"/>
      <c r="U219" s="152"/>
      <c r="V219" s="152"/>
      <c r="W219" s="152"/>
      <c r="X219" s="152"/>
      <c r="Y219" s="152"/>
      <c r="Z219" s="76"/>
      <c r="AA219" s="76"/>
      <c r="AB219" s="113" t="str">
        <f>IF(C219="3111. Logements",ROUND(VLOOKUP(C219,'Informations générales'!$C$66:$E$70,3,FALSE)*(AL219/$AM$28)/12,0)*12,IF(C219="3112. Logements",ROUND(VLOOKUP(C219,'Informations générales'!$C$66:$E$70,3,FALSE)*(AL219/$AN$28)/12,0)*12,IF(C219="3113. Logements",ROUND(VLOOKUP(C219,'Informations générales'!$C$66:$E$70,3,FALSE)*(AL219/$AO$28)/12,0)*12,IF(C219="3114. Logements",ROUND(VLOOKUP(C219,'Informations générales'!$C$66:$E$70,3,FALSE)*(AL219/$AP$28)/12,0)*12,IF(C219="3115. Logements",ROUND(VLOOKUP(C219,'Informations générales'!$C$66:$E$70,3,FALSE)*(AL219/$AQ$28)/12,0)*12,"")))))</f>
        <v/>
      </c>
      <c r="AC219" s="114"/>
      <c r="AD219" s="113">
        <f t="shared" si="42"/>
        <v>0</v>
      </c>
      <c r="AE219" s="114"/>
      <c r="AF219" s="203" t="str">
        <f>IF(C219="3111. Logements",ROUND(VLOOKUP(C219,'Informations générales'!$C$66:$E$70,3,FALSE)*(AL219/$AM$28)/12,0)*12,IF(C219="3112. Logements",ROUND(VLOOKUP(C219,'Informations générales'!$C$66:$E$70,3,FALSE)*(AL219/$AN$28)/12,0)*12,IF(C219="3113. Logements",ROUND(VLOOKUP(C219,'Informations générales'!$C$66:$E$70,3,FALSE)*(AL219/$AO$28)/12,0)*12,IF(C219="3114. Logements",ROUND(VLOOKUP(C219,'Informations générales'!$C$66:$E$70,3,FALSE)*(AL219/$AP$28)/12,0)*12,IF(C219="3115. Logements",ROUND(VLOOKUP(C219,'Informations générales'!$C$66:$E$70,3,FALSE)*(AL219/$AQ$28)/12,0)*12,"")))))</f>
        <v/>
      </c>
      <c r="AG219" s="202"/>
      <c r="AH219" s="113" t="str">
        <f>IF(C219="3111. Logements",ROUND(VLOOKUP(C219,'Informations générales'!$C$66:$H$70,5,FALSE)*(AL219/$AM$28)/12,0)*12,IF(C219="3112. Logements",ROUND(VLOOKUP(C219,'Informations générales'!$C$66:$H$70,5,FALSE)*(AL219/$AN$28)/12,0)*12,IF(C219="3113. Logements",ROUND(VLOOKUP(C219,'Informations générales'!$C$66:$H$70,5,FALSE)*(AL219/$AO$28)/12,0)*12,IF(C219="3114. Logements",ROUND(VLOOKUP(C219,'Informations générales'!$C$66:$H$70,5,FALSE)*(AL219/$AP$28)/12,0)*12,IF(C219="3115. Logements",ROUND(VLOOKUP(C219,'Informations générales'!$C$66:$H$70,5,FALSE)*(AL219/$AQ$28)/12,0)*12,"")))))</f>
        <v/>
      </c>
      <c r="AI219" s="114"/>
      <c r="AJ219" s="114"/>
      <c r="AK219" s="76"/>
      <c r="AL219" s="58">
        <f t="shared" si="43"/>
        <v>0</v>
      </c>
      <c r="AM219" s="58"/>
      <c r="AN219" s="58"/>
      <c r="AO219" s="58"/>
      <c r="AP219" s="58"/>
      <c r="AQ219" s="58"/>
      <c r="AR219" s="58">
        <f t="shared" si="31"/>
        <v>0</v>
      </c>
      <c r="AS219" s="58">
        <f t="shared" si="32"/>
        <v>0</v>
      </c>
      <c r="AT219" s="58">
        <f t="shared" si="33"/>
        <v>0</v>
      </c>
      <c r="AU219" s="58">
        <f t="shared" si="34"/>
        <v>0</v>
      </c>
      <c r="AV219" s="58">
        <f t="shared" si="35"/>
        <v>0</v>
      </c>
      <c r="AW219" s="58">
        <f t="shared" si="36"/>
        <v>0</v>
      </c>
      <c r="AX219" s="58">
        <f t="shared" si="37"/>
        <v>0</v>
      </c>
      <c r="AY219" s="58">
        <f t="shared" si="44"/>
        <v>0</v>
      </c>
      <c r="AZ219" s="62">
        <f t="shared" si="38"/>
        <v>0</v>
      </c>
      <c r="BA219" s="63">
        <f t="shared" si="39"/>
        <v>0</v>
      </c>
      <c r="BB219" s="63">
        <f t="shared" si="40"/>
        <v>0</v>
      </c>
    </row>
    <row r="220" spans="3:54" s="17" customFormat="1" x14ac:dyDescent="0.25">
      <c r="C220" s="215"/>
      <c r="D220" s="216"/>
      <c r="E220" s="88"/>
      <c r="F220" s="217"/>
      <c r="G220" s="234"/>
      <c r="H220" s="218"/>
      <c r="I220" s="76"/>
      <c r="J220" s="77"/>
      <c r="K220" s="76"/>
      <c r="L220" s="78"/>
      <c r="M220" s="78"/>
      <c r="N220" s="76" t="s">
        <v>39</v>
      </c>
      <c r="O220" s="110"/>
      <c r="P220" s="152"/>
      <c r="Q220" s="111" t="str">
        <f>IFERROR(MIN(VLOOKUP(ROUNDDOWN(P220,0),'Aide calcul'!$B$2:$C$282,2,FALSE),O220+1),"")</f>
        <v/>
      </c>
      <c r="R220" s="112" t="str">
        <f t="shared" si="41"/>
        <v/>
      </c>
      <c r="S220" s="152"/>
      <c r="T220" s="152"/>
      <c r="U220" s="152"/>
      <c r="V220" s="152"/>
      <c r="W220" s="152"/>
      <c r="X220" s="152"/>
      <c r="Y220" s="152"/>
      <c r="Z220" s="76"/>
      <c r="AA220" s="76"/>
      <c r="AB220" s="113" t="str">
        <f>IF(C220="3111. Logements",ROUND(VLOOKUP(C220,'Informations générales'!$C$66:$E$70,3,FALSE)*(AL220/$AM$28)/12,0)*12,IF(C220="3112. Logements",ROUND(VLOOKUP(C220,'Informations générales'!$C$66:$E$70,3,FALSE)*(AL220/$AN$28)/12,0)*12,IF(C220="3113. Logements",ROUND(VLOOKUP(C220,'Informations générales'!$C$66:$E$70,3,FALSE)*(AL220/$AO$28)/12,0)*12,IF(C220="3114. Logements",ROUND(VLOOKUP(C220,'Informations générales'!$C$66:$E$70,3,FALSE)*(AL220/$AP$28)/12,0)*12,IF(C220="3115. Logements",ROUND(VLOOKUP(C220,'Informations générales'!$C$66:$E$70,3,FALSE)*(AL220/$AQ$28)/12,0)*12,"")))))</f>
        <v/>
      </c>
      <c r="AC220" s="114"/>
      <c r="AD220" s="113">
        <f t="shared" si="42"/>
        <v>0</v>
      </c>
      <c r="AE220" s="114"/>
      <c r="AF220" s="203" t="str">
        <f>IF(C220="3111. Logements",ROUND(VLOOKUP(C220,'Informations générales'!$C$66:$E$70,3,FALSE)*(AL220/$AM$28)/12,0)*12,IF(C220="3112. Logements",ROUND(VLOOKUP(C220,'Informations générales'!$C$66:$E$70,3,FALSE)*(AL220/$AN$28)/12,0)*12,IF(C220="3113. Logements",ROUND(VLOOKUP(C220,'Informations générales'!$C$66:$E$70,3,FALSE)*(AL220/$AO$28)/12,0)*12,IF(C220="3114. Logements",ROUND(VLOOKUP(C220,'Informations générales'!$C$66:$E$70,3,FALSE)*(AL220/$AP$28)/12,0)*12,IF(C220="3115. Logements",ROUND(VLOOKUP(C220,'Informations générales'!$C$66:$E$70,3,FALSE)*(AL220/$AQ$28)/12,0)*12,"")))))</f>
        <v/>
      </c>
      <c r="AG220" s="202"/>
      <c r="AH220" s="113" t="str">
        <f>IF(C220="3111. Logements",ROUND(VLOOKUP(C220,'Informations générales'!$C$66:$H$70,5,FALSE)*(AL220/$AM$28)/12,0)*12,IF(C220="3112. Logements",ROUND(VLOOKUP(C220,'Informations générales'!$C$66:$H$70,5,FALSE)*(AL220/$AN$28)/12,0)*12,IF(C220="3113. Logements",ROUND(VLOOKUP(C220,'Informations générales'!$C$66:$H$70,5,FALSE)*(AL220/$AO$28)/12,0)*12,IF(C220="3114. Logements",ROUND(VLOOKUP(C220,'Informations générales'!$C$66:$H$70,5,FALSE)*(AL220/$AP$28)/12,0)*12,IF(C220="3115. Logements",ROUND(VLOOKUP(C220,'Informations générales'!$C$66:$H$70,5,FALSE)*(AL220/$AQ$28)/12,0)*12,"")))))</f>
        <v/>
      </c>
      <c r="AI220" s="114"/>
      <c r="AJ220" s="114"/>
      <c r="AK220" s="76"/>
      <c r="AL220" s="58">
        <f t="shared" si="43"/>
        <v>0</v>
      </c>
      <c r="AM220" s="58"/>
      <c r="AN220" s="58"/>
      <c r="AO220" s="58"/>
      <c r="AP220" s="58"/>
      <c r="AQ220" s="58"/>
      <c r="AR220" s="58">
        <f t="shared" ref="AR220:AR283" si="45">S220*$E$13</f>
        <v>0</v>
      </c>
      <c r="AS220" s="58">
        <f t="shared" ref="AS220:AS283" si="46">T220*$E$14</f>
        <v>0</v>
      </c>
      <c r="AT220" s="58">
        <f t="shared" ref="AT220:AT283" si="47">U220*$E$15</f>
        <v>0</v>
      </c>
      <c r="AU220" s="58">
        <f t="shared" ref="AU220:AU283" si="48">V220*$E$16</f>
        <v>0</v>
      </c>
      <c r="AV220" s="58">
        <f t="shared" ref="AV220:AV283" si="49">W220*$E$17</f>
        <v>0</v>
      </c>
      <c r="AW220" s="58">
        <f t="shared" ref="AW220:AW283" si="50">X220*$E$18</f>
        <v>0</v>
      </c>
      <c r="AX220" s="58">
        <f t="shared" ref="AX220:AX283" si="51">Y220*$E$19</f>
        <v>0</v>
      </c>
      <c r="AY220" s="58">
        <f t="shared" si="44"/>
        <v>0</v>
      </c>
      <c r="AZ220" s="62">
        <f t="shared" ref="AZ220:AZ283" si="52">IFERROR(I220*$E$12,0)</f>
        <v>0</v>
      </c>
      <c r="BA220" s="63">
        <f t="shared" ref="BA220:BA283" si="53">IFERROR(VLOOKUP(Z220,$H$12:$I$22,2,FALSE),0)</f>
        <v>0</v>
      </c>
      <c r="BB220" s="63">
        <f t="shared" ref="BB220:BB283" si="54">IFERROR(VLOOKUP(AA220,$L$12:$N$19,3,FALSE),0)</f>
        <v>0</v>
      </c>
    </row>
    <row r="221" spans="3:54" s="17" customFormat="1" x14ac:dyDescent="0.25">
      <c r="C221" s="215"/>
      <c r="D221" s="216"/>
      <c r="E221" s="88"/>
      <c r="F221" s="217"/>
      <c r="G221" s="234"/>
      <c r="H221" s="218"/>
      <c r="I221" s="76"/>
      <c r="J221" s="77"/>
      <c r="K221" s="76"/>
      <c r="L221" s="78"/>
      <c r="M221" s="78"/>
      <c r="N221" s="76" t="s">
        <v>39</v>
      </c>
      <c r="O221" s="110"/>
      <c r="P221" s="152"/>
      <c r="Q221" s="111" t="str">
        <f>IFERROR(MIN(VLOOKUP(ROUNDDOWN(P221,0),'Aide calcul'!$B$2:$C$282,2,FALSE),O221+1),"")</f>
        <v/>
      </c>
      <c r="R221" s="112" t="str">
        <f t="shared" ref="R221:R284" si="55">IFERROR(TRUNC(Q221-0.5),"")</f>
        <v/>
      </c>
      <c r="S221" s="152"/>
      <c r="T221" s="152"/>
      <c r="U221" s="152"/>
      <c r="V221" s="152"/>
      <c r="W221" s="152"/>
      <c r="X221" s="152"/>
      <c r="Y221" s="152"/>
      <c r="Z221" s="76"/>
      <c r="AA221" s="76"/>
      <c r="AB221" s="113" t="str">
        <f>IF(C221="3111. Logements",ROUND(VLOOKUP(C221,'Informations générales'!$C$66:$E$70,3,FALSE)*(AL221/$AM$28)/12,0)*12,IF(C221="3112. Logements",ROUND(VLOOKUP(C221,'Informations générales'!$C$66:$E$70,3,FALSE)*(AL221/$AN$28)/12,0)*12,IF(C221="3113. Logements",ROUND(VLOOKUP(C221,'Informations générales'!$C$66:$E$70,3,FALSE)*(AL221/$AO$28)/12,0)*12,IF(C221="3114. Logements",ROUND(VLOOKUP(C221,'Informations générales'!$C$66:$E$70,3,FALSE)*(AL221/$AP$28)/12,0)*12,IF(C221="3115. Logements",ROUND(VLOOKUP(C221,'Informations générales'!$C$66:$E$70,3,FALSE)*(AL221/$AQ$28)/12,0)*12,"")))))</f>
        <v/>
      </c>
      <c r="AC221" s="114"/>
      <c r="AD221" s="113">
        <f t="shared" ref="AD221:AD284" si="56">MIN(AB221,AC221)</f>
        <v>0</v>
      </c>
      <c r="AE221" s="114"/>
      <c r="AF221" s="203" t="str">
        <f>IF(C221="3111. Logements",ROUND(VLOOKUP(C221,'Informations générales'!$C$66:$E$70,3,FALSE)*(AL221/$AM$28)/12,0)*12,IF(C221="3112. Logements",ROUND(VLOOKUP(C221,'Informations générales'!$C$66:$E$70,3,FALSE)*(AL221/$AN$28)/12,0)*12,IF(C221="3113. Logements",ROUND(VLOOKUP(C221,'Informations générales'!$C$66:$E$70,3,FALSE)*(AL221/$AO$28)/12,0)*12,IF(C221="3114. Logements",ROUND(VLOOKUP(C221,'Informations générales'!$C$66:$E$70,3,FALSE)*(AL221/$AP$28)/12,0)*12,IF(C221="3115. Logements",ROUND(VLOOKUP(C221,'Informations générales'!$C$66:$E$70,3,FALSE)*(AL221/$AQ$28)/12,0)*12,"")))))</f>
        <v/>
      </c>
      <c r="AG221" s="202"/>
      <c r="AH221" s="113" t="str">
        <f>IF(C221="3111. Logements",ROUND(VLOOKUP(C221,'Informations générales'!$C$66:$H$70,5,FALSE)*(AL221/$AM$28)/12,0)*12,IF(C221="3112. Logements",ROUND(VLOOKUP(C221,'Informations générales'!$C$66:$H$70,5,FALSE)*(AL221/$AN$28)/12,0)*12,IF(C221="3113. Logements",ROUND(VLOOKUP(C221,'Informations générales'!$C$66:$H$70,5,FALSE)*(AL221/$AO$28)/12,0)*12,IF(C221="3114. Logements",ROUND(VLOOKUP(C221,'Informations générales'!$C$66:$H$70,5,FALSE)*(AL221/$AP$28)/12,0)*12,IF(C221="3115. Logements",ROUND(VLOOKUP(C221,'Informations générales'!$C$66:$H$70,5,FALSE)*(AL221/$AQ$28)/12,0)*12,"")))))</f>
        <v/>
      </c>
      <c r="AI221" s="114"/>
      <c r="AJ221" s="114"/>
      <c r="AK221" s="76"/>
      <c r="AL221" s="58">
        <f t="shared" ref="AL221:AL284" si="57">AY221*(SUM(1,AZ221,BA221,BB221))</f>
        <v>0</v>
      </c>
      <c r="AM221" s="58"/>
      <c r="AN221" s="58"/>
      <c r="AO221" s="58"/>
      <c r="AP221" s="58"/>
      <c r="AQ221" s="58"/>
      <c r="AR221" s="58">
        <f t="shared" si="45"/>
        <v>0</v>
      </c>
      <c r="AS221" s="58">
        <f t="shared" si="46"/>
        <v>0</v>
      </c>
      <c r="AT221" s="58">
        <f t="shared" si="47"/>
        <v>0</v>
      </c>
      <c r="AU221" s="58">
        <f t="shared" si="48"/>
        <v>0</v>
      </c>
      <c r="AV221" s="58">
        <f t="shared" si="49"/>
        <v>0</v>
      </c>
      <c r="AW221" s="58">
        <f t="shared" si="50"/>
        <v>0</v>
      </c>
      <c r="AX221" s="58">
        <f t="shared" si="51"/>
        <v>0</v>
      </c>
      <c r="AY221" s="58">
        <f t="shared" ref="AY221:AY284" si="58">SUM(AR221:AX221)</f>
        <v>0</v>
      </c>
      <c r="AZ221" s="62">
        <f t="shared" si="52"/>
        <v>0</v>
      </c>
      <c r="BA221" s="63">
        <f t="shared" si="53"/>
        <v>0</v>
      </c>
      <c r="BB221" s="63">
        <f t="shared" si="54"/>
        <v>0</v>
      </c>
    </row>
    <row r="222" spans="3:54" s="17" customFormat="1" x14ac:dyDescent="0.25">
      <c r="C222" s="215"/>
      <c r="D222" s="216"/>
      <c r="E222" s="88"/>
      <c r="F222" s="217"/>
      <c r="G222" s="234"/>
      <c r="H222" s="218"/>
      <c r="I222" s="76"/>
      <c r="J222" s="77"/>
      <c r="K222" s="76"/>
      <c r="L222" s="78"/>
      <c r="M222" s="78"/>
      <c r="N222" s="76" t="s">
        <v>39</v>
      </c>
      <c r="O222" s="110"/>
      <c r="P222" s="152"/>
      <c r="Q222" s="111" t="str">
        <f>IFERROR(MIN(VLOOKUP(ROUNDDOWN(P222,0),'Aide calcul'!$B$2:$C$282,2,FALSE),O222+1),"")</f>
        <v/>
      </c>
      <c r="R222" s="112" t="str">
        <f t="shared" si="55"/>
        <v/>
      </c>
      <c r="S222" s="152"/>
      <c r="T222" s="152"/>
      <c r="U222" s="152"/>
      <c r="V222" s="152"/>
      <c r="W222" s="152"/>
      <c r="X222" s="152"/>
      <c r="Y222" s="152"/>
      <c r="Z222" s="76"/>
      <c r="AA222" s="76"/>
      <c r="AB222" s="113" t="str">
        <f>IF(C222="3111. Logements",ROUND(VLOOKUP(C222,'Informations générales'!$C$66:$E$70,3,FALSE)*(AL222/$AM$28)/12,0)*12,IF(C222="3112. Logements",ROUND(VLOOKUP(C222,'Informations générales'!$C$66:$E$70,3,FALSE)*(AL222/$AN$28)/12,0)*12,IF(C222="3113. Logements",ROUND(VLOOKUP(C222,'Informations générales'!$C$66:$E$70,3,FALSE)*(AL222/$AO$28)/12,0)*12,IF(C222="3114. Logements",ROUND(VLOOKUP(C222,'Informations générales'!$C$66:$E$70,3,FALSE)*(AL222/$AP$28)/12,0)*12,IF(C222="3115. Logements",ROUND(VLOOKUP(C222,'Informations générales'!$C$66:$E$70,3,FALSE)*(AL222/$AQ$28)/12,0)*12,"")))))</f>
        <v/>
      </c>
      <c r="AC222" s="114"/>
      <c r="AD222" s="113">
        <f t="shared" si="56"/>
        <v>0</v>
      </c>
      <c r="AE222" s="114"/>
      <c r="AF222" s="203" t="str">
        <f>IF(C222="3111. Logements",ROUND(VLOOKUP(C222,'Informations générales'!$C$66:$E$70,3,FALSE)*(AL222/$AM$28)/12,0)*12,IF(C222="3112. Logements",ROUND(VLOOKUP(C222,'Informations générales'!$C$66:$E$70,3,FALSE)*(AL222/$AN$28)/12,0)*12,IF(C222="3113. Logements",ROUND(VLOOKUP(C222,'Informations générales'!$C$66:$E$70,3,FALSE)*(AL222/$AO$28)/12,0)*12,IF(C222="3114. Logements",ROUND(VLOOKUP(C222,'Informations générales'!$C$66:$E$70,3,FALSE)*(AL222/$AP$28)/12,0)*12,IF(C222="3115. Logements",ROUND(VLOOKUP(C222,'Informations générales'!$C$66:$E$70,3,FALSE)*(AL222/$AQ$28)/12,0)*12,"")))))</f>
        <v/>
      </c>
      <c r="AG222" s="202"/>
      <c r="AH222" s="113" t="str">
        <f>IF(C222="3111. Logements",ROUND(VLOOKUP(C222,'Informations générales'!$C$66:$H$70,5,FALSE)*(AL222/$AM$28)/12,0)*12,IF(C222="3112. Logements",ROUND(VLOOKUP(C222,'Informations générales'!$C$66:$H$70,5,FALSE)*(AL222/$AN$28)/12,0)*12,IF(C222="3113. Logements",ROUND(VLOOKUP(C222,'Informations générales'!$C$66:$H$70,5,FALSE)*(AL222/$AO$28)/12,0)*12,IF(C222="3114. Logements",ROUND(VLOOKUP(C222,'Informations générales'!$C$66:$H$70,5,FALSE)*(AL222/$AP$28)/12,0)*12,IF(C222="3115. Logements",ROUND(VLOOKUP(C222,'Informations générales'!$C$66:$H$70,5,FALSE)*(AL222/$AQ$28)/12,0)*12,"")))))</f>
        <v/>
      </c>
      <c r="AI222" s="114"/>
      <c r="AJ222" s="114"/>
      <c r="AK222" s="76"/>
      <c r="AL222" s="58">
        <f t="shared" si="57"/>
        <v>0</v>
      </c>
      <c r="AM222" s="58"/>
      <c r="AN222" s="58"/>
      <c r="AO222" s="58"/>
      <c r="AP222" s="58"/>
      <c r="AQ222" s="58"/>
      <c r="AR222" s="58">
        <f t="shared" si="45"/>
        <v>0</v>
      </c>
      <c r="AS222" s="58">
        <f t="shared" si="46"/>
        <v>0</v>
      </c>
      <c r="AT222" s="58">
        <f t="shared" si="47"/>
        <v>0</v>
      </c>
      <c r="AU222" s="58">
        <f t="shared" si="48"/>
        <v>0</v>
      </c>
      <c r="AV222" s="58">
        <f t="shared" si="49"/>
        <v>0</v>
      </c>
      <c r="AW222" s="58">
        <f t="shared" si="50"/>
        <v>0</v>
      </c>
      <c r="AX222" s="58">
        <f t="shared" si="51"/>
        <v>0</v>
      </c>
      <c r="AY222" s="58">
        <f t="shared" si="58"/>
        <v>0</v>
      </c>
      <c r="AZ222" s="62">
        <f t="shared" si="52"/>
        <v>0</v>
      </c>
      <c r="BA222" s="63">
        <f t="shared" si="53"/>
        <v>0</v>
      </c>
      <c r="BB222" s="63">
        <f t="shared" si="54"/>
        <v>0</v>
      </c>
    </row>
    <row r="223" spans="3:54" s="17" customFormat="1" x14ac:dyDescent="0.25">
      <c r="C223" s="215"/>
      <c r="D223" s="216"/>
      <c r="E223" s="88"/>
      <c r="F223" s="217"/>
      <c r="G223" s="234"/>
      <c r="H223" s="218"/>
      <c r="I223" s="76"/>
      <c r="J223" s="77"/>
      <c r="K223" s="76"/>
      <c r="L223" s="78"/>
      <c r="M223" s="78"/>
      <c r="N223" s="76" t="s">
        <v>39</v>
      </c>
      <c r="O223" s="110"/>
      <c r="P223" s="152"/>
      <c r="Q223" s="111" t="str">
        <f>IFERROR(MIN(VLOOKUP(ROUNDDOWN(P223,0),'Aide calcul'!$B$2:$C$282,2,FALSE),O223+1),"")</f>
        <v/>
      </c>
      <c r="R223" s="112" t="str">
        <f t="shared" si="55"/>
        <v/>
      </c>
      <c r="S223" s="152"/>
      <c r="T223" s="152"/>
      <c r="U223" s="152"/>
      <c r="V223" s="152"/>
      <c r="W223" s="152"/>
      <c r="X223" s="152"/>
      <c r="Y223" s="152"/>
      <c r="Z223" s="76"/>
      <c r="AA223" s="76"/>
      <c r="AB223" s="113" t="str">
        <f>IF(C223="3111. Logements",ROUND(VLOOKUP(C223,'Informations générales'!$C$66:$E$70,3,FALSE)*(AL223/$AM$28)/12,0)*12,IF(C223="3112. Logements",ROUND(VLOOKUP(C223,'Informations générales'!$C$66:$E$70,3,FALSE)*(AL223/$AN$28)/12,0)*12,IF(C223="3113. Logements",ROUND(VLOOKUP(C223,'Informations générales'!$C$66:$E$70,3,FALSE)*(AL223/$AO$28)/12,0)*12,IF(C223="3114. Logements",ROUND(VLOOKUP(C223,'Informations générales'!$C$66:$E$70,3,FALSE)*(AL223/$AP$28)/12,0)*12,IF(C223="3115. Logements",ROUND(VLOOKUP(C223,'Informations générales'!$C$66:$E$70,3,FALSE)*(AL223/$AQ$28)/12,0)*12,"")))))</f>
        <v/>
      </c>
      <c r="AC223" s="114"/>
      <c r="AD223" s="113">
        <f t="shared" si="56"/>
        <v>0</v>
      </c>
      <c r="AE223" s="114"/>
      <c r="AF223" s="203" t="str">
        <f>IF(C223="3111. Logements",ROUND(VLOOKUP(C223,'Informations générales'!$C$66:$E$70,3,FALSE)*(AL223/$AM$28)/12,0)*12,IF(C223="3112. Logements",ROUND(VLOOKUP(C223,'Informations générales'!$C$66:$E$70,3,FALSE)*(AL223/$AN$28)/12,0)*12,IF(C223="3113. Logements",ROUND(VLOOKUP(C223,'Informations générales'!$C$66:$E$70,3,FALSE)*(AL223/$AO$28)/12,0)*12,IF(C223="3114. Logements",ROUND(VLOOKUP(C223,'Informations générales'!$C$66:$E$70,3,FALSE)*(AL223/$AP$28)/12,0)*12,IF(C223="3115. Logements",ROUND(VLOOKUP(C223,'Informations générales'!$C$66:$E$70,3,FALSE)*(AL223/$AQ$28)/12,0)*12,"")))))</f>
        <v/>
      </c>
      <c r="AG223" s="202"/>
      <c r="AH223" s="113" t="str">
        <f>IF(C223="3111. Logements",ROUND(VLOOKUP(C223,'Informations générales'!$C$66:$H$70,5,FALSE)*(AL223/$AM$28)/12,0)*12,IF(C223="3112. Logements",ROUND(VLOOKUP(C223,'Informations générales'!$C$66:$H$70,5,FALSE)*(AL223/$AN$28)/12,0)*12,IF(C223="3113. Logements",ROUND(VLOOKUP(C223,'Informations générales'!$C$66:$H$70,5,FALSE)*(AL223/$AO$28)/12,0)*12,IF(C223="3114. Logements",ROUND(VLOOKUP(C223,'Informations générales'!$C$66:$H$70,5,FALSE)*(AL223/$AP$28)/12,0)*12,IF(C223="3115. Logements",ROUND(VLOOKUP(C223,'Informations générales'!$C$66:$H$70,5,FALSE)*(AL223/$AQ$28)/12,0)*12,"")))))</f>
        <v/>
      </c>
      <c r="AI223" s="114"/>
      <c r="AJ223" s="114"/>
      <c r="AK223" s="76"/>
      <c r="AL223" s="58">
        <f t="shared" si="57"/>
        <v>0</v>
      </c>
      <c r="AM223" s="58"/>
      <c r="AN223" s="58"/>
      <c r="AO223" s="58"/>
      <c r="AP223" s="58"/>
      <c r="AQ223" s="58"/>
      <c r="AR223" s="58">
        <f t="shared" si="45"/>
        <v>0</v>
      </c>
      <c r="AS223" s="58">
        <f t="shared" si="46"/>
        <v>0</v>
      </c>
      <c r="AT223" s="58">
        <f t="shared" si="47"/>
        <v>0</v>
      </c>
      <c r="AU223" s="58">
        <f t="shared" si="48"/>
        <v>0</v>
      </c>
      <c r="AV223" s="58">
        <f t="shared" si="49"/>
        <v>0</v>
      </c>
      <c r="AW223" s="58">
        <f t="shared" si="50"/>
        <v>0</v>
      </c>
      <c r="AX223" s="58">
        <f t="shared" si="51"/>
        <v>0</v>
      </c>
      <c r="AY223" s="58">
        <f t="shared" si="58"/>
        <v>0</v>
      </c>
      <c r="AZ223" s="62">
        <f t="shared" si="52"/>
        <v>0</v>
      </c>
      <c r="BA223" s="63">
        <f t="shared" si="53"/>
        <v>0</v>
      </c>
      <c r="BB223" s="63">
        <f t="shared" si="54"/>
        <v>0</v>
      </c>
    </row>
    <row r="224" spans="3:54" s="17" customFormat="1" x14ac:dyDescent="0.25">
      <c r="C224" s="215"/>
      <c r="D224" s="216"/>
      <c r="E224" s="88"/>
      <c r="F224" s="217"/>
      <c r="G224" s="234"/>
      <c r="H224" s="218"/>
      <c r="I224" s="76"/>
      <c r="J224" s="77"/>
      <c r="K224" s="76"/>
      <c r="L224" s="78"/>
      <c r="M224" s="78"/>
      <c r="N224" s="76" t="s">
        <v>39</v>
      </c>
      <c r="O224" s="110"/>
      <c r="P224" s="152"/>
      <c r="Q224" s="111" t="str">
        <f>IFERROR(MIN(VLOOKUP(ROUNDDOWN(P224,0),'Aide calcul'!$B$2:$C$282,2,FALSE),O224+1),"")</f>
        <v/>
      </c>
      <c r="R224" s="112" t="str">
        <f t="shared" si="55"/>
        <v/>
      </c>
      <c r="S224" s="152"/>
      <c r="T224" s="152"/>
      <c r="U224" s="152"/>
      <c r="V224" s="152"/>
      <c r="W224" s="152"/>
      <c r="X224" s="152"/>
      <c r="Y224" s="152"/>
      <c r="Z224" s="76"/>
      <c r="AA224" s="76"/>
      <c r="AB224" s="113" t="str">
        <f>IF(C224="3111. Logements",ROUND(VLOOKUP(C224,'Informations générales'!$C$66:$E$70,3,FALSE)*(AL224/$AM$28)/12,0)*12,IF(C224="3112. Logements",ROUND(VLOOKUP(C224,'Informations générales'!$C$66:$E$70,3,FALSE)*(AL224/$AN$28)/12,0)*12,IF(C224="3113. Logements",ROUND(VLOOKUP(C224,'Informations générales'!$C$66:$E$70,3,FALSE)*(AL224/$AO$28)/12,0)*12,IF(C224="3114. Logements",ROUND(VLOOKUP(C224,'Informations générales'!$C$66:$E$70,3,FALSE)*(AL224/$AP$28)/12,0)*12,IF(C224="3115. Logements",ROUND(VLOOKUP(C224,'Informations générales'!$C$66:$E$70,3,FALSE)*(AL224/$AQ$28)/12,0)*12,"")))))</f>
        <v/>
      </c>
      <c r="AC224" s="114"/>
      <c r="AD224" s="113">
        <f t="shared" si="56"/>
        <v>0</v>
      </c>
      <c r="AE224" s="114"/>
      <c r="AF224" s="203" t="str">
        <f>IF(C224="3111. Logements",ROUND(VLOOKUP(C224,'Informations générales'!$C$66:$E$70,3,FALSE)*(AL224/$AM$28)/12,0)*12,IF(C224="3112. Logements",ROUND(VLOOKUP(C224,'Informations générales'!$C$66:$E$70,3,FALSE)*(AL224/$AN$28)/12,0)*12,IF(C224="3113. Logements",ROUND(VLOOKUP(C224,'Informations générales'!$C$66:$E$70,3,FALSE)*(AL224/$AO$28)/12,0)*12,IF(C224="3114. Logements",ROUND(VLOOKUP(C224,'Informations générales'!$C$66:$E$70,3,FALSE)*(AL224/$AP$28)/12,0)*12,IF(C224="3115. Logements",ROUND(VLOOKUP(C224,'Informations générales'!$C$66:$E$70,3,FALSE)*(AL224/$AQ$28)/12,0)*12,"")))))</f>
        <v/>
      </c>
      <c r="AG224" s="202"/>
      <c r="AH224" s="113" t="str">
        <f>IF(C224="3111. Logements",ROUND(VLOOKUP(C224,'Informations générales'!$C$66:$H$70,5,FALSE)*(AL224/$AM$28)/12,0)*12,IF(C224="3112. Logements",ROUND(VLOOKUP(C224,'Informations générales'!$C$66:$H$70,5,FALSE)*(AL224/$AN$28)/12,0)*12,IF(C224="3113. Logements",ROUND(VLOOKUP(C224,'Informations générales'!$C$66:$H$70,5,FALSE)*(AL224/$AO$28)/12,0)*12,IF(C224="3114. Logements",ROUND(VLOOKUP(C224,'Informations générales'!$C$66:$H$70,5,FALSE)*(AL224/$AP$28)/12,0)*12,IF(C224="3115. Logements",ROUND(VLOOKUP(C224,'Informations générales'!$C$66:$H$70,5,FALSE)*(AL224/$AQ$28)/12,0)*12,"")))))</f>
        <v/>
      </c>
      <c r="AI224" s="114"/>
      <c r="AJ224" s="114"/>
      <c r="AK224" s="76"/>
      <c r="AL224" s="58">
        <f t="shared" si="57"/>
        <v>0</v>
      </c>
      <c r="AM224" s="58"/>
      <c r="AN224" s="58"/>
      <c r="AO224" s="58"/>
      <c r="AP224" s="58"/>
      <c r="AQ224" s="58"/>
      <c r="AR224" s="58">
        <f t="shared" si="45"/>
        <v>0</v>
      </c>
      <c r="AS224" s="58">
        <f t="shared" si="46"/>
        <v>0</v>
      </c>
      <c r="AT224" s="58">
        <f t="shared" si="47"/>
        <v>0</v>
      </c>
      <c r="AU224" s="58">
        <f t="shared" si="48"/>
        <v>0</v>
      </c>
      <c r="AV224" s="58">
        <f t="shared" si="49"/>
        <v>0</v>
      </c>
      <c r="AW224" s="58">
        <f t="shared" si="50"/>
        <v>0</v>
      </c>
      <c r="AX224" s="58">
        <f t="shared" si="51"/>
        <v>0</v>
      </c>
      <c r="AY224" s="58">
        <f t="shared" si="58"/>
        <v>0</v>
      </c>
      <c r="AZ224" s="62">
        <f t="shared" si="52"/>
        <v>0</v>
      </c>
      <c r="BA224" s="63">
        <f t="shared" si="53"/>
        <v>0</v>
      </c>
      <c r="BB224" s="63">
        <f t="shared" si="54"/>
        <v>0</v>
      </c>
    </row>
    <row r="225" spans="3:54" s="17" customFormat="1" x14ac:dyDescent="0.25">
      <c r="C225" s="215"/>
      <c r="D225" s="216"/>
      <c r="E225" s="88"/>
      <c r="F225" s="217"/>
      <c r="G225" s="234"/>
      <c r="H225" s="218"/>
      <c r="I225" s="76"/>
      <c r="J225" s="77"/>
      <c r="K225" s="76"/>
      <c r="L225" s="78"/>
      <c r="M225" s="78"/>
      <c r="N225" s="76" t="s">
        <v>39</v>
      </c>
      <c r="O225" s="110"/>
      <c r="P225" s="152"/>
      <c r="Q225" s="111" t="str">
        <f>IFERROR(MIN(VLOOKUP(ROUNDDOWN(P225,0),'Aide calcul'!$B$2:$C$282,2,FALSE),O225+1),"")</f>
        <v/>
      </c>
      <c r="R225" s="112" t="str">
        <f t="shared" si="55"/>
        <v/>
      </c>
      <c r="S225" s="152"/>
      <c r="T225" s="152"/>
      <c r="U225" s="152"/>
      <c r="V225" s="152"/>
      <c r="W225" s="152"/>
      <c r="X225" s="152"/>
      <c r="Y225" s="152"/>
      <c r="Z225" s="76"/>
      <c r="AA225" s="76"/>
      <c r="AB225" s="113" t="str">
        <f>IF(C225="3111. Logements",ROUND(VLOOKUP(C225,'Informations générales'!$C$66:$E$70,3,FALSE)*(AL225/$AM$28)/12,0)*12,IF(C225="3112. Logements",ROUND(VLOOKUP(C225,'Informations générales'!$C$66:$E$70,3,FALSE)*(AL225/$AN$28)/12,0)*12,IF(C225="3113. Logements",ROUND(VLOOKUP(C225,'Informations générales'!$C$66:$E$70,3,FALSE)*(AL225/$AO$28)/12,0)*12,IF(C225="3114. Logements",ROUND(VLOOKUP(C225,'Informations générales'!$C$66:$E$70,3,FALSE)*(AL225/$AP$28)/12,0)*12,IF(C225="3115. Logements",ROUND(VLOOKUP(C225,'Informations générales'!$C$66:$E$70,3,FALSE)*(AL225/$AQ$28)/12,0)*12,"")))))</f>
        <v/>
      </c>
      <c r="AC225" s="114"/>
      <c r="AD225" s="113">
        <f t="shared" si="56"/>
        <v>0</v>
      </c>
      <c r="AE225" s="114"/>
      <c r="AF225" s="203" t="str">
        <f>IF(C225="3111. Logements",ROUND(VLOOKUP(C225,'Informations générales'!$C$66:$E$70,3,FALSE)*(AL225/$AM$28)/12,0)*12,IF(C225="3112. Logements",ROUND(VLOOKUP(C225,'Informations générales'!$C$66:$E$70,3,FALSE)*(AL225/$AN$28)/12,0)*12,IF(C225="3113. Logements",ROUND(VLOOKUP(C225,'Informations générales'!$C$66:$E$70,3,FALSE)*(AL225/$AO$28)/12,0)*12,IF(C225="3114. Logements",ROUND(VLOOKUP(C225,'Informations générales'!$C$66:$E$70,3,FALSE)*(AL225/$AP$28)/12,0)*12,IF(C225="3115. Logements",ROUND(VLOOKUP(C225,'Informations générales'!$C$66:$E$70,3,FALSE)*(AL225/$AQ$28)/12,0)*12,"")))))</f>
        <v/>
      </c>
      <c r="AG225" s="202"/>
      <c r="AH225" s="113" t="str">
        <f>IF(C225="3111. Logements",ROUND(VLOOKUP(C225,'Informations générales'!$C$66:$H$70,5,FALSE)*(AL225/$AM$28)/12,0)*12,IF(C225="3112. Logements",ROUND(VLOOKUP(C225,'Informations générales'!$C$66:$H$70,5,FALSE)*(AL225/$AN$28)/12,0)*12,IF(C225="3113. Logements",ROUND(VLOOKUP(C225,'Informations générales'!$C$66:$H$70,5,FALSE)*(AL225/$AO$28)/12,0)*12,IF(C225="3114. Logements",ROUND(VLOOKUP(C225,'Informations générales'!$C$66:$H$70,5,FALSE)*(AL225/$AP$28)/12,0)*12,IF(C225="3115. Logements",ROUND(VLOOKUP(C225,'Informations générales'!$C$66:$H$70,5,FALSE)*(AL225/$AQ$28)/12,0)*12,"")))))</f>
        <v/>
      </c>
      <c r="AI225" s="114"/>
      <c r="AJ225" s="114"/>
      <c r="AK225" s="76"/>
      <c r="AL225" s="58">
        <f t="shared" si="57"/>
        <v>0</v>
      </c>
      <c r="AM225" s="58"/>
      <c r="AN225" s="58"/>
      <c r="AO225" s="58"/>
      <c r="AP225" s="58"/>
      <c r="AQ225" s="58"/>
      <c r="AR225" s="58">
        <f t="shared" si="45"/>
        <v>0</v>
      </c>
      <c r="AS225" s="58">
        <f t="shared" si="46"/>
        <v>0</v>
      </c>
      <c r="AT225" s="58">
        <f t="shared" si="47"/>
        <v>0</v>
      </c>
      <c r="AU225" s="58">
        <f t="shared" si="48"/>
        <v>0</v>
      </c>
      <c r="AV225" s="58">
        <f t="shared" si="49"/>
        <v>0</v>
      </c>
      <c r="AW225" s="58">
        <f t="shared" si="50"/>
        <v>0</v>
      </c>
      <c r="AX225" s="58">
        <f t="shared" si="51"/>
        <v>0</v>
      </c>
      <c r="AY225" s="58">
        <f t="shared" si="58"/>
        <v>0</v>
      </c>
      <c r="AZ225" s="62">
        <f t="shared" si="52"/>
        <v>0</v>
      </c>
      <c r="BA225" s="63">
        <f t="shared" si="53"/>
        <v>0</v>
      </c>
      <c r="BB225" s="63">
        <f t="shared" si="54"/>
        <v>0</v>
      </c>
    </row>
    <row r="226" spans="3:54" s="17" customFormat="1" x14ac:dyDescent="0.25">
      <c r="C226" s="215"/>
      <c r="D226" s="216"/>
      <c r="E226" s="88"/>
      <c r="F226" s="217"/>
      <c r="G226" s="234"/>
      <c r="H226" s="218"/>
      <c r="I226" s="76"/>
      <c r="J226" s="77"/>
      <c r="K226" s="76"/>
      <c r="L226" s="78"/>
      <c r="M226" s="78"/>
      <c r="N226" s="76" t="s">
        <v>39</v>
      </c>
      <c r="O226" s="110"/>
      <c r="P226" s="152"/>
      <c r="Q226" s="111" t="str">
        <f>IFERROR(MIN(VLOOKUP(ROUNDDOWN(P226,0),'Aide calcul'!$B$2:$C$282,2,FALSE),O226+1),"")</f>
        <v/>
      </c>
      <c r="R226" s="112" t="str">
        <f t="shared" si="55"/>
        <v/>
      </c>
      <c r="S226" s="152"/>
      <c r="T226" s="152"/>
      <c r="U226" s="152"/>
      <c r="V226" s="152"/>
      <c r="W226" s="152"/>
      <c r="X226" s="152"/>
      <c r="Y226" s="152"/>
      <c r="Z226" s="76"/>
      <c r="AA226" s="76"/>
      <c r="AB226" s="113" t="str">
        <f>IF(C226="3111. Logements",ROUND(VLOOKUP(C226,'Informations générales'!$C$66:$E$70,3,FALSE)*(AL226/$AM$28)/12,0)*12,IF(C226="3112. Logements",ROUND(VLOOKUP(C226,'Informations générales'!$C$66:$E$70,3,FALSE)*(AL226/$AN$28)/12,0)*12,IF(C226="3113. Logements",ROUND(VLOOKUP(C226,'Informations générales'!$C$66:$E$70,3,FALSE)*(AL226/$AO$28)/12,0)*12,IF(C226="3114. Logements",ROUND(VLOOKUP(C226,'Informations générales'!$C$66:$E$70,3,FALSE)*(AL226/$AP$28)/12,0)*12,IF(C226="3115. Logements",ROUND(VLOOKUP(C226,'Informations générales'!$C$66:$E$70,3,FALSE)*(AL226/$AQ$28)/12,0)*12,"")))))</f>
        <v/>
      </c>
      <c r="AC226" s="114"/>
      <c r="AD226" s="113">
        <f t="shared" si="56"/>
        <v>0</v>
      </c>
      <c r="AE226" s="114"/>
      <c r="AF226" s="203" t="str">
        <f>IF(C226="3111. Logements",ROUND(VLOOKUP(C226,'Informations générales'!$C$66:$E$70,3,FALSE)*(AL226/$AM$28)/12,0)*12,IF(C226="3112. Logements",ROUND(VLOOKUP(C226,'Informations générales'!$C$66:$E$70,3,FALSE)*(AL226/$AN$28)/12,0)*12,IF(C226="3113. Logements",ROUND(VLOOKUP(C226,'Informations générales'!$C$66:$E$70,3,FALSE)*(AL226/$AO$28)/12,0)*12,IF(C226="3114. Logements",ROUND(VLOOKUP(C226,'Informations générales'!$C$66:$E$70,3,FALSE)*(AL226/$AP$28)/12,0)*12,IF(C226="3115. Logements",ROUND(VLOOKUP(C226,'Informations générales'!$C$66:$E$70,3,FALSE)*(AL226/$AQ$28)/12,0)*12,"")))))</f>
        <v/>
      </c>
      <c r="AG226" s="202"/>
      <c r="AH226" s="113" t="str">
        <f>IF(C226="3111. Logements",ROUND(VLOOKUP(C226,'Informations générales'!$C$66:$H$70,5,FALSE)*(AL226/$AM$28)/12,0)*12,IF(C226="3112. Logements",ROUND(VLOOKUP(C226,'Informations générales'!$C$66:$H$70,5,FALSE)*(AL226/$AN$28)/12,0)*12,IF(C226="3113. Logements",ROUND(VLOOKUP(C226,'Informations générales'!$C$66:$H$70,5,FALSE)*(AL226/$AO$28)/12,0)*12,IF(C226="3114. Logements",ROUND(VLOOKUP(C226,'Informations générales'!$C$66:$H$70,5,FALSE)*(AL226/$AP$28)/12,0)*12,IF(C226="3115. Logements",ROUND(VLOOKUP(C226,'Informations générales'!$C$66:$H$70,5,FALSE)*(AL226/$AQ$28)/12,0)*12,"")))))</f>
        <v/>
      </c>
      <c r="AI226" s="114"/>
      <c r="AJ226" s="114"/>
      <c r="AK226" s="76"/>
      <c r="AL226" s="58">
        <f t="shared" si="57"/>
        <v>0</v>
      </c>
      <c r="AM226" s="58"/>
      <c r="AN226" s="58"/>
      <c r="AO226" s="58"/>
      <c r="AP226" s="58"/>
      <c r="AQ226" s="58"/>
      <c r="AR226" s="58">
        <f t="shared" si="45"/>
        <v>0</v>
      </c>
      <c r="AS226" s="58">
        <f t="shared" si="46"/>
        <v>0</v>
      </c>
      <c r="AT226" s="58">
        <f t="shared" si="47"/>
        <v>0</v>
      </c>
      <c r="AU226" s="58">
        <f t="shared" si="48"/>
        <v>0</v>
      </c>
      <c r="AV226" s="58">
        <f t="shared" si="49"/>
        <v>0</v>
      </c>
      <c r="AW226" s="58">
        <f t="shared" si="50"/>
        <v>0</v>
      </c>
      <c r="AX226" s="58">
        <f t="shared" si="51"/>
        <v>0</v>
      </c>
      <c r="AY226" s="58">
        <f t="shared" si="58"/>
        <v>0</v>
      </c>
      <c r="AZ226" s="62">
        <f t="shared" si="52"/>
        <v>0</v>
      </c>
      <c r="BA226" s="63">
        <f t="shared" si="53"/>
        <v>0</v>
      </c>
      <c r="BB226" s="63">
        <f t="shared" si="54"/>
        <v>0</v>
      </c>
    </row>
    <row r="227" spans="3:54" s="17" customFormat="1" x14ac:dyDescent="0.25">
      <c r="C227" s="215"/>
      <c r="D227" s="216"/>
      <c r="E227" s="88"/>
      <c r="F227" s="217"/>
      <c r="G227" s="234"/>
      <c r="H227" s="218"/>
      <c r="I227" s="76"/>
      <c r="J227" s="77"/>
      <c r="K227" s="76"/>
      <c r="L227" s="78"/>
      <c r="M227" s="78"/>
      <c r="N227" s="76" t="s">
        <v>39</v>
      </c>
      <c r="O227" s="110"/>
      <c r="P227" s="152"/>
      <c r="Q227" s="111" t="str">
        <f>IFERROR(MIN(VLOOKUP(ROUNDDOWN(P227,0),'Aide calcul'!$B$2:$C$282,2,FALSE),O227+1),"")</f>
        <v/>
      </c>
      <c r="R227" s="112" t="str">
        <f t="shared" si="55"/>
        <v/>
      </c>
      <c r="S227" s="152"/>
      <c r="T227" s="152"/>
      <c r="U227" s="152"/>
      <c r="V227" s="152"/>
      <c r="W227" s="152"/>
      <c r="X227" s="152"/>
      <c r="Y227" s="152"/>
      <c r="Z227" s="76"/>
      <c r="AA227" s="76"/>
      <c r="AB227" s="113" t="str">
        <f>IF(C227="3111. Logements",ROUND(VLOOKUP(C227,'Informations générales'!$C$66:$E$70,3,FALSE)*(AL227/$AM$28)/12,0)*12,IF(C227="3112. Logements",ROUND(VLOOKUP(C227,'Informations générales'!$C$66:$E$70,3,FALSE)*(AL227/$AN$28)/12,0)*12,IF(C227="3113. Logements",ROUND(VLOOKUP(C227,'Informations générales'!$C$66:$E$70,3,FALSE)*(AL227/$AO$28)/12,0)*12,IF(C227="3114. Logements",ROUND(VLOOKUP(C227,'Informations générales'!$C$66:$E$70,3,FALSE)*(AL227/$AP$28)/12,0)*12,IF(C227="3115. Logements",ROUND(VLOOKUP(C227,'Informations générales'!$C$66:$E$70,3,FALSE)*(AL227/$AQ$28)/12,0)*12,"")))))</f>
        <v/>
      </c>
      <c r="AC227" s="114"/>
      <c r="AD227" s="113">
        <f t="shared" si="56"/>
        <v>0</v>
      </c>
      <c r="AE227" s="114"/>
      <c r="AF227" s="203" t="str">
        <f>IF(C227="3111. Logements",ROUND(VLOOKUP(C227,'Informations générales'!$C$66:$E$70,3,FALSE)*(AL227/$AM$28)/12,0)*12,IF(C227="3112. Logements",ROUND(VLOOKUP(C227,'Informations générales'!$C$66:$E$70,3,FALSE)*(AL227/$AN$28)/12,0)*12,IF(C227="3113. Logements",ROUND(VLOOKUP(C227,'Informations générales'!$C$66:$E$70,3,FALSE)*(AL227/$AO$28)/12,0)*12,IF(C227="3114. Logements",ROUND(VLOOKUP(C227,'Informations générales'!$C$66:$E$70,3,FALSE)*(AL227/$AP$28)/12,0)*12,IF(C227="3115. Logements",ROUND(VLOOKUP(C227,'Informations générales'!$C$66:$E$70,3,FALSE)*(AL227/$AQ$28)/12,0)*12,"")))))</f>
        <v/>
      </c>
      <c r="AG227" s="202"/>
      <c r="AH227" s="113" t="str">
        <f>IF(C227="3111. Logements",ROUND(VLOOKUP(C227,'Informations générales'!$C$66:$H$70,5,FALSE)*(AL227/$AM$28)/12,0)*12,IF(C227="3112. Logements",ROUND(VLOOKUP(C227,'Informations générales'!$C$66:$H$70,5,FALSE)*(AL227/$AN$28)/12,0)*12,IF(C227="3113. Logements",ROUND(VLOOKUP(C227,'Informations générales'!$C$66:$H$70,5,FALSE)*(AL227/$AO$28)/12,0)*12,IF(C227="3114. Logements",ROUND(VLOOKUP(C227,'Informations générales'!$C$66:$H$70,5,FALSE)*(AL227/$AP$28)/12,0)*12,IF(C227="3115. Logements",ROUND(VLOOKUP(C227,'Informations générales'!$C$66:$H$70,5,FALSE)*(AL227/$AQ$28)/12,0)*12,"")))))</f>
        <v/>
      </c>
      <c r="AI227" s="114"/>
      <c r="AJ227" s="114"/>
      <c r="AK227" s="76"/>
      <c r="AL227" s="58">
        <f t="shared" si="57"/>
        <v>0</v>
      </c>
      <c r="AM227" s="58"/>
      <c r="AN227" s="58"/>
      <c r="AO227" s="58"/>
      <c r="AP227" s="58"/>
      <c r="AQ227" s="58"/>
      <c r="AR227" s="58">
        <f t="shared" si="45"/>
        <v>0</v>
      </c>
      <c r="AS227" s="58">
        <f t="shared" si="46"/>
        <v>0</v>
      </c>
      <c r="AT227" s="58">
        <f t="shared" si="47"/>
        <v>0</v>
      </c>
      <c r="AU227" s="58">
        <f t="shared" si="48"/>
        <v>0</v>
      </c>
      <c r="AV227" s="58">
        <f t="shared" si="49"/>
        <v>0</v>
      </c>
      <c r="AW227" s="58">
        <f t="shared" si="50"/>
        <v>0</v>
      </c>
      <c r="AX227" s="58">
        <f t="shared" si="51"/>
        <v>0</v>
      </c>
      <c r="AY227" s="58">
        <f t="shared" si="58"/>
        <v>0</v>
      </c>
      <c r="AZ227" s="62">
        <f t="shared" si="52"/>
        <v>0</v>
      </c>
      <c r="BA227" s="63">
        <f t="shared" si="53"/>
        <v>0</v>
      </c>
      <c r="BB227" s="63">
        <f t="shared" si="54"/>
        <v>0</v>
      </c>
    </row>
    <row r="228" spans="3:54" s="17" customFormat="1" x14ac:dyDescent="0.25">
      <c r="C228" s="215"/>
      <c r="D228" s="216"/>
      <c r="E228" s="88"/>
      <c r="F228" s="217"/>
      <c r="G228" s="234"/>
      <c r="H228" s="218"/>
      <c r="I228" s="76"/>
      <c r="J228" s="77"/>
      <c r="K228" s="76"/>
      <c r="L228" s="78"/>
      <c r="M228" s="78"/>
      <c r="N228" s="76" t="s">
        <v>39</v>
      </c>
      <c r="O228" s="110"/>
      <c r="P228" s="152"/>
      <c r="Q228" s="111" t="str">
        <f>IFERROR(MIN(VLOOKUP(ROUNDDOWN(P228,0),'Aide calcul'!$B$2:$C$282,2,FALSE),O228+1),"")</f>
        <v/>
      </c>
      <c r="R228" s="112" t="str">
        <f t="shared" si="55"/>
        <v/>
      </c>
      <c r="S228" s="152"/>
      <c r="T228" s="152"/>
      <c r="U228" s="152"/>
      <c r="V228" s="152"/>
      <c r="W228" s="152"/>
      <c r="X228" s="152"/>
      <c r="Y228" s="152"/>
      <c r="Z228" s="76"/>
      <c r="AA228" s="76"/>
      <c r="AB228" s="113" t="str">
        <f>IF(C228="3111. Logements",ROUND(VLOOKUP(C228,'Informations générales'!$C$66:$E$70,3,FALSE)*(AL228/$AM$28)/12,0)*12,IF(C228="3112. Logements",ROUND(VLOOKUP(C228,'Informations générales'!$C$66:$E$70,3,FALSE)*(AL228/$AN$28)/12,0)*12,IF(C228="3113. Logements",ROUND(VLOOKUP(C228,'Informations générales'!$C$66:$E$70,3,FALSE)*(AL228/$AO$28)/12,0)*12,IF(C228="3114. Logements",ROUND(VLOOKUP(C228,'Informations générales'!$C$66:$E$70,3,FALSE)*(AL228/$AP$28)/12,0)*12,IF(C228="3115. Logements",ROUND(VLOOKUP(C228,'Informations générales'!$C$66:$E$70,3,FALSE)*(AL228/$AQ$28)/12,0)*12,"")))))</f>
        <v/>
      </c>
      <c r="AC228" s="114"/>
      <c r="AD228" s="113">
        <f t="shared" si="56"/>
        <v>0</v>
      </c>
      <c r="AE228" s="114"/>
      <c r="AF228" s="203" t="str">
        <f>IF(C228="3111. Logements",ROUND(VLOOKUP(C228,'Informations générales'!$C$66:$E$70,3,FALSE)*(AL228/$AM$28)/12,0)*12,IF(C228="3112. Logements",ROUND(VLOOKUP(C228,'Informations générales'!$C$66:$E$70,3,FALSE)*(AL228/$AN$28)/12,0)*12,IF(C228="3113. Logements",ROUND(VLOOKUP(C228,'Informations générales'!$C$66:$E$70,3,FALSE)*(AL228/$AO$28)/12,0)*12,IF(C228="3114. Logements",ROUND(VLOOKUP(C228,'Informations générales'!$C$66:$E$70,3,FALSE)*(AL228/$AP$28)/12,0)*12,IF(C228="3115. Logements",ROUND(VLOOKUP(C228,'Informations générales'!$C$66:$E$70,3,FALSE)*(AL228/$AQ$28)/12,0)*12,"")))))</f>
        <v/>
      </c>
      <c r="AG228" s="202"/>
      <c r="AH228" s="113" t="str">
        <f>IF(C228="3111. Logements",ROUND(VLOOKUP(C228,'Informations générales'!$C$66:$H$70,5,FALSE)*(AL228/$AM$28)/12,0)*12,IF(C228="3112. Logements",ROUND(VLOOKUP(C228,'Informations générales'!$C$66:$H$70,5,FALSE)*(AL228/$AN$28)/12,0)*12,IF(C228="3113. Logements",ROUND(VLOOKUP(C228,'Informations générales'!$C$66:$H$70,5,FALSE)*(AL228/$AO$28)/12,0)*12,IF(C228="3114. Logements",ROUND(VLOOKUP(C228,'Informations générales'!$C$66:$H$70,5,FALSE)*(AL228/$AP$28)/12,0)*12,IF(C228="3115. Logements",ROUND(VLOOKUP(C228,'Informations générales'!$C$66:$H$70,5,FALSE)*(AL228/$AQ$28)/12,0)*12,"")))))</f>
        <v/>
      </c>
      <c r="AI228" s="114"/>
      <c r="AJ228" s="114"/>
      <c r="AK228" s="76"/>
      <c r="AL228" s="58">
        <f t="shared" si="57"/>
        <v>0</v>
      </c>
      <c r="AM228" s="58"/>
      <c r="AN228" s="58"/>
      <c r="AO228" s="58"/>
      <c r="AP228" s="58"/>
      <c r="AQ228" s="58"/>
      <c r="AR228" s="58">
        <f t="shared" si="45"/>
        <v>0</v>
      </c>
      <c r="AS228" s="58">
        <f t="shared" si="46"/>
        <v>0</v>
      </c>
      <c r="AT228" s="58">
        <f t="shared" si="47"/>
        <v>0</v>
      </c>
      <c r="AU228" s="58">
        <f t="shared" si="48"/>
        <v>0</v>
      </c>
      <c r="AV228" s="58">
        <f t="shared" si="49"/>
        <v>0</v>
      </c>
      <c r="AW228" s="58">
        <f t="shared" si="50"/>
        <v>0</v>
      </c>
      <c r="AX228" s="58">
        <f t="shared" si="51"/>
        <v>0</v>
      </c>
      <c r="AY228" s="58">
        <f t="shared" si="58"/>
        <v>0</v>
      </c>
      <c r="AZ228" s="62">
        <f t="shared" si="52"/>
        <v>0</v>
      </c>
      <c r="BA228" s="63">
        <f t="shared" si="53"/>
        <v>0</v>
      </c>
      <c r="BB228" s="63">
        <f t="shared" si="54"/>
        <v>0</v>
      </c>
    </row>
    <row r="229" spans="3:54" s="17" customFormat="1" x14ac:dyDescent="0.25">
      <c r="C229" s="215"/>
      <c r="D229" s="216"/>
      <c r="E229" s="88"/>
      <c r="F229" s="217"/>
      <c r="G229" s="234"/>
      <c r="H229" s="218"/>
      <c r="I229" s="76"/>
      <c r="J229" s="77"/>
      <c r="K229" s="76"/>
      <c r="L229" s="78"/>
      <c r="M229" s="78"/>
      <c r="N229" s="76" t="s">
        <v>39</v>
      </c>
      <c r="O229" s="110"/>
      <c r="P229" s="152"/>
      <c r="Q229" s="111" t="str">
        <f>IFERROR(MIN(VLOOKUP(ROUNDDOWN(P229,0),'Aide calcul'!$B$2:$C$282,2,FALSE),O229+1),"")</f>
        <v/>
      </c>
      <c r="R229" s="112" t="str">
        <f t="shared" si="55"/>
        <v/>
      </c>
      <c r="S229" s="152"/>
      <c r="T229" s="152"/>
      <c r="U229" s="152"/>
      <c r="V229" s="152"/>
      <c r="W229" s="152"/>
      <c r="X229" s="152"/>
      <c r="Y229" s="152"/>
      <c r="Z229" s="76"/>
      <c r="AA229" s="76"/>
      <c r="AB229" s="113" t="str">
        <f>IF(C229="3111. Logements",ROUND(VLOOKUP(C229,'Informations générales'!$C$66:$E$70,3,FALSE)*(AL229/$AM$28)/12,0)*12,IF(C229="3112. Logements",ROUND(VLOOKUP(C229,'Informations générales'!$C$66:$E$70,3,FALSE)*(AL229/$AN$28)/12,0)*12,IF(C229="3113. Logements",ROUND(VLOOKUP(C229,'Informations générales'!$C$66:$E$70,3,FALSE)*(AL229/$AO$28)/12,0)*12,IF(C229="3114. Logements",ROUND(VLOOKUP(C229,'Informations générales'!$C$66:$E$70,3,FALSE)*(AL229/$AP$28)/12,0)*12,IF(C229="3115. Logements",ROUND(VLOOKUP(C229,'Informations générales'!$C$66:$E$70,3,FALSE)*(AL229/$AQ$28)/12,0)*12,"")))))</f>
        <v/>
      </c>
      <c r="AC229" s="114"/>
      <c r="AD229" s="113">
        <f t="shared" si="56"/>
        <v>0</v>
      </c>
      <c r="AE229" s="114"/>
      <c r="AF229" s="203" t="str">
        <f>IF(C229="3111. Logements",ROUND(VLOOKUP(C229,'Informations générales'!$C$66:$E$70,3,FALSE)*(AL229/$AM$28)/12,0)*12,IF(C229="3112. Logements",ROUND(VLOOKUP(C229,'Informations générales'!$C$66:$E$70,3,FALSE)*(AL229/$AN$28)/12,0)*12,IF(C229="3113. Logements",ROUND(VLOOKUP(C229,'Informations générales'!$C$66:$E$70,3,FALSE)*(AL229/$AO$28)/12,0)*12,IF(C229="3114. Logements",ROUND(VLOOKUP(C229,'Informations générales'!$C$66:$E$70,3,FALSE)*(AL229/$AP$28)/12,0)*12,IF(C229="3115. Logements",ROUND(VLOOKUP(C229,'Informations générales'!$C$66:$E$70,3,FALSE)*(AL229/$AQ$28)/12,0)*12,"")))))</f>
        <v/>
      </c>
      <c r="AG229" s="202"/>
      <c r="AH229" s="113" t="str">
        <f>IF(C229="3111. Logements",ROUND(VLOOKUP(C229,'Informations générales'!$C$66:$H$70,5,FALSE)*(AL229/$AM$28)/12,0)*12,IF(C229="3112. Logements",ROUND(VLOOKUP(C229,'Informations générales'!$C$66:$H$70,5,FALSE)*(AL229/$AN$28)/12,0)*12,IF(C229="3113. Logements",ROUND(VLOOKUP(C229,'Informations générales'!$C$66:$H$70,5,FALSE)*(AL229/$AO$28)/12,0)*12,IF(C229="3114. Logements",ROUND(VLOOKUP(C229,'Informations générales'!$C$66:$H$70,5,FALSE)*(AL229/$AP$28)/12,0)*12,IF(C229="3115. Logements",ROUND(VLOOKUP(C229,'Informations générales'!$C$66:$H$70,5,FALSE)*(AL229/$AQ$28)/12,0)*12,"")))))</f>
        <v/>
      </c>
      <c r="AI229" s="114"/>
      <c r="AJ229" s="114"/>
      <c r="AK229" s="76"/>
      <c r="AL229" s="58">
        <f t="shared" si="57"/>
        <v>0</v>
      </c>
      <c r="AM229" s="58"/>
      <c r="AN229" s="58"/>
      <c r="AO229" s="58"/>
      <c r="AP229" s="58"/>
      <c r="AQ229" s="58"/>
      <c r="AR229" s="58">
        <f t="shared" si="45"/>
        <v>0</v>
      </c>
      <c r="AS229" s="58">
        <f t="shared" si="46"/>
        <v>0</v>
      </c>
      <c r="AT229" s="58">
        <f t="shared" si="47"/>
        <v>0</v>
      </c>
      <c r="AU229" s="58">
        <f t="shared" si="48"/>
        <v>0</v>
      </c>
      <c r="AV229" s="58">
        <f t="shared" si="49"/>
        <v>0</v>
      </c>
      <c r="AW229" s="58">
        <f t="shared" si="50"/>
        <v>0</v>
      </c>
      <c r="AX229" s="58">
        <f t="shared" si="51"/>
        <v>0</v>
      </c>
      <c r="AY229" s="58">
        <f t="shared" si="58"/>
        <v>0</v>
      </c>
      <c r="AZ229" s="62">
        <f t="shared" si="52"/>
        <v>0</v>
      </c>
      <c r="BA229" s="63">
        <f t="shared" si="53"/>
        <v>0</v>
      </c>
      <c r="BB229" s="63">
        <f t="shared" si="54"/>
        <v>0</v>
      </c>
    </row>
    <row r="230" spans="3:54" s="17" customFormat="1" x14ac:dyDescent="0.25">
      <c r="C230" s="215"/>
      <c r="D230" s="216"/>
      <c r="E230" s="88"/>
      <c r="F230" s="217"/>
      <c r="G230" s="234"/>
      <c r="H230" s="218"/>
      <c r="I230" s="76"/>
      <c r="J230" s="77"/>
      <c r="K230" s="76"/>
      <c r="L230" s="78"/>
      <c r="M230" s="78"/>
      <c r="N230" s="76" t="s">
        <v>39</v>
      </c>
      <c r="O230" s="110"/>
      <c r="P230" s="152"/>
      <c r="Q230" s="111" t="str">
        <f>IFERROR(MIN(VLOOKUP(ROUNDDOWN(P230,0),'Aide calcul'!$B$2:$C$282,2,FALSE),O230+1),"")</f>
        <v/>
      </c>
      <c r="R230" s="112" t="str">
        <f t="shared" si="55"/>
        <v/>
      </c>
      <c r="S230" s="152"/>
      <c r="T230" s="152"/>
      <c r="U230" s="152"/>
      <c r="V230" s="152"/>
      <c r="W230" s="152"/>
      <c r="X230" s="152"/>
      <c r="Y230" s="152"/>
      <c r="Z230" s="76"/>
      <c r="AA230" s="76"/>
      <c r="AB230" s="113" t="str">
        <f>IF(C230="3111. Logements",ROUND(VLOOKUP(C230,'Informations générales'!$C$66:$E$70,3,FALSE)*(AL230/$AM$28)/12,0)*12,IF(C230="3112. Logements",ROUND(VLOOKUP(C230,'Informations générales'!$C$66:$E$70,3,FALSE)*(AL230/$AN$28)/12,0)*12,IF(C230="3113. Logements",ROUND(VLOOKUP(C230,'Informations générales'!$C$66:$E$70,3,FALSE)*(AL230/$AO$28)/12,0)*12,IF(C230="3114. Logements",ROUND(VLOOKUP(C230,'Informations générales'!$C$66:$E$70,3,FALSE)*(AL230/$AP$28)/12,0)*12,IF(C230="3115. Logements",ROUND(VLOOKUP(C230,'Informations générales'!$C$66:$E$70,3,FALSE)*(AL230/$AQ$28)/12,0)*12,"")))))</f>
        <v/>
      </c>
      <c r="AC230" s="114"/>
      <c r="AD230" s="113">
        <f t="shared" si="56"/>
        <v>0</v>
      </c>
      <c r="AE230" s="114"/>
      <c r="AF230" s="203" t="str">
        <f>IF(C230="3111. Logements",ROUND(VLOOKUP(C230,'Informations générales'!$C$66:$E$70,3,FALSE)*(AL230/$AM$28)/12,0)*12,IF(C230="3112. Logements",ROUND(VLOOKUP(C230,'Informations générales'!$C$66:$E$70,3,FALSE)*(AL230/$AN$28)/12,0)*12,IF(C230="3113. Logements",ROUND(VLOOKUP(C230,'Informations générales'!$C$66:$E$70,3,FALSE)*(AL230/$AO$28)/12,0)*12,IF(C230="3114. Logements",ROUND(VLOOKUP(C230,'Informations générales'!$C$66:$E$70,3,FALSE)*(AL230/$AP$28)/12,0)*12,IF(C230="3115. Logements",ROUND(VLOOKUP(C230,'Informations générales'!$C$66:$E$70,3,FALSE)*(AL230/$AQ$28)/12,0)*12,"")))))</f>
        <v/>
      </c>
      <c r="AG230" s="202"/>
      <c r="AH230" s="113" t="str">
        <f>IF(C230="3111. Logements",ROUND(VLOOKUP(C230,'Informations générales'!$C$66:$H$70,5,FALSE)*(AL230/$AM$28)/12,0)*12,IF(C230="3112. Logements",ROUND(VLOOKUP(C230,'Informations générales'!$C$66:$H$70,5,FALSE)*(AL230/$AN$28)/12,0)*12,IF(C230="3113. Logements",ROUND(VLOOKUP(C230,'Informations générales'!$C$66:$H$70,5,FALSE)*(AL230/$AO$28)/12,0)*12,IF(C230="3114. Logements",ROUND(VLOOKUP(C230,'Informations générales'!$C$66:$H$70,5,FALSE)*(AL230/$AP$28)/12,0)*12,IF(C230="3115. Logements",ROUND(VLOOKUP(C230,'Informations générales'!$C$66:$H$70,5,FALSE)*(AL230/$AQ$28)/12,0)*12,"")))))</f>
        <v/>
      </c>
      <c r="AI230" s="114"/>
      <c r="AJ230" s="114"/>
      <c r="AK230" s="76"/>
      <c r="AL230" s="58">
        <f t="shared" si="57"/>
        <v>0</v>
      </c>
      <c r="AM230" s="58"/>
      <c r="AN230" s="58"/>
      <c r="AO230" s="58"/>
      <c r="AP230" s="58"/>
      <c r="AQ230" s="58"/>
      <c r="AR230" s="58">
        <f t="shared" si="45"/>
        <v>0</v>
      </c>
      <c r="AS230" s="58">
        <f t="shared" si="46"/>
        <v>0</v>
      </c>
      <c r="AT230" s="58">
        <f t="shared" si="47"/>
        <v>0</v>
      </c>
      <c r="AU230" s="58">
        <f t="shared" si="48"/>
        <v>0</v>
      </c>
      <c r="AV230" s="58">
        <f t="shared" si="49"/>
        <v>0</v>
      </c>
      <c r="AW230" s="58">
        <f t="shared" si="50"/>
        <v>0</v>
      </c>
      <c r="AX230" s="58">
        <f t="shared" si="51"/>
        <v>0</v>
      </c>
      <c r="AY230" s="58">
        <f t="shared" si="58"/>
        <v>0</v>
      </c>
      <c r="AZ230" s="62">
        <f t="shared" si="52"/>
        <v>0</v>
      </c>
      <c r="BA230" s="63">
        <f t="shared" si="53"/>
        <v>0</v>
      </c>
      <c r="BB230" s="63">
        <f t="shared" si="54"/>
        <v>0</v>
      </c>
    </row>
    <row r="231" spans="3:54" s="17" customFormat="1" x14ac:dyDescent="0.25">
      <c r="C231" s="215"/>
      <c r="D231" s="216"/>
      <c r="E231" s="88"/>
      <c r="F231" s="217"/>
      <c r="G231" s="234"/>
      <c r="H231" s="218"/>
      <c r="I231" s="76"/>
      <c r="J231" s="77"/>
      <c r="K231" s="76"/>
      <c r="L231" s="78"/>
      <c r="M231" s="78"/>
      <c r="N231" s="76" t="s">
        <v>39</v>
      </c>
      <c r="O231" s="110"/>
      <c r="P231" s="152"/>
      <c r="Q231" s="111" t="str">
        <f>IFERROR(MIN(VLOOKUP(ROUNDDOWN(P231,0),'Aide calcul'!$B$2:$C$282,2,FALSE),O231+1),"")</f>
        <v/>
      </c>
      <c r="R231" s="112" t="str">
        <f t="shared" si="55"/>
        <v/>
      </c>
      <c r="S231" s="152"/>
      <c r="T231" s="152"/>
      <c r="U231" s="152"/>
      <c r="V231" s="152"/>
      <c r="W231" s="152"/>
      <c r="X231" s="152"/>
      <c r="Y231" s="152"/>
      <c r="Z231" s="76"/>
      <c r="AA231" s="76"/>
      <c r="AB231" s="113" t="str">
        <f>IF(C231="3111. Logements",ROUND(VLOOKUP(C231,'Informations générales'!$C$66:$E$70,3,FALSE)*(AL231/$AM$28)/12,0)*12,IF(C231="3112. Logements",ROUND(VLOOKUP(C231,'Informations générales'!$C$66:$E$70,3,FALSE)*(AL231/$AN$28)/12,0)*12,IF(C231="3113. Logements",ROUND(VLOOKUP(C231,'Informations générales'!$C$66:$E$70,3,FALSE)*(AL231/$AO$28)/12,0)*12,IF(C231="3114. Logements",ROUND(VLOOKUP(C231,'Informations générales'!$C$66:$E$70,3,FALSE)*(AL231/$AP$28)/12,0)*12,IF(C231="3115. Logements",ROUND(VLOOKUP(C231,'Informations générales'!$C$66:$E$70,3,FALSE)*(AL231/$AQ$28)/12,0)*12,"")))))</f>
        <v/>
      </c>
      <c r="AC231" s="114"/>
      <c r="AD231" s="113">
        <f t="shared" si="56"/>
        <v>0</v>
      </c>
      <c r="AE231" s="114"/>
      <c r="AF231" s="203" t="str">
        <f>IF(C231="3111. Logements",ROUND(VLOOKUP(C231,'Informations générales'!$C$66:$E$70,3,FALSE)*(AL231/$AM$28)/12,0)*12,IF(C231="3112. Logements",ROUND(VLOOKUP(C231,'Informations générales'!$C$66:$E$70,3,FALSE)*(AL231/$AN$28)/12,0)*12,IF(C231="3113. Logements",ROUND(VLOOKUP(C231,'Informations générales'!$C$66:$E$70,3,FALSE)*(AL231/$AO$28)/12,0)*12,IF(C231="3114. Logements",ROUND(VLOOKUP(C231,'Informations générales'!$C$66:$E$70,3,FALSE)*(AL231/$AP$28)/12,0)*12,IF(C231="3115. Logements",ROUND(VLOOKUP(C231,'Informations générales'!$C$66:$E$70,3,FALSE)*(AL231/$AQ$28)/12,0)*12,"")))))</f>
        <v/>
      </c>
      <c r="AG231" s="202"/>
      <c r="AH231" s="113" t="str">
        <f>IF(C231="3111. Logements",ROUND(VLOOKUP(C231,'Informations générales'!$C$66:$H$70,5,FALSE)*(AL231/$AM$28)/12,0)*12,IF(C231="3112. Logements",ROUND(VLOOKUP(C231,'Informations générales'!$C$66:$H$70,5,FALSE)*(AL231/$AN$28)/12,0)*12,IF(C231="3113. Logements",ROUND(VLOOKUP(C231,'Informations générales'!$C$66:$H$70,5,FALSE)*(AL231/$AO$28)/12,0)*12,IF(C231="3114. Logements",ROUND(VLOOKUP(C231,'Informations générales'!$C$66:$H$70,5,FALSE)*(AL231/$AP$28)/12,0)*12,IF(C231="3115. Logements",ROUND(VLOOKUP(C231,'Informations générales'!$C$66:$H$70,5,FALSE)*(AL231/$AQ$28)/12,0)*12,"")))))</f>
        <v/>
      </c>
      <c r="AI231" s="114"/>
      <c r="AJ231" s="114"/>
      <c r="AK231" s="76"/>
      <c r="AL231" s="58">
        <f t="shared" si="57"/>
        <v>0</v>
      </c>
      <c r="AM231" s="58"/>
      <c r="AN231" s="58"/>
      <c r="AO231" s="58"/>
      <c r="AP231" s="58"/>
      <c r="AQ231" s="58"/>
      <c r="AR231" s="58">
        <f t="shared" si="45"/>
        <v>0</v>
      </c>
      <c r="AS231" s="58">
        <f t="shared" si="46"/>
        <v>0</v>
      </c>
      <c r="AT231" s="58">
        <f t="shared" si="47"/>
        <v>0</v>
      </c>
      <c r="AU231" s="58">
        <f t="shared" si="48"/>
        <v>0</v>
      </c>
      <c r="AV231" s="58">
        <f t="shared" si="49"/>
        <v>0</v>
      </c>
      <c r="AW231" s="58">
        <f t="shared" si="50"/>
        <v>0</v>
      </c>
      <c r="AX231" s="58">
        <f t="shared" si="51"/>
        <v>0</v>
      </c>
      <c r="AY231" s="58">
        <f t="shared" si="58"/>
        <v>0</v>
      </c>
      <c r="AZ231" s="62">
        <f t="shared" si="52"/>
        <v>0</v>
      </c>
      <c r="BA231" s="63">
        <f t="shared" si="53"/>
        <v>0</v>
      </c>
      <c r="BB231" s="63">
        <f t="shared" si="54"/>
        <v>0</v>
      </c>
    </row>
    <row r="232" spans="3:54" s="17" customFormat="1" x14ac:dyDescent="0.25">
      <c r="C232" s="215"/>
      <c r="D232" s="216"/>
      <c r="E232" s="88"/>
      <c r="F232" s="217"/>
      <c r="G232" s="234"/>
      <c r="H232" s="218"/>
      <c r="I232" s="76"/>
      <c r="J232" s="77"/>
      <c r="K232" s="76"/>
      <c r="L232" s="78"/>
      <c r="M232" s="78"/>
      <c r="N232" s="76" t="s">
        <v>39</v>
      </c>
      <c r="O232" s="110"/>
      <c r="P232" s="152"/>
      <c r="Q232" s="111" t="str">
        <f>IFERROR(MIN(VLOOKUP(ROUNDDOWN(P232,0),'Aide calcul'!$B$2:$C$282,2,FALSE),O232+1),"")</f>
        <v/>
      </c>
      <c r="R232" s="112" t="str">
        <f t="shared" si="55"/>
        <v/>
      </c>
      <c r="S232" s="152"/>
      <c r="T232" s="152"/>
      <c r="U232" s="152"/>
      <c r="V232" s="152"/>
      <c r="W232" s="152"/>
      <c r="X232" s="152"/>
      <c r="Y232" s="152"/>
      <c r="Z232" s="76"/>
      <c r="AA232" s="76"/>
      <c r="AB232" s="113" t="str">
        <f>IF(C232="3111. Logements",ROUND(VLOOKUP(C232,'Informations générales'!$C$66:$E$70,3,FALSE)*(AL232/$AM$28)/12,0)*12,IF(C232="3112. Logements",ROUND(VLOOKUP(C232,'Informations générales'!$C$66:$E$70,3,FALSE)*(AL232/$AN$28)/12,0)*12,IF(C232="3113. Logements",ROUND(VLOOKUP(C232,'Informations générales'!$C$66:$E$70,3,FALSE)*(AL232/$AO$28)/12,0)*12,IF(C232="3114. Logements",ROUND(VLOOKUP(C232,'Informations générales'!$C$66:$E$70,3,FALSE)*(AL232/$AP$28)/12,0)*12,IF(C232="3115. Logements",ROUND(VLOOKUP(C232,'Informations générales'!$C$66:$E$70,3,FALSE)*(AL232/$AQ$28)/12,0)*12,"")))))</f>
        <v/>
      </c>
      <c r="AC232" s="114"/>
      <c r="AD232" s="113">
        <f t="shared" si="56"/>
        <v>0</v>
      </c>
      <c r="AE232" s="114"/>
      <c r="AF232" s="203" t="str">
        <f>IF(C232="3111. Logements",ROUND(VLOOKUP(C232,'Informations générales'!$C$66:$E$70,3,FALSE)*(AL232/$AM$28)/12,0)*12,IF(C232="3112. Logements",ROUND(VLOOKUP(C232,'Informations générales'!$C$66:$E$70,3,FALSE)*(AL232/$AN$28)/12,0)*12,IF(C232="3113. Logements",ROUND(VLOOKUP(C232,'Informations générales'!$C$66:$E$70,3,FALSE)*(AL232/$AO$28)/12,0)*12,IF(C232="3114. Logements",ROUND(VLOOKUP(C232,'Informations générales'!$C$66:$E$70,3,FALSE)*(AL232/$AP$28)/12,0)*12,IF(C232="3115. Logements",ROUND(VLOOKUP(C232,'Informations générales'!$C$66:$E$70,3,FALSE)*(AL232/$AQ$28)/12,0)*12,"")))))</f>
        <v/>
      </c>
      <c r="AG232" s="202"/>
      <c r="AH232" s="113" t="str">
        <f>IF(C232="3111. Logements",ROUND(VLOOKUP(C232,'Informations générales'!$C$66:$H$70,5,FALSE)*(AL232/$AM$28)/12,0)*12,IF(C232="3112. Logements",ROUND(VLOOKUP(C232,'Informations générales'!$C$66:$H$70,5,FALSE)*(AL232/$AN$28)/12,0)*12,IF(C232="3113. Logements",ROUND(VLOOKUP(C232,'Informations générales'!$C$66:$H$70,5,FALSE)*(AL232/$AO$28)/12,0)*12,IF(C232="3114. Logements",ROUND(VLOOKUP(C232,'Informations générales'!$C$66:$H$70,5,FALSE)*(AL232/$AP$28)/12,0)*12,IF(C232="3115. Logements",ROUND(VLOOKUP(C232,'Informations générales'!$C$66:$H$70,5,FALSE)*(AL232/$AQ$28)/12,0)*12,"")))))</f>
        <v/>
      </c>
      <c r="AI232" s="114"/>
      <c r="AJ232" s="114"/>
      <c r="AK232" s="76"/>
      <c r="AL232" s="58">
        <f t="shared" si="57"/>
        <v>0</v>
      </c>
      <c r="AM232" s="58"/>
      <c r="AN232" s="58"/>
      <c r="AO232" s="58"/>
      <c r="AP232" s="58"/>
      <c r="AQ232" s="58"/>
      <c r="AR232" s="58">
        <f t="shared" si="45"/>
        <v>0</v>
      </c>
      <c r="AS232" s="58">
        <f t="shared" si="46"/>
        <v>0</v>
      </c>
      <c r="AT232" s="58">
        <f t="shared" si="47"/>
        <v>0</v>
      </c>
      <c r="AU232" s="58">
        <f t="shared" si="48"/>
        <v>0</v>
      </c>
      <c r="AV232" s="58">
        <f t="shared" si="49"/>
        <v>0</v>
      </c>
      <c r="AW232" s="58">
        <f t="shared" si="50"/>
        <v>0</v>
      </c>
      <c r="AX232" s="58">
        <f t="shared" si="51"/>
        <v>0</v>
      </c>
      <c r="AY232" s="58">
        <f t="shared" si="58"/>
        <v>0</v>
      </c>
      <c r="AZ232" s="62">
        <f t="shared" si="52"/>
        <v>0</v>
      </c>
      <c r="BA232" s="63">
        <f t="shared" si="53"/>
        <v>0</v>
      </c>
      <c r="BB232" s="63">
        <f t="shared" si="54"/>
        <v>0</v>
      </c>
    </row>
    <row r="233" spans="3:54" s="17" customFormat="1" x14ac:dyDescent="0.25">
      <c r="C233" s="215"/>
      <c r="D233" s="216"/>
      <c r="E233" s="88"/>
      <c r="F233" s="217"/>
      <c r="G233" s="234"/>
      <c r="H233" s="218"/>
      <c r="I233" s="76"/>
      <c r="J233" s="77"/>
      <c r="K233" s="76"/>
      <c r="L233" s="78"/>
      <c r="M233" s="78"/>
      <c r="N233" s="76" t="s">
        <v>39</v>
      </c>
      <c r="O233" s="110"/>
      <c r="P233" s="152"/>
      <c r="Q233" s="111" t="str">
        <f>IFERROR(MIN(VLOOKUP(ROUNDDOWN(P233,0),'Aide calcul'!$B$2:$C$282,2,FALSE),O233+1),"")</f>
        <v/>
      </c>
      <c r="R233" s="112" t="str">
        <f t="shared" si="55"/>
        <v/>
      </c>
      <c r="S233" s="152"/>
      <c r="T233" s="152"/>
      <c r="U233" s="152"/>
      <c r="V233" s="152"/>
      <c r="W233" s="152"/>
      <c r="X233" s="152"/>
      <c r="Y233" s="152"/>
      <c r="Z233" s="76"/>
      <c r="AA233" s="76"/>
      <c r="AB233" s="113" t="str">
        <f>IF(C233="3111. Logements",ROUND(VLOOKUP(C233,'Informations générales'!$C$66:$E$70,3,FALSE)*(AL233/$AM$28)/12,0)*12,IF(C233="3112. Logements",ROUND(VLOOKUP(C233,'Informations générales'!$C$66:$E$70,3,FALSE)*(AL233/$AN$28)/12,0)*12,IF(C233="3113. Logements",ROUND(VLOOKUP(C233,'Informations générales'!$C$66:$E$70,3,FALSE)*(AL233/$AO$28)/12,0)*12,IF(C233="3114. Logements",ROUND(VLOOKUP(C233,'Informations générales'!$C$66:$E$70,3,FALSE)*(AL233/$AP$28)/12,0)*12,IF(C233="3115. Logements",ROUND(VLOOKUP(C233,'Informations générales'!$C$66:$E$70,3,FALSE)*(AL233/$AQ$28)/12,0)*12,"")))))</f>
        <v/>
      </c>
      <c r="AC233" s="114"/>
      <c r="AD233" s="113">
        <f t="shared" si="56"/>
        <v>0</v>
      </c>
      <c r="AE233" s="114"/>
      <c r="AF233" s="203" t="str">
        <f>IF(C233="3111. Logements",ROUND(VLOOKUP(C233,'Informations générales'!$C$66:$E$70,3,FALSE)*(AL233/$AM$28)/12,0)*12,IF(C233="3112. Logements",ROUND(VLOOKUP(C233,'Informations générales'!$C$66:$E$70,3,FALSE)*(AL233/$AN$28)/12,0)*12,IF(C233="3113. Logements",ROUND(VLOOKUP(C233,'Informations générales'!$C$66:$E$70,3,FALSE)*(AL233/$AO$28)/12,0)*12,IF(C233="3114. Logements",ROUND(VLOOKUP(C233,'Informations générales'!$C$66:$E$70,3,FALSE)*(AL233/$AP$28)/12,0)*12,IF(C233="3115. Logements",ROUND(VLOOKUP(C233,'Informations générales'!$C$66:$E$70,3,FALSE)*(AL233/$AQ$28)/12,0)*12,"")))))</f>
        <v/>
      </c>
      <c r="AG233" s="202"/>
      <c r="AH233" s="113" t="str">
        <f>IF(C233="3111. Logements",ROUND(VLOOKUP(C233,'Informations générales'!$C$66:$H$70,5,FALSE)*(AL233/$AM$28)/12,0)*12,IF(C233="3112. Logements",ROUND(VLOOKUP(C233,'Informations générales'!$C$66:$H$70,5,FALSE)*(AL233/$AN$28)/12,0)*12,IF(C233="3113. Logements",ROUND(VLOOKUP(C233,'Informations générales'!$C$66:$H$70,5,FALSE)*(AL233/$AO$28)/12,0)*12,IF(C233="3114. Logements",ROUND(VLOOKUP(C233,'Informations générales'!$C$66:$H$70,5,FALSE)*(AL233/$AP$28)/12,0)*12,IF(C233="3115. Logements",ROUND(VLOOKUP(C233,'Informations générales'!$C$66:$H$70,5,FALSE)*(AL233/$AQ$28)/12,0)*12,"")))))</f>
        <v/>
      </c>
      <c r="AI233" s="114"/>
      <c r="AJ233" s="114"/>
      <c r="AK233" s="76"/>
      <c r="AL233" s="58">
        <f t="shared" si="57"/>
        <v>0</v>
      </c>
      <c r="AM233" s="58"/>
      <c r="AN233" s="58"/>
      <c r="AO233" s="58"/>
      <c r="AP233" s="58"/>
      <c r="AQ233" s="58"/>
      <c r="AR233" s="58">
        <f t="shared" si="45"/>
        <v>0</v>
      </c>
      <c r="AS233" s="58">
        <f t="shared" si="46"/>
        <v>0</v>
      </c>
      <c r="AT233" s="58">
        <f t="shared" si="47"/>
        <v>0</v>
      </c>
      <c r="AU233" s="58">
        <f t="shared" si="48"/>
        <v>0</v>
      </c>
      <c r="AV233" s="58">
        <f t="shared" si="49"/>
        <v>0</v>
      </c>
      <c r="AW233" s="58">
        <f t="shared" si="50"/>
        <v>0</v>
      </c>
      <c r="AX233" s="58">
        <f t="shared" si="51"/>
        <v>0</v>
      </c>
      <c r="AY233" s="58">
        <f t="shared" si="58"/>
        <v>0</v>
      </c>
      <c r="AZ233" s="62">
        <f t="shared" si="52"/>
        <v>0</v>
      </c>
      <c r="BA233" s="63">
        <f t="shared" si="53"/>
        <v>0</v>
      </c>
      <c r="BB233" s="63">
        <f t="shared" si="54"/>
        <v>0</v>
      </c>
    </row>
    <row r="234" spans="3:54" s="17" customFormat="1" x14ac:dyDescent="0.25">
      <c r="C234" s="215"/>
      <c r="D234" s="216"/>
      <c r="E234" s="88"/>
      <c r="F234" s="217"/>
      <c r="G234" s="234"/>
      <c r="H234" s="218"/>
      <c r="I234" s="76"/>
      <c r="J234" s="77"/>
      <c r="K234" s="76"/>
      <c r="L234" s="78"/>
      <c r="M234" s="78"/>
      <c r="N234" s="76" t="s">
        <v>39</v>
      </c>
      <c r="O234" s="110"/>
      <c r="P234" s="152"/>
      <c r="Q234" s="111" t="str">
        <f>IFERROR(MIN(VLOOKUP(ROUNDDOWN(P234,0),'Aide calcul'!$B$2:$C$282,2,FALSE),O234+1),"")</f>
        <v/>
      </c>
      <c r="R234" s="112" t="str">
        <f t="shared" si="55"/>
        <v/>
      </c>
      <c r="S234" s="152"/>
      <c r="T234" s="152"/>
      <c r="U234" s="152"/>
      <c r="V234" s="152"/>
      <c r="W234" s="152"/>
      <c r="X234" s="152"/>
      <c r="Y234" s="152"/>
      <c r="Z234" s="76"/>
      <c r="AA234" s="76"/>
      <c r="AB234" s="113" t="str">
        <f>IF(C234="3111. Logements",ROUND(VLOOKUP(C234,'Informations générales'!$C$66:$E$70,3,FALSE)*(AL234/$AM$28)/12,0)*12,IF(C234="3112. Logements",ROUND(VLOOKUP(C234,'Informations générales'!$C$66:$E$70,3,FALSE)*(AL234/$AN$28)/12,0)*12,IF(C234="3113. Logements",ROUND(VLOOKUP(C234,'Informations générales'!$C$66:$E$70,3,FALSE)*(AL234/$AO$28)/12,0)*12,IF(C234="3114. Logements",ROUND(VLOOKUP(C234,'Informations générales'!$C$66:$E$70,3,FALSE)*(AL234/$AP$28)/12,0)*12,IF(C234="3115. Logements",ROUND(VLOOKUP(C234,'Informations générales'!$C$66:$E$70,3,FALSE)*(AL234/$AQ$28)/12,0)*12,"")))))</f>
        <v/>
      </c>
      <c r="AC234" s="114"/>
      <c r="AD234" s="113">
        <f t="shared" si="56"/>
        <v>0</v>
      </c>
      <c r="AE234" s="114"/>
      <c r="AF234" s="203" t="str">
        <f>IF(C234="3111. Logements",ROUND(VLOOKUP(C234,'Informations générales'!$C$66:$E$70,3,FALSE)*(AL234/$AM$28)/12,0)*12,IF(C234="3112. Logements",ROUND(VLOOKUP(C234,'Informations générales'!$C$66:$E$70,3,FALSE)*(AL234/$AN$28)/12,0)*12,IF(C234="3113. Logements",ROUND(VLOOKUP(C234,'Informations générales'!$C$66:$E$70,3,FALSE)*(AL234/$AO$28)/12,0)*12,IF(C234="3114. Logements",ROUND(VLOOKUP(C234,'Informations générales'!$C$66:$E$70,3,FALSE)*(AL234/$AP$28)/12,0)*12,IF(C234="3115. Logements",ROUND(VLOOKUP(C234,'Informations générales'!$C$66:$E$70,3,FALSE)*(AL234/$AQ$28)/12,0)*12,"")))))</f>
        <v/>
      </c>
      <c r="AG234" s="202"/>
      <c r="AH234" s="113" t="str">
        <f>IF(C234="3111. Logements",ROUND(VLOOKUP(C234,'Informations générales'!$C$66:$H$70,5,FALSE)*(AL234/$AM$28)/12,0)*12,IF(C234="3112. Logements",ROUND(VLOOKUP(C234,'Informations générales'!$C$66:$H$70,5,FALSE)*(AL234/$AN$28)/12,0)*12,IF(C234="3113. Logements",ROUND(VLOOKUP(C234,'Informations générales'!$C$66:$H$70,5,FALSE)*(AL234/$AO$28)/12,0)*12,IF(C234="3114. Logements",ROUND(VLOOKUP(C234,'Informations générales'!$C$66:$H$70,5,FALSE)*(AL234/$AP$28)/12,0)*12,IF(C234="3115. Logements",ROUND(VLOOKUP(C234,'Informations générales'!$C$66:$H$70,5,FALSE)*(AL234/$AQ$28)/12,0)*12,"")))))</f>
        <v/>
      </c>
      <c r="AI234" s="114"/>
      <c r="AJ234" s="114"/>
      <c r="AK234" s="76"/>
      <c r="AL234" s="58">
        <f t="shared" si="57"/>
        <v>0</v>
      </c>
      <c r="AM234" s="58"/>
      <c r="AN234" s="58"/>
      <c r="AO234" s="58"/>
      <c r="AP234" s="58"/>
      <c r="AQ234" s="58"/>
      <c r="AR234" s="58">
        <f t="shared" si="45"/>
        <v>0</v>
      </c>
      <c r="AS234" s="58">
        <f t="shared" si="46"/>
        <v>0</v>
      </c>
      <c r="AT234" s="58">
        <f t="shared" si="47"/>
        <v>0</v>
      </c>
      <c r="AU234" s="58">
        <f t="shared" si="48"/>
        <v>0</v>
      </c>
      <c r="AV234" s="58">
        <f t="shared" si="49"/>
        <v>0</v>
      </c>
      <c r="AW234" s="58">
        <f t="shared" si="50"/>
        <v>0</v>
      </c>
      <c r="AX234" s="58">
        <f t="shared" si="51"/>
        <v>0</v>
      </c>
      <c r="AY234" s="58">
        <f t="shared" si="58"/>
        <v>0</v>
      </c>
      <c r="AZ234" s="62">
        <f t="shared" si="52"/>
        <v>0</v>
      </c>
      <c r="BA234" s="63">
        <f t="shared" si="53"/>
        <v>0</v>
      </c>
      <c r="BB234" s="63">
        <f t="shared" si="54"/>
        <v>0</v>
      </c>
    </row>
    <row r="235" spans="3:54" s="17" customFormat="1" x14ac:dyDescent="0.25">
      <c r="C235" s="215"/>
      <c r="D235" s="216"/>
      <c r="E235" s="88"/>
      <c r="F235" s="217"/>
      <c r="G235" s="234"/>
      <c r="H235" s="218"/>
      <c r="I235" s="76"/>
      <c r="J235" s="77"/>
      <c r="K235" s="76"/>
      <c r="L235" s="78"/>
      <c r="M235" s="78"/>
      <c r="N235" s="76" t="s">
        <v>39</v>
      </c>
      <c r="O235" s="110"/>
      <c r="P235" s="152"/>
      <c r="Q235" s="111" t="str">
        <f>IFERROR(MIN(VLOOKUP(ROUNDDOWN(P235,0),'Aide calcul'!$B$2:$C$282,2,FALSE),O235+1),"")</f>
        <v/>
      </c>
      <c r="R235" s="112" t="str">
        <f t="shared" si="55"/>
        <v/>
      </c>
      <c r="S235" s="152"/>
      <c r="T235" s="152"/>
      <c r="U235" s="152"/>
      <c r="V235" s="152"/>
      <c r="W235" s="152"/>
      <c r="X235" s="152"/>
      <c r="Y235" s="152"/>
      <c r="Z235" s="76"/>
      <c r="AA235" s="76"/>
      <c r="AB235" s="113" t="str">
        <f>IF(C235="3111. Logements",ROUND(VLOOKUP(C235,'Informations générales'!$C$66:$E$70,3,FALSE)*(AL235/$AM$28)/12,0)*12,IF(C235="3112. Logements",ROUND(VLOOKUP(C235,'Informations générales'!$C$66:$E$70,3,FALSE)*(AL235/$AN$28)/12,0)*12,IF(C235="3113. Logements",ROUND(VLOOKUP(C235,'Informations générales'!$C$66:$E$70,3,FALSE)*(AL235/$AO$28)/12,0)*12,IF(C235="3114. Logements",ROUND(VLOOKUP(C235,'Informations générales'!$C$66:$E$70,3,FALSE)*(AL235/$AP$28)/12,0)*12,IF(C235="3115. Logements",ROUND(VLOOKUP(C235,'Informations générales'!$C$66:$E$70,3,FALSE)*(AL235/$AQ$28)/12,0)*12,"")))))</f>
        <v/>
      </c>
      <c r="AC235" s="114"/>
      <c r="AD235" s="113">
        <f t="shared" si="56"/>
        <v>0</v>
      </c>
      <c r="AE235" s="114"/>
      <c r="AF235" s="203" t="str">
        <f>IF(C235="3111. Logements",ROUND(VLOOKUP(C235,'Informations générales'!$C$66:$E$70,3,FALSE)*(AL235/$AM$28)/12,0)*12,IF(C235="3112. Logements",ROUND(VLOOKUP(C235,'Informations générales'!$C$66:$E$70,3,FALSE)*(AL235/$AN$28)/12,0)*12,IF(C235="3113. Logements",ROUND(VLOOKUP(C235,'Informations générales'!$C$66:$E$70,3,FALSE)*(AL235/$AO$28)/12,0)*12,IF(C235="3114. Logements",ROUND(VLOOKUP(C235,'Informations générales'!$C$66:$E$70,3,FALSE)*(AL235/$AP$28)/12,0)*12,IF(C235="3115. Logements",ROUND(VLOOKUP(C235,'Informations générales'!$C$66:$E$70,3,FALSE)*(AL235/$AQ$28)/12,0)*12,"")))))</f>
        <v/>
      </c>
      <c r="AG235" s="202"/>
      <c r="AH235" s="113" t="str">
        <f>IF(C235="3111. Logements",ROUND(VLOOKUP(C235,'Informations générales'!$C$66:$H$70,5,FALSE)*(AL235/$AM$28)/12,0)*12,IF(C235="3112. Logements",ROUND(VLOOKUP(C235,'Informations générales'!$C$66:$H$70,5,FALSE)*(AL235/$AN$28)/12,0)*12,IF(C235="3113. Logements",ROUND(VLOOKUP(C235,'Informations générales'!$C$66:$H$70,5,FALSE)*(AL235/$AO$28)/12,0)*12,IF(C235="3114. Logements",ROUND(VLOOKUP(C235,'Informations générales'!$C$66:$H$70,5,FALSE)*(AL235/$AP$28)/12,0)*12,IF(C235="3115. Logements",ROUND(VLOOKUP(C235,'Informations générales'!$C$66:$H$70,5,FALSE)*(AL235/$AQ$28)/12,0)*12,"")))))</f>
        <v/>
      </c>
      <c r="AI235" s="114"/>
      <c r="AJ235" s="114"/>
      <c r="AK235" s="76"/>
      <c r="AL235" s="58">
        <f t="shared" si="57"/>
        <v>0</v>
      </c>
      <c r="AM235" s="58"/>
      <c r="AN235" s="58"/>
      <c r="AO235" s="58"/>
      <c r="AP235" s="58"/>
      <c r="AQ235" s="58"/>
      <c r="AR235" s="58">
        <f t="shared" si="45"/>
        <v>0</v>
      </c>
      <c r="AS235" s="58">
        <f t="shared" si="46"/>
        <v>0</v>
      </c>
      <c r="AT235" s="58">
        <f t="shared" si="47"/>
        <v>0</v>
      </c>
      <c r="AU235" s="58">
        <f t="shared" si="48"/>
        <v>0</v>
      </c>
      <c r="AV235" s="58">
        <f t="shared" si="49"/>
        <v>0</v>
      </c>
      <c r="AW235" s="58">
        <f t="shared" si="50"/>
        <v>0</v>
      </c>
      <c r="AX235" s="58">
        <f t="shared" si="51"/>
        <v>0</v>
      </c>
      <c r="AY235" s="58">
        <f t="shared" si="58"/>
        <v>0</v>
      </c>
      <c r="AZ235" s="62">
        <f t="shared" si="52"/>
        <v>0</v>
      </c>
      <c r="BA235" s="63">
        <f t="shared" si="53"/>
        <v>0</v>
      </c>
      <c r="BB235" s="63">
        <f t="shared" si="54"/>
        <v>0</v>
      </c>
    </row>
    <row r="236" spans="3:54" s="17" customFormat="1" x14ac:dyDescent="0.25">
      <c r="C236" s="215"/>
      <c r="D236" s="216"/>
      <c r="E236" s="88"/>
      <c r="F236" s="217"/>
      <c r="G236" s="234"/>
      <c r="H236" s="218"/>
      <c r="I236" s="76"/>
      <c r="J236" s="77"/>
      <c r="K236" s="76"/>
      <c r="L236" s="78"/>
      <c r="M236" s="78"/>
      <c r="N236" s="76" t="s">
        <v>39</v>
      </c>
      <c r="O236" s="110"/>
      <c r="P236" s="152"/>
      <c r="Q236" s="111" t="str">
        <f>IFERROR(MIN(VLOOKUP(ROUNDDOWN(P236,0),'Aide calcul'!$B$2:$C$282,2,FALSE),O236+1),"")</f>
        <v/>
      </c>
      <c r="R236" s="112" t="str">
        <f t="shared" si="55"/>
        <v/>
      </c>
      <c r="S236" s="152"/>
      <c r="T236" s="152"/>
      <c r="U236" s="152"/>
      <c r="V236" s="152"/>
      <c r="W236" s="152"/>
      <c r="X236" s="152"/>
      <c r="Y236" s="152"/>
      <c r="Z236" s="76"/>
      <c r="AA236" s="76"/>
      <c r="AB236" s="113" t="str">
        <f>IF(C236="3111. Logements",ROUND(VLOOKUP(C236,'Informations générales'!$C$66:$E$70,3,FALSE)*(AL236/$AM$28)/12,0)*12,IF(C236="3112. Logements",ROUND(VLOOKUP(C236,'Informations générales'!$C$66:$E$70,3,FALSE)*(AL236/$AN$28)/12,0)*12,IF(C236="3113. Logements",ROUND(VLOOKUP(C236,'Informations générales'!$C$66:$E$70,3,FALSE)*(AL236/$AO$28)/12,0)*12,IF(C236="3114. Logements",ROUND(VLOOKUP(C236,'Informations générales'!$C$66:$E$70,3,FALSE)*(AL236/$AP$28)/12,0)*12,IF(C236="3115. Logements",ROUND(VLOOKUP(C236,'Informations générales'!$C$66:$E$70,3,FALSE)*(AL236/$AQ$28)/12,0)*12,"")))))</f>
        <v/>
      </c>
      <c r="AC236" s="114"/>
      <c r="AD236" s="113">
        <f t="shared" si="56"/>
        <v>0</v>
      </c>
      <c r="AE236" s="114"/>
      <c r="AF236" s="203" t="str">
        <f>IF(C236="3111. Logements",ROUND(VLOOKUP(C236,'Informations générales'!$C$66:$E$70,3,FALSE)*(AL236/$AM$28)/12,0)*12,IF(C236="3112. Logements",ROUND(VLOOKUP(C236,'Informations générales'!$C$66:$E$70,3,FALSE)*(AL236/$AN$28)/12,0)*12,IF(C236="3113. Logements",ROUND(VLOOKUP(C236,'Informations générales'!$C$66:$E$70,3,FALSE)*(AL236/$AO$28)/12,0)*12,IF(C236="3114. Logements",ROUND(VLOOKUP(C236,'Informations générales'!$C$66:$E$70,3,FALSE)*(AL236/$AP$28)/12,0)*12,IF(C236="3115. Logements",ROUND(VLOOKUP(C236,'Informations générales'!$C$66:$E$70,3,FALSE)*(AL236/$AQ$28)/12,0)*12,"")))))</f>
        <v/>
      </c>
      <c r="AG236" s="202"/>
      <c r="AH236" s="113" t="str">
        <f>IF(C236="3111. Logements",ROUND(VLOOKUP(C236,'Informations générales'!$C$66:$H$70,5,FALSE)*(AL236/$AM$28)/12,0)*12,IF(C236="3112. Logements",ROUND(VLOOKUP(C236,'Informations générales'!$C$66:$H$70,5,FALSE)*(AL236/$AN$28)/12,0)*12,IF(C236="3113. Logements",ROUND(VLOOKUP(C236,'Informations générales'!$C$66:$H$70,5,FALSE)*(AL236/$AO$28)/12,0)*12,IF(C236="3114. Logements",ROUND(VLOOKUP(C236,'Informations générales'!$C$66:$H$70,5,FALSE)*(AL236/$AP$28)/12,0)*12,IF(C236="3115. Logements",ROUND(VLOOKUP(C236,'Informations générales'!$C$66:$H$70,5,FALSE)*(AL236/$AQ$28)/12,0)*12,"")))))</f>
        <v/>
      </c>
      <c r="AI236" s="114"/>
      <c r="AJ236" s="114"/>
      <c r="AK236" s="76"/>
      <c r="AL236" s="58">
        <f t="shared" si="57"/>
        <v>0</v>
      </c>
      <c r="AM236" s="58"/>
      <c r="AN236" s="58"/>
      <c r="AO236" s="58"/>
      <c r="AP236" s="58"/>
      <c r="AQ236" s="58"/>
      <c r="AR236" s="58">
        <f t="shared" si="45"/>
        <v>0</v>
      </c>
      <c r="AS236" s="58">
        <f t="shared" si="46"/>
        <v>0</v>
      </c>
      <c r="AT236" s="58">
        <f t="shared" si="47"/>
        <v>0</v>
      </c>
      <c r="AU236" s="58">
        <f t="shared" si="48"/>
        <v>0</v>
      </c>
      <c r="AV236" s="58">
        <f t="shared" si="49"/>
        <v>0</v>
      </c>
      <c r="AW236" s="58">
        <f t="shared" si="50"/>
        <v>0</v>
      </c>
      <c r="AX236" s="58">
        <f t="shared" si="51"/>
        <v>0</v>
      </c>
      <c r="AY236" s="58">
        <f t="shared" si="58"/>
        <v>0</v>
      </c>
      <c r="AZ236" s="62">
        <f t="shared" si="52"/>
        <v>0</v>
      </c>
      <c r="BA236" s="63">
        <f t="shared" si="53"/>
        <v>0</v>
      </c>
      <c r="BB236" s="63">
        <f t="shared" si="54"/>
        <v>0</v>
      </c>
    </row>
    <row r="237" spans="3:54" s="17" customFormat="1" x14ac:dyDescent="0.25">
      <c r="C237" s="215"/>
      <c r="D237" s="216"/>
      <c r="E237" s="88"/>
      <c r="F237" s="217"/>
      <c r="G237" s="234"/>
      <c r="H237" s="218"/>
      <c r="I237" s="76"/>
      <c r="J237" s="77"/>
      <c r="K237" s="76"/>
      <c r="L237" s="78"/>
      <c r="M237" s="78"/>
      <c r="N237" s="76" t="s">
        <v>39</v>
      </c>
      <c r="O237" s="110"/>
      <c r="P237" s="152"/>
      <c r="Q237" s="111" t="str">
        <f>IFERROR(MIN(VLOOKUP(ROUNDDOWN(P237,0),'Aide calcul'!$B$2:$C$282,2,FALSE),O237+1),"")</f>
        <v/>
      </c>
      <c r="R237" s="112" t="str">
        <f t="shared" si="55"/>
        <v/>
      </c>
      <c r="S237" s="152"/>
      <c r="T237" s="152"/>
      <c r="U237" s="152"/>
      <c r="V237" s="152"/>
      <c r="W237" s="152"/>
      <c r="X237" s="152"/>
      <c r="Y237" s="152"/>
      <c r="Z237" s="76"/>
      <c r="AA237" s="76"/>
      <c r="AB237" s="113" t="str">
        <f>IF(C237="3111. Logements",ROUND(VLOOKUP(C237,'Informations générales'!$C$66:$E$70,3,FALSE)*(AL237/$AM$28)/12,0)*12,IF(C237="3112. Logements",ROUND(VLOOKUP(C237,'Informations générales'!$C$66:$E$70,3,FALSE)*(AL237/$AN$28)/12,0)*12,IF(C237="3113. Logements",ROUND(VLOOKUP(C237,'Informations générales'!$C$66:$E$70,3,FALSE)*(AL237/$AO$28)/12,0)*12,IF(C237="3114. Logements",ROUND(VLOOKUP(C237,'Informations générales'!$C$66:$E$70,3,FALSE)*(AL237/$AP$28)/12,0)*12,IF(C237="3115. Logements",ROUND(VLOOKUP(C237,'Informations générales'!$C$66:$E$70,3,FALSE)*(AL237/$AQ$28)/12,0)*12,"")))))</f>
        <v/>
      </c>
      <c r="AC237" s="114"/>
      <c r="AD237" s="113">
        <f t="shared" si="56"/>
        <v>0</v>
      </c>
      <c r="AE237" s="114"/>
      <c r="AF237" s="203" t="str">
        <f>IF(C237="3111. Logements",ROUND(VLOOKUP(C237,'Informations générales'!$C$66:$E$70,3,FALSE)*(AL237/$AM$28)/12,0)*12,IF(C237="3112. Logements",ROUND(VLOOKUP(C237,'Informations générales'!$C$66:$E$70,3,FALSE)*(AL237/$AN$28)/12,0)*12,IF(C237="3113. Logements",ROUND(VLOOKUP(C237,'Informations générales'!$C$66:$E$70,3,FALSE)*(AL237/$AO$28)/12,0)*12,IF(C237="3114. Logements",ROUND(VLOOKUP(C237,'Informations générales'!$C$66:$E$70,3,FALSE)*(AL237/$AP$28)/12,0)*12,IF(C237="3115. Logements",ROUND(VLOOKUP(C237,'Informations générales'!$C$66:$E$70,3,FALSE)*(AL237/$AQ$28)/12,0)*12,"")))))</f>
        <v/>
      </c>
      <c r="AG237" s="202"/>
      <c r="AH237" s="113" t="str">
        <f>IF(C237="3111. Logements",ROUND(VLOOKUP(C237,'Informations générales'!$C$66:$H$70,5,FALSE)*(AL237/$AM$28)/12,0)*12,IF(C237="3112. Logements",ROUND(VLOOKUP(C237,'Informations générales'!$C$66:$H$70,5,FALSE)*(AL237/$AN$28)/12,0)*12,IF(C237="3113. Logements",ROUND(VLOOKUP(C237,'Informations générales'!$C$66:$H$70,5,FALSE)*(AL237/$AO$28)/12,0)*12,IF(C237="3114. Logements",ROUND(VLOOKUP(C237,'Informations générales'!$C$66:$H$70,5,FALSE)*(AL237/$AP$28)/12,0)*12,IF(C237="3115. Logements",ROUND(VLOOKUP(C237,'Informations générales'!$C$66:$H$70,5,FALSE)*(AL237/$AQ$28)/12,0)*12,"")))))</f>
        <v/>
      </c>
      <c r="AI237" s="114"/>
      <c r="AJ237" s="114"/>
      <c r="AK237" s="76"/>
      <c r="AL237" s="58">
        <f t="shared" si="57"/>
        <v>0</v>
      </c>
      <c r="AM237" s="58"/>
      <c r="AN237" s="58"/>
      <c r="AO237" s="58"/>
      <c r="AP237" s="58"/>
      <c r="AQ237" s="58"/>
      <c r="AR237" s="58">
        <f t="shared" si="45"/>
        <v>0</v>
      </c>
      <c r="AS237" s="58">
        <f t="shared" si="46"/>
        <v>0</v>
      </c>
      <c r="AT237" s="58">
        <f t="shared" si="47"/>
        <v>0</v>
      </c>
      <c r="AU237" s="58">
        <f t="shared" si="48"/>
        <v>0</v>
      </c>
      <c r="AV237" s="58">
        <f t="shared" si="49"/>
        <v>0</v>
      </c>
      <c r="AW237" s="58">
        <f t="shared" si="50"/>
        <v>0</v>
      </c>
      <c r="AX237" s="58">
        <f t="shared" si="51"/>
        <v>0</v>
      </c>
      <c r="AY237" s="58">
        <f t="shared" si="58"/>
        <v>0</v>
      </c>
      <c r="AZ237" s="62">
        <f t="shared" si="52"/>
        <v>0</v>
      </c>
      <c r="BA237" s="63">
        <f t="shared" si="53"/>
        <v>0</v>
      </c>
      <c r="BB237" s="63">
        <f t="shared" si="54"/>
        <v>0</v>
      </c>
    </row>
    <row r="238" spans="3:54" s="17" customFormat="1" x14ac:dyDescent="0.25">
      <c r="C238" s="215"/>
      <c r="D238" s="216"/>
      <c r="E238" s="88"/>
      <c r="F238" s="217"/>
      <c r="G238" s="234"/>
      <c r="H238" s="218"/>
      <c r="I238" s="76"/>
      <c r="J238" s="77"/>
      <c r="K238" s="76"/>
      <c r="L238" s="78"/>
      <c r="M238" s="78"/>
      <c r="N238" s="76" t="s">
        <v>39</v>
      </c>
      <c r="O238" s="110"/>
      <c r="P238" s="152"/>
      <c r="Q238" s="111" t="str">
        <f>IFERROR(MIN(VLOOKUP(ROUNDDOWN(P238,0),'Aide calcul'!$B$2:$C$282,2,FALSE),O238+1),"")</f>
        <v/>
      </c>
      <c r="R238" s="112" t="str">
        <f t="shared" si="55"/>
        <v/>
      </c>
      <c r="S238" s="152"/>
      <c r="T238" s="152"/>
      <c r="U238" s="152"/>
      <c r="V238" s="152"/>
      <c r="W238" s="152"/>
      <c r="X238" s="152"/>
      <c r="Y238" s="152"/>
      <c r="Z238" s="76"/>
      <c r="AA238" s="76"/>
      <c r="AB238" s="113" t="str">
        <f>IF(C238="3111. Logements",ROUND(VLOOKUP(C238,'Informations générales'!$C$66:$E$70,3,FALSE)*(AL238/$AM$28)/12,0)*12,IF(C238="3112. Logements",ROUND(VLOOKUP(C238,'Informations générales'!$C$66:$E$70,3,FALSE)*(AL238/$AN$28)/12,0)*12,IF(C238="3113. Logements",ROUND(VLOOKUP(C238,'Informations générales'!$C$66:$E$70,3,FALSE)*(AL238/$AO$28)/12,0)*12,IF(C238="3114. Logements",ROUND(VLOOKUP(C238,'Informations générales'!$C$66:$E$70,3,FALSE)*(AL238/$AP$28)/12,0)*12,IF(C238="3115. Logements",ROUND(VLOOKUP(C238,'Informations générales'!$C$66:$E$70,3,FALSE)*(AL238/$AQ$28)/12,0)*12,"")))))</f>
        <v/>
      </c>
      <c r="AC238" s="114"/>
      <c r="AD238" s="113">
        <f t="shared" si="56"/>
        <v>0</v>
      </c>
      <c r="AE238" s="114"/>
      <c r="AF238" s="203" t="str">
        <f>IF(C238="3111. Logements",ROUND(VLOOKUP(C238,'Informations générales'!$C$66:$E$70,3,FALSE)*(AL238/$AM$28)/12,0)*12,IF(C238="3112. Logements",ROUND(VLOOKUP(C238,'Informations générales'!$C$66:$E$70,3,FALSE)*(AL238/$AN$28)/12,0)*12,IF(C238="3113. Logements",ROUND(VLOOKUP(C238,'Informations générales'!$C$66:$E$70,3,FALSE)*(AL238/$AO$28)/12,0)*12,IF(C238="3114. Logements",ROUND(VLOOKUP(C238,'Informations générales'!$C$66:$E$70,3,FALSE)*(AL238/$AP$28)/12,0)*12,IF(C238="3115. Logements",ROUND(VLOOKUP(C238,'Informations générales'!$C$66:$E$70,3,FALSE)*(AL238/$AQ$28)/12,0)*12,"")))))</f>
        <v/>
      </c>
      <c r="AG238" s="202"/>
      <c r="AH238" s="113" t="str">
        <f>IF(C238="3111. Logements",ROUND(VLOOKUP(C238,'Informations générales'!$C$66:$H$70,5,FALSE)*(AL238/$AM$28)/12,0)*12,IF(C238="3112. Logements",ROUND(VLOOKUP(C238,'Informations générales'!$C$66:$H$70,5,FALSE)*(AL238/$AN$28)/12,0)*12,IF(C238="3113. Logements",ROUND(VLOOKUP(C238,'Informations générales'!$C$66:$H$70,5,FALSE)*(AL238/$AO$28)/12,0)*12,IF(C238="3114. Logements",ROUND(VLOOKUP(C238,'Informations générales'!$C$66:$H$70,5,FALSE)*(AL238/$AP$28)/12,0)*12,IF(C238="3115. Logements",ROUND(VLOOKUP(C238,'Informations générales'!$C$66:$H$70,5,FALSE)*(AL238/$AQ$28)/12,0)*12,"")))))</f>
        <v/>
      </c>
      <c r="AI238" s="114"/>
      <c r="AJ238" s="114"/>
      <c r="AK238" s="76"/>
      <c r="AL238" s="58">
        <f t="shared" si="57"/>
        <v>0</v>
      </c>
      <c r="AM238" s="58"/>
      <c r="AN238" s="58"/>
      <c r="AO238" s="58"/>
      <c r="AP238" s="58"/>
      <c r="AQ238" s="58"/>
      <c r="AR238" s="58">
        <f t="shared" si="45"/>
        <v>0</v>
      </c>
      <c r="AS238" s="58">
        <f t="shared" si="46"/>
        <v>0</v>
      </c>
      <c r="AT238" s="58">
        <f t="shared" si="47"/>
        <v>0</v>
      </c>
      <c r="AU238" s="58">
        <f t="shared" si="48"/>
        <v>0</v>
      </c>
      <c r="AV238" s="58">
        <f t="shared" si="49"/>
        <v>0</v>
      </c>
      <c r="AW238" s="58">
        <f t="shared" si="50"/>
        <v>0</v>
      </c>
      <c r="AX238" s="58">
        <f t="shared" si="51"/>
        <v>0</v>
      </c>
      <c r="AY238" s="58">
        <f t="shared" si="58"/>
        <v>0</v>
      </c>
      <c r="AZ238" s="62">
        <f t="shared" si="52"/>
        <v>0</v>
      </c>
      <c r="BA238" s="63">
        <f t="shared" si="53"/>
        <v>0</v>
      </c>
      <c r="BB238" s="63">
        <f t="shared" si="54"/>
        <v>0</v>
      </c>
    </row>
    <row r="239" spans="3:54" s="17" customFormat="1" x14ac:dyDescent="0.25">
      <c r="C239" s="215"/>
      <c r="D239" s="216"/>
      <c r="E239" s="88"/>
      <c r="F239" s="217"/>
      <c r="G239" s="234"/>
      <c r="H239" s="218"/>
      <c r="I239" s="76"/>
      <c r="J239" s="77"/>
      <c r="K239" s="76"/>
      <c r="L239" s="78"/>
      <c r="M239" s="78"/>
      <c r="N239" s="76" t="s">
        <v>39</v>
      </c>
      <c r="O239" s="110"/>
      <c r="P239" s="152"/>
      <c r="Q239" s="111" t="str">
        <f>IFERROR(MIN(VLOOKUP(ROUNDDOWN(P239,0),'Aide calcul'!$B$2:$C$282,2,FALSE),O239+1),"")</f>
        <v/>
      </c>
      <c r="R239" s="112" t="str">
        <f t="shared" si="55"/>
        <v/>
      </c>
      <c r="S239" s="152"/>
      <c r="T239" s="152"/>
      <c r="U239" s="152"/>
      <c r="V239" s="152"/>
      <c r="W239" s="152"/>
      <c r="X239" s="152"/>
      <c r="Y239" s="152"/>
      <c r="Z239" s="76"/>
      <c r="AA239" s="76"/>
      <c r="AB239" s="113" t="str">
        <f>IF(C239="3111. Logements",ROUND(VLOOKUP(C239,'Informations générales'!$C$66:$E$70,3,FALSE)*(AL239/$AM$28)/12,0)*12,IF(C239="3112. Logements",ROUND(VLOOKUP(C239,'Informations générales'!$C$66:$E$70,3,FALSE)*(AL239/$AN$28)/12,0)*12,IF(C239="3113. Logements",ROUND(VLOOKUP(C239,'Informations générales'!$C$66:$E$70,3,FALSE)*(AL239/$AO$28)/12,0)*12,IF(C239="3114. Logements",ROUND(VLOOKUP(C239,'Informations générales'!$C$66:$E$70,3,FALSE)*(AL239/$AP$28)/12,0)*12,IF(C239="3115. Logements",ROUND(VLOOKUP(C239,'Informations générales'!$C$66:$E$70,3,FALSE)*(AL239/$AQ$28)/12,0)*12,"")))))</f>
        <v/>
      </c>
      <c r="AC239" s="114"/>
      <c r="AD239" s="113">
        <f t="shared" si="56"/>
        <v>0</v>
      </c>
      <c r="AE239" s="114"/>
      <c r="AF239" s="203" t="str">
        <f>IF(C239="3111. Logements",ROUND(VLOOKUP(C239,'Informations générales'!$C$66:$E$70,3,FALSE)*(AL239/$AM$28)/12,0)*12,IF(C239="3112. Logements",ROUND(VLOOKUP(C239,'Informations générales'!$C$66:$E$70,3,FALSE)*(AL239/$AN$28)/12,0)*12,IF(C239="3113. Logements",ROUND(VLOOKUP(C239,'Informations générales'!$C$66:$E$70,3,FALSE)*(AL239/$AO$28)/12,0)*12,IF(C239="3114. Logements",ROUND(VLOOKUP(C239,'Informations générales'!$C$66:$E$70,3,FALSE)*(AL239/$AP$28)/12,0)*12,IF(C239="3115. Logements",ROUND(VLOOKUP(C239,'Informations générales'!$C$66:$E$70,3,FALSE)*(AL239/$AQ$28)/12,0)*12,"")))))</f>
        <v/>
      </c>
      <c r="AG239" s="202"/>
      <c r="AH239" s="113" t="str">
        <f>IF(C239="3111. Logements",ROUND(VLOOKUP(C239,'Informations générales'!$C$66:$H$70,5,FALSE)*(AL239/$AM$28)/12,0)*12,IF(C239="3112. Logements",ROUND(VLOOKUP(C239,'Informations générales'!$C$66:$H$70,5,FALSE)*(AL239/$AN$28)/12,0)*12,IF(C239="3113. Logements",ROUND(VLOOKUP(C239,'Informations générales'!$C$66:$H$70,5,FALSE)*(AL239/$AO$28)/12,0)*12,IF(C239="3114. Logements",ROUND(VLOOKUP(C239,'Informations générales'!$C$66:$H$70,5,FALSE)*(AL239/$AP$28)/12,0)*12,IF(C239="3115. Logements",ROUND(VLOOKUP(C239,'Informations générales'!$C$66:$H$70,5,FALSE)*(AL239/$AQ$28)/12,0)*12,"")))))</f>
        <v/>
      </c>
      <c r="AI239" s="114"/>
      <c r="AJ239" s="114"/>
      <c r="AK239" s="76"/>
      <c r="AL239" s="58">
        <f t="shared" si="57"/>
        <v>0</v>
      </c>
      <c r="AM239" s="58"/>
      <c r="AN239" s="58"/>
      <c r="AO239" s="58"/>
      <c r="AP239" s="58"/>
      <c r="AQ239" s="58"/>
      <c r="AR239" s="58">
        <f t="shared" si="45"/>
        <v>0</v>
      </c>
      <c r="AS239" s="58">
        <f t="shared" si="46"/>
        <v>0</v>
      </c>
      <c r="AT239" s="58">
        <f t="shared" si="47"/>
        <v>0</v>
      </c>
      <c r="AU239" s="58">
        <f t="shared" si="48"/>
        <v>0</v>
      </c>
      <c r="AV239" s="58">
        <f t="shared" si="49"/>
        <v>0</v>
      </c>
      <c r="AW239" s="58">
        <f t="shared" si="50"/>
        <v>0</v>
      </c>
      <c r="AX239" s="58">
        <f t="shared" si="51"/>
        <v>0</v>
      </c>
      <c r="AY239" s="58">
        <f t="shared" si="58"/>
        <v>0</v>
      </c>
      <c r="AZ239" s="62">
        <f t="shared" si="52"/>
        <v>0</v>
      </c>
      <c r="BA239" s="63">
        <f t="shared" si="53"/>
        <v>0</v>
      </c>
      <c r="BB239" s="63">
        <f t="shared" si="54"/>
        <v>0</v>
      </c>
    </row>
    <row r="240" spans="3:54" s="17" customFormat="1" x14ac:dyDescent="0.25">
      <c r="C240" s="215"/>
      <c r="D240" s="216"/>
      <c r="E240" s="88"/>
      <c r="F240" s="217"/>
      <c r="G240" s="234"/>
      <c r="H240" s="218"/>
      <c r="I240" s="76"/>
      <c r="J240" s="77"/>
      <c r="K240" s="76"/>
      <c r="L240" s="78"/>
      <c r="M240" s="78"/>
      <c r="N240" s="76" t="s">
        <v>39</v>
      </c>
      <c r="O240" s="110"/>
      <c r="P240" s="152"/>
      <c r="Q240" s="111" t="str">
        <f>IFERROR(MIN(VLOOKUP(ROUNDDOWN(P240,0),'Aide calcul'!$B$2:$C$282,2,FALSE),O240+1),"")</f>
        <v/>
      </c>
      <c r="R240" s="112" t="str">
        <f t="shared" si="55"/>
        <v/>
      </c>
      <c r="S240" s="152"/>
      <c r="T240" s="152"/>
      <c r="U240" s="152"/>
      <c r="V240" s="152"/>
      <c r="W240" s="152"/>
      <c r="X240" s="152"/>
      <c r="Y240" s="152"/>
      <c r="Z240" s="76"/>
      <c r="AA240" s="76"/>
      <c r="AB240" s="113" t="str">
        <f>IF(C240="3111. Logements",ROUND(VLOOKUP(C240,'Informations générales'!$C$66:$E$70,3,FALSE)*(AL240/$AM$28)/12,0)*12,IF(C240="3112. Logements",ROUND(VLOOKUP(C240,'Informations générales'!$C$66:$E$70,3,FALSE)*(AL240/$AN$28)/12,0)*12,IF(C240="3113. Logements",ROUND(VLOOKUP(C240,'Informations générales'!$C$66:$E$70,3,FALSE)*(AL240/$AO$28)/12,0)*12,IF(C240="3114. Logements",ROUND(VLOOKUP(C240,'Informations générales'!$C$66:$E$70,3,FALSE)*(AL240/$AP$28)/12,0)*12,IF(C240="3115. Logements",ROUND(VLOOKUP(C240,'Informations générales'!$C$66:$E$70,3,FALSE)*(AL240/$AQ$28)/12,0)*12,"")))))</f>
        <v/>
      </c>
      <c r="AC240" s="114"/>
      <c r="AD240" s="113">
        <f t="shared" si="56"/>
        <v>0</v>
      </c>
      <c r="AE240" s="114"/>
      <c r="AF240" s="203" t="str">
        <f>IF(C240="3111. Logements",ROUND(VLOOKUP(C240,'Informations générales'!$C$66:$E$70,3,FALSE)*(AL240/$AM$28)/12,0)*12,IF(C240="3112. Logements",ROUND(VLOOKUP(C240,'Informations générales'!$C$66:$E$70,3,FALSE)*(AL240/$AN$28)/12,0)*12,IF(C240="3113. Logements",ROUND(VLOOKUP(C240,'Informations générales'!$C$66:$E$70,3,FALSE)*(AL240/$AO$28)/12,0)*12,IF(C240="3114. Logements",ROUND(VLOOKUP(C240,'Informations générales'!$C$66:$E$70,3,FALSE)*(AL240/$AP$28)/12,0)*12,IF(C240="3115. Logements",ROUND(VLOOKUP(C240,'Informations générales'!$C$66:$E$70,3,FALSE)*(AL240/$AQ$28)/12,0)*12,"")))))</f>
        <v/>
      </c>
      <c r="AG240" s="202"/>
      <c r="AH240" s="113" t="str">
        <f>IF(C240="3111. Logements",ROUND(VLOOKUP(C240,'Informations générales'!$C$66:$H$70,5,FALSE)*(AL240/$AM$28)/12,0)*12,IF(C240="3112. Logements",ROUND(VLOOKUP(C240,'Informations générales'!$C$66:$H$70,5,FALSE)*(AL240/$AN$28)/12,0)*12,IF(C240="3113. Logements",ROUND(VLOOKUP(C240,'Informations générales'!$C$66:$H$70,5,FALSE)*(AL240/$AO$28)/12,0)*12,IF(C240="3114. Logements",ROUND(VLOOKUP(C240,'Informations générales'!$C$66:$H$70,5,FALSE)*(AL240/$AP$28)/12,0)*12,IF(C240="3115. Logements",ROUND(VLOOKUP(C240,'Informations générales'!$C$66:$H$70,5,FALSE)*(AL240/$AQ$28)/12,0)*12,"")))))</f>
        <v/>
      </c>
      <c r="AI240" s="114"/>
      <c r="AJ240" s="114"/>
      <c r="AK240" s="76"/>
      <c r="AL240" s="58">
        <f t="shared" si="57"/>
        <v>0</v>
      </c>
      <c r="AM240" s="58"/>
      <c r="AN240" s="58"/>
      <c r="AO240" s="58"/>
      <c r="AP240" s="58"/>
      <c r="AQ240" s="58"/>
      <c r="AR240" s="58">
        <f t="shared" si="45"/>
        <v>0</v>
      </c>
      <c r="AS240" s="58">
        <f t="shared" si="46"/>
        <v>0</v>
      </c>
      <c r="AT240" s="58">
        <f t="shared" si="47"/>
        <v>0</v>
      </c>
      <c r="AU240" s="58">
        <f t="shared" si="48"/>
        <v>0</v>
      </c>
      <c r="AV240" s="58">
        <f t="shared" si="49"/>
        <v>0</v>
      </c>
      <c r="AW240" s="58">
        <f t="shared" si="50"/>
        <v>0</v>
      </c>
      <c r="AX240" s="58">
        <f t="shared" si="51"/>
        <v>0</v>
      </c>
      <c r="AY240" s="58">
        <f t="shared" si="58"/>
        <v>0</v>
      </c>
      <c r="AZ240" s="62">
        <f t="shared" si="52"/>
        <v>0</v>
      </c>
      <c r="BA240" s="63">
        <f t="shared" si="53"/>
        <v>0</v>
      </c>
      <c r="BB240" s="63">
        <f t="shared" si="54"/>
        <v>0</v>
      </c>
    </row>
    <row r="241" spans="3:54" s="17" customFormat="1" x14ac:dyDescent="0.25">
      <c r="C241" s="215"/>
      <c r="D241" s="216"/>
      <c r="E241" s="88"/>
      <c r="F241" s="217"/>
      <c r="G241" s="234"/>
      <c r="H241" s="218"/>
      <c r="I241" s="76"/>
      <c r="J241" s="77"/>
      <c r="K241" s="76"/>
      <c r="L241" s="78"/>
      <c r="M241" s="78"/>
      <c r="N241" s="76" t="s">
        <v>39</v>
      </c>
      <c r="O241" s="110"/>
      <c r="P241" s="152"/>
      <c r="Q241" s="111" t="str">
        <f>IFERROR(MIN(VLOOKUP(ROUNDDOWN(P241,0),'Aide calcul'!$B$2:$C$282,2,FALSE),O241+1),"")</f>
        <v/>
      </c>
      <c r="R241" s="112" t="str">
        <f t="shared" si="55"/>
        <v/>
      </c>
      <c r="S241" s="152"/>
      <c r="T241" s="152"/>
      <c r="U241" s="152"/>
      <c r="V241" s="152"/>
      <c r="W241" s="152"/>
      <c r="X241" s="152"/>
      <c r="Y241" s="152"/>
      <c r="Z241" s="76"/>
      <c r="AA241" s="76"/>
      <c r="AB241" s="113" t="str">
        <f>IF(C241="3111. Logements",ROUND(VLOOKUP(C241,'Informations générales'!$C$66:$E$70,3,FALSE)*(AL241/$AM$28)/12,0)*12,IF(C241="3112. Logements",ROUND(VLOOKUP(C241,'Informations générales'!$C$66:$E$70,3,FALSE)*(AL241/$AN$28)/12,0)*12,IF(C241="3113. Logements",ROUND(VLOOKUP(C241,'Informations générales'!$C$66:$E$70,3,FALSE)*(AL241/$AO$28)/12,0)*12,IF(C241="3114. Logements",ROUND(VLOOKUP(C241,'Informations générales'!$C$66:$E$70,3,FALSE)*(AL241/$AP$28)/12,0)*12,IF(C241="3115. Logements",ROUND(VLOOKUP(C241,'Informations générales'!$C$66:$E$70,3,FALSE)*(AL241/$AQ$28)/12,0)*12,"")))))</f>
        <v/>
      </c>
      <c r="AC241" s="114"/>
      <c r="AD241" s="113">
        <f t="shared" si="56"/>
        <v>0</v>
      </c>
      <c r="AE241" s="114"/>
      <c r="AF241" s="203" t="str">
        <f>IF(C241="3111. Logements",ROUND(VLOOKUP(C241,'Informations générales'!$C$66:$E$70,3,FALSE)*(AL241/$AM$28)/12,0)*12,IF(C241="3112. Logements",ROUND(VLOOKUP(C241,'Informations générales'!$C$66:$E$70,3,FALSE)*(AL241/$AN$28)/12,0)*12,IF(C241="3113. Logements",ROUND(VLOOKUP(C241,'Informations générales'!$C$66:$E$70,3,FALSE)*(AL241/$AO$28)/12,0)*12,IF(C241="3114. Logements",ROUND(VLOOKUP(C241,'Informations générales'!$C$66:$E$70,3,FALSE)*(AL241/$AP$28)/12,0)*12,IF(C241="3115. Logements",ROUND(VLOOKUP(C241,'Informations générales'!$C$66:$E$70,3,FALSE)*(AL241/$AQ$28)/12,0)*12,"")))))</f>
        <v/>
      </c>
      <c r="AG241" s="202"/>
      <c r="AH241" s="113" t="str">
        <f>IF(C241="3111. Logements",ROUND(VLOOKUP(C241,'Informations générales'!$C$66:$H$70,5,FALSE)*(AL241/$AM$28)/12,0)*12,IF(C241="3112. Logements",ROUND(VLOOKUP(C241,'Informations générales'!$C$66:$H$70,5,FALSE)*(AL241/$AN$28)/12,0)*12,IF(C241="3113. Logements",ROUND(VLOOKUP(C241,'Informations générales'!$C$66:$H$70,5,FALSE)*(AL241/$AO$28)/12,0)*12,IF(C241="3114. Logements",ROUND(VLOOKUP(C241,'Informations générales'!$C$66:$H$70,5,FALSE)*(AL241/$AP$28)/12,0)*12,IF(C241="3115. Logements",ROUND(VLOOKUP(C241,'Informations générales'!$C$66:$H$70,5,FALSE)*(AL241/$AQ$28)/12,0)*12,"")))))</f>
        <v/>
      </c>
      <c r="AI241" s="114"/>
      <c r="AJ241" s="114"/>
      <c r="AK241" s="76"/>
      <c r="AL241" s="58">
        <f t="shared" si="57"/>
        <v>0</v>
      </c>
      <c r="AM241" s="58"/>
      <c r="AN241" s="58"/>
      <c r="AO241" s="58"/>
      <c r="AP241" s="58"/>
      <c r="AQ241" s="58"/>
      <c r="AR241" s="58">
        <f t="shared" si="45"/>
        <v>0</v>
      </c>
      <c r="AS241" s="58">
        <f t="shared" si="46"/>
        <v>0</v>
      </c>
      <c r="AT241" s="58">
        <f t="shared" si="47"/>
        <v>0</v>
      </c>
      <c r="AU241" s="58">
        <f t="shared" si="48"/>
        <v>0</v>
      </c>
      <c r="AV241" s="58">
        <f t="shared" si="49"/>
        <v>0</v>
      </c>
      <c r="AW241" s="58">
        <f t="shared" si="50"/>
        <v>0</v>
      </c>
      <c r="AX241" s="58">
        <f t="shared" si="51"/>
        <v>0</v>
      </c>
      <c r="AY241" s="58">
        <f t="shared" si="58"/>
        <v>0</v>
      </c>
      <c r="AZ241" s="62">
        <f t="shared" si="52"/>
        <v>0</v>
      </c>
      <c r="BA241" s="63">
        <f t="shared" si="53"/>
        <v>0</v>
      </c>
      <c r="BB241" s="63">
        <f t="shared" si="54"/>
        <v>0</v>
      </c>
    </row>
    <row r="242" spans="3:54" s="17" customFormat="1" x14ac:dyDescent="0.25">
      <c r="C242" s="215"/>
      <c r="D242" s="216"/>
      <c r="E242" s="88"/>
      <c r="F242" s="217"/>
      <c r="G242" s="234"/>
      <c r="H242" s="218"/>
      <c r="I242" s="76"/>
      <c r="J242" s="77"/>
      <c r="K242" s="76"/>
      <c r="L242" s="78"/>
      <c r="M242" s="78"/>
      <c r="N242" s="76" t="s">
        <v>39</v>
      </c>
      <c r="O242" s="110"/>
      <c r="P242" s="152"/>
      <c r="Q242" s="111" t="str">
        <f>IFERROR(MIN(VLOOKUP(ROUNDDOWN(P242,0),'Aide calcul'!$B$2:$C$282,2,FALSE),O242+1),"")</f>
        <v/>
      </c>
      <c r="R242" s="112" t="str">
        <f t="shared" si="55"/>
        <v/>
      </c>
      <c r="S242" s="152"/>
      <c r="T242" s="152"/>
      <c r="U242" s="152"/>
      <c r="V242" s="152"/>
      <c r="W242" s="152"/>
      <c r="X242" s="152"/>
      <c r="Y242" s="152"/>
      <c r="Z242" s="76"/>
      <c r="AA242" s="76"/>
      <c r="AB242" s="113" t="str">
        <f>IF(C242="3111. Logements",ROUND(VLOOKUP(C242,'Informations générales'!$C$66:$E$70,3,FALSE)*(AL242/$AM$28)/12,0)*12,IF(C242="3112. Logements",ROUND(VLOOKUP(C242,'Informations générales'!$C$66:$E$70,3,FALSE)*(AL242/$AN$28)/12,0)*12,IF(C242="3113. Logements",ROUND(VLOOKUP(C242,'Informations générales'!$C$66:$E$70,3,FALSE)*(AL242/$AO$28)/12,0)*12,IF(C242="3114. Logements",ROUND(VLOOKUP(C242,'Informations générales'!$C$66:$E$70,3,FALSE)*(AL242/$AP$28)/12,0)*12,IF(C242="3115. Logements",ROUND(VLOOKUP(C242,'Informations générales'!$C$66:$E$70,3,FALSE)*(AL242/$AQ$28)/12,0)*12,"")))))</f>
        <v/>
      </c>
      <c r="AC242" s="114"/>
      <c r="AD242" s="113">
        <f t="shared" si="56"/>
        <v>0</v>
      </c>
      <c r="AE242" s="114"/>
      <c r="AF242" s="203" t="str">
        <f>IF(C242="3111. Logements",ROUND(VLOOKUP(C242,'Informations générales'!$C$66:$E$70,3,FALSE)*(AL242/$AM$28)/12,0)*12,IF(C242="3112. Logements",ROUND(VLOOKUP(C242,'Informations générales'!$C$66:$E$70,3,FALSE)*(AL242/$AN$28)/12,0)*12,IF(C242="3113. Logements",ROUND(VLOOKUP(C242,'Informations générales'!$C$66:$E$70,3,FALSE)*(AL242/$AO$28)/12,0)*12,IF(C242="3114. Logements",ROUND(VLOOKUP(C242,'Informations générales'!$C$66:$E$70,3,FALSE)*(AL242/$AP$28)/12,0)*12,IF(C242="3115. Logements",ROUND(VLOOKUP(C242,'Informations générales'!$C$66:$E$70,3,FALSE)*(AL242/$AQ$28)/12,0)*12,"")))))</f>
        <v/>
      </c>
      <c r="AG242" s="202"/>
      <c r="AH242" s="113" t="str">
        <f>IF(C242="3111. Logements",ROUND(VLOOKUP(C242,'Informations générales'!$C$66:$H$70,5,FALSE)*(AL242/$AM$28)/12,0)*12,IF(C242="3112. Logements",ROUND(VLOOKUP(C242,'Informations générales'!$C$66:$H$70,5,FALSE)*(AL242/$AN$28)/12,0)*12,IF(C242="3113. Logements",ROUND(VLOOKUP(C242,'Informations générales'!$C$66:$H$70,5,FALSE)*(AL242/$AO$28)/12,0)*12,IF(C242="3114. Logements",ROUND(VLOOKUP(C242,'Informations générales'!$C$66:$H$70,5,FALSE)*(AL242/$AP$28)/12,0)*12,IF(C242="3115. Logements",ROUND(VLOOKUP(C242,'Informations générales'!$C$66:$H$70,5,FALSE)*(AL242/$AQ$28)/12,0)*12,"")))))</f>
        <v/>
      </c>
      <c r="AI242" s="114"/>
      <c r="AJ242" s="114"/>
      <c r="AK242" s="76"/>
      <c r="AL242" s="58">
        <f t="shared" si="57"/>
        <v>0</v>
      </c>
      <c r="AM242" s="58"/>
      <c r="AN242" s="58"/>
      <c r="AO242" s="58"/>
      <c r="AP242" s="58"/>
      <c r="AQ242" s="58"/>
      <c r="AR242" s="58">
        <f t="shared" si="45"/>
        <v>0</v>
      </c>
      <c r="AS242" s="58">
        <f t="shared" si="46"/>
        <v>0</v>
      </c>
      <c r="AT242" s="58">
        <f t="shared" si="47"/>
        <v>0</v>
      </c>
      <c r="AU242" s="58">
        <f t="shared" si="48"/>
        <v>0</v>
      </c>
      <c r="AV242" s="58">
        <f t="shared" si="49"/>
        <v>0</v>
      </c>
      <c r="AW242" s="58">
        <f t="shared" si="50"/>
        <v>0</v>
      </c>
      <c r="AX242" s="58">
        <f t="shared" si="51"/>
        <v>0</v>
      </c>
      <c r="AY242" s="58">
        <f t="shared" si="58"/>
        <v>0</v>
      </c>
      <c r="AZ242" s="62">
        <f t="shared" si="52"/>
        <v>0</v>
      </c>
      <c r="BA242" s="63">
        <f t="shared" si="53"/>
        <v>0</v>
      </c>
      <c r="BB242" s="63">
        <f t="shared" si="54"/>
        <v>0</v>
      </c>
    </row>
    <row r="243" spans="3:54" s="17" customFormat="1" x14ac:dyDescent="0.25">
      <c r="C243" s="215"/>
      <c r="D243" s="216"/>
      <c r="E243" s="88"/>
      <c r="F243" s="217"/>
      <c r="G243" s="234"/>
      <c r="H243" s="218"/>
      <c r="I243" s="76"/>
      <c r="J243" s="77"/>
      <c r="K243" s="76"/>
      <c r="L243" s="78"/>
      <c r="M243" s="78"/>
      <c r="N243" s="76" t="s">
        <v>39</v>
      </c>
      <c r="O243" s="110"/>
      <c r="P243" s="152"/>
      <c r="Q243" s="111" t="str">
        <f>IFERROR(MIN(VLOOKUP(ROUNDDOWN(P243,0),'Aide calcul'!$B$2:$C$282,2,FALSE),O243+1),"")</f>
        <v/>
      </c>
      <c r="R243" s="112" t="str">
        <f t="shared" si="55"/>
        <v/>
      </c>
      <c r="S243" s="152"/>
      <c r="T243" s="152"/>
      <c r="U243" s="152"/>
      <c r="V243" s="152"/>
      <c r="W243" s="152"/>
      <c r="X243" s="152"/>
      <c r="Y243" s="152"/>
      <c r="Z243" s="76"/>
      <c r="AA243" s="76"/>
      <c r="AB243" s="113" t="str">
        <f>IF(C243="3111. Logements",ROUND(VLOOKUP(C243,'Informations générales'!$C$66:$E$70,3,FALSE)*(AL243/$AM$28)/12,0)*12,IF(C243="3112. Logements",ROUND(VLOOKUP(C243,'Informations générales'!$C$66:$E$70,3,FALSE)*(AL243/$AN$28)/12,0)*12,IF(C243="3113. Logements",ROUND(VLOOKUP(C243,'Informations générales'!$C$66:$E$70,3,FALSE)*(AL243/$AO$28)/12,0)*12,IF(C243="3114. Logements",ROUND(VLOOKUP(C243,'Informations générales'!$C$66:$E$70,3,FALSE)*(AL243/$AP$28)/12,0)*12,IF(C243="3115. Logements",ROUND(VLOOKUP(C243,'Informations générales'!$C$66:$E$70,3,FALSE)*(AL243/$AQ$28)/12,0)*12,"")))))</f>
        <v/>
      </c>
      <c r="AC243" s="114"/>
      <c r="AD243" s="113">
        <f t="shared" si="56"/>
        <v>0</v>
      </c>
      <c r="AE243" s="114"/>
      <c r="AF243" s="203" t="str">
        <f>IF(C243="3111. Logements",ROUND(VLOOKUP(C243,'Informations générales'!$C$66:$E$70,3,FALSE)*(AL243/$AM$28)/12,0)*12,IF(C243="3112. Logements",ROUND(VLOOKUP(C243,'Informations générales'!$C$66:$E$70,3,FALSE)*(AL243/$AN$28)/12,0)*12,IF(C243="3113. Logements",ROUND(VLOOKUP(C243,'Informations générales'!$C$66:$E$70,3,FALSE)*(AL243/$AO$28)/12,0)*12,IF(C243="3114. Logements",ROUND(VLOOKUP(C243,'Informations générales'!$C$66:$E$70,3,FALSE)*(AL243/$AP$28)/12,0)*12,IF(C243="3115. Logements",ROUND(VLOOKUP(C243,'Informations générales'!$C$66:$E$70,3,FALSE)*(AL243/$AQ$28)/12,0)*12,"")))))</f>
        <v/>
      </c>
      <c r="AG243" s="202"/>
      <c r="AH243" s="113" t="str">
        <f>IF(C243="3111. Logements",ROUND(VLOOKUP(C243,'Informations générales'!$C$66:$H$70,5,FALSE)*(AL243/$AM$28)/12,0)*12,IF(C243="3112. Logements",ROUND(VLOOKUP(C243,'Informations générales'!$C$66:$H$70,5,FALSE)*(AL243/$AN$28)/12,0)*12,IF(C243="3113. Logements",ROUND(VLOOKUP(C243,'Informations générales'!$C$66:$H$70,5,FALSE)*(AL243/$AO$28)/12,0)*12,IF(C243="3114. Logements",ROUND(VLOOKUP(C243,'Informations générales'!$C$66:$H$70,5,FALSE)*(AL243/$AP$28)/12,0)*12,IF(C243="3115. Logements",ROUND(VLOOKUP(C243,'Informations générales'!$C$66:$H$70,5,FALSE)*(AL243/$AQ$28)/12,0)*12,"")))))</f>
        <v/>
      </c>
      <c r="AI243" s="114"/>
      <c r="AJ243" s="114"/>
      <c r="AK243" s="76"/>
      <c r="AL243" s="58">
        <f t="shared" si="57"/>
        <v>0</v>
      </c>
      <c r="AM243" s="58"/>
      <c r="AN243" s="58"/>
      <c r="AO243" s="58"/>
      <c r="AP243" s="58"/>
      <c r="AQ243" s="58"/>
      <c r="AR243" s="58">
        <f t="shared" si="45"/>
        <v>0</v>
      </c>
      <c r="AS243" s="58">
        <f t="shared" si="46"/>
        <v>0</v>
      </c>
      <c r="AT243" s="58">
        <f t="shared" si="47"/>
        <v>0</v>
      </c>
      <c r="AU243" s="58">
        <f t="shared" si="48"/>
        <v>0</v>
      </c>
      <c r="AV243" s="58">
        <f t="shared" si="49"/>
        <v>0</v>
      </c>
      <c r="AW243" s="58">
        <f t="shared" si="50"/>
        <v>0</v>
      </c>
      <c r="AX243" s="58">
        <f t="shared" si="51"/>
        <v>0</v>
      </c>
      <c r="AY243" s="58">
        <f t="shared" si="58"/>
        <v>0</v>
      </c>
      <c r="AZ243" s="62">
        <f t="shared" si="52"/>
        <v>0</v>
      </c>
      <c r="BA243" s="63">
        <f t="shared" si="53"/>
        <v>0</v>
      </c>
      <c r="BB243" s="63">
        <f t="shared" si="54"/>
        <v>0</v>
      </c>
    </row>
    <row r="244" spans="3:54" s="17" customFormat="1" x14ac:dyDescent="0.25">
      <c r="C244" s="215"/>
      <c r="D244" s="216"/>
      <c r="E244" s="88"/>
      <c r="F244" s="217"/>
      <c r="G244" s="234"/>
      <c r="H244" s="218"/>
      <c r="I244" s="76"/>
      <c r="J244" s="77"/>
      <c r="K244" s="76"/>
      <c r="L244" s="78"/>
      <c r="M244" s="78"/>
      <c r="N244" s="76" t="s">
        <v>39</v>
      </c>
      <c r="O244" s="110"/>
      <c r="P244" s="152"/>
      <c r="Q244" s="111" t="str">
        <f>IFERROR(MIN(VLOOKUP(ROUNDDOWN(P244,0),'Aide calcul'!$B$2:$C$282,2,FALSE),O244+1),"")</f>
        <v/>
      </c>
      <c r="R244" s="112" t="str">
        <f t="shared" si="55"/>
        <v/>
      </c>
      <c r="S244" s="152"/>
      <c r="T244" s="152"/>
      <c r="U244" s="152"/>
      <c r="V244" s="152"/>
      <c r="W244" s="152"/>
      <c r="X244" s="152"/>
      <c r="Y244" s="152"/>
      <c r="Z244" s="76"/>
      <c r="AA244" s="76"/>
      <c r="AB244" s="113" t="str">
        <f>IF(C244="3111. Logements",ROUND(VLOOKUP(C244,'Informations générales'!$C$66:$E$70,3,FALSE)*(AL244/$AM$28)/12,0)*12,IF(C244="3112. Logements",ROUND(VLOOKUP(C244,'Informations générales'!$C$66:$E$70,3,FALSE)*(AL244/$AN$28)/12,0)*12,IF(C244="3113. Logements",ROUND(VLOOKUP(C244,'Informations générales'!$C$66:$E$70,3,FALSE)*(AL244/$AO$28)/12,0)*12,IF(C244="3114. Logements",ROUND(VLOOKUP(C244,'Informations générales'!$C$66:$E$70,3,FALSE)*(AL244/$AP$28)/12,0)*12,IF(C244="3115. Logements",ROUND(VLOOKUP(C244,'Informations générales'!$C$66:$E$70,3,FALSE)*(AL244/$AQ$28)/12,0)*12,"")))))</f>
        <v/>
      </c>
      <c r="AC244" s="114"/>
      <c r="AD244" s="113">
        <f t="shared" si="56"/>
        <v>0</v>
      </c>
      <c r="AE244" s="114"/>
      <c r="AF244" s="203" t="str">
        <f>IF(C244="3111. Logements",ROUND(VLOOKUP(C244,'Informations générales'!$C$66:$E$70,3,FALSE)*(AL244/$AM$28)/12,0)*12,IF(C244="3112. Logements",ROUND(VLOOKUP(C244,'Informations générales'!$C$66:$E$70,3,FALSE)*(AL244/$AN$28)/12,0)*12,IF(C244="3113. Logements",ROUND(VLOOKUP(C244,'Informations générales'!$C$66:$E$70,3,FALSE)*(AL244/$AO$28)/12,0)*12,IF(C244="3114. Logements",ROUND(VLOOKUP(C244,'Informations générales'!$C$66:$E$70,3,FALSE)*(AL244/$AP$28)/12,0)*12,IF(C244="3115. Logements",ROUND(VLOOKUP(C244,'Informations générales'!$C$66:$E$70,3,FALSE)*(AL244/$AQ$28)/12,0)*12,"")))))</f>
        <v/>
      </c>
      <c r="AG244" s="202"/>
      <c r="AH244" s="113" t="str">
        <f>IF(C244="3111. Logements",ROUND(VLOOKUP(C244,'Informations générales'!$C$66:$H$70,5,FALSE)*(AL244/$AM$28)/12,0)*12,IF(C244="3112. Logements",ROUND(VLOOKUP(C244,'Informations générales'!$C$66:$H$70,5,FALSE)*(AL244/$AN$28)/12,0)*12,IF(C244="3113. Logements",ROUND(VLOOKUP(C244,'Informations générales'!$C$66:$H$70,5,FALSE)*(AL244/$AO$28)/12,0)*12,IF(C244="3114. Logements",ROUND(VLOOKUP(C244,'Informations générales'!$C$66:$H$70,5,FALSE)*(AL244/$AP$28)/12,0)*12,IF(C244="3115. Logements",ROUND(VLOOKUP(C244,'Informations générales'!$C$66:$H$70,5,FALSE)*(AL244/$AQ$28)/12,0)*12,"")))))</f>
        <v/>
      </c>
      <c r="AI244" s="114"/>
      <c r="AJ244" s="114"/>
      <c r="AK244" s="76"/>
      <c r="AL244" s="58">
        <f t="shared" si="57"/>
        <v>0</v>
      </c>
      <c r="AM244" s="58"/>
      <c r="AN244" s="58"/>
      <c r="AO244" s="58"/>
      <c r="AP244" s="58"/>
      <c r="AQ244" s="58"/>
      <c r="AR244" s="58">
        <f t="shared" si="45"/>
        <v>0</v>
      </c>
      <c r="AS244" s="58">
        <f t="shared" si="46"/>
        <v>0</v>
      </c>
      <c r="AT244" s="58">
        <f t="shared" si="47"/>
        <v>0</v>
      </c>
      <c r="AU244" s="58">
        <f t="shared" si="48"/>
        <v>0</v>
      </c>
      <c r="AV244" s="58">
        <f t="shared" si="49"/>
        <v>0</v>
      </c>
      <c r="AW244" s="58">
        <f t="shared" si="50"/>
        <v>0</v>
      </c>
      <c r="AX244" s="58">
        <f t="shared" si="51"/>
        <v>0</v>
      </c>
      <c r="AY244" s="58">
        <f t="shared" si="58"/>
        <v>0</v>
      </c>
      <c r="AZ244" s="62">
        <f t="shared" si="52"/>
        <v>0</v>
      </c>
      <c r="BA244" s="63">
        <f t="shared" si="53"/>
        <v>0</v>
      </c>
      <c r="BB244" s="63">
        <f t="shared" si="54"/>
        <v>0</v>
      </c>
    </row>
    <row r="245" spans="3:54" s="17" customFormat="1" x14ac:dyDescent="0.25">
      <c r="C245" s="215"/>
      <c r="D245" s="216"/>
      <c r="E245" s="88"/>
      <c r="F245" s="217"/>
      <c r="G245" s="234"/>
      <c r="H245" s="218"/>
      <c r="I245" s="76"/>
      <c r="J245" s="77"/>
      <c r="K245" s="76"/>
      <c r="L245" s="78"/>
      <c r="M245" s="78"/>
      <c r="N245" s="76" t="s">
        <v>39</v>
      </c>
      <c r="O245" s="110"/>
      <c r="P245" s="152"/>
      <c r="Q245" s="111" t="str">
        <f>IFERROR(MIN(VLOOKUP(ROUNDDOWN(P245,0),'Aide calcul'!$B$2:$C$282,2,FALSE),O245+1),"")</f>
        <v/>
      </c>
      <c r="R245" s="112" t="str">
        <f t="shared" si="55"/>
        <v/>
      </c>
      <c r="S245" s="152"/>
      <c r="T245" s="152"/>
      <c r="U245" s="152"/>
      <c r="V245" s="152"/>
      <c r="W245" s="152"/>
      <c r="X245" s="152"/>
      <c r="Y245" s="152"/>
      <c r="Z245" s="76"/>
      <c r="AA245" s="76"/>
      <c r="AB245" s="113" t="str">
        <f>IF(C245="3111. Logements",ROUND(VLOOKUP(C245,'Informations générales'!$C$66:$E$70,3,FALSE)*(AL245/$AM$28)/12,0)*12,IF(C245="3112. Logements",ROUND(VLOOKUP(C245,'Informations générales'!$C$66:$E$70,3,FALSE)*(AL245/$AN$28)/12,0)*12,IF(C245="3113. Logements",ROUND(VLOOKUP(C245,'Informations générales'!$C$66:$E$70,3,FALSE)*(AL245/$AO$28)/12,0)*12,IF(C245="3114. Logements",ROUND(VLOOKUP(C245,'Informations générales'!$C$66:$E$70,3,FALSE)*(AL245/$AP$28)/12,0)*12,IF(C245="3115. Logements",ROUND(VLOOKUP(C245,'Informations générales'!$C$66:$E$70,3,FALSE)*(AL245/$AQ$28)/12,0)*12,"")))))</f>
        <v/>
      </c>
      <c r="AC245" s="114"/>
      <c r="AD245" s="113">
        <f t="shared" si="56"/>
        <v>0</v>
      </c>
      <c r="AE245" s="114"/>
      <c r="AF245" s="203" t="str">
        <f>IF(C245="3111. Logements",ROUND(VLOOKUP(C245,'Informations générales'!$C$66:$E$70,3,FALSE)*(AL245/$AM$28)/12,0)*12,IF(C245="3112. Logements",ROUND(VLOOKUP(C245,'Informations générales'!$C$66:$E$70,3,FALSE)*(AL245/$AN$28)/12,0)*12,IF(C245="3113. Logements",ROUND(VLOOKUP(C245,'Informations générales'!$C$66:$E$70,3,FALSE)*(AL245/$AO$28)/12,0)*12,IF(C245="3114. Logements",ROUND(VLOOKUP(C245,'Informations générales'!$C$66:$E$70,3,FALSE)*(AL245/$AP$28)/12,0)*12,IF(C245="3115. Logements",ROUND(VLOOKUP(C245,'Informations générales'!$C$66:$E$70,3,FALSE)*(AL245/$AQ$28)/12,0)*12,"")))))</f>
        <v/>
      </c>
      <c r="AG245" s="202"/>
      <c r="AH245" s="113" t="str">
        <f>IF(C245="3111. Logements",ROUND(VLOOKUP(C245,'Informations générales'!$C$66:$H$70,5,FALSE)*(AL245/$AM$28)/12,0)*12,IF(C245="3112. Logements",ROUND(VLOOKUP(C245,'Informations générales'!$C$66:$H$70,5,FALSE)*(AL245/$AN$28)/12,0)*12,IF(C245="3113. Logements",ROUND(VLOOKUP(C245,'Informations générales'!$C$66:$H$70,5,FALSE)*(AL245/$AO$28)/12,0)*12,IF(C245="3114. Logements",ROUND(VLOOKUP(C245,'Informations générales'!$C$66:$H$70,5,FALSE)*(AL245/$AP$28)/12,0)*12,IF(C245="3115. Logements",ROUND(VLOOKUP(C245,'Informations générales'!$C$66:$H$70,5,FALSE)*(AL245/$AQ$28)/12,0)*12,"")))))</f>
        <v/>
      </c>
      <c r="AI245" s="114"/>
      <c r="AJ245" s="114"/>
      <c r="AK245" s="76"/>
      <c r="AL245" s="58">
        <f t="shared" si="57"/>
        <v>0</v>
      </c>
      <c r="AM245" s="58"/>
      <c r="AN245" s="58"/>
      <c r="AO245" s="58"/>
      <c r="AP245" s="58"/>
      <c r="AQ245" s="58"/>
      <c r="AR245" s="58">
        <f t="shared" si="45"/>
        <v>0</v>
      </c>
      <c r="AS245" s="58">
        <f t="shared" si="46"/>
        <v>0</v>
      </c>
      <c r="AT245" s="58">
        <f t="shared" si="47"/>
        <v>0</v>
      </c>
      <c r="AU245" s="58">
        <f t="shared" si="48"/>
        <v>0</v>
      </c>
      <c r="AV245" s="58">
        <f t="shared" si="49"/>
        <v>0</v>
      </c>
      <c r="AW245" s="58">
        <f t="shared" si="50"/>
        <v>0</v>
      </c>
      <c r="AX245" s="58">
        <f t="shared" si="51"/>
        <v>0</v>
      </c>
      <c r="AY245" s="58">
        <f t="shared" si="58"/>
        <v>0</v>
      </c>
      <c r="AZ245" s="62">
        <f t="shared" si="52"/>
        <v>0</v>
      </c>
      <c r="BA245" s="63">
        <f t="shared" si="53"/>
        <v>0</v>
      </c>
      <c r="BB245" s="63">
        <f t="shared" si="54"/>
        <v>0</v>
      </c>
    </row>
    <row r="246" spans="3:54" s="17" customFormat="1" x14ac:dyDescent="0.25">
      <c r="C246" s="215"/>
      <c r="D246" s="216"/>
      <c r="E246" s="88"/>
      <c r="F246" s="217"/>
      <c r="G246" s="234"/>
      <c r="H246" s="218"/>
      <c r="I246" s="76"/>
      <c r="J246" s="77"/>
      <c r="K246" s="76"/>
      <c r="L246" s="78"/>
      <c r="M246" s="78"/>
      <c r="N246" s="76" t="s">
        <v>39</v>
      </c>
      <c r="O246" s="110"/>
      <c r="P246" s="152"/>
      <c r="Q246" s="111" t="str">
        <f>IFERROR(MIN(VLOOKUP(ROUNDDOWN(P246,0),'Aide calcul'!$B$2:$C$282,2,FALSE),O246+1),"")</f>
        <v/>
      </c>
      <c r="R246" s="112" t="str">
        <f t="shared" si="55"/>
        <v/>
      </c>
      <c r="S246" s="152"/>
      <c r="T246" s="152"/>
      <c r="U246" s="152"/>
      <c r="V246" s="152"/>
      <c r="W246" s="152"/>
      <c r="X246" s="152"/>
      <c r="Y246" s="152"/>
      <c r="Z246" s="76"/>
      <c r="AA246" s="76"/>
      <c r="AB246" s="113" t="str">
        <f>IF(C246="3111. Logements",ROUND(VLOOKUP(C246,'Informations générales'!$C$66:$E$70,3,FALSE)*(AL246/$AM$28)/12,0)*12,IF(C246="3112. Logements",ROUND(VLOOKUP(C246,'Informations générales'!$C$66:$E$70,3,FALSE)*(AL246/$AN$28)/12,0)*12,IF(C246="3113. Logements",ROUND(VLOOKUP(C246,'Informations générales'!$C$66:$E$70,3,FALSE)*(AL246/$AO$28)/12,0)*12,IF(C246="3114. Logements",ROUND(VLOOKUP(C246,'Informations générales'!$C$66:$E$70,3,FALSE)*(AL246/$AP$28)/12,0)*12,IF(C246="3115. Logements",ROUND(VLOOKUP(C246,'Informations générales'!$C$66:$E$70,3,FALSE)*(AL246/$AQ$28)/12,0)*12,"")))))</f>
        <v/>
      </c>
      <c r="AC246" s="114"/>
      <c r="AD246" s="113">
        <f t="shared" si="56"/>
        <v>0</v>
      </c>
      <c r="AE246" s="114"/>
      <c r="AF246" s="203" t="str">
        <f>IF(C246="3111. Logements",ROUND(VLOOKUP(C246,'Informations générales'!$C$66:$E$70,3,FALSE)*(AL246/$AM$28)/12,0)*12,IF(C246="3112. Logements",ROUND(VLOOKUP(C246,'Informations générales'!$C$66:$E$70,3,FALSE)*(AL246/$AN$28)/12,0)*12,IF(C246="3113. Logements",ROUND(VLOOKUP(C246,'Informations générales'!$C$66:$E$70,3,FALSE)*(AL246/$AO$28)/12,0)*12,IF(C246="3114. Logements",ROUND(VLOOKUP(C246,'Informations générales'!$C$66:$E$70,3,FALSE)*(AL246/$AP$28)/12,0)*12,IF(C246="3115. Logements",ROUND(VLOOKUP(C246,'Informations générales'!$C$66:$E$70,3,FALSE)*(AL246/$AQ$28)/12,0)*12,"")))))</f>
        <v/>
      </c>
      <c r="AG246" s="202"/>
      <c r="AH246" s="113" t="str">
        <f>IF(C246="3111. Logements",ROUND(VLOOKUP(C246,'Informations générales'!$C$66:$H$70,5,FALSE)*(AL246/$AM$28)/12,0)*12,IF(C246="3112. Logements",ROUND(VLOOKUP(C246,'Informations générales'!$C$66:$H$70,5,FALSE)*(AL246/$AN$28)/12,0)*12,IF(C246="3113. Logements",ROUND(VLOOKUP(C246,'Informations générales'!$C$66:$H$70,5,FALSE)*(AL246/$AO$28)/12,0)*12,IF(C246="3114. Logements",ROUND(VLOOKUP(C246,'Informations générales'!$C$66:$H$70,5,FALSE)*(AL246/$AP$28)/12,0)*12,IF(C246="3115. Logements",ROUND(VLOOKUP(C246,'Informations générales'!$C$66:$H$70,5,FALSE)*(AL246/$AQ$28)/12,0)*12,"")))))</f>
        <v/>
      </c>
      <c r="AI246" s="114"/>
      <c r="AJ246" s="114"/>
      <c r="AK246" s="76"/>
      <c r="AL246" s="58">
        <f t="shared" si="57"/>
        <v>0</v>
      </c>
      <c r="AM246" s="58"/>
      <c r="AN246" s="58"/>
      <c r="AO246" s="58"/>
      <c r="AP246" s="58"/>
      <c r="AQ246" s="58"/>
      <c r="AR246" s="58">
        <f t="shared" si="45"/>
        <v>0</v>
      </c>
      <c r="AS246" s="58">
        <f t="shared" si="46"/>
        <v>0</v>
      </c>
      <c r="AT246" s="58">
        <f t="shared" si="47"/>
        <v>0</v>
      </c>
      <c r="AU246" s="58">
        <f t="shared" si="48"/>
        <v>0</v>
      </c>
      <c r="AV246" s="58">
        <f t="shared" si="49"/>
        <v>0</v>
      </c>
      <c r="AW246" s="58">
        <f t="shared" si="50"/>
        <v>0</v>
      </c>
      <c r="AX246" s="58">
        <f t="shared" si="51"/>
        <v>0</v>
      </c>
      <c r="AY246" s="58">
        <f t="shared" si="58"/>
        <v>0</v>
      </c>
      <c r="AZ246" s="62">
        <f t="shared" si="52"/>
        <v>0</v>
      </c>
      <c r="BA246" s="63">
        <f t="shared" si="53"/>
        <v>0</v>
      </c>
      <c r="BB246" s="63">
        <f t="shared" si="54"/>
        <v>0</v>
      </c>
    </row>
    <row r="247" spans="3:54" s="17" customFormat="1" x14ac:dyDescent="0.25">
      <c r="C247" s="215"/>
      <c r="D247" s="216"/>
      <c r="E247" s="88"/>
      <c r="F247" s="217"/>
      <c r="G247" s="234"/>
      <c r="H247" s="218"/>
      <c r="I247" s="76"/>
      <c r="J247" s="77"/>
      <c r="K247" s="76"/>
      <c r="L247" s="78"/>
      <c r="M247" s="78"/>
      <c r="N247" s="76" t="s">
        <v>39</v>
      </c>
      <c r="O247" s="110"/>
      <c r="P247" s="152"/>
      <c r="Q247" s="111" t="str">
        <f>IFERROR(MIN(VLOOKUP(ROUNDDOWN(P247,0),'Aide calcul'!$B$2:$C$282,2,FALSE),O247+1),"")</f>
        <v/>
      </c>
      <c r="R247" s="112" t="str">
        <f t="shared" si="55"/>
        <v/>
      </c>
      <c r="S247" s="152"/>
      <c r="T247" s="152"/>
      <c r="U247" s="152"/>
      <c r="V247" s="152"/>
      <c r="W247" s="152"/>
      <c r="X247" s="152"/>
      <c r="Y247" s="152"/>
      <c r="Z247" s="76"/>
      <c r="AA247" s="76"/>
      <c r="AB247" s="113" t="str">
        <f>IF(C247="3111. Logements",ROUND(VLOOKUP(C247,'Informations générales'!$C$66:$E$70,3,FALSE)*(AL247/$AM$28)/12,0)*12,IF(C247="3112. Logements",ROUND(VLOOKUP(C247,'Informations générales'!$C$66:$E$70,3,FALSE)*(AL247/$AN$28)/12,0)*12,IF(C247="3113. Logements",ROUND(VLOOKUP(C247,'Informations générales'!$C$66:$E$70,3,FALSE)*(AL247/$AO$28)/12,0)*12,IF(C247="3114. Logements",ROUND(VLOOKUP(C247,'Informations générales'!$C$66:$E$70,3,FALSE)*(AL247/$AP$28)/12,0)*12,IF(C247="3115. Logements",ROUND(VLOOKUP(C247,'Informations générales'!$C$66:$E$70,3,FALSE)*(AL247/$AQ$28)/12,0)*12,"")))))</f>
        <v/>
      </c>
      <c r="AC247" s="114"/>
      <c r="AD247" s="113">
        <f t="shared" si="56"/>
        <v>0</v>
      </c>
      <c r="AE247" s="114"/>
      <c r="AF247" s="203" t="str">
        <f>IF(C247="3111. Logements",ROUND(VLOOKUP(C247,'Informations générales'!$C$66:$E$70,3,FALSE)*(AL247/$AM$28)/12,0)*12,IF(C247="3112. Logements",ROUND(VLOOKUP(C247,'Informations générales'!$C$66:$E$70,3,FALSE)*(AL247/$AN$28)/12,0)*12,IF(C247="3113. Logements",ROUND(VLOOKUP(C247,'Informations générales'!$C$66:$E$70,3,FALSE)*(AL247/$AO$28)/12,0)*12,IF(C247="3114. Logements",ROUND(VLOOKUP(C247,'Informations générales'!$C$66:$E$70,3,FALSE)*(AL247/$AP$28)/12,0)*12,IF(C247="3115. Logements",ROUND(VLOOKUP(C247,'Informations générales'!$C$66:$E$70,3,FALSE)*(AL247/$AQ$28)/12,0)*12,"")))))</f>
        <v/>
      </c>
      <c r="AG247" s="202"/>
      <c r="AH247" s="113" t="str">
        <f>IF(C247="3111. Logements",ROUND(VLOOKUP(C247,'Informations générales'!$C$66:$H$70,5,FALSE)*(AL247/$AM$28)/12,0)*12,IF(C247="3112. Logements",ROUND(VLOOKUP(C247,'Informations générales'!$C$66:$H$70,5,FALSE)*(AL247/$AN$28)/12,0)*12,IF(C247="3113. Logements",ROUND(VLOOKUP(C247,'Informations générales'!$C$66:$H$70,5,FALSE)*(AL247/$AO$28)/12,0)*12,IF(C247="3114. Logements",ROUND(VLOOKUP(C247,'Informations générales'!$C$66:$H$70,5,FALSE)*(AL247/$AP$28)/12,0)*12,IF(C247="3115. Logements",ROUND(VLOOKUP(C247,'Informations générales'!$C$66:$H$70,5,FALSE)*(AL247/$AQ$28)/12,0)*12,"")))))</f>
        <v/>
      </c>
      <c r="AI247" s="114"/>
      <c r="AJ247" s="114"/>
      <c r="AK247" s="76"/>
      <c r="AL247" s="58">
        <f t="shared" si="57"/>
        <v>0</v>
      </c>
      <c r="AM247" s="58"/>
      <c r="AN247" s="58"/>
      <c r="AO247" s="58"/>
      <c r="AP247" s="58"/>
      <c r="AQ247" s="58"/>
      <c r="AR247" s="58">
        <f t="shared" si="45"/>
        <v>0</v>
      </c>
      <c r="AS247" s="58">
        <f t="shared" si="46"/>
        <v>0</v>
      </c>
      <c r="AT247" s="58">
        <f t="shared" si="47"/>
        <v>0</v>
      </c>
      <c r="AU247" s="58">
        <f t="shared" si="48"/>
        <v>0</v>
      </c>
      <c r="AV247" s="58">
        <f t="shared" si="49"/>
        <v>0</v>
      </c>
      <c r="AW247" s="58">
        <f t="shared" si="50"/>
        <v>0</v>
      </c>
      <c r="AX247" s="58">
        <f t="shared" si="51"/>
        <v>0</v>
      </c>
      <c r="AY247" s="58">
        <f t="shared" si="58"/>
        <v>0</v>
      </c>
      <c r="AZ247" s="62">
        <f t="shared" si="52"/>
        <v>0</v>
      </c>
      <c r="BA247" s="63">
        <f t="shared" si="53"/>
        <v>0</v>
      </c>
      <c r="BB247" s="63">
        <f t="shared" si="54"/>
        <v>0</v>
      </c>
    </row>
    <row r="248" spans="3:54" s="17" customFormat="1" x14ac:dyDescent="0.25">
      <c r="C248" s="215"/>
      <c r="D248" s="216"/>
      <c r="E248" s="88"/>
      <c r="F248" s="217"/>
      <c r="G248" s="234"/>
      <c r="H248" s="218"/>
      <c r="I248" s="76"/>
      <c r="J248" s="77"/>
      <c r="K248" s="76"/>
      <c r="L248" s="78"/>
      <c r="M248" s="78"/>
      <c r="N248" s="76" t="s">
        <v>39</v>
      </c>
      <c r="O248" s="110"/>
      <c r="P248" s="152"/>
      <c r="Q248" s="111" t="str">
        <f>IFERROR(MIN(VLOOKUP(ROUNDDOWN(P248,0),'Aide calcul'!$B$2:$C$282,2,FALSE),O248+1),"")</f>
        <v/>
      </c>
      <c r="R248" s="112" t="str">
        <f t="shared" si="55"/>
        <v/>
      </c>
      <c r="S248" s="152"/>
      <c r="T248" s="152"/>
      <c r="U248" s="152"/>
      <c r="V248" s="152"/>
      <c r="W248" s="152"/>
      <c r="X248" s="152"/>
      <c r="Y248" s="152"/>
      <c r="Z248" s="76"/>
      <c r="AA248" s="76"/>
      <c r="AB248" s="113" t="str">
        <f>IF(C248="3111. Logements",ROUND(VLOOKUP(C248,'Informations générales'!$C$66:$E$70,3,FALSE)*(AL248/$AM$28)/12,0)*12,IF(C248="3112. Logements",ROUND(VLOOKUP(C248,'Informations générales'!$C$66:$E$70,3,FALSE)*(AL248/$AN$28)/12,0)*12,IF(C248="3113. Logements",ROUND(VLOOKUP(C248,'Informations générales'!$C$66:$E$70,3,FALSE)*(AL248/$AO$28)/12,0)*12,IF(C248="3114. Logements",ROUND(VLOOKUP(C248,'Informations générales'!$C$66:$E$70,3,FALSE)*(AL248/$AP$28)/12,0)*12,IF(C248="3115. Logements",ROUND(VLOOKUP(C248,'Informations générales'!$C$66:$E$70,3,FALSE)*(AL248/$AQ$28)/12,0)*12,"")))))</f>
        <v/>
      </c>
      <c r="AC248" s="114"/>
      <c r="AD248" s="113">
        <f t="shared" si="56"/>
        <v>0</v>
      </c>
      <c r="AE248" s="114"/>
      <c r="AF248" s="203" t="str">
        <f>IF(C248="3111. Logements",ROUND(VLOOKUP(C248,'Informations générales'!$C$66:$E$70,3,FALSE)*(AL248/$AM$28)/12,0)*12,IF(C248="3112. Logements",ROUND(VLOOKUP(C248,'Informations générales'!$C$66:$E$70,3,FALSE)*(AL248/$AN$28)/12,0)*12,IF(C248="3113. Logements",ROUND(VLOOKUP(C248,'Informations générales'!$C$66:$E$70,3,FALSE)*(AL248/$AO$28)/12,0)*12,IF(C248="3114. Logements",ROUND(VLOOKUP(C248,'Informations générales'!$C$66:$E$70,3,FALSE)*(AL248/$AP$28)/12,0)*12,IF(C248="3115. Logements",ROUND(VLOOKUP(C248,'Informations générales'!$C$66:$E$70,3,FALSE)*(AL248/$AQ$28)/12,0)*12,"")))))</f>
        <v/>
      </c>
      <c r="AG248" s="202"/>
      <c r="AH248" s="113" t="str">
        <f>IF(C248="3111. Logements",ROUND(VLOOKUP(C248,'Informations générales'!$C$66:$H$70,5,FALSE)*(AL248/$AM$28)/12,0)*12,IF(C248="3112. Logements",ROUND(VLOOKUP(C248,'Informations générales'!$C$66:$H$70,5,FALSE)*(AL248/$AN$28)/12,0)*12,IF(C248="3113. Logements",ROUND(VLOOKUP(C248,'Informations générales'!$C$66:$H$70,5,FALSE)*(AL248/$AO$28)/12,0)*12,IF(C248="3114. Logements",ROUND(VLOOKUP(C248,'Informations générales'!$C$66:$H$70,5,FALSE)*(AL248/$AP$28)/12,0)*12,IF(C248="3115. Logements",ROUND(VLOOKUP(C248,'Informations générales'!$C$66:$H$70,5,FALSE)*(AL248/$AQ$28)/12,0)*12,"")))))</f>
        <v/>
      </c>
      <c r="AI248" s="114"/>
      <c r="AJ248" s="114"/>
      <c r="AK248" s="76"/>
      <c r="AL248" s="58">
        <f t="shared" si="57"/>
        <v>0</v>
      </c>
      <c r="AM248" s="58"/>
      <c r="AN248" s="58"/>
      <c r="AO248" s="58"/>
      <c r="AP248" s="58"/>
      <c r="AQ248" s="58"/>
      <c r="AR248" s="58">
        <f t="shared" si="45"/>
        <v>0</v>
      </c>
      <c r="AS248" s="58">
        <f t="shared" si="46"/>
        <v>0</v>
      </c>
      <c r="AT248" s="58">
        <f t="shared" si="47"/>
        <v>0</v>
      </c>
      <c r="AU248" s="58">
        <f t="shared" si="48"/>
        <v>0</v>
      </c>
      <c r="AV248" s="58">
        <f t="shared" si="49"/>
        <v>0</v>
      </c>
      <c r="AW248" s="58">
        <f t="shared" si="50"/>
        <v>0</v>
      </c>
      <c r="AX248" s="58">
        <f t="shared" si="51"/>
        <v>0</v>
      </c>
      <c r="AY248" s="58">
        <f t="shared" si="58"/>
        <v>0</v>
      </c>
      <c r="AZ248" s="62">
        <f t="shared" si="52"/>
        <v>0</v>
      </c>
      <c r="BA248" s="63">
        <f t="shared" si="53"/>
        <v>0</v>
      </c>
      <c r="BB248" s="63">
        <f t="shared" si="54"/>
        <v>0</v>
      </c>
    </row>
    <row r="249" spans="3:54" s="17" customFormat="1" x14ac:dyDescent="0.25">
      <c r="C249" s="215"/>
      <c r="D249" s="216"/>
      <c r="E249" s="88"/>
      <c r="F249" s="217"/>
      <c r="G249" s="234"/>
      <c r="H249" s="218"/>
      <c r="I249" s="76"/>
      <c r="J249" s="77"/>
      <c r="K249" s="76"/>
      <c r="L249" s="78"/>
      <c r="M249" s="78"/>
      <c r="N249" s="76" t="s">
        <v>39</v>
      </c>
      <c r="O249" s="110"/>
      <c r="P249" s="152"/>
      <c r="Q249" s="111" t="str">
        <f>IFERROR(MIN(VLOOKUP(ROUNDDOWN(P249,0),'Aide calcul'!$B$2:$C$282,2,FALSE),O249+1),"")</f>
        <v/>
      </c>
      <c r="R249" s="112" t="str">
        <f t="shared" si="55"/>
        <v/>
      </c>
      <c r="S249" s="152"/>
      <c r="T249" s="152"/>
      <c r="U249" s="152"/>
      <c r="V249" s="152"/>
      <c r="W249" s="152"/>
      <c r="X249" s="152"/>
      <c r="Y249" s="152"/>
      <c r="Z249" s="76"/>
      <c r="AA249" s="76"/>
      <c r="AB249" s="113" t="str">
        <f>IF(C249="3111. Logements",ROUND(VLOOKUP(C249,'Informations générales'!$C$66:$E$70,3,FALSE)*(AL249/$AM$28)/12,0)*12,IF(C249="3112. Logements",ROUND(VLOOKUP(C249,'Informations générales'!$C$66:$E$70,3,FALSE)*(AL249/$AN$28)/12,0)*12,IF(C249="3113. Logements",ROUND(VLOOKUP(C249,'Informations générales'!$C$66:$E$70,3,FALSE)*(AL249/$AO$28)/12,0)*12,IF(C249="3114. Logements",ROUND(VLOOKUP(C249,'Informations générales'!$C$66:$E$70,3,FALSE)*(AL249/$AP$28)/12,0)*12,IF(C249="3115. Logements",ROUND(VLOOKUP(C249,'Informations générales'!$C$66:$E$70,3,FALSE)*(AL249/$AQ$28)/12,0)*12,"")))))</f>
        <v/>
      </c>
      <c r="AC249" s="114"/>
      <c r="AD249" s="113">
        <f t="shared" si="56"/>
        <v>0</v>
      </c>
      <c r="AE249" s="114"/>
      <c r="AF249" s="203" t="str">
        <f>IF(C249="3111. Logements",ROUND(VLOOKUP(C249,'Informations générales'!$C$66:$E$70,3,FALSE)*(AL249/$AM$28)/12,0)*12,IF(C249="3112. Logements",ROUND(VLOOKUP(C249,'Informations générales'!$C$66:$E$70,3,FALSE)*(AL249/$AN$28)/12,0)*12,IF(C249="3113. Logements",ROUND(VLOOKUP(C249,'Informations générales'!$C$66:$E$70,3,FALSE)*(AL249/$AO$28)/12,0)*12,IF(C249="3114. Logements",ROUND(VLOOKUP(C249,'Informations générales'!$C$66:$E$70,3,FALSE)*(AL249/$AP$28)/12,0)*12,IF(C249="3115. Logements",ROUND(VLOOKUP(C249,'Informations générales'!$C$66:$E$70,3,FALSE)*(AL249/$AQ$28)/12,0)*12,"")))))</f>
        <v/>
      </c>
      <c r="AG249" s="202"/>
      <c r="AH249" s="113" t="str">
        <f>IF(C249="3111. Logements",ROUND(VLOOKUP(C249,'Informations générales'!$C$66:$H$70,5,FALSE)*(AL249/$AM$28)/12,0)*12,IF(C249="3112. Logements",ROUND(VLOOKUP(C249,'Informations générales'!$C$66:$H$70,5,FALSE)*(AL249/$AN$28)/12,0)*12,IF(C249="3113. Logements",ROUND(VLOOKUP(C249,'Informations générales'!$C$66:$H$70,5,FALSE)*(AL249/$AO$28)/12,0)*12,IF(C249="3114. Logements",ROUND(VLOOKUP(C249,'Informations générales'!$C$66:$H$70,5,FALSE)*(AL249/$AP$28)/12,0)*12,IF(C249="3115. Logements",ROUND(VLOOKUP(C249,'Informations générales'!$C$66:$H$70,5,FALSE)*(AL249/$AQ$28)/12,0)*12,"")))))</f>
        <v/>
      </c>
      <c r="AI249" s="114"/>
      <c r="AJ249" s="114"/>
      <c r="AK249" s="76"/>
      <c r="AL249" s="58">
        <f t="shared" si="57"/>
        <v>0</v>
      </c>
      <c r="AM249" s="58"/>
      <c r="AN249" s="58"/>
      <c r="AO249" s="58"/>
      <c r="AP249" s="58"/>
      <c r="AQ249" s="58"/>
      <c r="AR249" s="58">
        <f t="shared" si="45"/>
        <v>0</v>
      </c>
      <c r="AS249" s="58">
        <f t="shared" si="46"/>
        <v>0</v>
      </c>
      <c r="AT249" s="58">
        <f t="shared" si="47"/>
        <v>0</v>
      </c>
      <c r="AU249" s="58">
        <f t="shared" si="48"/>
        <v>0</v>
      </c>
      <c r="AV249" s="58">
        <f t="shared" si="49"/>
        <v>0</v>
      </c>
      <c r="AW249" s="58">
        <f t="shared" si="50"/>
        <v>0</v>
      </c>
      <c r="AX249" s="58">
        <f t="shared" si="51"/>
        <v>0</v>
      </c>
      <c r="AY249" s="58">
        <f t="shared" si="58"/>
        <v>0</v>
      </c>
      <c r="AZ249" s="62">
        <f t="shared" si="52"/>
        <v>0</v>
      </c>
      <c r="BA249" s="63">
        <f t="shared" si="53"/>
        <v>0</v>
      </c>
      <c r="BB249" s="63">
        <f t="shared" si="54"/>
        <v>0</v>
      </c>
    </row>
    <row r="250" spans="3:54" s="17" customFormat="1" x14ac:dyDescent="0.25">
      <c r="C250" s="215"/>
      <c r="D250" s="216"/>
      <c r="E250" s="88"/>
      <c r="F250" s="217"/>
      <c r="G250" s="234"/>
      <c r="H250" s="218"/>
      <c r="I250" s="76"/>
      <c r="J250" s="77"/>
      <c r="K250" s="76"/>
      <c r="L250" s="78"/>
      <c r="M250" s="78"/>
      <c r="N250" s="76" t="s">
        <v>39</v>
      </c>
      <c r="O250" s="110"/>
      <c r="P250" s="152"/>
      <c r="Q250" s="111" t="str">
        <f>IFERROR(MIN(VLOOKUP(ROUNDDOWN(P250,0),'Aide calcul'!$B$2:$C$282,2,FALSE),O250+1),"")</f>
        <v/>
      </c>
      <c r="R250" s="112" t="str">
        <f t="shared" si="55"/>
        <v/>
      </c>
      <c r="S250" s="152"/>
      <c r="T250" s="152"/>
      <c r="U250" s="152"/>
      <c r="V250" s="152"/>
      <c r="W250" s="152"/>
      <c r="X250" s="152"/>
      <c r="Y250" s="152"/>
      <c r="Z250" s="76"/>
      <c r="AA250" s="76"/>
      <c r="AB250" s="113" t="str">
        <f>IF(C250="3111. Logements",ROUND(VLOOKUP(C250,'Informations générales'!$C$66:$E$70,3,FALSE)*(AL250/$AM$28)/12,0)*12,IF(C250="3112. Logements",ROUND(VLOOKUP(C250,'Informations générales'!$C$66:$E$70,3,FALSE)*(AL250/$AN$28)/12,0)*12,IF(C250="3113. Logements",ROUND(VLOOKUP(C250,'Informations générales'!$C$66:$E$70,3,FALSE)*(AL250/$AO$28)/12,0)*12,IF(C250="3114. Logements",ROUND(VLOOKUP(C250,'Informations générales'!$C$66:$E$70,3,FALSE)*(AL250/$AP$28)/12,0)*12,IF(C250="3115. Logements",ROUND(VLOOKUP(C250,'Informations générales'!$C$66:$E$70,3,FALSE)*(AL250/$AQ$28)/12,0)*12,"")))))</f>
        <v/>
      </c>
      <c r="AC250" s="114"/>
      <c r="AD250" s="113">
        <f t="shared" si="56"/>
        <v>0</v>
      </c>
      <c r="AE250" s="114"/>
      <c r="AF250" s="203" t="str">
        <f>IF(C250="3111. Logements",ROUND(VLOOKUP(C250,'Informations générales'!$C$66:$E$70,3,FALSE)*(AL250/$AM$28)/12,0)*12,IF(C250="3112. Logements",ROUND(VLOOKUP(C250,'Informations générales'!$C$66:$E$70,3,FALSE)*(AL250/$AN$28)/12,0)*12,IF(C250="3113. Logements",ROUND(VLOOKUP(C250,'Informations générales'!$C$66:$E$70,3,FALSE)*(AL250/$AO$28)/12,0)*12,IF(C250="3114. Logements",ROUND(VLOOKUP(C250,'Informations générales'!$C$66:$E$70,3,FALSE)*(AL250/$AP$28)/12,0)*12,IF(C250="3115. Logements",ROUND(VLOOKUP(C250,'Informations générales'!$C$66:$E$70,3,FALSE)*(AL250/$AQ$28)/12,0)*12,"")))))</f>
        <v/>
      </c>
      <c r="AG250" s="202"/>
      <c r="AH250" s="113" t="str">
        <f>IF(C250="3111. Logements",ROUND(VLOOKUP(C250,'Informations générales'!$C$66:$H$70,5,FALSE)*(AL250/$AM$28)/12,0)*12,IF(C250="3112. Logements",ROUND(VLOOKUP(C250,'Informations générales'!$C$66:$H$70,5,FALSE)*(AL250/$AN$28)/12,0)*12,IF(C250="3113. Logements",ROUND(VLOOKUP(C250,'Informations générales'!$C$66:$H$70,5,FALSE)*(AL250/$AO$28)/12,0)*12,IF(C250="3114. Logements",ROUND(VLOOKUP(C250,'Informations générales'!$C$66:$H$70,5,FALSE)*(AL250/$AP$28)/12,0)*12,IF(C250="3115. Logements",ROUND(VLOOKUP(C250,'Informations générales'!$C$66:$H$70,5,FALSE)*(AL250/$AQ$28)/12,0)*12,"")))))</f>
        <v/>
      </c>
      <c r="AI250" s="114"/>
      <c r="AJ250" s="114"/>
      <c r="AK250" s="76"/>
      <c r="AL250" s="58">
        <f t="shared" si="57"/>
        <v>0</v>
      </c>
      <c r="AM250" s="58"/>
      <c r="AN250" s="58"/>
      <c r="AO250" s="58"/>
      <c r="AP250" s="58"/>
      <c r="AQ250" s="58"/>
      <c r="AR250" s="58">
        <f t="shared" si="45"/>
        <v>0</v>
      </c>
      <c r="AS250" s="58">
        <f t="shared" si="46"/>
        <v>0</v>
      </c>
      <c r="AT250" s="58">
        <f t="shared" si="47"/>
        <v>0</v>
      </c>
      <c r="AU250" s="58">
        <f t="shared" si="48"/>
        <v>0</v>
      </c>
      <c r="AV250" s="58">
        <f t="shared" si="49"/>
        <v>0</v>
      </c>
      <c r="AW250" s="58">
        <f t="shared" si="50"/>
        <v>0</v>
      </c>
      <c r="AX250" s="58">
        <f t="shared" si="51"/>
        <v>0</v>
      </c>
      <c r="AY250" s="58">
        <f t="shared" si="58"/>
        <v>0</v>
      </c>
      <c r="AZ250" s="62">
        <f t="shared" si="52"/>
        <v>0</v>
      </c>
      <c r="BA250" s="63">
        <f t="shared" si="53"/>
        <v>0</v>
      </c>
      <c r="BB250" s="63">
        <f t="shared" si="54"/>
        <v>0</v>
      </c>
    </row>
    <row r="251" spans="3:54" s="17" customFormat="1" x14ac:dyDescent="0.25">
      <c r="C251" s="215"/>
      <c r="D251" s="216"/>
      <c r="E251" s="88"/>
      <c r="F251" s="217"/>
      <c r="G251" s="234"/>
      <c r="H251" s="218"/>
      <c r="I251" s="76"/>
      <c r="J251" s="77"/>
      <c r="K251" s="76"/>
      <c r="L251" s="78"/>
      <c r="M251" s="78"/>
      <c r="N251" s="76" t="s">
        <v>39</v>
      </c>
      <c r="O251" s="110"/>
      <c r="P251" s="152"/>
      <c r="Q251" s="111" t="str">
        <f>IFERROR(MIN(VLOOKUP(ROUNDDOWN(P251,0),'Aide calcul'!$B$2:$C$282,2,FALSE),O251+1),"")</f>
        <v/>
      </c>
      <c r="R251" s="112" t="str">
        <f t="shared" si="55"/>
        <v/>
      </c>
      <c r="S251" s="152"/>
      <c r="T251" s="152"/>
      <c r="U251" s="152"/>
      <c r="V251" s="152"/>
      <c r="W251" s="152"/>
      <c r="X251" s="152"/>
      <c r="Y251" s="152"/>
      <c r="Z251" s="76"/>
      <c r="AA251" s="76"/>
      <c r="AB251" s="113" t="str">
        <f>IF(C251="3111. Logements",ROUND(VLOOKUP(C251,'Informations générales'!$C$66:$E$70,3,FALSE)*(AL251/$AM$28)/12,0)*12,IF(C251="3112. Logements",ROUND(VLOOKUP(C251,'Informations générales'!$C$66:$E$70,3,FALSE)*(AL251/$AN$28)/12,0)*12,IF(C251="3113. Logements",ROUND(VLOOKUP(C251,'Informations générales'!$C$66:$E$70,3,FALSE)*(AL251/$AO$28)/12,0)*12,IF(C251="3114. Logements",ROUND(VLOOKUP(C251,'Informations générales'!$C$66:$E$70,3,FALSE)*(AL251/$AP$28)/12,0)*12,IF(C251="3115. Logements",ROUND(VLOOKUP(C251,'Informations générales'!$C$66:$E$70,3,FALSE)*(AL251/$AQ$28)/12,0)*12,"")))))</f>
        <v/>
      </c>
      <c r="AC251" s="114"/>
      <c r="AD251" s="113">
        <f t="shared" si="56"/>
        <v>0</v>
      </c>
      <c r="AE251" s="114"/>
      <c r="AF251" s="203" t="str">
        <f>IF(C251="3111. Logements",ROUND(VLOOKUP(C251,'Informations générales'!$C$66:$E$70,3,FALSE)*(AL251/$AM$28)/12,0)*12,IF(C251="3112. Logements",ROUND(VLOOKUP(C251,'Informations générales'!$C$66:$E$70,3,FALSE)*(AL251/$AN$28)/12,0)*12,IF(C251="3113. Logements",ROUND(VLOOKUP(C251,'Informations générales'!$C$66:$E$70,3,FALSE)*(AL251/$AO$28)/12,0)*12,IF(C251="3114. Logements",ROUND(VLOOKUP(C251,'Informations générales'!$C$66:$E$70,3,FALSE)*(AL251/$AP$28)/12,0)*12,IF(C251="3115. Logements",ROUND(VLOOKUP(C251,'Informations générales'!$C$66:$E$70,3,FALSE)*(AL251/$AQ$28)/12,0)*12,"")))))</f>
        <v/>
      </c>
      <c r="AG251" s="202"/>
      <c r="AH251" s="113" t="str">
        <f>IF(C251="3111. Logements",ROUND(VLOOKUP(C251,'Informations générales'!$C$66:$H$70,5,FALSE)*(AL251/$AM$28)/12,0)*12,IF(C251="3112. Logements",ROUND(VLOOKUP(C251,'Informations générales'!$C$66:$H$70,5,FALSE)*(AL251/$AN$28)/12,0)*12,IF(C251="3113. Logements",ROUND(VLOOKUP(C251,'Informations générales'!$C$66:$H$70,5,FALSE)*(AL251/$AO$28)/12,0)*12,IF(C251="3114. Logements",ROUND(VLOOKUP(C251,'Informations générales'!$C$66:$H$70,5,FALSE)*(AL251/$AP$28)/12,0)*12,IF(C251="3115. Logements",ROUND(VLOOKUP(C251,'Informations générales'!$C$66:$H$70,5,FALSE)*(AL251/$AQ$28)/12,0)*12,"")))))</f>
        <v/>
      </c>
      <c r="AI251" s="114"/>
      <c r="AJ251" s="114"/>
      <c r="AK251" s="76"/>
      <c r="AL251" s="58">
        <f t="shared" si="57"/>
        <v>0</v>
      </c>
      <c r="AM251" s="58"/>
      <c r="AN251" s="58"/>
      <c r="AO251" s="58"/>
      <c r="AP251" s="58"/>
      <c r="AQ251" s="58"/>
      <c r="AR251" s="58">
        <f t="shared" si="45"/>
        <v>0</v>
      </c>
      <c r="AS251" s="58">
        <f t="shared" si="46"/>
        <v>0</v>
      </c>
      <c r="AT251" s="58">
        <f t="shared" si="47"/>
        <v>0</v>
      </c>
      <c r="AU251" s="58">
        <f t="shared" si="48"/>
        <v>0</v>
      </c>
      <c r="AV251" s="58">
        <f t="shared" si="49"/>
        <v>0</v>
      </c>
      <c r="AW251" s="58">
        <f t="shared" si="50"/>
        <v>0</v>
      </c>
      <c r="AX251" s="58">
        <f t="shared" si="51"/>
        <v>0</v>
      </c>
      <c r="AY251" s="58">
        <f t="shared" si="58"/>
        <v>0</v>
      </c>
      <c r="AZ251" s="62">
        <f t="shared" si="52"/>
        <v>0</v>
      </c>
      <c r="BA251" s="63">
        <f t="shared" si="53"/>
        <v>0</v>
      </c>
      <c r="BB251" s="63">
        <f t="shared" si="54"/>
        <v>0</v>
      </c>
    </row>
    <row r="252" spans="3:54" s="17" customFormat="1" x14ac:dyDescent="0.25">
      <c r="C252" s="215"/>
      <c r="D252" s="216"/>
      <c r="E252" s="88"/>
      <c r="F252" s="217"/>
      <c r="G252" s="234"/>
      <c r="H252" s="218"/>
      <c r="I252" s="76"/>
      <c r="J252" s="77"/>
      <c r="K252" s="76"/>
      <c r="L252" s="78"/>
      <c r="M252" s="78"/>
      <c r="N252" s="76" t="s">
        <v>39</v>
      </c>
      <c r="O252" s="110"/>
      <c r="P252" s="152"/>
      <c r="Q252" s="111" t="str">
        <f>IFERROR(MIN(VLOOKUP(ROUNDDOWN(P252,0),'Aide calcul'!$B$2:$C$282,2,FALSE),O252+1),"")</f>
        <v/>
      </c>
      <c r="R252" s="112" t="str">
        <f t="shared" si="55"/>
        <v/>
      </c>
      <c r="S252" s="152"/>
      <c r="T252" s="152"/>
      <c r="U252" s="152"/>
      <c r="V252" s="152"/>
      <c r="W252" s="152"/>
      <c r="X252" s="152"/>
      <c r="Y252" s="152"/>
      <c r="Z252" s="76"/>
      <c r="AA252" s="76"/>
      <c r="AB252" s="113" t="str">
        <f>IF(C252="3111. Logements",ROUND(VLOOKUP(C252,'Informations générales'!$C$66:$E$70,3,FALSE)*(AL252/$AM$28)/12,0)*12,IF(C252="3112. Logements",ROUND(VLOOKUP(C252,'Informations générales'!$C$66:$E$70,3,FALSE)*(AL252/$AN$28)/12,0)*12,IF(C252="3113. Logements",ROUND(VLOOKUP(C252,'Informations générales'!$C$66:$E$70,3,FALSE)*(AL252/$AO$28)/12,0)*12,IF(C252="3114. Logements",ROUND(VLOOKUP(C252,'Informations générales'!$C$66:$E$70,3,FALSE)*(AL252/$AP$28)/12,0)*12,IF(C252="3115. Logements",ROUND(VLOOKUP(C252,'Informations générales'!$C$66:$E$70,3,FALSE)*(AL252/$AQ$28)/12,0)*12,"")))))</f>
        <v/>
      </c>
      <c r="AC252" s="114"/>
      <c r="AD252" s="113">
        <f t="shared" si="56"/>
        <v>0</v>
      </c>
      <c r="AE252" s="114"/>
      <c r="AF252" s="203" t="str">
        <f>IF(C252="3111. Logements",ROUND(VLOOKUP(C252,'Informations générales'!$C$66:$E$70,3,FALSE)*(AL252/$AM$28)/12,0)*12,IF(C252="3112. Logements",ROUND(VLOOKUP(C252,'Informations générales'!$C$66:$E$70,3,FALSE)*(AL252/$AN$28)/12,0)*12,IF(C252="3113. Logements",ROUND(VLOOKUP(C252,'Informations générales'!$C$66:$E$70,3,FALSE)*(AL252/$AO$28)/12,0)*12,IF(C252="3114. Logements",ROUND(VLOOKUP(C252,'Informations générales'!$C$66:$E$70,3,FALSE)*(AL252/$AP$28)/12,0)*12,IF(C252="3115. Logements",ROUND(VLOOKUP(C252,'Informations générales'!$C$66:$E$70,3,FALSE)*(AL252/$AQ$28)/12,0)*12,"")))))</f>
        <v/>
      </c>
      <c r="AG252" s="202"/>
      <c r="AH252" s="113" t="str">
        <f>IF(C252="3111. Logements",ROUND(VLOOKUP(C252,'Informations générales'!$C$66:$H$70,5,FALSE)*(AL252/$AM$28)/12,0)*12,IF(C252="3112. Logements",ROUND(VLOOKUP(C252,'Informations générales'!$C$66:$H$70,5,FALSE)*(AL252/$AN$28)/12,0)*12,IF(C252="3113. Logements",ROUND(VLOOKUP(C252,'Informations générales'!$C$66:$H$70,5,FALSE)*(AL252/$AO$28)/12,0)*12,IF(C252="3114. Logements",ROUND(VLOOKUP(C252,'Informations générales'!$C$66:$H$70,5,FALSE)*(AL252/$AP$28)/12,0)*12,IF(C252="3115. Logements",ROUND(VLOOKUP(C252,'Informations générales'!$C$66:$H$70,5,FALSE)*(AL252/$AQ$28)/12,0)*12,"")))))</f>
        <v/>
      </c>
      <c r="AI252" s="114"/>
      <c r="AJ252" s="114"/>
      <c r="AK252" s="76"/>
      <c r="AL252" s="58">
        <f t="shared" si="57"/>
        <v>0</v>
      </c>
      <c r="AM252" s="58"/>
      <c r="AN252" s="58"/>
      <c r="AO252" s="58"/>
      <c r="AP252" s="58"/>
      <c r="AQ252" s="58"/>
      <c r="AR252" s="58">
        <f t="shared" si="45"/>
        <v>0</v>
      </c>
      <c r="AS252" s="58">
        <f t="shared" si="46"/>
        <v>0</v>
      </c>
      <c r="AT252" s="58">
        <f t="shared" si="47"/>
        <v>0</v>
      </c>
      <c r="AU252" s="58">
        <f t="shared" si="48"/>
        <v>0</v>
      </c>
      <c r="AV252" s="58">
        <f t="shared" si="49"/>
        <v>0</v>
      </c>
      <c r="AW252" s="58">
        <f t="shared" si="50"/>
        <v>0</v>
      </c>
      <c r="AX252" s="58">
        <f t="shared" si="51"/>
        <v>0</v>
      </c>
      <c r="AY252" s="58">
        <f t="shared" si="58"/>
        <v>0</v>
      </c>
      <c r="AZ252" s="62">
        <f t="shared" si="52"/>
        <v>0</v>
      </c>
      <c r="BA252" s="63">
        <f t="shared" si="53"/>
        <v>0</v>
      </c>
      <c r="BB252" s="63">
        <f t="shared" si="54"/>
        <v>0</v>
      </c>
    </row>
    <row r="253" spans="3:54" s="17" customFormat="1" x14ac:dyDescent="0.25">
      <c r="C253" s="215"/>
      <c r="D253" s="216"/>
      <c r="E253" s="88"/>
      <c r="F253" s="217"/>
      <c r="G253" s="234"/>
      <c r="H253" s="218"/>
      <c r="I253" s="76"/>
      <c r="J253" s="77"/>
      <c r="K253" s="76"/>
      <c r="L253" s="78"/>
      <c r="M253" s="78"/>
      <c r="N253" s="76" t="s">
        <v>39</v>
      </c>
      <c r="O253" s="110"/>
      <c r="P253" s="152"/>
      <c r="Q253" s="111" t="str">
        <f>IFERROR(MIN(VLOOKUP(ROUNDDOWN(P253,0),'Aide calcul'!$B$2:$C$282,2,FALSE),O253+1),"")</f>
        <v/>
      </c>
      <c r="R253" s="112" t="str">
        <f t="shared" si="55"/>
        <v/>
      </c>
      <c r="S253" s="152"/>
      <c r="T253" s="152"/>
      <c r="U253" s="152"/>
      <c r="V253" s="152"/>
      <c r="W253" s="152"/>
      <c r="X253" s="152"/>
      <c r="Y253" s="152"/>
      <c r="Z253" s="76"/>
      <c r="AA253" s="76"/>
      <c r="AB253" s="113" t="str">
        <f>IF(C253="3111. Logements",ROUND(VLOOKUP(C253,'Informations générales'!$C$66:$E$70,3,FALSE)*(AL253/$AM$28)/12,0)*12,IF(C253="3112. Logements",ROUND(VLOOKUP(C253,'Informations générales'!$C$66:$E$70,3,FALSE)*(AL253/$AN$28)/12,0)*12,IF(C253="3113. Logements",ROUND(VLOOKUP(C253,'Informations générales'!$C$66:$E$70,3,FALSE)*(AL253/$AO$28)/12,0)*12,IF(C253="3114. Logements",ROUND(VLOOKUP(C253,'Informations générales'!$C$66:$E$70,3,FALSE)*(AL253/$AP$28)/12,0)*12,IF(C253="3115. Logements",ROUND(VLOOKUP(C253,'Informations générales'!$C$66:$E$70,3,FALSE)*(AL253/$AQ$28)/12,0)*12,"")))))</f>
        <v/>
      </c>
      <c r="AC253" s="114"/>
      <c r="AD253" s="113">
        <f t="shared" si="56"/>
        <v>0</v>
      </c>
      <c r="AE253" s="114"/>
      <c r="AF253" s="203" t="str">
        <f>IF(C253="3111. Logements",ROUND(VLOOKUP(C253,'Informations générales'!$C$66:$E$70,3,FALSE)*(AL253/$AM$28)/12,0)*12,IF(C253="3112. Logements",ROUND(VLOOKUP(C253,'Informations générales'!$C$66:$E$70,3,FALSE)*(AL253/$AN$28)/12,0)*12,IF(C253="3113. Logements",ROUND(VLOOKUP(C253,'Informations générales'!$C$66:$E$70,3,FALSE)*(AL253/$AO$28)/12,0)*12,IF(C253="3114. Logements",ROUND(VLOOKUP(C253,'Informations générales'!$C$66:$E$70,3,FALSE)*(AL253/$AP$28)/12,0)*12,IF(C253="3115. Logements",ROUND(VLOOKUP(C253,'Informations générales'!$C$66:$E$70,3,FALSE)*(AL253/$AQ$28)/12,0)*12,"")))))</f>
        <v/>
      </c>
      <c r="AG253" s="202"/>
      <c r="AH253" s="113" t="str">
        <f>IF(C253="3111. Logements",ROUND(VLOOKUP(C253,'Informations générales'!$C$66:$H$70,5,FALSE)*(AL253/$AM$28)/12,0)*12,IF(C253="3112. Logements",ROUND(VLOOKUP(C253,'Informations générales'!$C$66:$H$70,5,FALSE)*(AL253/$AN$28)/12,0)*12,IF(C253="3113. Logements",ROUND(VLOOKUP(C253,'Informations générales'!$C$66:$H$70,5,FALSE)*(AL253/$AO$28)/12,0)*12,IF(C253="3114. Logements",ROUND(VLOOKUP(C253,'Informations générales'!$C$66:$H$70,5,FALSE)*(AL253/$AP$28)/12,0)*12,IF(C253="3115. Logements",ROUND(VLOOKUP(C253,'Informations générales'!$C$66:$H$70,5,FALSE)*(AL253/$AQ$28)/12,0)*12,"")))))</f>
        <v/>
      </c>
      <c r="AI253" s="114"/>
      <c r="AJ253" s="114"/>
      <c r="AK253" s="76"/>
      <c r="AL253" s="58">
        <f t="shared" si="57"/>
        <v>0</v>
      </c>
      <c r="AM253" s="58"/>
      <c r="AN253" s="58"/>
      <c r="AO253" s="58"/>
      <c r="AP253" s="58"/>
      <c r="AQ253" s="58"/>
      <c r="AR253" s="58">
        <f t="shared" si="45"/>
        <v>0</v>
      </c>
      <c r="AS253" s="58">
        <f t="shared" si="46"/>
        <v>0</v>
      </c>
      <c r="AT253" s="58">
        <f t="shared" si="47"/>
        <v>0</v>
      </c>
      <c r="AU253" s="58">
        <f t="shared" si="48"/>
        <v>0</v>
      </c>
      <c r="AV253" s="58">
        <f t="shared" si="49"/>
        <v>0</v>
      </c>
      <c r="AW253" s="58">
        <f t="shared" si="50"/>
        <v>0</v>
      </c>
      <c r="AX253" s="58">
        <f t="shared" si="51"/>
        <v>0</v>
      </c>
      <c r="AY253" s="58">
        <f t="shared" si="58"/>
        <v>0</v>
      </c>
      <c r="AZ253" s="62">
        <f t="shared" si="52"/>
        <v>0</v>
      </c>
      <c r="BA253" s="63">
        <f t="shared" si="53"/>
        <v>0</v>
      </c>
      <c r="BB253" s="63">
        <f t="shared" si="54"/>
        <v>0</v>
      </c>
    </row>
    <row r="254" spans="3:54" s="17" customFormat="1" x14ac:dyDescent="0.25">
      <c r="C254" s="215"/>
      <c r="D254" s="216"/>
      <c r="E254" s="88"/>
      <c r="F254" s="217"/>
      <c r="G254" s="234"/>
      <c r="H254" s="218"/>
      <c r="I254" s="76"/>
      <c r="J254" s="77"/>
      <c r="K254" s="76"/>
      <c r="L254" s="78"/>
      <c r="M254" s="78"/>
      <c r="N254" s="76" t="s">
        <v>39</v>
      </c>
      <c r="O254" s="110"/>
      <c r="P254" s="152"/>
      <c r="Q254" s="111" t="str">
        <f>IFERROR(MIN(VLOOKUP(ROUNDDOWN(P254,0),'Aide calcul'!$B$2:$C$282,2,FALSE),O254+1),"")</f>
        <v/>
      </c>
      <c r="R254" s="112" t="str">
        <f t="shared" si="55"/>
        <v/>
      </c>
      <c r="S254" s="152"/>
      <c r="T254" s="152"/>
      <c r="U254" s="152"/>
      <c r="V254" s="152"/>
      <c r="W254" s="152"/>
      <c r="X254" s="152"/>
      <c r="Y254" s="152"/>
      <c r="Z254" s="76"/>
      <c r="AA254" s="76"/>
      <c r="AB254" s="113" t="str">
        <f>IF(C254="3111. Logements",ROUND(VLOOKUP(C254,'Informations générales'!$C$66:$E$70,3,FALSE)*(AL254/$AM$28)/12,0)*12,IF(C254="3112. Logements",ROUND(VLOOKUP(C254,'Informations générales'!$C$66:$E$70,3,FALSE)*(AL254/$AN$28)/12,0)*12,IF(C254="3113. Logements",ROUND(VLOOKUP(C254,'Informations générales'!$C$66:$E$70,3,FALSE)*(AL254/$AO$28)/12,0)*12,IF(C254="3114. Logements",ROUND(VLOOKUP(C254,'Informations générales'!$C$66:$E$70,3,FALSE)*(AL254/$AP$28)/12,0)*12,IF(C254="3115. Logements",ROUND(VLOOKUP(C254,'Informations générales'!$C$66:$E$70,3,FALSE)*(AL254/$AQ$28)/12,0)*12,"")))))</f>
        <v/>
      </c>
      <c r="AC254" s="114"/>
      <c r="AD254" s="113">
        <f t="shared" si="56"/>
        <v>0</v>
      </c>
      <c r="AE254" s="114"/>
      <c r="AF254" s="203" t="str">
        <f>IF(C254="3111. Logements",ROUND(VLOOKUP(C254,'Informations générales'!$C$66:$E$70,3,FALSE)*(AL254/$AM$28)/12,0)*12,IF(C254="3112. Logements",ROUND(VLOOKUP(C254,'Informations générales'!$C$66:$E$70,3,FALSE)*(AL254/$AN$28)/12,0)*12,IF(C254="3113. Logements",ROUND(VLOOKUP(C254,'Informations générales'!$C$66:$E$70,3,FALSE)*(AL254/$AO$28)/12,0)*12,IF(C254="3114. Logements",ROUND(VLOOKUP(C254,'Informations générales'!$C$66:$E$70,3,FALSE)*(AL254/$AP$28)/12,0)*12,IF(C254="3115. Logements",ROUND(VLOOKUP(C254,'Informations générales'!$C$66:$E$70,3,FALSE)*(AL254/$AQ$28)/12,0)*12,"")))))</f>
        <v/>
      </c>
      <c r="AG254" s="202"/>
      <c r="AH254" s="113" t="str">
        <f>IF(C254="3111. Logements",ROUND(VLOOKUP(C254,'Informations générales'!$C$66:$H$70,5,FALSE)*(AL254/$AM$28)/12,0)*12,IF(C254="3112. Logements",ROUND(VLOOKUP(C254,'Informations générales'!$C$66:$H$70,5,FALSE)*(AL254/$AN$28)/12,0)*12,IF(C254="3113. Logements",ROUND(VLOOKUP(C254,'Informations générales'!$C$66:$H$70,5,FALSE)*(AL254/$AO$28)/12,0)*12,IF(C254="3114. Logements",ROUND(VLOOKUP(C254,'Informations générales'!$C$66:$H$70,5,FALSE)*(AL254/$AP$28)/12,0)*12,IF(C254="3115. Logements",ROUND(VLOOKUP(C254,'Informations générales'!$C$66:$H$70,5,FALSE)*(AL254/$AQ$28)/12,0)*12,"")))))</f>
        <v/>
      </c>
      <c r="AI254" s="114"/>
      <c r="AJ254" s="114"/>
      <c r="AK254" s="76"/>
      <c r="AL254" s="58">
        <f t="shared" si="57"/>
        <v>0</v>
      </c>
      <c r="AM254" s="58"/>
      <c r="AN254" s="58"/>
      <c r="AO254" s="58"/>
      <c r="AP254" s="58"/>
      <c r="AQ254" s="58"/>
      <c r="AR254" s="58">
        <f t="shared" si="45"/>
        <v>0</v>
      </c>
      <c r="AS254" s="58">
        <f t="shared" si="46"/>
        <v>0</v>
      </c>
      <c r="AT254" s="58">
        <f t="shared" si="47"/>
        <v>0</v>
      </c>
      <c r="AU254" s="58">
        <f t="shared" si="48"/>
        <v>0</v>
      </c>
      <c r="AV254" s="58">
        <f t="shared" si="49"/>
        <v>0</v>
      </c>
      <c r="AW254" s="58">
        <f t="shared" si="50"/>
        <v>0</v>
      </c>
      <c r="AX254" s="58">
        <f t="shared" si="51"/>
        <v>0</v>
      </c>
      <c r="AY254" s="58">
        <f t="shared" si="58"/>
        <v>0</v>
      </c>
      <c r="AZ254" s="62">
        <f t="shared" si="52"/>
        <v>0</v>
      </c>
      <c r="BA254" s="63">
        <f t="shared" si="53"/>
        <v>0</v>
      </c>
      <c r="BB254" s="63">
        <f t="shared" si="54"/>
        <v>0</v>
      </c>
    </row>
    <row r="255" spans="3:54" s="17" customFormat="1" x14ac:dyDescent="0.25">
      <c r="C255" s="215"/>
      <c r="D255" s="216"/>
      <c r="E255" s="88"/>
      <c r="F255" s="217"/>
      <c r="G255" s="234"/>
      <c r="H255" s="218"/>
      <c r="I255" s="76"/>
      <c r="J255" s="77"/>
      <c r="K255" s="76"/>
      <c r="L255" s="78"/>
      <c r="M255" s="78"/>
      <c r="N255" s="76" t="s">
        <v>39</v>
      </c>
      <c r="O255" s="110"/>
      <c r="P255" s="152"/>
      <c r="Q255" s="111" t="str">
        <f>IFERROR(MIN(VLOOKUP(ROUNDDOWN(P255,0),'Aide calcul'!$B$2:$C$282,2,FALSE),O255+1),"")</f>
        <v/>
      </c>
      <c r="R255" s="112" t="str">
        <f t="shared" si="55"/>
        <v/>
      </c>
      <c r="S255" s="152"/>
      <c r="T255" s="152"/>
      <c r="U255" s="152"/>
      <c r="V255" s="152"/>
      <c r="W255" s="152"/>
      <c r="X255" s="152"/>
      <c r="Y255" s="152"/>
      <c r="Z255" s="76"/>
      <c r="AA255" s="76"/>
      <c r="AB255" s="113" t="str">
        <f>IF(C255="3111. Logements",ROUND(VLOOKUP(C255,'Informations générales'!$C$66:$E$70,3,FALSE)*(AL255/$AM$28)/12,0)*12,IF(C255="3112. Logements",ROUND(VLOOKUP(C255,'Informations générales'!$C$66:$E$70,3,FALSE)*(AL255/$AN$28)/12,0)*12,IF(C255="3113. Logements",ROUND(VLOOKUP(C255,'Informations générales'!$C$66:$E$70,3,FALSE)*(AL255/$AO$28)/12,0)*12,IF(C255="3114. Logements",ROUND(VLOOKUP(C255,'Informations générales'!$C$66:$E$70,3,FALSE)*(AL255/$AP$28)/12,0)*12,IF(C255="3115. Logements",ROUND(VLOOKUP(C255,'Informations générales'!$C$66:$E$70,3,FALSE)*(AL255/$AQ$28)/12,0)*12,"")))))</f>
        <v/>
      </c>
      <c r="AC255" s="114"/>
      <c r="AD255" s="113">
        <f t="shared" si="56"/>
        <v>0</v>
      </c>
      <c r="AE255" s="114"/>
      <c r="AF255" s="203" t="str">
        <f>IF(C255="3111. Logements",ROUND(VLOOKUP(C255,'Informations générales'!$C$66:$E$70,3,FALSE)*(AL255/$AM$28)/12,0)*12,IF(C255="3112. Logements",ROUND(VLOOKUP(C255,'Informations générales'!$C$66:$E$70,3,FALSE)*(AL255/$AN$28)/12,0)*12,IF(C255="3113. Logements",ROUND(VLOOKUP(C255,'Informations générales'!$C$66:$E$70,3,FALSE)*(AL255/$AO$28)/12,0)*12,IF(C255="3114. Logements",ROUND(VLOOKUP(C255,'Informations générales'!$C$66:$E$70,3,FALSE)*(AL255/$AP$28)/12,0)*12,IF(C255="3115. Logements",ROUND(VLOOKUP(C255,'Informations générales'!$C$66:$E$70,3,FALSE)*(AL255/$AQ$28)/12,0)*12,"")))))</f>
        <v/>
      </c>
      <c r="AG255" s="202"/>
      <c r="AH255" s="113" t="str">
        <f>IF(C255="3111. Logements",ROUND(VLOOKUP(C255,'Informations générales'!$C$66:$H$70,5,FALSE)*(AL255/$AM$28)/12,0)*12,IF(C255="3112. Logements",ROUND(VLOOKUP(C255,'Informations générales'!$C$66:$H$70,5,FALSE)*(AL255/$AN$28)/12,0)*12,IF(C255="3113. Logements",ROUND(VLOOKUP(C255,'Informations générales'!$C$66:$H$70,5,FALSE)*(AL255/$AO$28)/12,0)*12,IF(C255="3114. Logements",ROUND(VLOOKUP(C255,'Informations générales'!$C$66:$H$70,5,FALSE)*(AL255/$AP$28)/12,0)*12,IF(C255="3115. Logements",ROUND(VLOOKUP(C255,'Informations générales'!$C$66:$H$70,5,FALSE)*(AL255/$AQ$28)/12,0)*12,"")))))</f>
        <v/>
      </c>
      <c r="AI255" s="114"/>
      <c r="AJ255" s="114"/>
      <c r="AK255" s="76"/>
      <c r="AL255" s="58">
        <f t="shared" si="57"/>
        <v>0</v>
      </c>
      <c r="AM255" s="58"/>
      <c r="AN255" s="58"/>
      <c r="AO255" s="58"/>
      <c r="AP255" s="58"/>
      <c r="AQ255" s="58"/>
      <c r="AR255" s="58">
        <f t="shared" si="45"/>
        <v>0</v>
      </c>
      <c r="AS255" s="58">
        <f t="shared" si="46"/>
        <v>0</v>
      </c>
      <c r="AT255" s="58">
        <f t="shared" si="47"/>
        <v>0</v>
      </c>
      <c r="AU255" s="58">
        <f t="shared" si="48"/>
        <v>0</v>
      </c>
      <c r="AV255" s="58">
        <f t="shared" si="49"/>
        <v>0</v>
      </c>
      <c r="AW255" s="58">
        <f t="shared" si="50"/>
        <v>0</v>
      </c>
      <c r="AX255" s="58">
        <f t="shared" si="51"/>
        <v>0</v>
      </c>
      <c r="AY255" s="58">
        <f t="shared" si="58"/>
        <v>0</v>
      </c>
      <c r="AZ255" s="62">
        <f t="shared" si="52"/>
        <v>0</v>
      </c>
      <c r="BA255" s="63">
        <f t="shared" si="53"/>
        <v>0</v>
      </c>
      <c r="BB255" s="63">
        <f t="shared" si="54"/>
        <v>0</v>
      </c>
    </row>
    <row r="256" spans="3:54" s="17" customFormat="1" x14ac:dyDescent="0.25">
      <c r="C256" s="215"/>
      <c r="D256" s="216"/>
      <c r="E256" s="88"/>
      <c r="F256" s="217"/>
      <c r="G256" s="234"/>
      <c r="H256" s="218"/>
      <c r="I256" s="76"/>
      <c r="J256" s="77"/>
      <c r="K256" s="76"/>
      <c r="L256" s="78"/>
      <c r="M256" s="78"/>
      <c r="N256" s="76" t="s">
        <v>39</v>
      </c>
      <c r="O256" s="110"/>
      <c r="P256" s="152"/>
      <c r="Q256" s="111" t="str">
        <f>IFERROR(MIN(VLOOKUP(ROUNDDOWN(P256,0),'Aide calcul'!$B$2:$C$282,2,FALSE),O256+1),"")</f>
        <v/>
      </c>
      <c r="R256" s="112" t="str">
        <f t="shared" si="55"/>
        <v/>
      </c>
      <c r="S256" s="152"/>
      <c r="T256" s="152"/>
      <c r="U256" s="152"/>
      <c r="V256" s="152"/>
      <c r="W256" s="152"/>
      <c r="X256" s="152"/>
      <c r="Y256" s="152"/>
      <c r="Z256" s="76"/>
      <c r="AA256" s="76"/>
      <c r="AB256" s="113" t="str">
        <f>IF(C256="3111. Logements",ROUND(VLOOKUP(C256,'Informations générales'!$C$66:$E$70,3,FALSE)*(AL256/$AM$28)/12,0)*12,IF(C256="3112. Logements",ROUND(VLOOKUP(C256,'Informations générales'!$C$66:$E$70,3,FALSE)*(AL256/$AN$28)/12,0)*12,IF(C256="3113. Logements",ROUND(VLOOKUP(C256,'Informations générales'!$C$66:$E$70,3,FALSE)*(AL256/$AO$28)/12,0)*12,IF(C256="3114. Logements",ROUND(VLOOKUP(C256,'Informations générales'!$C$66:$E$70,3,FALSE)*(AL256/$AP$28)/12,0)*12,IF(C256="3115. Logements",ROUND(VLOOKUP(C256,'Informations générales'!$C$66:$E$70,3,FALSE)*(AL256/$AQ$28)/12,0)*12,"")))))</f>
        <v/>
      </c>
      <c r="AC256" s="114"/>
      <c r="AD256" s="113">
        <f t="shared" si="56"/>
        <v>0</v>
      </c>
      <c r="AE256" s="114"/>
      <c r="AF256" s="203" t="str">
        <f>IF(C256="3111. Logements",ROUND(VLOOKUP(C256,'Informations générales'!$C$66:$E$70,3,FALSE)*(AL256/$AM$28)/12,0)*12,IF(C256="3112. Logements",ROUND(VLOOKUP(C256,'Informations générales'!$C$66:$E$70,3,FALSE)*(AL256/$AN$28)/12,0)*12,IF(C256="3113. Logements",ROUND(VLOOKUP(C256,'Informations générales'!$C$66:$E$70,3,FALSE)*(AL256/$AO$28)/12,0)*12,IF(C256="3114. Logements",ROUND(VLOOKUP(C256,'Informations générales'!$C$66:$E$70,3,FALSE)*(AL256/$AP$28)/12,0)*12,IF(C256="3115. Logements",ROUND(VLOOKUP(C256,'Informations générales'!$C$66:$E$70,3,FALSE)*(AL256/$AQ$28)/12,0)*12,"")))))</f>
        <v/>
      </c>
      <c r="AG256" s="202"/>
      <c r="AH256" s="113" t="str">
        <f>IF(C256="3111. Logements",ROUND(VLOOKUP(C256,'Informations générales'!$C$66:$H$70,5,FALSE)*(AL256/$AM$28)/12,0)*12,IF(C256="3112. Logements",ROUND(VLOOKUP(C256,'Informations générales'!$C$66:$H$70,5,FALSE)*(AL256/$AN$28)/12,0)*12,IF(C256="3113. Logements",ROUND(VLOOKUP(C256,'Informations générales'!$C$66:$H$70,5,FALSE)*(AL256/$AO$28)/12,0)*12,IF(C256="3114. Logements",ROUND(VLOOKUP(C256,'Informations générales'!$C$66:$H$70,5,FALSE)*(AL256/$AP$28)/12,0)*12,IF(C256="3115. Logements",ROUND(VLOOKUP(C256,'Informations générales'!$C$66:$H$70,5,FALSE)*(AL256/$AQ$28)/12,0)*12,"")))))</f>
        <v/>
      </c>
      <c r="AI256" s="114"/>
      <c r="AJ256" s="114"/>
      <c r="AK256" s="76"/>
      <c r="AL256" s="58">
        <f t="shared" si="57"/>
        <v>0</v>
      </c>
      <c r="AM256" s="58"/>
      <c r="AN256" s="58"/>
      <c r="AO256" s="58"/>
      <c r="AP256" s="58"/>
      <c r="AQ256" s="58"/>
      <c r="AR256" s="58">
        <f t="shared" si="45"/>
        <v>0</v>
      </c>
      <c r="AS256" s="58">
        <f t="shared" si="46"/>
        <v>0</v>
      </c>
      <c r="AT256" s="58">
        <f t="shared" si="47"/>
        <v>0</v>
      </c>
      <c r="AU256" s="58">
        <f t="shared" si="48"/>
        <v>0</v>
      </c>
      <c r="AV256" s="58">
        <f t="shared" si="49"/>
        <v>0</v>
      </c>
      <c r="AW256" s="58">
        <f t="shared" si="50"/>
        <v>0</v>
      </c>
      <c r="AX256" s="58">
        <f t="shared" si="51"/>
        <v>0</v>
      </c>
      <c r="AY256" s="58">
        <f t="shared" si="58"/>
        <v>0</v>
      </c>
      <c r="AZ256" s="62">
        <f t="shared" si="52"/>
        <v>0</v>
      </c>
      <c r="BA256" s="63">
        <f t="shared" si="53"/>
        <v>0</v>
      </c>
      <c r="BB256" s="63">
        <f t="shared" si="54"/>
        <v>0</v>
      </c>
    </row>
    <row r="257" spans="3:54" s="17" customFormat="1" x14ac:dyDescent="0.25">
      <c r="C257" s="215"/>
      <c r="D257" s="216"/>
      <c r="E257" s="88"/>
      <c r="F257" s="217"/>
      <c r="G257" s="234"/>
      <c r="H257" s="218"/>
      <c r="I257" s="76"/>
      <c r="J257" s="77"/>
      <c r="K257" s="76"/>
      <c r="L257" s="78"/>
      <c r="M257" s="78"/>
      <c r="N257" s="76" t="s">
        <v>39</v>
      </c>
      <c r="O257" s="110"/>
      <c r="P257" s="152"/>
      <c r="Q257" s="111" t="str">
        <f>IFERROR(MIN(VLOOKUP(ROUNDDOWN(P257,0),'Aide calcul'!$B$2:$C$282,2,FALSE),O257+1),"")</f>
        <v/>
      </c>
      <c r="R257" s="112" t="str">
        <f t="shared" si="55"/>
        <v/>
      </c>
      <c r="S257" s="152"/>
      <c r="T257" s="152"/>
      <c r="U257" s="152"/>
      <c r="V257" s="152"/>
      <c r="W257" s="152"/>
      <c r="X257" s="152"/>
      <c r="Y257" s="152"/>
      <c r="Z257" s="76"/>
      <c r="AA257" s="76"/>
      <c r="AB257" s="113" t="str">
        <f>IF(C257="3111. Logements",ROUND(VLOOKUP(C257,'Informations générales'!$C$66:$E$70,3,FALSE)*(AL257/$AM$28)/12,0)*12,IF(C257="3112. Logements",ROUND(VLOOKUP(C257,'Informations générales'!$C$66:$E$70,3,FALSE)*(AL257/$AN$28)/12,0)*12,IF(C257="3113. Logements",ROUND(VLOOKUP(C257,'Informations générales'!$C$66:$E$70,3,FALSE)*(AL257/$AO$28)/12,0)*12,IF(C257="3114. Logements",ROUND(VLOOKUP(C257,'Informations générales'!$C$66:$E$70,3,FALSE)*(AL257/$AP$28)/12,0)*12,IF(C257="3115. Logements",ROUND(VLOOKUP(C257,'Informations générales'!$C$66:$E$70,3,FALSE)*(AL257/$AQ$28)/12,0)*12,"")))))</f>
        <v/>
      </c>
      <c r="AC257" s="114"/>
      <c r="AD257" s="113">
        <f t="shared" si="56"/>
        <v>0</v>
      </c>
      <c r="AE257" s="114"/>
      <c r="AF257" s="203" t="str">
        <f>IF(C257="3111. Logements",ROUND(VLOOKUP(C257,'Informations générales'!$C$66:$E$70,3,FALSE)*(AL257/$AM$28)/12,0)*12,IF(C257="3112. Logements",ROUND(VLOOKUP(C257,'Informations générales'!$C$66:$E$70,3,FALSE)*(AL257/$AN$28)/12,0)*12,IF(C257="3113. Logements",ROUND(VLOOKUP(C257,'Informations générales'!$C$66:$E$70,3,FALSE)*(AL257/$AO$28)/12,0)*12,IF(C257="3114. Logements",ROUND(VLOOKUP(C257,'Informations générales'!$C$66:$E$70,3,FALSE)*(AL257/$AP$28)/12,0)*12,IF(C257="3115. Logements",ROUND(VLOOKUP(C257,'Informations générales'!$C$66:$E$70,3,FALSE)*(AL257/$AQ$28)/12,0)*12,"")))))</f>
        <v/>
      </c>
      <c r="AG257" s="202"/>
      <c r="AH257" s="113" t="str">
        <f>IF(C257="3111. Logements",ROUND(VLOOKUP(C257,'Informations générales'!$C$66:$H$70,5,FALSE)*(AL257/$AM$28)/12,0)*12,IF(C257="3112. Logements",ROUND(VLOOKUP(C257,'Informations générales'!$C$66:$H$70,5,FALSE)*(AL257/$AN$28)/12,0)*12,IF(C257="3113. Logements",ROUND(VLOOKUP(C257,'Informations générales'!$C$66:$H$70,5,FALSE)*(AL257/$AO$28)/12,0)*12,IF(C257="3114. Logements",ROUND(VLOOKUP(C257,'Informations générales'!$C$66:$H$70,5,FALSE)*(AL257/$AP$28)/12,0)*12,IF(C257="3115. Logements",ROUND(VLOOKUP(C257,'Informations générales'!$C$66:$H$70,5,FALSE)*(AL257/$AQ$28)/12,0)*12,"")))))</f>
        <v/>
      </c>
      <c r="AI257" s="114"/>
      <c r="AJ257" s="114"/>
      <c r="AK257" s="76"/>
      <c r="AL257" s="58">
        <f t="shared" si="57"/>
        <v>0</v>
      </c>
      <c r="AM257" s="58"/>
      <c r="AN257" s="58"/>
      <c r="AO257" s="58"/>
      <c r="AP257" s="58"/>
      <c r="AQ257" s="58"/>
      <c r="AR257" s="58">
        <f t="shared" si="45"/>
        <v>0</v>
      </c>
      <c r="AS257" s="58">
        <f t="shared" si="46"/>
        <v>0</v>
      </c>
      <c r="AT257" s="58">
        <f t="shared" si="47"/>
        <v>0</v>
      </c>
      <c r="AU257" s="58">
        <f t="shared" si="48"/>
        <v>0</v>
      </c>
      <c r="AV257" s="58">
        <f t="shared" si="49"/>
        <v>0</v>
      </c>
      <c r="AW257" s="58">
        <f t="shared" si="50"/>
        <v>0</v>
      </c>
      <c r="AX257" s="58">
        <f t="shared" si="51"/>
        <v>0</v>
      </c>
      <c r="AY257" s="58">
        <f t="shared" si="58"/>
        <v>0</v>
      </c>
      <c r="AZ257" s="62">
        <f t="shared" si="52"/>
        <v>0</v>
      </c>
      <c r="BA257" s="63">
        <f t="shared" si="53"/>
        <v>0</v>
      </c>
      <c r="BB257" s="63">
        <f t="shared" si="54"/>
        <v>0</v>
      </c>
    </row>
    <row r="258" spans="3:54" s="17" customFormat="1" x14ac:dyDescent="0.25">
      <c r="C258" s="215"/>
      <c r="D258" s="216"/>
      <c r="E258" s="88"/>
      <c r="F258" s="217"/>
      <c r="G258" s="234"/>
      <c r="H258" s="218"/>
      <c r="I258" s="76"/>
      <c r="J258" s="77"/>
      <c r="K258" s="76"/>
      <c r="L258" s="78"/>
      <c r="M258" s="78"/>
      <c r="N258" s="76" t="s">
        <v>39</v>
      </c>
      <c r="O258" s="110"/>
      <c r="P258" s="152"/>
      <c r="Q258" s="111" t="str">
        <f>IFERROR(MIN(VLOOKUP(ROUNDDOWN(P258,0),'Aide calcul'!$B$2:$C$282,2,FALSE),O258+1),"")</f>
        <v/>
      </c>
      <c r="R258" s="112" t="str">
        <f t="shared" si="55"/>
        <v/>
      </c>
      <c r="S258" s="152"/>
      <c r="T258" s="152"/>
      <c r="U258" s="152"/>
      <c r="V258" s="152"/>
      <c r="W258" s="152"/>
      <c r="X258" s="152"/>
      <c r="Y258" s="152"/>
      <c r="Z258" s="76"/>
      <c r="AA258" s="76"/>
      <c r="AB258" s="113" t="str">
        <f>IF(C258="3111. Logements",ROUND(VLOOKUP(C258,'Informations générales'!$C$66:$E$70,3,FALSE)*(AL258/$AM$28)/12,0)*12,IF(C258="3112. Logements",ROUND(VLOOKUP(C258,'Informations générales'!$C$66:$E$70,3,FALSE)*(AL258/$AN$28)/12,0)*12,IF(C258="3113. Logements",ROUND(VLOOKUP(C258,'Informations générales'!$C$66:$E$70,3,FALSE)*(AL258/$AO$28)/12,0)*12,IF(C258="3114. Logements",ROUND(VLOOKUP(C258,'Informations générales'!$C$66:$E$70,3,FALSE)*(AL258/$AP$28)/12,0)*12,IF(C258="3115. Logements",ROUND(VLOOKUP(C258,'Informations générales'!$C$66:$E$70,3,FALSE)*(AL258/$AQ$28)/12,0)*12,"")))))</f>
        <v/>
      </c>
      <c r="AC258" s="114"/>
      <c r="AD258" s="113">
        <f t="shared" si="56"/>
        <v>0</v>
      </c>
      <c r="AE258" s="114"/>
      <c r="AF258" s="203" t="str">
        <f>IF(C258="3111. Logements",ROUND(VLOOKUP(C258,'Informations générales'!$C$66:$E$70,3,FALSE)*(AL258/$AM$28)/12,0)*12,IF(C258="3112. Logements",ROUND(VLOOKUP(C258,'Informations générales'!$C$66:$E$70,3,FALSE)*(AL258/$AN$28)/12,0)*12,IF(C258="3113. Logements",ROUND(VLOOKUP(C258,'Informations générales'!$C$66:$E$70,3,FALSE)*(AL258/$AO$28)/12,0)*12,IF(C258="3114. Logements",ROUND(VLOOKUP(C258,'Informations générales'!$C$66:$E$70,3,FALSE)*(AL258/$AP$28)/12,0)*12,IF(C258="3115. Logements",ROUND(VLOOKUP(C258,'Informations générales'!$C$66:$E$70,3,FALSE)*(AL258/$AQ$28)/12,0)*12,"")))))</f>
        <v/>
      </c>
      <c r="AG258" s="202"/>
      <c r="AH258" s="113" t="str">
        <f>IF(C258="3111. Logements",ROUND(VLOOKUP(C258,'Informations générales'!$C$66:$H$70,5,FALSE)*(AL258/$AM$28)/12,0)*12,IF(C258="3112. Logements",ROUND(VLOOKUP(C258,'Informations générales'!$C$66:$H$70,5,FALSE)*(AL258/$AN$28)/12,0)*12,IF(C258="3113. Logements",ROUND(VLOOKUP(C258,'Informations générales'!$C$66:$H$70,5,FALSE)*(AL258/$AO$28)/12,0)*12,IF(C258="3114. Logements",ROUND(VLOOKUP(C258,'Informations générales'!$C$66:$H$70,5,FALSE)*(AL258/$AP$28)/12,0)*12,IF(C258="3115. Logements",ROUND(VLOOKUP(C258,'Informations générales'!$C$66:$H$70,5,FALSE)*(AL258/$AQ$28)/12,0)*12,"")))))</f>
        <v/>
      </c>
      <c r="AI258" s="114"/>
      <c r="AJ258" s="114"/>
      <c r="AK258" s="76"/>
      <c r="AL258" s="58">
        <f t="shared" si="57"/>
        <v>0</v>
      </c>
      <c r="AM258" s="58"/>
      <c r="AN258" s="58"/>
      <c r="AO258" s="58"/>
      <c r="AP258" s="58"/>
      <c r="AQ258" s="58"/>
      <c r="AR258" s="58">
        <f t="shared" si="45"/>
        <v>0</v>
      </c>
      <c r="AS258" s="58">
        <f t="shared" si="46"/>
        <v>0</v>
      </c>
      <c r="AT258" s="58">
        <f t="shared" si="47"/>
        <v>0</v>
      </c>
      <c r="AU258" s="58">
        <f t="shared" si="48"/>
        <v>0</v>
      </c>
      <c r="AV258" s="58">
        <f t="shared" si="49"/>
        <v>0</v>
      </c>
      <c r="AW258" s="58">
        <f t="shared" si="50"/>
        <v>0</v>
      </c>
      <c r="AX258" s="58">
        <f t="shared" si="51"/>
        <v>0</v>
      </c>
      <c r="AY258" s="58">
        <f t="shared" si="58"/>
        <v>0</v>
      </c>
      <c r="AZ258" s="62">
        <f t="shared" si="52"/>
        <v>0</v>
      </c>
      <c r="BA258" s="63">
        <f t="shared" si="53"/>
        <v>0</v>
      </c>
      <c r="BB258" s="63">
        <f t="shared" si="54"/>
        <v>0</v>
      </c>
    </row>
    <row r="259" spans="3:54" s="17" customFormat="1" x14ac:dyDescent="0.25">
      <c r="C259" s="215"/>
      <c r="D259" s="216"/>
      <c r="E259" s="88"/>
      <c r="F259" s="217"/>
      <c r="G259" s="234"/>
      <c r="H259" s="218"/>
      <c r="I259" s="76"/>
      <c r="J259" s="77"/>
      <c r="K259" s="76"/>
      <c r="L259" s="78"/>
      <c r="M259" s="78"/>
      <c r="N259" s="76" t="s">
        <v>39</v>
      </c>
      <c r="O259" s="110"/>
      <c r="P259" s="152"/>
      <c r="Q259" s="111" t="str">
        <f>IFERROR(MIN(VLOOKUP(ROUNDDOWN(P259,0),'Aide calcul'!$B$2:$C$282,2,FALSE),O259+1),"")</f>
        <v/>
      </c>
      <c r="R259" s="112" t="str">
        <f t="shared" si="55"/>
        <v/>
      </c>
      <c r="S259" s="152"/>
      <c r="T259" s="152"/>
      <c r="U259" s="152"/>
      <c r="V259" s="152"/>
      <c r="W259" s="152"/>
      <c r="X259" s="152"/>
      <c r="Y259" s="152"/>
      <c r="Z259" s="76"/>
      <c r="AA259" s="76"/>
      <c r="AB259" s="113" t="str">
        <f>IF(C259="3111. Logements",ROUND(VLOOKUP(C259,'Informations générales'!$C$66:$E$70,3,FALSE)*(AL259/$AM$28)/12,0)*12,IF(C259="3112. Logements",ROUND(VLOOKUP(C259,'Informations générales'!$C$66:$E$70,3,FALSE)*(AL259/$AN$28)/12,0)*12,IF(C259="3113. Logements",ROUND(VLOOKUP(C259,'Informations générales'!$C$66:$E$70,3,FALSE)*(AL259/$AO$28)/12,0)*12,IF(C259="3114. Logements",ROUND(VLOOKUP(C259,'Informations générales'!$C$66:$E$70,3,FALSE)*(AL259/$AP$28)/12,0)*12,IF(C259="3115. Logements",ROUND(VLOOKUP(C259,'Informations générales'!$C$66:$E$70,3,FALSE)*(AL259/$AQ$28)/12,0)*12,"")))))</f>
        <v/>
      </c>
      <c r="AC259" s="114"/>
      <c r="AD259" s="113">
        <f t="shared" si="56"/>
        <v>0</v>
      </c>
      <c r="AE259" s="114"/>
      <c r="AF259" s="203" t="str">
        <f>IF(C259="3111. Logements",ROUND(VLOOKUP(C259,'Informations générales'!$C$66:$E$70,3,FALSE)*(AL259/$AM$28)/12,0)*12,IF(C259="3112. Logements",ROUND(VLOOKUP(C259,'Informations générales'!$C$66:$E$70,3,FALSE)*(AL259/$AN$28)/12,0)*12,IF(C259="3113. Logements",ROUND(VLOOKUP(C259,'Informations générales'!$C$66:$E$70,3,FALSE)*(AL259/$AO$28)/12,0)*12,IF(C259="3114. Logements",ROUND(VLOOKUP(C259,'Informations générales'!$C$66:$E$70,3,FALSE)*(AL259/$AP$28)/12,0)*12,IF(C259="3115. Logements",ROUND(VLOOKUP(C259,'Informations générales'!$C$66:$E$70,3,FALSE)*(AL259/$AQ$28)/12,0)*12,"")))))</f>
        <v/>
      </c>
      <c r="AG259" s="202"/>
      <c r="AH259" s="113" t="str">
        <f>IF(C259="3111. Logements",ROUND(VLOOKUP(C259,'Informations générales'!$C$66:$H$70,5,FALSE)*(AL259/$AM$28)/12,0)*12,IF(C259="3112. Logements",ROUND(VLOOKUP(C259,'Informations générales'!$C$66:$H$70,5,FALSE)*(AL259/$AN$28)/12,0)*12,IF(C259="3113. Logements",ROUND(VLOOKUP(C259,'Informations générales'!$C$66:$H$70,5,FALSE)*(AL259/$AO$28)/12,0)*12,IF(C259="3114. Logements",ROUND(VLOOKUP(C259,'Informations générales'!$C$66:$H$70,5,FALSE)*(AL259/$AP$28)/12,0)*12,IF(C259="3115. Logements",ROUND(VLOOKUP(C259,'Informations générales'!$C$66:$H$70,5,FALSE)*(AL259/$AQ$28)/12,0)*12,"")))))</f>
        <v/>
      </c>
      <c r="AI259" s="114"/>
      <c r="AJ259" s="114"/>
      <c r="AK259" s="76"/>
      <c r="AL259" s="58">
        <f t="shared" si="57"/>
        <v>0</v>
      </c>
      <c r="AM259" s="58"/>
      <c r="AN259" s="58"/>
      <c r="AO259" s="58"/>
      <c r="AP259" s="58"/>
      <c r="AQ259" s="58"/>
      <c r="AR259" s="58">
        <f t="shared" si="45"/>
        <v>0</v>
      </c>
      <c r="AS259" s="58">
        <f t="shared" si="46"/>
        <v>0</v>
      </c>
      <c r="AT259" s="58">
        <f t="shared" si="47"/>
        <v>0</v>
      </c>
      <c r="AU259" s="58">
        <f t="shared" si="48"/>
        <v>0</v>
      </c>
      <c r="AV259" s="58">
        <f t="shared" si="49"/>
        <v>0</v>
      </c>
      <c r="AW259" s="58">
        <f t="shared" si="50"/>
        <v>0</v>
      </c>
      <c r="AX259" s="58">
        <f t="shared" si="51"/>
        <v>0</v>
      </c>
      <c r="AY259" s="58">
        <f t="shared" si="58"/>
        <v>0</v>
      </c>
      <c r="AZ259" s="62">
        <f t="shared" si="52"/>
        <v>0</v>
      </c>
      <c r="BA259" s="63">
        <f t="shared" si="53"/>
        <v>0</v>
      </c>
      <c r="BB259" s="63">
        <f t="shared" si="54"/>
        <v>0</v>
      </c>
    </row>
    <row r="260" spans="3:54" s="17" customFormat="1" x14ac:dyDescent="0.25">
      <c r="C260" s="215"/>
      <c r="D260" s="216"/>
      <c r="E260" s="88"/>
      <c r="F260" s="217"/>
      <c r="G260" s="234"/>
      <c r="H260" s="218"/>
      <c r="I260" s="76"/>
      <c r="J260" s="77"/>
      <c r="K260" s="76"/>
      <c r="L260" s="78"/>
      <c r="M260" s="78"/>
      <c r="N260" s="76" t="s">
        <v>39</v>
      </c>
      <c r="O260" s="110"/>
      <c r="P260" s="152"/>
      <c r="Q260" s="111" t="str">
        <f>IFERROR(MIN(VLOOKUP(ROUNDDOWN(P260,0),'Aide calcul'!$B$2:$C$282,2,FALSE),O260+1),"")</f>
        <v/>
      </c>
      <c r="R260" s="112" t="str">
        <f t="shared" si="55"/>
        <v/>
      </c>
      <c r="S260" s="152"/>
      <c r="T260" s="152"/>
      <c r="U260" s="152"/>
      <c r="V260" s="152"/>
      <c r="W260" s="152"/>
      <c r="X260" s="152"/>
      <c r="Y260" s="152"/>
      <c r="Z260" s="76"/>
      <c r="AA260" s="76"/>
      <c r="AB260" s="113" t="str">
        <f>IF(C260="3111. Logements",ROUND(VLOOKUP(C260,'Informations générales'!$C$66:$E$70,3,FALSE)*(AL260/$AM$28)/12,0)*12,IF(C260="3112. Logements",ROUND(VLOOKUP(C260,'Informations générales'!$C$66:$E$70,3,FALSE)*(AL260/$AN$28)/12,0)*12,IF(C260="3113. Logements",ROUND(VLOOKUP(C260,'Informations générales'!$C$66:$E$70,3,FALSE)*(AL260/$AO$28)/12,0)*12,IF(C260="3114. Logements",ROUND(VLOOKUP(C260,'Informations générales'!$C$66:$E$70,3,FALSE)*(AL260/$AP$28)/12,0)*12,IF(C260="3115. Logements",ROUND(VLOOKUP(C260,'Informations générales'!$C$66:$E$70,3,FALSE)*(AL260/$AQ$28)/12,0)*12,"")))))</f>
        <v/>
      </c>
      <c r="AC260" s="114"/>
      <c r="AD260" s="113">
        <f t="shared" si="56"/>
        <v>0</v>
      </c>
      <c r="AE260" s="114"/>
      <c r="AF260" s="203" t="str">
        <f>IF(C260="3111. Logements",ROUND(VLOOKUP(C260,'Informations générales'!$C$66:$E$70,3,FALSE)*(AL260/$AM$28)/12,0)*12,IF(C260="3112. Logements",ROUND(VLOOKUP(C260,'Informations générales'!$C$66:$E$70,3,FALSE)*(AL260/$AN$28)/12,0)*12,IF(C260="3113. Logements",ROUND(VLOOKUP(C260,'Informations générales'!$C$66:$E$70,3,FALSE)*(AL260/$AO$28)/12,0)*12,IF(C260="3114. Logements",ROUND(VLOOKUP(C260,'Informations générales'!$C$66:$E$70,3,FALSE)*(AL260/$AP$28)/12,0)*12,IF(C260="3115. Logements",ROUND(VLOOKUP(C260,'Informations générales'!$C$66:$E$70,3,FALSE)*(AL260/$AQ$28)/12,0)*12,"")))))</f>
        <v/>
      </c>
      <c r="AG260" s="202"/>
      <c r="AH260" s="113" t="str">
        <f>IF(C260="3111. Logements",ROUND(VLOOKUP(C260,'Informations générales'!$C$66:$H$70,5,FALSE)*(AL260/$AM$28)/12,0)*12,IF(C260="3112. Logements",ROUND(VLOOKUP(C260,'Informations générales'!$C$66:$H$70,5,FALSE)*(AL260/$AN$28)/12,0)*12,IF(C260="3113. Logements",ROUND(VLOOKUP(C260,'Informations générales'!$C$66:$H$70,5,FALSE)*(AL260/$AO$28)/12,0)*12,IF(C260="3114. Logements",ROUND(VLOOKUP(C260,'Informations générales'!$C$66:$H$70,5,FALSE)*(AL260/$AP$28)/12,0)*12,IF(C260="3115. Logements",ROUND(VLOOKUP(C260,'Informations générales'!$C$66:$H$70,5,FALSE)*(AL260/$AQ$28)/12,0)*12,"")))))</f>
        <v/>
      </c>
      <c r="AI260" s="114"/>
      <c r="AJ260" s="114"/>
      <c r="AK260" s="76"/>
      <c r="AL260" s="58">
        <f t="shared" si="57"/>
        <v>0</v>
      </c>
      <c r="AM260" s="58"/>
      <c r="AN260" s="58"/>
      <c r="AO260" s="58"/>
      <c r="AP260" s="58"/>
      <c r="AQ260" s="58"/>
      <c r="AR260" s="58">
        <f t="shared" si="45"/>
        <v>0</v>
      </c>
      <c r="AS260" s="58">
        <f t="shared" si="46"/>
        <v>0</v>
      </c>
      <c r="AT260" s="58">
        <f t="shared" si="47"/>
        <v>0</v>
      </c>
      <c r="AU260" s="58">
        <f t="shared" si="48"/>
        <v>0</v>
      </c>
      <c r="AV260" s="58">
        <f t="shared" si="49"/>
        <v>0</v>
      </c>
      <c r="AW260" s="58">
        <f t="shared" si="50"/>
        <v>0</v>
      </c>
      <c r="AX260" s="58">
        <f t="shared" si="51"/>
        <v>0</v>
      </c>
      <c r="AY260" s="58">
        <f t="shared" si="58"/>
        <v>0</v>
      </c>
      <c r="AZ260" s="62">
        <f t="shared" si="52"/>
        <v>0</v>
      </c>
      <c r="BA260" s="63">
        <f t="shared" si="53"/>
        <v>0</v>
      </c>
      <c r="BB260" s="63">
        <f t="shared" si="54"/>
        <v>0</v>
      </c>
    </row>
    <row r="261" spans="3:54" s="17" customFormat="1" x14ac:dyDescent="0.25">
      <c r="C261" s="215"/>
      <c r="D261" s="216"/>
      <c r="E261" s="88"/>
      <c r="F261" s="217"/>
      <c r="G261" s="234"/>
      <c r="H261" s="218"/>
      <c r="I261" s="76"/>
      <c r="J261" s="77"/>
      <c r="K261" s="76"/>
      <c r="L261" s="78"/>
      <c r="M261" s="78"/>
      <c r="N261" s="76" t="s">
        <v>39</v>
      </c>
      <c r="O261" s="110"/>
      <c r="P261" s="152"/>
      <c r="Q261" s="111" t="str">
        <f>IFERROR(MIN(VLOOKUP(ROUNDDOWN(P261,0),'Aide calcul'!$B$2:$C$282,2,FALSE),O261+1),"")</f>
        <v/>
      </c>
      <c r="R261" s="112" t="str">
        <f t="shared" si="55"/>
        <v/>
      </c>
      <c r="S261" s="152"/>
      <c r="T261" s="152"/>
      <c r="U261" s="152"/>
      <c r="V261" s="152"/>
      <c r="W261" s="152"/>
      <c r="X261" s="152"/>
      <c r="Y261" s="152"/>
      <c r="Z261" s="76"/>
      <c r="AA261" s="76"/>
      <c r="AB261" s="113" t="str">
        <f>IF(C261="3111. Logements",ROUND(VLOOKUP(C261,'Informations générales'!$C$66:$E$70,3,FALSE)*(AL261/$AM$28)/12,0)*12,IF(C261="3112. Logements",ROUND(VLOOKUP(C261,'Informations générales'!$C$66:$E$70,3,FALSE)*(AL261/$AN$28)/12,0)*12,IF(C261="3113. Logements",ROUND(VLOOKUP(C261,'Informations générales'!$C$66:$E$70,3,FALSE)*(AL261/$AO$28)/12,0)*12,IF(C261="3114. Logements",ROUND(VLOOKUP(C261,'Informations générales'!$C$66:$E$70,3,FALSE)*(AL261/$AP$28)/12,0)*12,IF(C261="3115. Logements",ROUND(VLOOKUP(C261,'Informations générales'!$C$66:$E$70,3,FALSE)*(AL261/$AQ$28)/12,0)*12,"")))))</f>
        <v/>
      </c>
      <c r="AC261" s="114"/>
      <c r="AD261" s="113">
        <f t="shared" si="56"/>
        <v>0</v>
      </c>
      <c r="AE261" s="114"/>
      <c r="AF261" s="203" t="str">
        <f>IF(C261="3111. Logements",ROUND(VLOOKUP(C261,'Informations générales'!$C$66:$E$70,3,FALSE)*(AL261/$AM$28)/12,0)*12,IF(C261="3112. Logements",ROUND(VLOOKUP(C261,'Informations générales'!$C$66:$E$70,3,FALSE)*(AL261/$AN$28)/12,0)*12,IF(C261="3113. Logements",ROUND(VLOOKUP(C261,'Informations générales'!$C$66:$E$70,3,FALSE)*(AL261/$AO$28)/12,0)*12,IF(C261="3114. Logements",ROUND(VLOOKUP(C261,'Informations générales'!$C$66:$E$70,3,FALSE)*(AL261/$AP$28)/12,0)*12,IF(C261="3115. Logements",ROUND(VLOOKUP(C261,'Informations générales'!$C$66:$E$70,3,FALSE)*(AL261/$AQ$28)/12,0)*12,"")))))</f>
        <v/>
      </c>
      <c r="AG261" s="202"/>
      <c r="AH261" s="113" t="str">
        <f>IF(C261="3111. Logements",ROUND(VLOOKUP(C261,'Informations générales'!$C$66:$H$70,5,FALSE)*(AL261/$AM$28)/12,0)*12,IF(C261="3112. Logements",ROUND(VLOOKUP(C261,'Informations générales'!$C$66:$H$70,5,FALSE)*(AL261/$AN$28)/12,0)*12,IF(C261="3113. Logements",ROUND(VLOOKUP(C261,'Informations générales'!$C$66:$H$70,5,FALSE)*(AL261/$AO$28)/12,0)*12,IF(C261="3114. Logements",ROUND(VLOOKUP(C261,'Informations générales'!$C$66:$H$70,5,FALSE)*(AL261/$AP$28)/12,0)*12,IF(C261="3115. Logements",ROUND(VLOOKUP(C261,'Informations générales'!$C$66:$H$70,5,FALSE)*(AL261/$AQ$28)/12,0)*12,"")))))</f>
        <v/>
      </c>
      <c r="AI261" s="114"/>
      <c r="AJ261" s="114"/>
      <c r="AK261" s="76"/>
      <c r="AL261" s="58">
        <f t="shared" si="57"/>
        <v>0</v>
      </c>
      <c r="AM261" s="58"/>
      <c r="AN261" s="58"/>
      <c r="AO261" s="58"/>
      <c r="AP261" s="58"/>
      <c r="AQ261" s="58"/>
      <c r="AR261" s="58">
        <f t="shared" si="45"/>
        <v>0</v>
      </c>
      <c r="AS261" s="58">
        <f t="shared" si="46"/>
        <v>0</v>
      </c>
      <c r="AT261" s="58">
        <f t="shared" si="47"/>
        <v>0</v>
      </c>
      <c r="AU261" s="58">
        <f t="shared" si="48"/>
        <v>0</v>
      </c>
      <c r="AV261" s="58">
        <f t="shared" si="49"/>
        <v>0</v>
      </c>
      <c r="AW261" s="58">
        <f t="shared" si="50"/>
        <v>0</v>
      </c>
      <c r="AX261" s="58">
        <f t="shared" si="51"/>
        <v>0</v>
      </c>
      <c r="AY261" s="58">
        <f t="shared" si="58"/>
        <v>0</v>
      </c>
      <c r="AZ261" s="62">
        <f t="shared" si="52"/>
        <v>0</v>
      </c>
      <c r="BA261" s="63">
        <f t="shared" si="53"/>
        <v>0</v>
      </c>
      <c r="BB261" s="63">
        <f t="shared" si="54"/>
        <v>0</v>
      </c>
    </row>
    <row r="262" spans="3:54" s="17" customFormat="1" x14ac:dyDescent="0.25">
      <c r="C262" s="215"/>
      <c r="D262" s="216"/>
      <c r="E262" s="88"/>
      <c r="F262" s="217"/>
      <c r="G262" s="234"/>
      <c r="H262" s="218"/>
      <c r="I262" s="76"/>
      <c r="J262" s="77"/>
      <c r="K262" s="76"/>
      <c r="L262" s="78"/>
      <c r="M262" s="78"/>
      <c r="N262" s="76" t="s">
        <v>39</v>
      </c>
      <c r="O262" s="110"/>
      <c r="P262" s="152"/>
      <c r="Q262" s="111" t="str">
        <f>IFERROR(MIN(VLOOKUP(ROUNDDOWN(P262,0),'Aide calcul'!$B$2:$C$282,2,FALSE),O262+1),"")</f>
        <v/>
      </c>
      <c r="R262" s="112" t="str">
        <f t="shared" si="55"/>
        <v/>
      </c>
      <c r="S262" s="152"/>
      <c r="T262" s="152"/>
      <c r="U262" s="152"/>
      <c r="V262" s="152"/>
      <c r="W262" s="152"/>
      <c r="X262" s="152"/>
      <c r="Y262" s="152"/>
      <c r="Z262" s="76"/>
      <c r="AA262" s="76"/>
      <c r="AB262" s="113" t="str">
        <f>IF(C262="3111. Logements",ROUND(VLOOKUP(C262,'Informations générales'!$C$66:$E$70,3,FALSE)*(AL262/$AM$28)/12,0)*12,IF(C262="3112. Logements",ROUND(VLOOKUP(C262,'Informations générales'!$C$66:$E$70,3,FALSE)*(AL262/$AN$28)/12,0)*12,IF(C262="3113. Logements",ROUND(VLOOKUP(C262,'Informations générales'!$C$66:$E$70,3,FALSE)*(AL262/$AO$28)/12,0)*12,IF(C262="3114. Logements",ROUND(VLOOKUP(C262,'Informations générales'!$C$66:$E$70,3,FALSE)*(AL262/$AP$28)/12,0)*12,IF(C262="3115. Logements",ROUND(VLOOKUP(C262,'Informations générales'!$C$66:$E$70,3,FALSE)*(AL262/$AQ$28)/12,0)*12,"")))))</f>
        <v/>
      </c>
      <c r="AC262" s="114"/>
      <c r="AD262" s="113">
        <f t="shared" si="56"/>
        <v>0</v>
      </c>
      <c r="AE262" s="114"/>
      <c r="AF262" s="203" t="str">
        <f>IF(C262="3111. Logements",ROUND(VLOOKUP(C262,'Informations générales'!$C$66:$E$70,3,FALSE)*(AL262/$AM$28)/12,0)*12,IF(C262="3112. Logements",ROUND(VLOOKUP(C262,'Informations générales'!$C$66:$E$70,3,FALSE)*(AL262/$AN$28)/12,0)*12,IF(C262="3113. Logements",ROUND(VLOOKUP(C262,'Informations générales'!$C$66:$E$70,3,FALSE)*(AL262/$AO$28)/12,0)*12,IF(C262="3114. Logements",ROUND(VLOOKUP(C262,'Informations générales'!$C$66:$E$70,3,FALSE)*(AL262/$AP$28)/12,0)*12,IF(C262="3115. Logements",ROUND(VLOOKUP(C262,'Informations générales'!$C$66:$E$70,3,FALSE)*(AL262/$AQ$28)/12,0)*12,"")))))</f>
        <v/>
      </c>
      <c r="AG262" s="202"/>
      <c r="AH262" s="113" t="str">
        <f>IF(C262="3111. Logements",ROUND(VLOOKUP(C262,'Informations générales'!$C$66:$H$70,5,FALSE)*(AL262/$AM$28)/12,0)*12,IF(C262="3112. Logements",ROUND(VLOOKUP(C262,'Informations générales'!$C$66:$H$70,5,FALSE)*(AL262/$AN$28)/12,0)*12,IF(C262="3113. Logements",ROUND(VLOOKUP(C262,'Informations générales'!$C$66:$H$70,5,FALSE)*(AL262/$AO$28)/12,0)*12,IF(C262="3114. Logements",ROUND(VLOOKUP(C262,'Informations générales'!$C$66:$H$70,5,FALSE)*(AL262/$AP$28)/12,0)*12,IF(C262="3115. Logements",ROUND(VLOOKUP(C262,'Informations générales'!$C$66:$H$70,5,FALSE)*(AL262/$AQ$28)/12,0)*12,"")))))</f>
        <v/>
      </c>
      <c r="AI262" s="114"/>
      <c r="AJ262" s="114"/>
      <c r="AK262" s="76"/>
      <c r="AL262" s="58">
        <f t="shared" si="57"/>
        <v>0</v>
      </c>
      <c r="AM262" s="58"/>
      <c r="AN262" s="58"/>
      <c r="AO262" s="58"/>
      <c r="AP262" s="58"/>
      <c r="AQ262" s="58"/>
      <c r="AR262" s="58">
        <f t="shared" si="45"/>
        <v>0</v>
      </c>
      <c r="AS262" s="58">
        <f t="shared" si="46"/>
        <v>0</v>
      </c>
      <c r="AT262" s="58">
        <f t="shared" si="47"/>
        <v>0</v>
      </c>
      <c r="AU262" s="58">
        <f t="shared" si="48"/>
        <v>0</v>
      </c>
      <c r="AV262" s="58">
        <f t="shared" si="49"/>
        <v>0</v>
      </c>
      <c r="AW262" s="58">
        <f t="shared" si="50"/>
        <v>0</v>
      </c>
      <c r="AX262" s="58">
        <f t="shared" si="51"/>
        <v>0</v>
      </c>
      <c r="AY262" s="58">
        <f t="shared" si="58"/>
        <v>0</v>
      </c>
      <c r="AZ262" s="62">
        <f t="shared" si="52"/>
        <v>0</v>
      </c>
      <c r="BA262" s="63">
        <f t="shared" si="53"/>
        <v>0</v>
      </c>
      <c r="BB262" s="63">
        <f t="shared" si="54"/>
        <v>0</v>
      </c>
    </row>
    <row r="263" spans="3:54" s="17" customFormat="1" x14ac:dyDescent="0.25">
      <c r="C263" s="215"/>
      <c r="D263" s="216"/>
      <c r="E263" s="88"/>
      <c r="F263" s="217"/>
      <c r="G263" s="234"/>
      <c r="H263" s="218"/>
      <c r="I263" s="76"/>
      <c r="J263" s="77"/>
      <c r="K263" s="76"/>
      <c r="L263" s="78"/>
      <c r="M263" s="78"/>
      <c r="N263" s="76" t="s">
        <v>39</v>
      </c>
      <c r="O263" s="110"/>
      <c r="P263" s="152"/>
      <c r="Q263" s="111" t="str">
        <f>IFERROR(MIN(VLOOKUP(ROUNDDOWN(P263,0),'Aide calcul'!$B$2:$C$282,2,FALSE),O263+1),"")</f>
        <v/>
      </c>
      <c r="R263" s="112" t="str">
        <f t="shared" si="55"/>
        <v/>
      </c>
      <c r="S263" s="152"/>
      <c r="T263" s="152"/>
      <c r="U263" s="152"/>
      <c r="V263" s="152"/>
      <c r="W263" s="152"/>
      <c r="X263" s="152"/>
      <c r="Y263" s="152"/>
      <c r="Z263" s="76"/>
      <c r="AA263" s="76"/>
      <c r="AB263" s="113" t="str">
        <f>IF(C263="3111. Logements",ROUND(VLOOKUP(C263,'Informations générales'!$C$66:$E$70,3,FALSE)*(AL263/$AM$28)/12,0)*12,IF(C263="3112. Logements",ROUND(VLOOKUP(C263,'Informations générales'!$C$66:$E$70,3,FALSE)*(AL263/$AN$28)/12,0)*12,IF(C263="3113. Logements",ROUND(VLOOKUP(C263,'Informations générales'!$C$66:$E$70,3,FALSE)*(AL263/$AO$28)/12,0)*12,IF(C263="3114. Logements",ROUND(VLOOKUP(C263,'Informations générales'!$C$66:$E$70,3,FALSE)*(AL263/$AP$28)/12,0)*12,IF(C263="3115. Logements",ROUND(VLOOKUP(C263,'Informations générales'!$C$66:$E$70,3,FALSE)*(AL263/$AQ$28)/12,0)*12,"")))))</f>
        <v/>
      </c>
      <c r="AC263" s="114"/>
      <c r="AD263" s="113">
        <f t="shared" si="56"/>
        <v>0</v>
      </c>
      <c r="AE263" s="114"/>
      <c r="AF263" s="203" t="str">
        <f>IF(C263="3111. Logements",ROUND(VLOOKUP(C263,'Informations générales'!$C$66:$E$70,3,FALSE)*(AL263/$AM$28)/12,0)*12,IF(C263="3112. Logements",ROUND(VLOOKUP(C263,'Informations générales'!$C$66:$E$70,3,FALSE)*(AL263/$AN$28)/12,0)*12,IF(C263="3113. Logements",ROUND(VLOOKUP(C263,'Informations générales'!$C$66:$E$70,3,FALSE)*(AL263/$AO$28)/12,0)*12,IF(C263="3114. Logements",ROUND(VLOOKUP(C263,'Informations générales'!$C$66:$E$70,3,FALSE)*(AL263/$AP$28)/12,0)*12,IF(C263="3115. Logements",ROUND(VLOOKUP(C263,'Informations générales'!$C$66:$E$70,3,FALSE)*(AL263/$AQ$28)/12,0)*12,"")))))</f>
        <v/>
      </c>
      <c r="AG263" s="202"/>
      <c r="AH263" s="113" t="str">
        <f>IF(C263="3111. Logements",ROUND(VLOOKUP(C263,'Informations générales'!$C$66:$H$70,5,FALSE)*(AL263/$AM$28)/12,0)*12,IF(C263="3112. Logements",ROUND(VLOOKUP(C263,'Informations générales'!$C$66:$H$70,5,FALSE)*(AL263/$AN$28)/12,0)*12,IF(C263="3113. Logements",ROUND(VLOOKUP(C263,'Informations générales'!$C$66:$H$70,5,FALSE)*(AL263/$AO$28)/12,0)*12,IF(C263="3114. Logements",ROUND(VLOOKUP(C263,'Informations générales'!$C$66:$H$70,5,FALSE)*(AL263/$AP$28)/12,0)*12,IF(C263="3115. Logements",ROUND(VLOOKUP(C263,'Informations générales'!$C$66:$H$70,5,FALSE)*(AL263/$AQ$28)/12,0)*12,"")))))</f>
        <v/>
      </c>
      <c r="AI263" s="114"/>
      <c r="AJ263" s="114"/>
      <c r="AK263" s="76"/>
      <c r="AL263" s="58">
        <f t="shared" si="57"/>
        <v>0</v>
      </c>
      <c r="AM263" s="58"/>
      <c r="AN263" s="58"/>
      <c r="AO263" s="58"/>
      <c r="AP263" s="58"/>
      <c r="AQ263" s="58"/>
      <c r="AR263" s="58">
        <f t="shared" si="45"/>
        <v>0</v>
      </c>
      <c r="AS263" s="58">
        <f t="shared" si="46"/>
        <v>0</v>
      </c>
      <c r="AT263" s="58">
        <f t="shared" si="47"/>
        <v>0</v>
      </c>
      <c r="AU263" s="58">
        <f t="shared" si="48"/>
        <v>0</v>
      </c>
      <c r="AV263" s="58">
        <f t="shared" si="49"/>
        <v>0</v>
      </c>
      <c r="AW263" s="58">
        <f t="shared" si="50"/>
        <v>0</v>
      </c>
      <c r="AX263" s="58">
        <f t="shared" si="51"/>
        <v>0</v>
      </c>
      <c r="AY263" s="58">
        <f t="shared" si="58"/>
        <v>0</v>
      </c>
      <c r="AZ263" s="62">
        <f t="shared" si="52"/>
        <v>0</v>
      </c>
      <c r="BA263" s="63">
        <f t="shared" si="53"/>
        <v>0</v>
      </c>
      <c r="BB263" s="63">
        <f t="shared" si="54"/>
        <v>0</v>
      </c>
    </row>
    <row r="264" spans="3:54" s="17" customFormat="1" x14ac:dyDescent="0.25">
      <c r="C264" s="215"/>
      <c r="D264" s="216"/>
      <c r="E264" s="88"/>
      <c r="F264" s="217"/>
      <c r="G264" s="234"/>
      <c r="H264" s="218"/>
      <c r="I264" s="76"/>
      <c r="J264" s="77"/>
      <c r="K264" s="76"/>
      <c r="L264" s="78"/>
      <c r="M264" s="78"/>
      <c r="N264" s="76" t="s">
        <v>39</v>
      </c>
      <c r="O264" s="110"/>
      <c r="P264" s="152"/>
      <c r="Q264" s="111" t="str">
        <f>IFERROR(MIN(VLOOKUP(ROUNDDOWN(P264,0),'Aide calcul'!$B$2:$C$282,2,FALSE),O264+1),"")</f>
        <v/>
      </c>
      <c r="R264" s="112" t="str">
        <f t="shared" si="55"/>
        <v/>
      </c>
      <c r="S264" s="152"/>
      <c r="T264" s="152"/>
      <c r="U264" s="152"/>
      <c r="V264" s="152"/>
      <c r="W264" s="152"/>
      <c r="X264" s="152"/>
      <c r="Y264" s="152"/>
      <c r="Z264" s="76"/>
      <c r="AA264" s="76"/>
      <c r="AB264" s="113" t="str">
        <f>IF(C264="3111. Logements",ROUND(VLOOKUP(C264,'Informations générales'!$C$66:$E$70,3,FALSE)*(AL264/$AM$28)/12,0)*12,IF(C264="3112. Logements",ROUND(VLOOKUP(C264,'Informations générales'!$C$66:$E$70,3,FALSE)*(AL264/$AN$28)/12,0)*12,IF(C264="3113. Logements",ROUND(VLOOKUP(C264,'Informations générales'!$C$66:$E$70,3,FALSE)*(AL264/$AO$28)/12,0)*12,IF(C264="3114. Logements",ROUND(VLOOKUP(C264,'Informations générales'!$C$66:$E$70,3,FALSE)*(AL264/$AP$28)/12,0)*12,IF(C264="3115. Logements",ROUND(VLOOKUP(C264,'Informations générales'!$C$66:$E$70,3,FALSE)*(AL264/$AQ$28)/12,0)*12,"")))))</f>
        <v/>
      </c>
      <c r="AC264" s="114"/>
      <c r="AD264" s="113">
        <f t="shared" si="56"/>
        <v>0</v>
      </c>
      <c r="AE264" s="114"/>
      <c r="AF264" s="203" t="str">
        <f>IF(C264="3111. Logements",ROUND(VLOOKUP(C264,'Informations générales'!$C$66:$E$70,3,FALSE)*(AL264/$AM$28)/12,0)*12,IF(C264="3112. Logements",ROUND(VLOOKUP(C264,'Informations générales'!$C$66:$E$70,3,FALSE)*(AL264/$AN$28)/12,0)*12,IF(C264="3113. Logements",ROUND(VLOOKUP(C264,'Informations générales'!$C$66:$E$70,3,FALSE)*(AL264/$AO$28)/12,0)*12,IF(C264="3114. Logements",ROUND(VLOOKUP(C264,'Informations générales'!$C$66:$E$70,3,FALSE)*(AL264/$AP$28)/12,0)*12,IF(C264="3115. Logements",ROUND(VLOOKUP(C264,'Informations générales'!$C$66:$E$70,3,FALSE)*(AL264/$AQ$28)/12,0)*12,"")))))</f>
        <v/>
      </c>
      <c r="AG264" s="202"/>
      <c r="AH264" s="113" t="str">
        <f>IF(C264="3111. Logements",ROUND(VLOOKUP(C264,'Informations générales'!$C$66:$H$70,5,FALSE)*(AL264/$AM$28)/12,0)*12,IF(C264="3112. Logements",ROUND(VLOOKUP(C264,'Informations générales'!$C$66:$H$70,5,FALSE)*(AL264/$AN$28)/12,0)*12,IF(C264="3113. Logements",ROUND(VLOOKUP(C264,'Informations générales'!$C$66:$H$70,5,FALSE)*(AL264/$AO$28)/12,0)*12,IF(C264="3114. Logements",ROUND(VLOOKUP(C264,'Informations générales'!$C$66:$H$70,5,FALSE)*(AL264/$AP$28)/12,0)*12,IF(C264="3115. Logements",ROUND(VLOOKUP(C264,'Informations générales'!$C$66:$H$70,5,FALSE)*(AL264/$AQ$28)/12,0)*12,"")))))</f>
        <v/>
      </c>
      <c r="AI264" s="114"/>
      <c r="AJ264" s="114"/>
      <c r="AK264" s="76"/>
      <c r="AL264" s="58">
        <f t="shared" si="57"/>
        <v>0</v>
      </c>
      <c r="AM264" s="58"/>
      <c r="AN264" s="58"/>
      <c r="AO264" s="58"/>
      <c r="AP264" s="58"/>
      <c r="AQ264" s="58"/>
      <c r="AR264" s="58">
        <f t="shared" si="45"/>
        <v>0</v>
      </c>
      <c r="AS264" s="58">
        <f t="shared" si="46"/>
        <v>0</v>
      </c>
      <c r="AT264" s="58">
        <f t="shared" si="47"/>
        <v>0</v>
      </c>
      <c r="AU264" s="58">
        <f t="shared" si="48"/>
        <v>0</v>
      </c>
      <c r="AV264" s="58">
        <f t="shared" si="49"/>
        <v>0</v>
      </c>
      <c r="AW264" s="58">
        <f t="shared" si="50"/>
        <v>0</v>
      </c>
      <c r="AX264" s="58">
        <f t="shared" si="51"/>
        <v>0</v>
      </c>
      <c r="AY264" s="58">
        <f t="shared" si="58"/>
        <v>0</v>
      </c>
      <c r="AZ264" s="62">
        <f t="shared" si="52"/>
        <v>0</v>
      </c>
      <c r="BA264" s="63">
        <f t="shared" si="53"/>
        <v>0</v>
      </c>
      <c r="BB264" s="63">
        <f t="shared" si="54"/>
        <v>0</v>
      </c>
    </row>
    <row r="265" spans="3:54" s="17" customFormat="1" x14ac:dyDescent="0.25">
      <c r="C265" s="215"/>
      <c r="D265" s="216"/>
      <c r="E265" s="88"/>
      <c r="F265" s="217"/>
      <c r="G265" s="234"/>
      <c r="H265" s="218"/>
      <c r="I265" s="76"/>
      <c r="J265" s="77"/>
      <c r="K265" s="76"/>
      <c r="L265" s="78"/>
      <c r="M265" s="78"/>
      <c r="N265" s="76" t="s">
        <v>39</v>
      </c>
      <c r="O265" s="110"/>
      <c r="P265" s="152"/>
      <c r="Q265" s="111" t="str">
        <f>IFERROR(MIN(VLOOKUP(ROUNDDOWN(P265,0),'Aide calcul'!$B$2:$C$282,2,FALSE),O265+1),"")</f>
        <v/>
      </c>
      <c r="R265" s="112" t="str">
        <f t="shared" si="55"/>
        <v/>
      </c>
      <c r="S265" s="152"/>
      <c r="T265" s="152"/>
      <c r="U265" s="152"/>
      <c r="V265" s="152"/>
      <c r="W265" s="152"/>
      <c r="X265" s="152"/>
      <c r="Y265" s="152"/>
      <c r="Z265" s="76"/>
      <c r="AA265" s="76"/>
      <c r="AB265" s="113" t="str">
        <f>IF(C265="3111. Logements",ROUND(VLOOKUP(C265,'Informations générales'!$C$66:$E$70,3,FALSE)*(AL265/$AM$28)/12,0)*12,IF(C265="3112. Logements",ROUND(VLOOKUP(C265,'Informations générales'!$C$66:$E$70,3,FALSE)*(AL265/$AN$28)/12,0)*12,IF(C265="3113. Logements",ROUND(VLOOKUP(C265,'Informations générales'!$C$66:$E$70,3,FALSE)*(AL265/$AO$28)/12,0)*12,IF(C265="3114. Logements",ROUND(VLOOKUP(C265,'Informations générales'!$C$66:$E$70,3,FALSE)*(AL265/$AP$28)/12,0)*12,IF(C265="3115. Logements",ROUND(VLOOKUP(C265,'Informations générales'!$C$66:$E$70,3,FALSE)*(AL265/$AQ$28)/12,0)*12,"")))))</f>
        <v/>
      </c>
      <c r="AC265" s="114"/>
      <c r="AD265" s="113">
        <f t="shared" si="56"/>
        <v>0</v>
      </c>
      <c r="AE265" s="114"/>
      <c r="AF265" s="203" t="str">
        <f>IF(C265="3111. Logements",ROUND(VLOOKUP(C265,'Informations générales'!$C$66:$E$70,3,FALSE)*(AL265/$AM$28)/12,0)*12,IF(C265="3112. Logements",ROUND(VLOOKUP(C265,'Informations générales'!$C$66:$E$70,3,FALSE)*(AL265/$AN$28)/12,0)*12,IF(C265="3113. Logements",ROUND(VLOOKUP(C265,'Informations générales'!$C$66:$E$70,3,FALSE)*(AL265/$AO$28)/12,0)*12,IF(C265="3114. Logements",ROUND(VLOOKUP(C265,'Informations générales'!$C$66:$E$70,3,FALSE)*(AL265/$AP$28)/12,0)*12,IF(C265="3115. Logements",ROUND(VLOOKUP(C265,'Informations générales'!$C$66:$E$70,3,FALSE)*(AL265/$AQ$28)/12,0)*12,"")))))</f>
        <v/>
      </c>
      <c r="AG265" s="202"/>
      <c r="AH265" s="113" t="str">
        <f>IF(C265="3111. Logements",ROUND(VLOOKUP(C265,'Informations générales'!$C$66:$H$70,5,FALSE)*(AL265/$AM$28)/12,0)*12,IF(C265="3112. Logements",ROUND(VLOOKUP(C265,'Informations générales'!$C$66:$H$70,5,FALSE)*(AL265/$AN$28)/12,0)*12,IF(C265="3113. Logements",ROUND(VLOOKUP(C265,'Informations générales'!$C$66:$H$70,5,FALSE)*(AL265/$AO$28)/12,0)*12,IF(C265="3114. Logements",ROUND(VLOOKUP(C265,'Informations générales'!$C$66:$H$70,5,FALSE)*(AL265/$AP$28)/12,0)*12,IF(C265="3115. Logements",ROUND(VLOOKUP(C265,'Informations générales'!$C$66:$H$70,5,FALSE)*(AL265/$AQ$28)/12,0)*12,"")))))</f>
        <v/>
      </c>
      <c r="AI265" s="114"/>
      <c r="AJ265" s="114"/>
      <c r="AK265" s="76"/>
      <c r="AL265" s="58">
        <f t="shared" si="57"/>
        <v>0</v>
      </c>
      <c r="AM265" s="58"/>
      <c r="AN265" s="58"/>
      <c r="AO265" s="58"/>
      <c r="AP265" s="58"/>
      <c r="AQ265" s="58"/>
      <c r="AR265" s="58">
        <f t="shared" si="45"/>
        <v>0</v>
      </c>
      <c r="AS265" s="58">
        <f t="shared" si="46"/>
        <v>0</v>
      </c>
      <c r="AT265" s="58">
        <f t="shared" si="47"/>
        <v>0</v>
      </c>
      <c r="AU265" s="58">
        <f t="shared" si="48"/>
        <v>0</v>
      </c>
      <c r="AV265" s="58">
        <f t="shared" si="49"/>
        <v>0</v>
      </c>
      <c r="AW265" s="58">
        <f t="shared" si="50"/>
        <v>0</v>
      </c>
      <c r="AX265" s="58">
        <f t="shared" si="51"/>
        <v>0</v>
      </c>
      <c r="AY265" s="58">
        <f t="shared" si="58"/>
        <v>0</v>
      </c>
      <c r="AZ265" s="62">
        <f t="shared" si="52"/>
        <v>0</v>
      </c>
      <c r="BA265" s="63">
        <f t="shared" si="53"/>
        <v>0</v>
      </c>
      <c r="BB265" s="63">
        <f t="shared" si="54"/>
        <v>0</v>
      </c>
    </row>
    <row r="266" spans="3:54" s="17" customFormat="1" x14ac:dyDescent="0.25">
      <c r="C266" s="215"/>
      <c r="D266" s="216"/>
      <c r="E266" s="88"/>
      <c r="F266" s="217"/>
      <c r="G266" s="234"/>
      <c r="H266" s="218"/>
      <c r="I266" s="76"/>
      <c r="J266" s="77"/>
      <c r="K266" s="76"/>
      <c r="L266" s="78"/>
      <c r="M266" s="78"/>
      <c r="N266" s="76" t="s">
        <v>39</v>
      </c>
      <c r="O266" s="110"/>
      <c r="P266" s="152"/>
      <c r="Q266" s="111" t="str">
        <f>IFERROR(MIN(VLOOKUP(ROUNDDOWN(P266,0),'Aide calcul'!$B$2:$C$282,2,FALSE),O266+1),"")</f>
        <v/>
      </c>
      <c r="R266" s="112" t="str">
        <f t="shared" si="55"/>
        <v/>
      </c>
      <c r="S266" s="152"/>
      <c r="T266" s="152"/>
      <c r="U266" s="152"/>
      <c r="V266" s="152"/>
      <c r="W266" s="152"/>
      <c r="X266" s="152"/>
      <c r="Y266" s="152"/>
      <c r="Z266" s="76"/>
      <c r="AA266" s="76"/>
      <c r="AB266" s="113" t="str">
        <f>IF(C266="3111. Logements",ROUND(VLOOKUP(C266,'Informations générales'!$C$66:$E$70,3,FALSE)*(AL266/$AM$28)/12,0)*12,IF(C266="3112. Logements",ROUND(VLOOKUP(C266,'Informations générales'!$C$66:$E$70,3,FALSE)*(AL266/$AN$28)/12,0)*12,IF(C266="3113. Logements",ROUND(VLOOKUP(C266,'Informations générales'!$C$66:$E$70,3,FALSE)*(AL266/$AO$28)/12,0)*12,IF(C266="3114. Logements",ROUND(VLOOKUP(C266,'Informations générales'!$C$66:$E$70,3,FALSE)*(AL266/$AP$28)/12,0)*12,IF(C266="3115. Logements",ROUND(VLOOKUP(C266,'Informations générales'!$C$66:$E$70,3,FALSE)*(AL266/$AQ$28)/12,0)*12,"")))))</f>
        <v/>
      </c>
      <c r="AC266" s="114"/>
      <c r="AD266" s="113">
        <f t="shared" si="56"/>
        <v>0</v>
      </c>
      <c r="AE266" s="114"/>
      <c r="AF266" s="203" t="str">
        <f>IF(C266="3111. Logements",ROUND(VLOOKUP(C266,'Informations générales'!$C$66:$E$70,3,FALSE)*(AL266/$AM$28)/12,0)*12,IF(C266="3112. Logements",ROUND(VLOOKUP(C266,'Informations générales'!$C$66:$E$70,3,FALSE)*(AL266/$AN$28)/12,0)*12,IF(C266="3113. Logements",ROUND(VLOOKUP(C266,'Informations générales'!$C$66:$E$70,3,FALSE)*(AL266/$AO$28)/12,0)*12,IF(C266="3114. Logements",ROUND(VLOOKUP(C266,'Informations générales'!$C$66:$E$70,3,FALSE)*(AL266/$AP$28)/12,0)*12,IF(C266="3115. Logements",ROUND(VLOOKUP(C266,'Informations générales'!$C$66:$E$70,3,FALSE)*(AL266/$AQ$28)/12,0)*12,"")))))</f>
        <v/>
      </c>
      <c r="AG266" s="202"/>
      <c r="AH266" s="113" t="str">
        <f>IF(C266="3111. Logements",ROUND(VLOOKUP(C266,'Informations générales'!$C$66:$H$70,5,FALSE)*(AL266/$AM$28)/12,0)*12,IF(C266="3112. Logements",ROUND(VLOOKUP(C266,'Informations générales'!$C$66:$H$70,5,FALSE)*(AL266/$AN$28)/12,0)*12,IF(C266="3113. Logements",ROUND(VLOOKUP(C266,'Informations générales'!$C$66:$H$70,5,FALSE)*(AL266/$AO$28)/12,0)*12,IF(C266="3114. Logements",ROUND(VLOOKUP(C266,'Informations générales'!$C$66:$H$70,5,FALSE)*(AL266/$AP$28)/12,0)*12,IF(C266="3115. Logements",ROUND(VLOOKUP(C266,'Informations générales'!$C$66:$H$70,5,FALSE)*(AL266/$AQ$28)/12,0)*12,"")))))</f>
        <v/>
      </c>
      <c r="AI266" s="114"/>
      <c r="AJ266" s="114"/>
      <c r="AK266" s="76"/>
      <c r="AL266" s="58">
        <f t="shared" si="57"/>
        <v>0</v>
      </c>
      <c r="AM266" s="58"/>
      <c r="AN266" s="58"/>
      <c r="AO266" s="58"/>
      <c r="AP266" s="58"/>
      <c r="AQ266" s="58"/>
      <c r="AR266" s="58">
        <f t="shared" si="45"/>
        <v>0</v>
      </c>
      <c r="AS266" s="58">
        <f t="shared" si="46"/>
        <v>0</v>
      </c>
      <c r="AT266" s="58">
        <f t="shared" si="47"/>
        <v>0</v>
      </c>
      <c r="AU266" s="58">
        <f t="shared" si="48"/>
        <v>0</v>
      </c>
      <c r="AV266" s="58">
        <f t="shared" si="49"/>
        <v>0</v>
      </c>
      <c r="AW266" s="58">
        <f t="shared" si="50"/>
        <v>0</v>
      </c>
      <c r="AX266" s="58">
        <f t="shared" si="51"/>
        <v>0</v>
      </c>
      <c r="AY266" s="58">
        <f t="shared" si="58"/>
        <v>0</v>
      </c>
      <c r="AZ266" s="62">
        <f t="shared" si="52"/>
        <v>0</v>
      </c>
      <c r="BA266" s="63">
        <f t="shared" si="53"/>
        <v>0</v>
      </c>
      <c r="BB266" s="63">
        <f t="shared" si="54"/>
        <v>0</v>
      </c>
    </row>
    <row r="267" spans="3:54" s="17" customFormat="1" x14ac:dyDescent="0.25">
      <c r="C267" s="215"/>
      <c r="D267" s="216"/>
      <c r="E267" s="88"/>
      <c r="F267" s="217"/>
      <c r="G267" s="234"/>
      <c r="H267" s="218"/>
      <c r="I267" s="76"/>
      <c r="J267" s="77"/>
      <c r="K267" s="76"/>
      <c r="L267" s="78"/>
      <c r="M267" s="78"/>
      <c r="N267" s="76" t="s">
        <v>39</v>
      </c>
      <c r="O267" s="110"/>
      <c r="P267" s="152"/>
      <c r="Q267" s="111" t="str">
        <f>IFERROR(MIN(VLOOKUP(ROUNDDOWN(P267,0),'Aide calcul'!$B$2:$C$282,2,FALSE),O267+1),"")</f>
        <v/>
      </c>
      <c r="R267" s="112" t="str">
        <f t="shared" si="55"/>
        <v/>
      </c>
      <c r="S267" s="152"/>
      <c r="T267" s="152"/>
      <c r="U267" s="152"/>
      <c r="V267" s="152"/>
      <c r="W267" s="152"/>
      <c r="X267" s="152"/>
      <c r="Y267" s="152"/>
      <c r="Z267" s="76"/>
      <c r="AA267" s="76"/>
      <c r="AB267" s="113" t="str">
        <f>IF(C267="3111. Logements",ROUND(VLOOKUP(C267,'Informations générales'!$C$66:$E$70,3,FALSE)*(AL267/$AM$28)/12,0)*12,IF(C267="3112. Logements",ROUND(VLOOKUP(C267,'Informations générales'!$C$66:$E$70,3,FALSE)*(AL267/$AN$28)/12,0)*12,IF(C267="3113. Logements",ROUND(VLOOKUP(C267,'Informations générales'!$C$66:$E$70,3,FALSE)*(AL267/$AO$28)/12,0)*12,IF(C267="3114. Logements",ROUND(VLOOKUP(C267,'Informations générales'!$C$66:$E$70,3,FALSE)*(AL267/$AP$28)/12,0)*12,IF(C267="3115. Logements",ROUND(VLOOKUP(C267,'Informations générales'!$C$66:$E$70,3,FALSE)*(AL267/$AQ$28)/12,0)*12,"")))))</f>
        <v/>
      </c>
      <c r="AC267" s="114"/>
      <c r="AD267" s="113">
        <f t="shared" si="56"/>
        <v>0</v>
      </c>
      <c r="AE267" s="114"/>
      <c r="AF267" s="203" t="str">
        <f>IF(C267="3111. Logements",ROUND(VLOOKUP(C267,'Informations générales'!$C$66:$E$70,3,FALSE)*(AL267/$AM$28)/12,0)*12,IF(C267="3112. Logements",ROUND(VLOOKUP(C267,'Informations générales'!$C$66:$E$70,3,FALSE)*(AL267/$AN$28)/12,0)*12,IF(C267="3113. Logements",ROUND(VLOOKUP(C267,'Informations générales'!$C$66:$E$70,3,FALSE)*(AL267/$AO$28)/12,0)*12,IF(C267="3114. Logements",ROUND(VLOOKUP(C267,'Informations générales'!$C$66:$E$70,3,FALSE)*(AL267/$AP$28)/12,0)*12,IF(C267="3115. Logements",ROUND(VLOOKUP(C267,'Informations générales'!$C$66:$E$70,3,FALSE)*(AL267/$AQ$28)/12,0)*12,"")))))</f>
        <v/>
      </c>
      <c r="AG267" s="202"/>
      <c r="AH267" s="113" t="str">
        <f>IF(C267="3111. Logements",ROUND(VLOOKUP(C267,'Informations générales'!$C$66:$H$70,5,FALSE)*(AL267/$AM$28)/12,0)*12,IF(C267="3112. Logements",ROUND(VLOOKUP(C267,'Informations générales'!$C$66:$H$70,5,FALSE)*(AL267/$AN$28)/12,0)*12,IF(C267="3113. Logements",ROUND(VLOOKUP(C267,'Informations générales'!$C$66:$H$70,5,FALSE)*(AL267/$AO$28)/12,0)*12,IF(C267="3114. Logements",ROUND(VLOOKUP(C267,'Informations générales'!$C$66:$H$70,5,FALSE)*(AL267/$AP$28)/12,0)*12,IF(C267="3115. Logements",ROUND(VLOOKUP(C267,'Informations générales'!$C$66:$H$70,5,FALSE)*(AL267/$AQ$28)/12,0)*12,"")))))</f>
        <v/>
      </c>
      <c r="AI267" s="114"/>
      <c r="AJ267" s="114"/>
      <c r="AK267" s="76"/>
      <c r="AL267" s="58">
        <f t="shared" si="57"/>
        <v>0</v>
      </c>
      <c r="AM267" s="58"/>
      <c r="AN267" s="58"/>
      <c r="AO267" s="58"/>
      <c r="AP267" s="58"/>
      <c r="AQ267" s="58"/>
      <c r="AR267" s="58">
        <f t="shared" si="45"/>
        <v>0</v>
      </c>
      <c r="AS267" s="58">
        <f t="shared" si="46"/>
        <v>0</v>
      </c>
      <c r="AT267" s="58">
        <f t="shared" si="47"/>
        <v>0</v>
      </c>
      <c r="AU267" s="58">
        <f t="shared" si="48"/>
        <v>0</v>
      </c>
      <c r="AV267" s="58">
        <f t="shared" si="49"/>
        <v>0</v>
      </c>
      <c r="AW267" s="58">
        <f t="shared" si="50"/>
        <v>0</v>
      </c>
      <c r="AX267" s="58">
        <f t="shared" si="51"/>
        <v>0</v>
      </c>
      <c r="AY267" s="58">
        <f t="shared" si="58"/>
        <v>0</v>
      </c>
      <c r="AZ267" s="62">
        <f t="shared" si="52"/>
        <v>0</v>
      </c>
      <c r="BA267" s="63">
        <f t="shared" si="53"/>
        <v>0</v>
      </c>
      <c r="BB267" s="63">
        <f t="shared" si="54"/>
        <v>0</v>
      </c>
    </row>
    <row r="268" spans="3:54" s="17" customFormat="1" x14ac:dyDescent="0.25">
      <c r="C268" s="215"/>
      <c r="D268" s="216"/>
      <c r="E268" s="88"/>
      <c r="F268" s="217"/>
      <c r="G268" s="234"/>
      <c r="H268" s="218"/>
      <c r="I268" s="76"/>
      <c r="J268" s="77"/>
      <c r="K268" s="76"/>
      <c r="L268" s="78"/>
      <c r="M268" s="78"/>
      <c r="N268" s="76" t="s">
        <v>39</v>
      </c>
      <c r="O268" s="110"/>
      <c r="P268" s="152"/>
      <c r="Q268" s="111" t="str">
        <f>IFERROR(MIN(VLOOKUP(ROUNDDOWN(P268,0),'Aide calcul'!$B$2:$C$282,2,FALSE),O268+1),"")</f>
        <v/>
      </c>
      <c r="R268" s="112" t="str">
        <f t="shared" si="55"/>
        <v/>
      </c>
      <c r="S268" s="152"/>
      <c r="T268" s="152"/>
      <c r="U268" s="152"/>
      <c r="V268" s="152"/>
      <c r="W268" s="152"/>
      <c r="X268" s="152"/>
      <c r="Y268" s="152"/>
      <c r="Z268" s="76"/>
      <c r="AA268" s="76"/>
      <c r="AB268" s="113" t="str">
        <f>IF(C268="3111. Logements",ROUND(VLOOKUP(C268,'Informations générales'!$C$66:$E$70,3,FALSE)*(AL268/$AM$28)/12,0)*12,IF(C268="3112. Logements",ROUND(VLOOKUP(C268,'Informations générales'!$C$66:$E$70,3,FALSE)*(AL268/$AN$28)/12,0)*12,IF(C268="3113. Logements",ROUND(VLOOKUP(C268,'Informations générales'!$C$66:$E$70,3,FALSE)*(AL268/$AO$28)/12,0)*12,IF(C268="3114. Logements",ROUND(VLOOKUP(C268,'Informations générales'!$C$66:$E$70,3,FALSE)*(AL268/$AP$28)/12,0)*12,IF(C268="3115. Logements",ROUND(VLOOKUP(C268,'Informations générales'!$C$66:$E$70,3,FALSE)*(AL268/$AQ$28)/12,0)*12,"")))))</f>
        <v/>
      </c>
      <c r="AC268" s="114"/>
      <c r="AD268" s="113">
        <f t="shared" si="56"/>
        <v>0</v>
      </c>
      <c r="AE268" s="114"/>
      <c r="AF268" s="203" t="str">
        <f>IF(C268="3111. Logements",ROUND(VLOOKUP(C268,'Informations générales'!$C$66:$E$70,3,FALSE)*(AL268/$AM$28)/12,0)*12,IF(C268="3112. Logements",ROUND(VLOOKUP(C268,'Informations générales'!$C$66:$E$70,3,FALSE)*(AL268/$AN$28)/12,0)*12,IF(C268="3113. Logements",ROUND(VLOOKUP(C268,'Informations générales'!$C$66:$E$70,3,FALSE)*(AL268/$AO$28)/12,0)*12,IF(C268="3114. Logements",ROUND(VLOOKUP(C268,'Informations générales'!$C$66:$E$70,3,FALSE)*(AL268/$AP$28)/12,0)*12,IF(C268="3115. Logements",ROUND(VLOOKUP(C268,'Informations générales'!$C$66:$E$70,3,FALSE)*(AL268/$AQ$28)/12,0)*12,"")))))</f>
        <v/>
      </c>
      <c r="AG268" s="202"/>
      <c r="AH268" s="113" t="str">
        <f>IF(C268="3111. Logements",ROUND(VLOOKUP(C268,'Informations générales'!$C$66:$H$70,5,FALSE)*(AL268/$AM$28)/12,0)*12,IF(C268="3112. Logements",ROUND(VLOOKUP(C268,'Informations générales'!$C$66:$H$70,5,FALSE)*(AL268/$AN$28)/12,0)*12,IF(C268="3113. Logements",ROUND(VLOOKUP(C268,'Informations générales'!$C$66:$H$70,5,FALSE)*(AL268/$AO$28)/12,0)*12,IF(C268="3114. Logements",ROUND(VLOOKUP(C268,'Informations générales'!$C$66:$H$70,5,FALSE)*(AL268/$AP$28)/12,0)*12,IF(C268="3115. Logements",ROUND(VLOOKUP(C268,'Informations générales'!$C$66:$H$70,5,FALSE)*(AL268/$AQ$28)/12,0)*12,"")))))</f>
        <v/>
      </c>
      <c r="AI268" s="114"/>
      <c r="AJ268" s="114"/>
      <c r="AK268" s="76"/>
      <c r="AL268" s="58">
        <f t="shared" si="57"/>
        <v>0</v>
      </c>
      <c r="AM268" s="58"/>
      <c r="AN268" s="58"/>
      <c r="AO268" s="58"/>
      <c r="AP268" s="58"/>
      <c r="AQ268" s="58"/>
      <c r="AR268" s="58">
        <f t="shared" si="45"/>
        <v>0</v>
      </c>
      <c r="AS268" s="58">
        <f t="shared" si="46"/>
        <v>0</v>
      </c>
      <c r="AT268" s="58">
        <f t="shared" si="47"/>
        <v>0</v>
      </c>
      <c r="AU268" s="58">
        <f t="shared" si="48"/>
        <v>0</v>
      </c>
      <c r="AV268" s="58">
        <f t="shared" si="49"/>
        <v>0</v>
      </c>
      <c r="AW268" s="58">
        <f t="shared" si="50"/>
        <v>0</v>
      </c>
      <c r="AX268" s="58">
        <f t="shared" si="51"/>
        <v>0</v>
      </c>
      <c r="AY268" s="58">
        <f t="shared" si="58"/>
        <v>0</v>
      </c>
      <c r="AZ268" s="62">
        <f t="shared" si="52"/>
        <v>0</v>
      </c>
      <c r="BA268" s="63">
        <f t="shared" si="53"/>
        <v>0</v>
      </c>
      <c r="BB268" s="63">
        <f t="shared" si="54"/>
        <v>0</v>
      </c>
    </row>
    <row r="269" spans="3:54" s="17" customFormat="1" x14ac:dyDescent="0.25">
      <c r="C269" s="215"/>
      <c r="D269" s="216"/>
      <c r="E269" s="88"/>
      <c r="F269" s="217"/>
      <c r="G269" s="234"/>
      <c r="H269" s="218"/>
      <c r="I269" s="76"/>
      <c r="J269" s="77"/>
      <c r="K269" s="76"/>
      <c r="L269" s="78"/>
      <c r="M269" s="78"/>
      <c r="N269" s="76" t="s">
        <v>39</v>
      </c>
      <c r="O269" s="110"/>
      <c r="P269" s="152"/>
      <c r="Q269" s="111" t="str">
        <f>IFERROR(MIN(VLOOKUP(ROUNDDOWN(P269,0),'Aide calcul'!$B$2:$C$282,2,FALSE),O269+1),"")</f>
        <v/>
      </c>
      <c r="R269" s="112" t="str">
        <f t="shared" si="55"/>
        <v/>
      </c>
      <c r="S269" s="152"/>
      <c r="T269" s="152"/>
      <c r="U269" s="152"/>
      <c r="V269" s="152"/>
      <c r="W269" s="152"/>
      <c r="X269" s="152"/>
      <c r="Y269" s="152"/>
      <c r="Z269" s="76"/>
      <c r="AA269" s="76"/>
      <c r="AB269" s="113" t="str">
        <f>IF(C269="3111. Logements",ROUND(VLOOKUP(C269,'Informations générales'!$C$66:$E$70,3,FALSE)*(AL269/$AM$28)/12,0)*12,IF(C269="3112. Logements",ROUND(VLOOKUP(C269,'Informations générales'!$C$66:$E$70,3,FALSE)*(AL269/$AN$28)/12,0)*12,IF(C269="3113. Logements",ROUND(VLOOKUP(C269,'Informations générales'!$C$66:$E$70,3,FALSE)*(AL269/$AO$28)/12,0)*12,IF(C269="3114. Logements",ROUND(VLOOKUP(C269,'Informations générales'!$C$66:$E$70,3,FALSE)*(AL269/$AP$28)/12,0)*12,IF(C269="3115. Logements",ROUND(VLOOKUP(C269,'Informations générales'!$C$66:$E$70,3,FALSE)*(AL269/$AQ$28)/12,0)*12,"")))))</f>
        <v/>
      </c>
      <c r="AC269" s="114"/>
      <c r="AD269" s="113">
        <f t="shared" si="56"/>
        <v>0</v>
      </c>
      <c r="AE269" s="114"/>
      <c r="AF269" s="203" t="str">
        <f>IF(C269="3111. Logements",ROUND(VLOOKUP(C269,'Informations générales'!$C$66:$E$70,3,FALSE)*(AL269/$AM$28)/12,0)*12,IF(C269="3112. Logements",ROUND(VLOOKUP(C269,'Informations générales'!$C$66:$E$70,3,FALSE)*(AL269/$AN$28)/12,0)*12,IF(C269="3113. Logements",ROUND(VLOOKUP(C269,'Informations générales'!$C$66:$E$70,3,FALSE)*(AL269/$AO$28)/12,0)*12,IF(C269="3114. Logements",ROUND(VLOOKUP(C269,'Informations générales'!$C$66:$E$70,3,FALSE)*(AL269/$AP$28)/12,0)*12,IF(C269="3115. Logements",ROUND(VLOOKUP(C269,'Informations générales'!$C$66:$E$70,3,FALSE)*(AL269/$AQ$28)/12,0)*12,"")))))</f>
        <v/>
      </c>
      <c r="AG269" s="202"/>
      <c r="AH269" s="113" t="str">
        <f>IF(C269="3111. Logements",ROUND(VLOOKUP(C269,'Informations générales'!$C$66:$H$70,5,FALSE)*(AL269/$AM$28)/12,0)*12,IF(C269="3112. Logements",ROUND(VLOOKUP(C269,'Informations générales'!$C$66:$H$70,5,FALSE)*(AL269/$AN$28)/12,0)*12,IF(C269="3113. Logements",ROUND(VLOOKUP(C269,'Informations générales'!$C$66:$H$70,5,FALSE)*(AL269/$AO$28)/12,0)*12,IF(C269="3114. Logements",ROUND(VLOOKUP(C269,'Informations générales'!$C$66:$H$70,5,FALSE)*(AL269/$AP$28)/12,0)*12,IF(C269="3115. Logements",ROUND(VLOOKUP(C269,'Informations générales'!$C$66:$H$70,5,FALSE)*(AL269/$AQ$28)/12,0)*12,"")))))</f>
        <v/>
      </c>
      <c r="AI269" s="114"/>
      <c r="AJ269" s="114"/>
      <c r="AK269" s="76"/>
      <c r="AL269" s="58">
        <f t="shared" si="57"/>
        <v>0</v>
      </c>
      <c r="AM269" s="58"/>
      <c r="AN269" s="58"/>
      <c r="AO269" s="58"/>
      <c r="AP269" s="58"/>
      <c r="AQ269" s="58"/>
      <c r="AR269" s="58">
        <f t="shared" si="45"/>
        <v>0</v>
      </c>
      <c r="AS269" s="58">
        <f t="shared" si="46"/>
        <v>0</v>
      </c>
      <c r="AT269" s="58">
        <f t="shared" si="47"/>
        <v>0</v>
      </c>
      <c r="AU269" s="58">
        <f t="shared" si="48"/>
        <v>0</v>
      </c>
      <c r="AV269" s="58">
        <f t="shared" si="49"/>
        <v>0</v>
      </c>
      <c r="AW269" s="58">
        <f t="shared" si="50"/>
        <v>0</v>
      </c>
      <c r="AX269" s="58">
        <f t="shared" si="51"/>
        <v>0</v>
      </c>
      <c r="AY269" s="58">
        <f t="shared" si="58"/>
        <v>0</v>
      </c>
      <c r="AZ269" s="62">
        <f t="shared" si="52"/>
        <v>0</v>
      </c>
      <c r="BA269" s="63">
        <f t="shared" si="53"/>
        <v>0</v>
      </c>
      <c r="BB269" s="63">
        <f t="shared" si="54"/>
        <v>0</v>
      </c>
    </row>
    <row r="270" spans="3:54" s="17" customFormat="1" x14ac:dyDescent="0.25">
      <c r="C270" s="215"/>
      <c r="D270" s="216"/>
      <c r="E270" s="88"/>
      <c r="F270" s="217"/>
      <c r="G270" s="234"/>
      <c r="H270" s="218"/>
      <c r="I270" s="76"/>
      <c r="J270" s="77"/>
      <c r="K270" s="76"/>
      <c r="L270" s="78"/>
      <c r="M270" s="78"/>
      <c r="N270" s="76" t="s">
        <v>39</v>
      </c>
      <c r="O270" s="110"/>
      <c r="P270" s="152"/>
      <c r="Q270" s="111" t="str">
        <f>IFERROR(MIN(VLOOKUP(ROUNDDOWN(P270,0),'Aide calcul'!$B$2:$C$282,2,FALSE),O270+1),"")</f>
        <v/>
      </c>
      <c r="R270" s="112" t="str">
        <f t="shared" si="55"/>
        <v/>
      </c>
      <c r="S270" s="152"/>
      <c r="T270" s="152"/>
      <c r="U270" s="152"/>
      <c r="V270" s="152"/>
      <c r="W270" s="152"/>
      <c r="X270" s="152"/>
      <c r="Y270" s="152"/>
      <c r="Z270" s="76"/>
      <c r="AA270" s="76"/>
      <c r="AB270" s="113" t="str">
        <f>IF(C270="3111. Logements",ROUND(VLOOKUP(C270,'Informations générales'!$C$66:$E$70,3,FALSE)*(AL270/$AM$28)/12,0)*12,IF(C270="3112. Logements",ROUND(VLOOKUP(C270,'Informations générales'!$C$66:$E$70,3,FALSE)*(AL270/$AN$28)/12,0)*12,IF(C270="3113. Logements",ROUND(VLOOKUP(C270,'Informations générales'!$C$66:$E$70,3,FALSE)*(AL270/$AO$28)/12,0)*12,IF(C270="3114. Logements",ROUND(VLOOKUP(C270,'Informations générales'!$C$66:$E$70,3,FALSE)*(AL270/$AP$28)/12,0)*12,IF(C270="3115. Logements",ROUND(VLOOKUP(C270,'Informations générales'!$C$66:$E$70,3,FALSE)*(AL270/$AQ$28)/12,0)*12,"")))))</f>
        <v/>
      </c>
      <c r="AC270" s="114"/>
      <c r="AD270" s="113">
        <f t="shared" si="56"/>
        <v>0</v>
      </c>
      <c r="AE270" s="114"/>
      <c r="AF270" s="203" t="str">
        <f>IF(C270="3111. Logements",ROUND(VLOOKUP(C270,'Informations générales'!$C$66:$E$70,3,FALSE)*(AL270/$AM$28)/12,0)*12,IF(C270="3112. Logements",ROUND(VLOOKUP(C270,'Informations générales'!$C$66:$E$70,3,FALSE)*(AL270/$AN$28)/12,0)*12,IF(C270="3113. Logements",ROUND(VLOOKUP(C270,'Informations générales'!$C$66:$E$70,3,FALSE)*(AL270/$AO$28)/12,0)*12,IF(C270="3114. Logements",ROUND(VLOOKUP(C270,'Informations générales'!$C$66:$E$70,3,FALSE)*(AL270/$AP$28)/12,0)*12,IF(C270="3115. Logements",ROUND(VLOOKUP(C270,'Informations générales'!$C$66:$E$70,3,FALSE)*(AL270/$AQ$28)/12,0)*12,"")))))</f>
        <v/>
      </c>
      <c r="AG270" s="202"/>
      <c r="AH270" s="113" t="str">
        <f>IF(C270="3111. Logements",ROUND(VLOOKUP(C270,'Informations générales'!$C$66:$H$70,5,FALSE)*(AL270/$AM$28)/12,0)*12,IF(C270="3112. Logements",ROUND(VLOOKUP(C270,'Informations générales'!$C$66:$H$70,5,FALSE)*(AL270/$AN$28)/12,0)*12,IF(C270="3113. Logements",ROUND(VLOOKUP(C270,'Informations générales'!$C$66:$H$70,5,FALSE)*(AL270/$AO$28)/12,0)*12,IF(C270="3114. Logements",ROUND(VLOOKUP(C270,'Informations générales'!$C$66:$H$70,5,FALSE)*(AL270/$AP$28)/12,0)*12,IF(C270="3115. Logements",ROUND(VLOOKUP(C270,'Informations générales'!$C$66:$H$70,5,FALSE)*(AL270/$AQ$28)/12,0)*12,"")))))</f>
        <v/>
      </c>
      <c r="AI270" s="114"/>
      <c r="AJ270" s="114"/>
      <c r="AK270" s="76"/>
      <c r="AL270" s="58">
        <f t="shared" si="57"/>
        <v>0</v>
      </c>
      <c r="AM270" s="58"/>
      <c r="AN270" s="58"/>
      <c r="AO270" s="58"/>
      <c r="AP270" s="58"/>
      <c r="AQ270" s="58"/>
      <c r="AR270" s="58">
        <f t="shared" si="45"/>
        <v>0</v>
      </c>
      <c r="AS270" s="58">
        <f t="shared" si="46"/>
        <v>0</v>
      </c>
      <c r="AT270" s="58">
        <f t="shared" si="47"/>
        <v>0</v>
      </c>
      <c r="AU270" s="58">
        <f t="shared" si="48"/>
        <v>0</v>
      </c>
      <c r="AV270" s="58">
        <f t="shared" si="49"/>
        <v>0</v>
      </c>
      <c r="AW270" s="58">
        <f t="shared" si="50"/>
        <v>0</v>
      </c>
      <c r="AX270" s="58">
        <f t="shared" si="51"/>
        <v>0</v>
      </c>
      <c r="AY270" s="58">
        <f t="shared" si="58"/>
        <v>0</v>
      </c>
      <c r="AZ270" s="62">
        <f t="shared" si="52"/>
        <v>0</v>
      </c>
      <c r="BA270" s="63">
        <f t="shared" si="53"/>
        <v>0</v>
      </c>
      <c r="BB270" s="63">
        <f t="shared" si="54"/>
        <v>0</v>
      </c>
    </row>
    <row r="271" spans="3:54" s="17" customFormat="1" x14ac:dyDescent="0.25">
      <c r="C271" s="215"/>
      <c r="D271" s="216"/>
      <c r="E271" s="88"/>
      <c r="F271" s="217"/>
      <c r="G271" s="234"/>
      <c r="H271" s="218"/>
      <c r="I271" s="76"/>
      <c r="J271" s="77"/>
      <c r="K271" s="76"/>
      <c r="L271" s="78"/>
      <c r="M271" s="78"/>
      <c r="N271" s="76" t="s">
        <v>39</v>
      </c>
      <c r="O271" s="110"/>
      <c r="P271" s="152"/>
      <c r="Q271" s="111" t="str">
        <f>IFERROR(MIN(VLOOKUP(ROUNDDOWN(P271,0),'Aide calcul'!$B$2:$C$282,2,FALSE),O271+1),"")</f>
        <v/>
      </c>
      <c r="R271" s="112" t="str">
        <f t="shared" si="55"/>
        <v/>
      </c>
      <c r="S271" s="152"/>
      <c r="T271" s="152"/>
      <c r="U271" s="152"/>
      <c r="V271" s="152"/>
      <c r="W271" s="152"/>
      <c r="X271" s="152"/>
      <c r="Y271" s="152"/>
      <c r="Z271" s="76"/>
      <c r="AA271" s="76"/>
      <c r="AB271" s="113" t="str">
        <f>IF(C271="3111. Logements",ROUND(VLOOKUP(C271,'Informations générales'!$C$66:$E$70,3,FALSE)*(AL271/$AM$28)/12,0)*12,IF(C271="3112. Logements",ROUND(VLOOKUP(C271,'Informations générales'!$C$66:$E$70,3,FALSE)*(AL271/$AN$28)/12,0)*12,IF(C271="3113. Logements",ROUND(VLOOKUP(C271,'Informations générales'!$C$66:$E$70,3,FALSE)*(AL271/$AO$28)/12,0)*12,IF(C271="3114. Logements",ROUND(VLOOKUP(C271,'Informations générales'!$C$66:$E$70,3,FALSE)*(AL271/$AP$28)/12,0)*12,IF(C271="3115. Logements",ROUND(VLOOKUP(C271,'Informations générales'!$C$66:$E$70,3,FALSE)*(AL271/$AQ$28)/12,0)*12,"")))))</f>
        <v/>
      </c>
      <c r="AC271" s="114"/>
      <c r="AD271" s="113">
        <f t="shared" si="56"/>
        <v>0</v>
      </c>
      <c r="AE271" s="114"/>
      <c r="AF271" s="203" t="str">
        <f>IF(C271="3111. Logements",ROUND(VLOOKUP(C271,'Informations générales'!$C$66:$E$70,3,FALSE)*(AL271/$AM$28)/12,0)*12,IF(C271="3112. Logements",ROUND(VLOOKUP(C271,'Informations générales'!$C$66:$E$70,3,FALSE)*(AL271/$AN$28)/12,0)*12,IF(C271="3113. Logements",ROUND(VLOOKUP(C271,'Informations générales'!$C$66:$E$70,3,FALSE)*(AL271/$AO$28)/12,0)*12,IF(C271="3114. Logements",ROUND(VLOOKUP(C271,'Informations générales'!$C$66:$E$70,3,FALSE)*(AL271/$AP$28)/12,0)*12,IF(C271="3115. Logements",ROUND(VLOOKUP(C271,'Informations générales'!$C$66:$E$70,3,FALSE)*(AL271/$AQ$28)/12,0)*12,"")))))</f>
        <v/>
      </c>
      <c r="AG271" s="202"/>
      <c r="AH271" s="113" t="str">
        <f>IF(C271="3111. Logements",ROUND(VLOOKUP(C271,'Informations générales'!$C$66:$H$70,5,FALSE)*(AL271/$AM$28)/12,0)*12,IF(C271="3112. Logements",ROUND(VLOOKUP(C271,'Informations générales'!$C$66:$H$70,5,FALSE)*(AL271/$AN$28)/12,0)*12,IF(C271="3113. Logements",ROUND(VLOOKUP(C271,'Informations générales'!$C$66:$H$70,5,FALSE)*(AL271/$AO$28)/12,0)*12,IF(C271="3114. Logements",ROUND(VLOOKUP(C271,'Informations générales'!$C$66:$H$70,5,FALSE)*(AL271/$AP$28)/12,0)*12,IF(C271="3115. Logements",ROUND(VLOOKUP(C271,'Informations générales'!$C$66:$H$70,5,FALSE)*(AL271/$AQ$28)/12,0)*12,"")))))</f>
        <v/>
      </c>
      <c r="AI271" s="114"/>
      <c r="AJ271" s="114"/>
      <c r="AK271" s="76"/>
      <c r="AL271" s="58">
        <f t="shared" si="57"/>
        <v>0</v>
      </c>
      <c r="AM271" s="58"/>
      <c r="AN271" s="58"/>
      <c r="AO271" s="58"/>
      <c r="AP271" s="58"/>
      <c r="AQ271" s="58"/>
      <c r="AR271" s="58">
        <f t="shared" si="45"/>
        <v>0</v>
      </c>
      <c r="AS271" s="58">
        <f t="shared" si="46"/>
        <v>0</v>
      </c>
      <c r="AT271" s="58">
        <f t="shared" si="47"/>
        <v>0</v>
      </c>
      <c r="AU271" s="58">
        <f t="shared" si="48"/>
        <v>0</v>
      </c>
      <c r="AV271" s="58">
        <f t="shared" si="49"/>
        <v>0</v>
      </c>
      <c r="AW271" s="58">
        <f t="shared" si="50"/>
        <v>0</v>
      </c>
      <c r="AX271" s="58">
        <f t="shared" si="51"/>
        <v>0</v>
      </c>
      <c r="AY271" s="58">
        <f t="shared" si="58"/>
        <v>0</v>
      </c>
      <c r="AZ271" s="62">
        <f t="shared" si="52"/>
        <v>0</v>
      </c>
      <c r="BA271" s="63">
        <f t="shared" si="53"/>
        <v>0</v>
      </c>
      <c r="BB271" s="63">
        <f t="shared" si="54"/>
        <v>0</v>
      </c>
    </row>
    <row r="272" spans="3:54" s="17" customFormat="1" x14ac:dyDescent="0.25">
      <c r="C272" s="215"/>
      <c r="D272" s="216"/>
      <c r="E272" s="88"/>
      <c r="F272" s="217"/>
      <c r="G272" s="234"/>
      <c r="H272" s="218"/>
      <c r="I272" s="76"/>
      <c r="J272" s="77"/>
      <c r="K272" s="76"/>
      <c r="L272" s="78"/>
      <c r="M272" s="78"/>
      <c r="N272" s="76" t="s">
        <v>39</v>
      </c>
      <c r="O272" s="110"/>
      <c r="P272" s="152"/>
      <c r="Q272" s="111" t="str">
        <f>IFERROR(MIN(VLOOKUP(ROUNDDOWN(P272,0),'Aide calcul'!$B$2:$C$282,2,FALSE),O272+1),"")</f>
        <v/>
      </c>
      <c r="R272" s="112" t="str">
        <f t="shared" si="55"/>
        <v/>
      </c>
      <c r="S272" s="152"/>
      <c r="T272" s="152"/>
      <c r="U272" s="152"/>
      <c r="V272" s="152"/>
      <c r="W272" s="152"/>
      <c r="X272" s="152"/>
      <c r="Y272" s="152"/>
      <c r="Z272" s="76"/>
      <c r="AA272" s="76"/>
      <c r="AB272" s="113" t="str">
        <f>IF(C272="3111. Logements",ROUND(VLOOKUP(C272,'Informations générales'!$C$66:$E$70,3,FALSE)*(AL272/$AM$28)/12,0)*12,IF(C272="3112. Logements",ROUND(VLOOKUP(C272,'Informations générales'!$C$66:$E$70,3,FALSE)*(AL272/$AN$28)/12,0)*12,IF(C272="3113. Logements",ROUND(VLOOKUP(C272,'Informations générales'!$C$66:$E$70,3,FALSE)*(AL272/$AO$28)/12,0)*12,IF(C272="3114. Logements",ROUND(VLOOKUP(C272,'Informations générales'!$C$66:$E$70,3,FALSE)*(AL272/$AP$28)/12,0)*12,IF(C272="3115. Logements",ROUND(VLOOKUP(C272,'Informations générales'!$C$66:$E$70,3,FALSE)*(AL272/$AQ$28)/12,0)*12,"")))))</f>
        <v/>
      </c>
      <c r="AC272" s="114"/>
      <c r="AD272" s="113">
        <f t="shared" si="56"/>
        <v>0</v>
      </c>
      <c r="AE272" s="114"/>
      <c r="AF272" s="203" t="str">
        <f>IF(C272="3111. Logements",ROUND(VLOOKUP(C272,'Informations générales'!$C$66:$E$70,3,FALSE)*(AL272/$AM$28)/12,0)*12,IF(C272="3112. Logements",ROUND(VLOOKUP(C272,'Informations générales'!$C$66:$E$70,3,FALSE)*(AL272/$AN$28)/12,0)*12,IF(C272="3113. Logements",ROUND(VLOOKUP(C272,'Informations générales'!$C$66:$E$70,3,FALSE)*(AL272/$AO$28)/12,0)*12,IF(C272="3114. Logements",ROUND(VLOOKUP(C272,'Informations générales'!$C$66:$E$70,3,FALSE)*(AL272/$AP$28)/12,0)*12,IF(C272="3115. Logements",ROUND(VLOOKUP(C272,'Informations générales'!$C$66:$E$70,3,FALSE)*(AL272/$AQ$28)/12,0)*12,"")))))</f>
        <v/>
      </c>
      <c r="AG272" s="202"/>
      <c r="AH272" s="113" t="str">
        <f>IF(C272="3111. Logements",ROUND(VLOOKUP(C272,'Informations générales'!$C$66:$H$70,5,FALSE)*(AL272/$AM$28)/12,0)*12,IF(C272="3112. Logements",ROUND(VLOOKUP(C272,'Informations générales'!$C$66:$H$70,5,FALSE)*(AL272/$AN$28)/12,0)*12,IF(C272="3113. Logements",ROUND(VLOOKUP(C272,'Informations générales'!$C$66:$H$70,5,FALSE)*(AL272/$AO$28)/12,0)*12,IF(C272="3114. Logements",ROUND(VLOOKUP(C272,'Informations générales'!$C$66:$H$70,5,FALSE)*(AL272/$AP$28)/12,0)*12,IF(C272="3115. Logements",ROUND(VLOOKUP(C272,'Informations générales'!$C$66:$H$70,5,FALSE)*(AL272/$AQ$28)/12,0)*12,"")))))</f>
        <v/>
      </c>
      <c r="AI272" s="114"/>
      <c r="AJ272" s="114"/>
      <c r="AK272" s="76"/>
      <c r="AL272" s="58">
        <f t="shared" si="57"/>
        <v>0</v>
      </c>
      <c r="AM272" s="58"/>
      <c r="AN272" s="58"/>
      <c r="AO272" s="58"/>
      <c r="AP272" s="58"/>
      <c r="AQ272" s="58"/>
      <c r="AR272" s="58">
        <f t="shared" si="45"/>
        <v>0</v>
      </c>
      <c r="AS272" s="58">
        <f t="shared" si="46"/>
        <v>0</v>
      </c>
      <c r="AT272" s="58">
        <f t="shared" si="47"/>
        <v>0</v>
      </c>
      <c r="AU272" s="58">
        <f t="shared" si="48"/>
        <v>0</v>
      </c>
      <c r="AV272" s="58">
        <f t="shared" si="49"/>
        <v>0</v>
      </c>
      <c r="AW272" s="58">
        <f t="shared" si="50"/>
        <v>0</v>
      </c>
      <c r="AX272" s="58">
        <f t="shared" si="51"/>
        <v>0</v>
      </c>
      <c r="AY272" s="58">
        <f t="shared" si="58"/>
        <v>0</v>
      </c>
      <c r="AZ272" s="62">
        <f t="shared" si="52"/>
        <v>0</v>
      </c>
      <c r="BA272" s="63">
        <f t="shared" si="53"/>
        <v>0</v>
      </c>
      <c r="BB272" s="63">
        <f t="shared" si="54"/>
        <v>0</v>
      </c>
    </row>
    <row r="273" spans="3:54" s="17" customFormat="1" x14ac:dyDescent="0.25">
      <c r="C273" s="215"/>
      <c r="D273" s="216"/>
      <c r="E273" s="88"/>
      <c r="F273" s="217"/>
      <c r="G273" s="234"/>
      <c r="H273" s="218"/>
      <c r="I273" s="76"/>
      <c r="J273" s="77"/>
      <c r="K273" s="76"/>
      <c r="L273" s="78"/>
      <c r="M273" s="78"/>
      <c r="N273" s="76" t="s">
        <v>39</v>
      </c>
      <c r="O273" s="110"/>
      <c r="P273" s="152"/>
      <c r="Q273" s="111" t="str">
        <f>IFERROR(MIN(VLOOKUP(ROUNDDOWN(P273,0),'Aide calcul'!$B$2:$C$282,2,FALSE),O273+1),"")</f>
        <v/>
      </c>
      <c r="R273" s="112" t="str">
        <f t="shared" si="55"/>
        <v/>
      </c>
      <c r="S273" s="152"/>
      <c r="T273" s="152"/>
      <c r="U273" s="152"/>
      <c r="V273" s="152"/>
      <c r="W273" s="152"/>
      <c r="X273" s="152"/>
      <c r="Y273" s="152"/>
      <c r="Z273" s="76"/>
      <c r="AA273" s="76"/>
      <c r="AB273" s="113" t="str">
        <f>IF(C273="3111. Logements",ROUND(VLOOKUP(C273,'Informations générales'!$C$66:$E$70,3,FALSE)*(AL273/$AM$28)/12,0)*12,IF(C273="3112. Logements",ROUND(VLOOKUP(C273,'Informations générales'!$C$66:$E$70,3,FALSE)*(AL273/$AN$28)/12,0)*12,IF(C273="3113. Logements",ROUND(VLOOKUP(C273,'Informations générales'!$C$66:$E$70,3,FALSE)*(AL273/$AO$28)/12,0)*12,IF(C273="3114. Logements",ROUND(VLOOKUP(C273,'Informations générales'!$C$66:$E$70,3,FALSE)*(AL273/$AP$28)/12,0)*12,IF(C273="3115. Logements",ROUND(VLOOKUP(C273,'Informations générales'!$C$66:$E$70,3,FALSE)*(AL273/$AQ$28)/12,0)*12,"")))))</f>
        <v/>
      </c>
      <c r="AC273" s="114"/>
      <c r="AD273" s="113">
        <f t="shared" si="56"/>
        <v>0</v>
      </c>
      <c r="AE273" s="114"/>
      <c r="AF273" s="203" t="str">
        <f>IF(C273="3111. Logements",ROUND(VLOOKUP(C273,'Informations générales'!$C$66:$E$70,3,FALSE)*(AL273/$AM$28)/12,0)*12,IF(C273="3112. Logements",ROUND(VLOOKUP(C273,'Informations générales'!$C$66:$E$70,3,FALSE)*(AL273/$AN$28)/12,0)*12,IF(C273="3113. Logements",ROUND(VLOOKUP(C273,'Informations générales'!$C$66:$E$70,3,FALSE)*(AL273/$AO$28)/12,0)*12,IF(C273="3114. Logements",ROUND(VLOOKUP(C273,'Informations générales'!$C$66:$E$70,3,FALSE)*(AL273/$AP$28)/12,0)*12,IF(C273="3115. Logements",ROUND(VLOOKUP(C273,'Informations générales'!$C$66:$E$70,3,FALSE)*(AL273/$AQ$28)/12,0)*12,"")))))</f>
        <v/>
      </c>
      <c r="AG273" s="202"/>
      <c r="AH273" s="113" t="str">
        <f>IF(C273="3111. Logements",ROUND(VLOOKUP(C273,'Informations générales'!$C$66:$H$70,5,FALSE)*(AL273/$AM$28)/12,0)*12,IF(C273="3112. Logements",ROUND(VLOOKUP(C273,'Informations générales'!$C$66:$H$70,5,FALSE)*(AL273/$AN$28)/12,0)*12,IF(C273="3113. Logements",ROUND(VLOOKUP(C273,'Informations générales'!$C$66:$H$70,5,FALSE)*(AL273/$AO$28)/12,0)*12,IF(C273="3114. Logements",ROUND(VLOOKUP(C273,'Informations générales'!$C$66:$H$70,5,FALSE)*(AL273/$AP$28)/12,0)*12,IF(C273="3115. Logements",ROUND(VLOOKUP(C273,'Informations générales'!$C$66:$H$70,5,FALSE)*(AL273/$AQ$28)/12,0)*12,"")))))</f>
        <v/>
      </c>
      <c r="AI273" s="114"/>
      <c r="AJ273" s="114"/>
      <c r="AK273" s="76"/>
      <c r="AL273" s="58">
        <f t="shared" si="57"/>
        <v>0</v>
      </c>
      <c r="AM273" s="58"/>
      <c r="AN273" s="58"/>
      <c r="AO273" s="58"/>
      <c r="AP273" s="58"/>
      <c r="AQ273" s="58"/>
      <c r="AR273" s="58">
        <f t="shared" si="45"/>
        <v>0</v>
      </c>
      <c r="AS273" s="58">
        <f t="shared" si="46"/>
        <v>0</v>
      </c>
      <c r="AT273" s="58">
        <f t="shared" si="47"/>
        <v>0</v>
      </c>
      <c r="AU273" s="58">
        <f t="shared" si="48"/>
        <v>0</v>
      </c>
      <c r="AV273" s="58">
        <f t="shared" si="49"/>
        <v>0</v>
      </c>
      <c r="AW273" s="58">
        <f t="shared" si="50"/>
        <v>0</v>
      </c>
      <c r="AX273" s="58">
        <f t="shared" si="51"/>
        <v>0</v>
      </c>
      <c r="AY273" s="58">
        <f t="shared" si="58"/>
        <v>0</v>
      </c>
      <c r="AZ273" s="62">
        <f t="shared" si="52"/>
        <v>0</v>
      </c>
      <c r="BA273" s="63">
        <f t="shared" si="53"/>
        <v>0</v>
      </c>
      <c r="BB273" s="63">
        <f t="shared" si="54"/>
        <v>0</v>
      </c>
    </row>
    <row r="274" spans="3:54" s="17" customFormat="1" x14ac:dyDescent="0.25">
      <c r="C274" s="215"/>
      <c r="D274" s="216"/>
      <c r="E274" s="88"/>
      <c r="F274" s="217"/>
      <c r="G274" s="234"/>
      <c r="H274" s="218"/>
      <c r="I274" s="76"/>
      <c r="J274" s="77"/>
      <c r="K274" s="76"/>
      <c r="L274" s="78"/>
      <c r="M274" s="78"/>
      <c r="N274" s="76" t="s">
        <v>39</v>
      </c>
      <c r="O274" s="110"/>
      <c r="P274" s="152"/>
      <c r="Q274" s="111" t="str">
        <f>IFERROR(MIN(VLOOKUP(ROUNDDOWN(P274,0),'Aide calcul'!$B$2:$C$282,2,FALSE),O274+1),"")</f>
        <v/>
      </c>
      <c r="R274" s="112" t="str">
        <f t="shared" si="55"/>
        <v/>
      </c>
      <c r="S274" s="152"/>
      <c r="T274" s="152"/>
      <c r="U274" s="152"/>
      <c r="V274" s="152"/>
      <c r="W274" s="152"/>
      <c r="X274" s="152"/>
      <c r="Y274" s="152"/>
      <c r="Z274" s="76"/>
      <c r="AA274" s="76"/>
      <c r="AB274" s="113" t="str">
        <f>IF(C274="3111. Logements",ROUND(VLOOKUP(C274,'Informations générales'!$C$66:$E$70,3,FALSE)*(AL274/$AM$28)/12,0)*12,IF(C274="3112. Logements",ROUND(VLOOKUP(C274,'Informations générales'!$C$66:$E$70,3,FALSE)*(AL274/$AN$28)/12,0)*12,IF(C274="3113. Logements",ROUND(VLOOKUP(C274,'Informations générales'!$C$66:$E$70,3,FALSE)*(AL274/$AO$28)/12,0)*12,IF(C274="3114. Logements",ROUND(VLOOKUP(C274,'Informations générales'!$C$66:$E$70,3,FALSE)*(AL274/$AP$28)/12,0)*12,IF(C274="3115. Logements",ROUND(VLOOKUP(C274,'Informations générales'!$C$66:$E$70,3,FALSE)*(AL274/$AQ$28)/12,0)*12,"")))))</f>
        <v/>
      </c>
      <c r="AC274" s="114"/>
      <c r="AD274" s="113">
        <f t="shared" si="56"/>
        <v>0</v>
      </c>
      <c r="AE274" s="114"/>
      <c r="AF274" s="203" t="str">
        <f>IF(C274="3111. Logements",ROUND(VLOOKUP(C274,'Informations générales'!$C$66:$E$70,3,FALSE)*(AL274/$AM$28)/12,0)*12,IF(C274="3112. Logements",ROUND(VLOOKUP(C274,'Informations générales'!$C$66:$E$70,3,FALSE)*(AL274/$AN$28)/12,0)*12,IF(C274="3113. Logements",ROUND(VLOOKUP(C274,'Informations générales'!$C$66:$E$70,3,FALSE)*(AL274/$AO$28)/12,0)*12,IF(C274="3114. Logements",ROUND(VLOOKUP(C274,'Informations générales'!$C$66:$E$70,3,FALSE)*(AL274/$AP$28)/12,0)*12,IF(C274="3115. Logements",ROUND(VLOOKUP(C274,'Informations générales'!$C$66:$E$70,3,FALSE)*(AL274/$AQ$28)/12,0)*12,"")))))</f>
        <v/>
      </c>
      <c r="AG274" s="202"/>
      <c r="AH274" s="113" t="str">
        <f>IF(C274="3111. Logements",ROUND(VLOOKUP(C274,'Informations générales'!$C$66:$H$70,5,FALSE)*(AL274/$AM$28)/12,0)*12,IF(C274="3112. Logements",ROUND(VLOOKUP(C274,'Informations générales'!$C$66:$H$70,5,FALSE)*(AL274/$AN$28)/12,0)*12,IF(C274="3113. Logements",ROUND(VLOOKUP(C274,'Informations générales'!$C$66:$H$70,5,FALSE)*(AL274/$AO$28)/12,0)*12,IF(C274="3114. Logements",ROUND(VLOOKUP(C274,'Informations générales'!$C$66:$H$70,5,FALSE)*(AL274/$AP$28)/12,0)*12,IF(C274="3115. Logements",ROUND(VLOOKUP(C274,'Informations générales'!$C$66:$H$70,5,FALSE)*(AL274/$AQ$28)/12,0)*12,"")))))</f>
        <v/>
      </c>
      <c r="AI274" s="114"/>
      <c r="AJ274" s="114"/>
      <c r="AK274" s="76"/>
      <c r="AL274" s="58">
        <f t="shared" si="57"/>
        <v>0</v>
      </c>
      <c r="AM274" s="58"/>
      <c r="AN274" s="58"/>
      <c r="AO274" s="58"/>
      <c r="AP274" s="58"/>
      <c r="AQ274" s="58"/>
      <c r="AR274" s="58">
        <f t="shared" si="45"/>
        <v>0</v>
      </c>
      <c r="AS274" s="58">
        <f t="shared" si="46"/>
        <v>0</v>
      </c>
      <c r="AT274" s="58">
        <f t="shared" si="47"/>
        <v>0</v>
      </c>
      <c r="AU274" s="58">
        <f t="shared" si="48"/>
        <v>0</v>
      </c>
      <c r="AV274" s="58">
        <f t="shared" si="49"/>
        <v>0</v>
      </c>
      <c r="AW274" s="58">
        <f t="shared" si="50"/>
        <v>0</v>
      </c>
      <c r="AX274" s="58">
        <f t="shared" si="51"/>
        <v>0</v>
      </c>
      <c r="AY274" s="58">
        <f t="shared" si="58"/>
        <v>0</v>
      </c>
      <c r="AZ274" s="62">
        <f t="shared" si="52"/>
        <v>0</v>
      </c>
      <c r="BA274" s="63">
        <f t="shared" si="53"/>
        <v>0</v>
      </c>
      <c r="BB274" s="63">
        <f t="shared" si="54"/>
        <v>0</v>
      </c>
    </row>
    <row r="275" spans="3:54" s="17" customFormat="1" x14ac:dyDescent="0.25">
      <c r="C275" s="215"/>
      <c r="D275" s="216"/>
      <c r="E275" s="88"/>
      <c r="F275" s="217"/>
      <c r="G275" s="234"/>
      <c r="H275" s="218"/>
      <c r="I275" s="76"/>
      <c r="J275" s="77"/>
      <c r="K275" s="76"/>
      <c r="L275" s="78"/>
      <c r="M275" s="78"/>
      <c r="N275" s="76" t="s">
        <v>39</v>
      </c>
      <c r="O275" s="110"/>
      <c r="P275" s="152"/>
      <c r="Q275" s="111" t="str">
        <f>IFERROR(MIN(VLOOKUP(ROUNDDOWN(P275,0),'Aide calcul'!$B$2:$C$282,2,FALSE),O275+1),"")</f>
        <v/>
      </c>
      <c r="R275" s="112" t="str">
        <f t="shared" si="55"/>
        <v/>
      </c>
      <c r="S275" s="152"/>
      <c r="T275" s="152"/>
      <c r="U275" s="152"/>
      <c r="V275" s="152"/>
      <c r="W275" s="152"/>
      <c r="X275" s="152"/>
      <c r="Y275" s="152"/>
      <c r="Z275" s="76"/>
      <c r="AA275" s="76"/>
      <c r="AB275" s="113" t="str">
        <f>IF(C275="3111. Logements",ROUND(VLOOKUP(C275,'Informations générales'!$C$66:$E$70,3,FALSE)*(AL275/$AM$28)/12,0)*12,IF(C275="3112. Logements",ROUND(VLOOKUP(C275,'Informations générales'!$C$66:$E$70,3,FALSE)*(AL275/$AN$28)/12,0)*12,IF(C275="3113. Logements",ROUND(VLOOKUP(C275,'Informations générales'!$C$66:$E$70,3,FALSE)*(AL275/$AO$28)/12,0)*12,IF(C275="3114. Logements",ROUND(VLOOKUP(C275,'Informations générales'!$C$66:$E$70,3,FALSE)*(AL275/$AP$28)/12,0)*12,IF(C275="3115. Logements",ROUND(VLOOKUP(C275,'Informations générales'!$C$66:$E$70,3,FALSE)*(AL275/$AQ$28)/12,0)*12,"")))))</f>
        <v/>
      </c>
      <c r="AC275" s="114"/>
      <c r="AD275" s="113">
        <f t="shared" si="56"/>
        <v>0</v>
      </c>
      <c r="AE275" s="114"/>
      <c r="AF275" s="203" t="str">
        <f>IF(C275="3111. Logements",ROUND(VLOOKUP(C275,'Informations générales'!$C$66:$E$70,3,FALSE)*(AL275/$AM$28)/12,0)*12,IF(C275="3112. Logements",ROUND(VLOOKUP(C275,'Informations générales'!$C$66:$E$70,3,FALSE)*(AL275/$AN$28)/12,0)*12,IF(C275="3113. Logements",ROUND(VLOOKUP(C275,'Informations générales'!$C$66:$E$70,3,FALSE)*(AL275/$AO$28)/12,0)*12,IF(C275="3114. Logements",ROUND(VLOOKUP(C275,'Informations générales'!$C$66:$E$70,3,FALSE)*(AL275/$AP$28)/12,0)*12,IF(C275="3115. Logements",ROUND(VLOOKUP(C275,'Informations générales'!$C$66:$E$70,3,FALSE)*(AL275/$AQ$28)/12,0)*12,"")))))</f>
        <v/>
      </c>
      <c r="AG275" s="202"/>
      <c r="AH275" s="113" t="str">
        <f>IF(C275="3111. Logements",ROUND(VLOOKUP(C275,'Informations générales'!$C$66:$H$70,5,FALSE)*(AL275/$AM$28)/12,0)*12,IF(C275="3112. Logements",ROUND(VLOOKUP(C275,'Informations générales'!$C$66:$H$70,5,FALSE)*(AL275/$AN$28)/12,0)*12,IF(C275="3113. Logements",ROUND(VLOOKUP(C275,'Informations générales'!$C$66:$H$70,5,FALSE)*(AL275/$AO$28)/12,0)*12,IF(C275="3114. Logements",ROUND(VLOOKUP(C275,'Informations générales'!$C$66:$H$70,5,FALSE)*(AL275/$AP$28)/12,0)*12,IF(C275="3115. Logements",ROUND(VLOOKUP(C275,'Informations générales'!$C$66:$H$70,5,FALSE)*(AL275/$AQ$28)/12,0)*12,"")))))</f>
        <v/>
      </c>
      <c r="AI275" s="114"/>
      <c r="AJ275" s="114"/>
      <c r="AK275" s="76"/>
      <c r="AL275" s="58">
        <f t="shared" si="57"/>
        <v>0</v>
      </c>
      <c r="AM275" s="58"/>
      <c r="AN275" s="58"/>
      <c r="AO275" s="58"/>
      <c r="AP275" s="58"/>
      <c r="AQ275" s="58"/>
      <c r="AR275" s="58">
        <f t="shared" si="45"/>
        <v>0</v>
      </c>
      <c r="AS275" s="58">
        <f t="shared" si="46"/>
        <v>0</v>
      </c>
      <c r="AT275" s="58">
        <f t="shared" si="47"/>
        <v>0</v>
      </c>
      <c r="AU275" s="58">
        <f t="shared" si="48"/>
        <v>0</v>
      </c>
      <c r="AV275" s="58">
        <f t="shared" si="49"/>
        <v>0</v>
      </c>
      <c r="AW275" s="58">
        <f t="shared" si="50"/>
        <v>0</v>
      </c>
      <c r="AX275" s="58">
        <f t="shared" si="51"/>
        <v>0</v>
      </c>
      <c r="AY275" s="58">
        <f t="shared" si="58"/>
        <v>0</v>
      </c>
      <c r="AZ275" s="62">
        <f t="shared" si="52"/>
        <v>0</v>
      </c>
      <c r="BA275" s="63">
        <f t="shared" si="53"/>
        <v>0</v>
      </c>
      <c r="BB275" s="63">
        <f t="shared" si="54"/>
        <v>0</v>
      </c>
    </row>
    <row r="276" spans="3:54" s="17" customFormat="1" x14ac:dyDescent="0.25">
      <c r="C276" s="215"/>
      <c r="D276" s="216"/>
      <c r="E276" s="88"/>
      <c r="F276" s="217"/>
      <c r="G276" s="234"/>
      <c r="H276" s="218"/>
      <c r="I276" s="76"/>
      <c r="J276" s="77"/>
      <c r="K276" s="76"/>
      <c r="L276" s="78"/>
      <c r="M276" s="78"/>
      <c r="N276" s="76" t="s">
        <v>39</v>
      </c>
      <c r="O276" s="110"/>
      <c r="P276" s="152"/>
      <c r="Q276" s="111" t="str">
        <f>IFERROR(MIN(VLOOKUP(ROUNDDOWN(P276,0),'Aide calcul'!$B$2:$C$282,2,FALSE),O276+1),"")</f>
        <v/>
      </c>
      <c r="R276" s="112" t="str">
        <f t="shared" si="55"/>
        <v/>
      </c>
      <c r="S276" s="152"/>
      <c r="T276" s="152"/>
      <c r="U276" s="152"/>
      <c r="V276" s="152"/>
      <c r="W276" s="152"/>
      <c r="X276" s="152"/>
      <c r="Y276" s="152"/>
      <c r="Z276" s="76"/>
      <c r="AA276" s="76"/>
      <c r="AB276" s="113" t="str">
        <f>IF(C276="3111. Logements",ROUND(VLOOKUP(C276,'Informations générales'!$C$66:$E$70,3,FALSE)*(AL276/$AM$28)/12,0)*12,IF(C276="3112. Logements",ROUND(VLOOKUP(C276,'Informations générales'!$C$66:$E$70,3,FALSE)*(AL276/$AN$28)/12,0)*12,IF(C276="3113. Logements",ROUND(VLOOKUP(C276,'Informations générales'!$C$66:$E$70,3,FALSE)*(AL276/$AO$28)/12,0)*12,IF(C276="3114. Logements",ROUND(VLOOKUP(C276,'Informations générales'!$C$66:$E$70,3,FALSE)*(AL276/$AP$28)/12,0)*12,IF(C276="3115. Logements",ROUND(VLOOKUP(C276,'Informations générales'!$C$66:$E$70,3,FALSE)*(AL276/$AQ$28)/12,0)*12,"")))))</f>
        <v/>
      </c>
      <c r="AC276" s="114"/>
      <c r="AD276" s="113">
        <f t="shared" si="56"/>
        <v>0</v>
      </c>
      <c r="AE276" s="114"/>
      <c r="AF276" s="203" t="str">
        <f>IF(C276="3111. Logements",ROUND(VLOOKUP(C276,'Informations générales'!$C$66:$E$70,3,FALSE)*(AL276/$AM$28)/12,0)*12,IF(C276="3112. Logements",ROUND(VLOOKUP(C276,'Informations générales'!$C$66:$E$70,3,FALSE)*(AL276/$AN$28)/12,0)*12,IF(C276="3113. Logements",ROUND(VLOOKUP(C276,'Informations générales'!$C$66:$E$70,3,FALSE)*(AL276/$AO$28)/12,0)*12,IF(C276="3114. Logements",ROUND(VLOOKUP(C276,'Informations générales'!$C$66:$E$70,3,FALSE)*(AL276/$AP$28)/12,0)*12,IF(C276="3115. Logements",ROUND(VLOOKUP(C276,'Informations générales'!$C$66:$E$70,3,FALSE)*(AL276/$AQ$28)/12,0)*12,"")))))</f>
        <v/>
      </c>
      <c r="AG276" s="202"/>
      <c r="AH276" s="113" t="str">
        <f>IF(C276="3111. Logements",ROUND(VLOOKUP(C276,'Informations générales'!$C$66:$H$70,5,FALSE)*(AL276/$AM$28)/12,0)*12,IF(C276="3112. Logements",ROUND(VLOOKUP(C276,'Informations générales'!$C$66:$H$70,5,FALSE)*(AL276/$AN$28)/12,0)*12,IF(C276="3113. Logements",ROUND(VLOOKUP(C276,'Informations générales'!$C$66:$H$70,5,FALSE)*(AL276/$AO$28)/12,0)*12,IF(C276="3114. Logements",ROUND(VLOOKUP(C276,'Informations générales'!$C$66:$H$70,5,FALSE)*(AL276/$AP$28)/12,0)*12,IF(C276="3115. Logements",ROUND(VLOOKUP(C276,'Informations générales'!$C$66:$H$70,5,FALSE)*(AL276/$AQ$28)/12,0)*12,"")))))</f>
        <v/>
      </c>
      <c r="AI276" s="114"/>
      <c r="AJ276" s="114"/>
      <c r="AK276" s="76"/>
      <c r="AL276" s="58">
        <f t="shared" si="57"/>
        <v>0</v>
      </c>
      <c r="AM276" s="58"/>
      <c r="AN276" s="58"/>
      <c r="AO276" s="58"/>
      <c r="AP276" s="58"/>
      <c r="AQ276" s="58"/>
      <c r="AR276" s="58">
        <f t="shared" si="45"/>
        <v>0</v>
      </c>
      <c r="AS276" s="58">
        <f t="shared" si="46"/>
        <v>0</v>
      </c>
      <c r="AT276" s="58">
        <f t="shared" si="47"/>
        <v>0</v>
      </c>
      <c r="AU276" s="58">
        <f t="shared" si="48"/>
        <v>0</v>
      </c>
      <c r="AV276" s="58">
        <f t="shared" si="49"/>
        <v>0</v>
      </c>
      <c r="AW276" s="58">
        <f t="shared" si="50"/>
        <v>0</v>
      </c>
      <c r="AX276" s="58">
        <f t="shared" si="51"/>
        <v>0</v>
      </c>
      <c r="AY276" s="58">
        <f t="shared" si="58"/>
        <v>0</v>
      </c>
      <c r="AZ276" s="62">
        <f t="shared" si="52"/>
        <v>0</v>
      </c>
      <c r="BA276" s="63">
        <f t="shared" si="53"/>
        <v>0</v>
      </c>
      <c r="BB276" s="63">
        <f t="shared" si="54"/>
        <v>0</v>
      </c>
    </row>
    <row r="277" spans="3:54" s="17" customFormat="1" x14ac:dyDescent="0.25">
      <c r="C277" s="215"/>
      <c r="D277" s="216"/>
      <c r="E277" s="88"/>
      <c r="F277" s="217"/>
      <c r="G277" s="234"/>
      <c r="H277" s="218"/>
      <c r="I277" s="76"/>
      <c r="J277" s="77"/>
      <c r="K277" s="76"/>
      <c r="L277" s="78"/>
      <c r="M277" s="78"/>
      <c r="N277" s="76" t="s">
        <v>39</v>
      </c>
      <c r="O277" s="110"/>
      <c r="P277" s="152"/>
      <c r="Q277" s="111" t="str">
        <f>IFERROR(MIN(VLOOKUP(ROUNDDOWN(P277,0),'Aide calcul'!$B$2:$C$282,2,FALSE),O277+1),"")</f>
        <v/>
      </c>
      <c r="R277" s="112" t="str">
        <f t="shared" si="55"/>
        <v/>
      </c>
      <c r="S277" s="152"/>
      <c r="T277" s="152"/>
      <c r="U277" s="152"/>
      <c r="V277" s="152"/>
      <c r="W277" s="152"/>
      <c r="X277" s="152"/>
      <c r="Y277" s="152"/>
      <c r="Z277" s="76"/>
      <c r="AA277" s="76"/>
      <c r="AB277" s="113" t="str">
        <f>IF(C277="3111. Logements",ROUND(VLOOKUP(C277,'Informations générales'!$C$66:$E$70,3,FALSE)*(AL277/$AM$28)/12,0)*12,IF(C277="3112. Logements",ROUND(VLOOKUP(C277,'Informations générales'!$C$66:$E$70,3,FALSE)*(AL277/$AN$28)/12,0)*12,IF(C277="3113. Logements",ROUND(VLOOKUP(C277,'Informations générales'!$C$66:$E$70,3,FALSE)*(AL277/$AO$28)/12,0)*12,IF(C277="3114. Logements",ROUND(VLOOKUP(C277,'Informations générales'!$C$66:$E$70,3,FALSE)*(AL277/$AP$28)/12,0)*12,IF(C277="3115. Logements",ROUND(VLOOKUP(C277,'Informations générales'!$C$66:$E$70,3,FALSE)*(AL277/$AQ$28)/12,0)*12,"")))))</f>
        <v/>
      </c>
      <c r="AC277" s="114"/>
      <c r="AD277" s="113">
        <f t="shared" si="56"/>
        <v>0</v>
      </c>
      <c r="AE277" s="114"/>
      <c r="AF277" s="203" t="str">
        <f>IF(C277="3111. Logements",ROUND(VLOOKUP(C277,'Informations générales'!$C$66:$E$70,3,FALSE)*(AL277/$AM$28)/12,0)*12,IF(C277="3112. Logements",ROUND(VLOOKUP(C277,'Informations générales'!$C$66:$E$70,3,FALSE)*(AL277/$AN$28)/12,0)*12,IF(C277="3113. Logements",ROUND(VLOOKUP(C277,'Informations générales'!$C$66:$E$70,3,FALSE)*(AL277/$AO$28)/12,0)*12,IF(C277="3114. Logements",ROUND(VLOOKUP(C277,'Informations générales'!$C$66:$E$70,3,FALSE)*(AL277/$AP$28)/12,0)*12,IF(C277="3115. Logements",ROUND(VLOOKUP(C277,'Informations générales'!$C$66:$E$70,3,FALSE)*(AL277/$AQ$28)/12,0)*12,"")))))</f>
        <v/>
      </c>
      <c r="AG277" s="202"/>
      <c r="AH277" s="113" t="str">
        <f>IF(C277="3111. Logements",ROUND(VLOOKUP(C277,'Informations générales'!$C$66:$H$70,5,FALSE)*(AL277/$AM$28)/12,0)*12,IF(C277="3112. Logements",ROUND(VLOOKUP(C277,'Informations générales'!$C$66:$H$70,5,FALSE)*(AL277/$AN$28)/12,0)*12,IF(C277="3113. Logements",ROUND(VLOOKUP(C277,'Informations générales'!$C$66:$H$70,5,FALSE)*(AL277/$AO$28)/12,0)*12,IF(C277="3114. Logements",ROUND(VLOOKUP(C277,'Informations générales'!$C$66:$H$70,5,FALSE)*(AL277/$AP$28)/12,0)*12,IF(C277="3115. Logements",ROUND(VLOOKUP(C277,'Informations générales'!$C$66:$H$70,5,FALSE)*(AL277/$AQ$28)/12,0)*12,"")))))</f>
        <v/>
      </c>
      <c r="AI277" s="114"/>
      <c r="AJ277" s="114"/>
      <c r="AK277" s="76"/>
      <c r="AL277" s="58">
        <f t="shared" si="57"/>
        <v>0</v>
      </c>
      <c r="AM277" s="58"/>
      <c r="AN277" s="58"/>
      <c r="AO277" s="58"/>
      <c r="AP277" s="58"/>
      <c r="AQ277" s="58"/>
      <c r="AR277" s="58">
        <f t="shared" si="45"/>
        <v>0</v>
      </c>
      <c r="AS277" s="58">
        <f t="shared" si="46"/>
        <v>0</v>
      </c>
      <c r="AT277" s="58">
        <f t="shared" si="47"/>
        <v>0</v>
      </c>
      <c r="AU277" s="58">
        <f t="shared" si="48"/>
        <v>0</v>
      </c>
      <c r="AV277" s="58">
        <f t="shared" si="49"/>
        <v>0</v>
      </c>
      <c r="AW277" s="58">
        <f t="shared" si="50"/>
        <v>0</v>
      </c>
      <c r="AX277" s="58">
        <f t="shared" si="51"/>
        <v>0</v>
      </c>
      <c r="AY277" s="58">
        <f t="shared" si="58"/>
        <v>0</v>
      </c>
      <c r="AZ277" s="62">
        <f t="shared" si="52"/>
        <v>0</v>
      </c>
      <c r="BA277" s="63">
        <f t="shared" si="53"/>
        <v>0</v>
      </c>
      <c r="BB277" s="63">
        <f t="shared" si="54"/>
        <v>0</v>
      </c>
    </row>
    <row r="278" spans="3:54" s="17" customFormat="1" x14ac:dyDescent="0.25">
      <c r="C278" s="215"/>
      <c r="D278" s="216"/>
      <c r="E278" s="88"/>
      <c r="F278" s="217"/>
      <c r="G278" s="234"/>
      <c r="H278" s="218"/>
      <c r="I278" s="76"/>
      <c r="J278" s="77"/>
      <c r="K278" s="76"/>
      <c r="L278" s="78"/>
      <c r="M278" s="78"/>
      <c r="N278" s="76" t="s">
        <v>39</v>
      </c>
      <c r="O278" s="110"/>
      <c r="P278" s="152"/>
      <c r="Q278" s="111" t="str">
        <f>IFERROR(MIN(VLOOKUP(ROUNDDOWN(P278,0),'Aide calcul'!$B$2:$C$282,2,FALSE),O278+1),"")</f>
        <v/>
      </c>
      <c r="R278" s="112" t="str">
        <f t="shared" si="55"/>
        <v/>
      </c>
      <c r="S278" s="152"/>
      <c r="T278" s="152"/>
      <c r="U278" s="152"/>
      <c r="V278" s="152"/>
      <c r="W278" s="152"/>
      <c r="X278" s="152"/>
      <c r="Y278" s="152"/>
      <c r="Z278" s="76"/>
      <c r="AA278" s="76"/>
      <c r="AB278" s="113" t="str">
        <f>IF(C278="3111. Logements",ROUND(VLOOKUP(C278,'Informations générales'!$C$66:$E$70,3,FALSE)*(AL278/$AM$28)/12,0)*12,IF(C278="3112. Logements",ROUND(VLOOKUP(C278,'Informations générales'!$C$66:$E$70,3,FALSE)*(AL278/$AN$28)/12,0)*12,IF(C278="3113. Logements",ROUND(VLOOKUP(C278,'Informations générales'!$C$66:$E$70,3,FALSE)*(AL278/$AO$28)/12,0)*12,IF(C278="3114. Logements",ROUND(VLOOKUP(C278,'Informations générales'!$C$66:$E$70,3,FALSE)*(AL278/$AP$28)/12,0)*12,IF(C278="3115. Logements",ROUND(VLOOKUP(C278,'Informations générales'!$C$66:$E$70,3,FALSE)*(AL278/$AQ$28)/12,0)*12,"")))))</f>
        <v/>
      </c>
      <c r="AC278" s="114"/>
      <c r="AD278" s="113">
        <f t="shared" si="56"/>
        <v>0</v>
      </c>
      <c r="AE278" s="114"/>
      <c r="AF278" s="203" t="str">
        <f>IF(C278="3111. Logements",ROUND(VLOOKUP(C278,'Informations générales'!$C$66:$E$70,3,FALSE)*(AL278/$AM$28)/12,0)*12,IF(C278="3112. Logements",ROUND(VLOOKUP(C278,'Informations générales'!$C$66:$E$70,3,FALSE)*(AL278/$AN$28)/12,0)*12,IF(C278="3113. Logements",ROUND(VLOOKUP(C278,'Informations générales'!$C$66:$E$70,3,FALSE)*(AL278/$AO$28)/12,0)*12,IF(C278="3114. Logements",ROUND(VLOOKUP(C278,'Informations générales'!$C$66:$E$70,3,FALSE)*(AL278/$AP$28)/12,0)*12,IF(C278="3115. Logements",ROUND(VLOOKUP(C278,'Informations générales'!$C$66:$E$70,3,FALSE)*(AL278/$AQ$28)/12,0)*12,"")))))</f>
        <v/>
      </c>
      <c r="AG278" s="202"/>
      <c r="AH278" s="113" t="str">
        <f>IF(C278="3111. Logements",ROUND(VLOOKUP(C278,'Informations générales'!$C$66:$H$70,5,FALSE)*(AL278/$AM$28)/12,0)*12,IF(C278="3112. Logements",ROUND(VLOOKUP(C278,'Informations générales'!$C$66:$H$70,5,FALSE)*(AL278/$AN$28)/12,0)*12,IF(C278="3113. Logements",ROUND(VLOOKUP(C278,'Informations générales'!$C$66:$H$70,5,FALSE)*(AL278/$AO$28)/12,0)*12,IF(C278="3114. Logements",ROUND(VLOOKUP(C278,'Informations générales'!$C$66:$H$70,5,FALSE)*(AL278/$AP$28)/12,0)*12,IF(C278="3115. Logements",ROUND(VLOOKUP(C278,'Informations générales'!$C$66:$H$70,5,FALSE)*(AL278/$AQ$28)/12,0)*12,"")))))</f>
        <v/>
      </c>
      <c r="AI278" s="114"/>
      <c r="AJ278" s="114"/>
      <c r="AK278" s="76"/>
      <c r="AL278" s="58">
        <f t="shared" si="57"/>
        <v>0</v>
      </c>
      <c r="AM278" s="58"/>
      <c r="AN278" s="58"/>
      <c r="AO278" s="58"/>
      <c r="AP278" s="58"/>
      <c r="AQ278" s="58"/>
      <c r="AR278" s="58">
        <f t="shared" si="45"/>
        <v>0</v>
      </c>
      <c r="AS278" s="58">
        <f t="shared" si="46"/>
        <v>0</v>
      </c>
      <c r="AT278" s="58">
        <f t="shared" si="47"/>
        <v>0</v>
      </c>
      <c r="AU278" s="58">
        <f t="shared" si="48"/>
        <v>0</v>
      </c>
      <c r="AV278" s="58">
        <f t="shared" si="49"/>
        <v>0</v>
      </c>
      <c r="AW278" s="58">
        <f t="shared" si="50"/>
        <v>0</v>
      </c>
      <c r="AX278" s="58">
        <f t="shared" si="51"/>
        <v>0</v>
      </c>
      <c r="AY278" s="58">
        <f t="shared" si="58"/>
        <v>0</v>
      </c>
      <c r="AZ278" s="62">
        <f t="shared" si="52"/>
        <v>0</v>
      </c>
      <c r="BA278" s="63">
        <f t="shared" si="53"/>
        <v>0</v>
      </c>
      <c r="BB278" s="63">
        <f t="shared" si="54"/>
        <v>0</v>
      </c>
    </row>
    <row r="279" spans="3:54" s="17" customFormat="1" x14ac:dyDescent="0.25">
      <c r="C279" s="215"/>
      <c r="D279" s="216"/>
      <c r="E279" s="88"/>
      <c r="F279" s="217"/>
      <c r="G279" s="234"/>
      <c r="H279" s="218"/>
      <c r="I279" s="76"/>
      <c r="J279" s="77"/>
      <c r="K279" s="76"/>
      <c r="L279" s="78"/>
      <c r="M279" s="78"/>
      <c r="N279" s="76" t="s">
        <v>39</v>
      </c>
      <c r="O279" s="110"/>
      <c r="P279" s="152"/>
      <c r="Q279" s="111" t="str">
        <f>IFERROR(MIN(VLOOKUP(ROUNDDOWN(P279,0),'Aide calcul'!$B$2:$C$282,2,FALSE),O279+1),"")</f>
        <v/>
      </c>
      <c r="R279" s="112" t="str">
        <f t="shared" si="55"/>
        <v/>
      </c>
      <c r="S279" s="152"/>
      <c r="T279" s="152"/>
      <c r="U279" s="152"/>
      <c r="V279" s="152"/>
      <c r="W279" s="152"/>
      <c r="X279" s="152"/>
      <c r="Y279" s="152"/>
      <c r="Z279" s="76"/>
      <c r="AA279" s="76"/>
      <c r="AB279" s="113" t="str">
        <f>IF(C279="3111. Logements",ROUND(VLOOKUP(C279,'Informations générales'!$C$66:$E$70,3,FALSE)*(AL279/$AM$28)/12,0)*12,IF(C279="3112. Logements",ROUND(VLOOKUP(C279,'Informations générales'!$C$66:$E$70,3,FALSE)*(AL279/$AN$28)/12,0)*12,IF(C279="3113. Logements",ROUND(VLOOKUP(C279,'Informations générales'!$C$66:$E$70,3,FALSE)*(AL279/$AO$28)/12,0)*12,IF(C279="3114. Logements",ROUND(VLOOKUP(C279,'Informations générales'!$C$66:$E$70,3,FALSE)*(AL279/$AP$28)/12,0)*12,IF(C279="3115. Logements",ROUND(VLOOKUP(C279,'Informations générales'!$C$66:$E$70,3,FALSE)*(AL279/$AQ$28)/12,0)*12,"")))))</f>
        <v/>
      </c>
      <c r="AC279" s="114"/>
      <c r="AD279" s="113">
        <f t="shared" si="56"/>
        <v>0</v>
      </c>
      <c r="AE279" s="114"/>
      <c r="AF279" s="203" t="str">
        <f>IF(C279="3111. Logements",ROUND(VLOOKUP(C279,'Informations générales'!$C$66:$E$70,3,FALSE)*(AL279/$AM$28)/12,0)*12,IF(C279="3112. Logements",ROUND(VLOOKUP(C279,'Informations générales'!$C$66:$E$70,3,FALSE)*(AL279/$AN$28)/12,0)*12,IF(C279="3113. Logements",ROUND(VLOOKUP(C279,'Informations générales'!$C$66:$E$70,3,FALSE)*(AL279/$AO$28)/12,0)*12,IF(C279="3114. Logements",ROUND(VLOOKUP(C279,'Informations générales'!$C$66:$E$70,3,FALSE)*(AL279/$AP$28)/12,0)*12,IF(C279="3115. Logements",ROUND(VLOOKUP(C279,'Informations générales'!$C$66:$E$70,3,FALSE)*(AL279/$AQ$28)/12,0)*12,"")))))</f>
        <v/>
      </c>
      <c r="AG279" s="202"/>
      <c r="AH279" s="113" t="str">
        <f>IF(C279="3111. Logements",ROUND(VLOOKUP(C279,'Informations générales'!$C$66:$H$70,5,FALSE)*(AL279/$AM$28)/12,0)*12,IF(C279="3112. Logements",ROUND(VLOOKUP(C279,'Informations générales'!$C$66:$H$70,5,FALSE)*(AL279/$AN$28)/12,0)*12,IF(C279="3113. Logements",ROUND(VLOOKUP(C279,'Informations générales'!$C$66:$H$70,5,FALSE)*(AL279/$AO$28)/12,0)*12,IF(C279="3114. Logements",ROUND(VLOOKUP(C279,'Informations générales'!$C$66:$H$70,5,FALSE)*(AL279/$AP$28)/12,0)*12,IF(C279="3115. Logements",ROUND(VLOOKUP(C279,'Informations générales'!$C$66:$H$70,5,FALSE)*(AL279/$AQ$28)/12,0)*12,"")))))</f>
        <v/>
      </c>
      <c r="AI279" s="114"/>
      <c r="AJ279" s="114"/>
      <c r="AK279" s="76"/>
      <c r="AL279" s="58">
        <f t="shared" si="57"/>
        <v>0</v>
      </c>
      <c r="AM279" s="58"/>
      <c r="AN279" s="58"/>
      <c r="AO279" s="58"/>
      <c r="AP279" s="58"/>
      <c r="AQ279" s="58"/>
      <c r="AR279" s="58">
        <f t="shared" si="45"/>
        <v>0</v>
      </c>
      <c r="AS279" s="58">
        <f t="shared" si="46"/>
        <v>0</v>
      </c>
      <c r="AT279" s="58">
        <f t="shared" si="47"/>
        <v>0</v>
      </c>
      <c r="AU279" s="58">
        <f t="shared" si="48"/>
        <v>0</v>
      </c>
      <c r="AV279" s="58">
        <f t="shared" si="49"/>
        <v>0</v>
      </c>
      <c r="AW279" s="58">
        <f t="shared" si="50"/>
        <v>0</v>
      </c>
      <c r="AX279" s="58">
        <f t="shared" si="51"/>
        <v>0</v>
      </c>
      <c r="AY279" s="58">
        <f t="shared" si="58"/>
        <v>0</v>
      </c>
      <c r="AZ279" s="62">
        <f t="shared" si="52"/>
        <v>0</v>
      </c>
      <c r="BA279" s="63">
        <f t="shared" si="53"/>
        <v>0</v>
      </c>
      <c r="BB279" s="63">
        <f t="shared" si="54"/>
        <v>0</v>
      </c>
    </row>
    <row r="280" spans="3:54" s="17" customFormat="1" x14ac:dyDescent="0.25">
      <c r="C280" s="215"/>
      <c r="D280" s="216"/>
      <c r="E280" s="88"/>
      <c r="F280" s="217"/>
      <c r="G280" s="234"/>
      <c r="H280" s="218"/>
      <c r="I280" s="76"/>
      <c r="J280" s="77"/>
      <c r="K280" s="76"/>
      <c r="L280" s="78"/>
      <c r="M280" s="78"/>
      <c r="N280" s="76" t="s">
        <v>39</v>
      </c>
      <c r="O280" s="110"/>
      <c r="P280" s="152"/>
      <c r="Q280" s="111" t="str">
        <f>IFERROR(MIN(VLOOKUP(ROUNDDOWN(P280,0),'Aide calcul'!$B$2:$C$282,2,FALSE),O280+1),"")</f>
        <v/>
      </c>
      <c r="R280" s="112" t="str">
        <f t="shared" si="55"/>
        <v/>
      </c>
      <c r="S280" s="152"/>
      <c r="T280" s="152"/>
      <c r="U280" s="152"/>
      <c r="V280" s="152"/>
      <c r="W280" s="152"/>
      <c r="X280" s="152"/>
      <c r="Y280" s="152"/>
      <c r="Z280" s="76"/>
      <c r="AA280" s="76"/>
      <c r="AB280" s="113" t="str">
        <f>IF(C280="3111. Logements",ROUND(VLOOKUP(C280,'Informations générales'!$C$66:$E$70,3,FALSE)*(AL280/$AM$28)/12,0)*12,IF(C280="3112. Logements",ROUND(VLOOKUP(C280,'Informations générales'!$C$66:$E$70,3,FALSE)*(AL280/$AN$28)/12,0)*12,IF(C280="3113. Logements",ROUND(VLOOKUP(C280,'Informations générales'!$C$66:$E$70,3,FALSE)*(AL280/$AO$28)/12,0)*12,IF(C280="3114. Logements",ROUND(VLOOKUP(C280,'Informations générales'!$C$66:$E$70,3,FALSE)*(AL280/$AP$28)/12,0)*12,IF(C280="3115. Logements",ROUND(VLOOKUP(C280,'Informations générales'!$C$66:$E$70,3,FALSE)*(AL280/$AQ$28)/12,0)*12,"")))))</f>
        <v/>
      </c>
      <c r="AC280" s="114"/>
      <c r="AD280" s="113">
        <f t="shared" si="56"/>
        <v>0</v>
      </c>
      <c r="AE280" s="114"/>
      <c r="AF280" s="203" t="str">
        <f>IF(C280="3111. Logements",ROUND(VLOOKUP(C280,'Informations générales'!$C$66:$E$70,3,FALSE)*(AL280/$AM$28)/12,0)*12,IF(C280="3112. Logements",ROUND(VLOOKUP(C280,'Informations générales'!$C$66:$E$70,3,FALSE)*(AL280/$AN$28)/12,0)*12,IF(C280="3113. Logements",ROUND(VLOOKUP(C280,'Informations générales'!$C$66:$E$70,3,FALSE)*(AL280/$AO$28)/12,0)*12,IF(C280="3114. Logements",ROUND(VLOOKUP(C280,'Informations générales'!$C$66:$E$70,3,FALSE)*(AL280/$AP$28)/12,0)*12,IF(C280="3115. Logements",ROUND(VLOOKUP(C280,'Informations générales'!$C$66:$E$70,3,FALSE)*(AL280/$AQ$28)/12,0)*12,"")))))</f>
        <v/>
      </c>
      <c r="AG280" s="202"/>
      <c r="AH280" s="113" t="str">
        <f>IF(C280="3111. Logements",ROUND(VLOOKUP(C280,'Informations générales'!$C$66:$H$70,5,FALSE)*(AL280/$AM$28)/12,0)*12,IF(C280="3112. Logements",ROUND(VLOOKUP(C280,'Informations générales'!$C$66:$H$70,5,FALSE)*(AL280/$AN$28)/12,0)*12,IF(C280="3113. Logements",ROUND(VLOOKUP(C280,'Informations générales'!$C$66:$H$70,5,FALSE)*(AL280/$AO$28)/12,0)*12,IF(C280="3114. Logements",ROUND(VLOOKUP(C280,'Informations générales'!$C$66:$H$70,5,FALSE)*(AL280/$AP$28)/12,0)*12,IF(C280="3115. Logements",ROUND(VLOOKUP(C280,'Informations générales'!$C$66:$H$70,5,FALSE)*(AL280/$AQ$28)/12,0)*12,"")))))</f>
        <v/>
      </c>
      <c r="AI280" s="114"/>
      <c r="AJ280" s="114"/>
      <c r="AK280" s="76"/>
      <c r="AL280" s="58">
        <f t="shared" si="57"/>
        <v>0</v>
      </c>
      <c r="AM280" s="58"/>
      <c r="AN280" s="58"/>
      <c r="AO280" s="58"/>
      <c r="AP280" s="58"/>
      <c r="AQ280" s="58"/>
      <c r="AR280" s="58">
        <f t="shared" si="45"/>
        <v>0</v>
      </c>
      <c r="AS280" s="58">
        <f t="shared" si="46"/>
        <v>0</v>
      </c>
      <c r="AT280" s="58">
        <f t="shared" si="47"/>
        <v>0</v>
      </c>
      <c r="AU280" s="58">
        <f t="shared" si="48"/>
        <v>0</v>
      </c>
      <c r="AV280" s="58">
        <f t="shared" si="49"/>
        <v>0</v>
      </c>
      <c r="AW280" s="58">
        <f t="shared" si="50"/>
        <v>0</v>
      </c>
      <c r="AX280" s="58">
        <f t="shared" si="51"/>
        <v>0</v>
      </c>
      <c r="AY280" s="58">
        <f t="shared" si="58"/>
        <v>0</v>
      </c>
      <c r="AZ280" s="62">
        <f t="shared" si="52"/>
        <v>0</v>
      </c>
      <c r="BA280" s="63">
        <f t="shared" si="53"/>
        <v>0</v>
      </c>
      <c r="BB280" s="63">
        <f t="shared" si="54"/>
        <v>0</v>
      </c>
    </row>
    <row r="281" spans="3:54" s="17" customFormat="1" x14ac:dyDescent="0.25">
      <c r="C281" s="215"/>
      <c r="D281" s="216"/>
      <c r="E281" s="88"/>
      <c r="F281" s="217"/>
      <c r="G281" s="234"/>
      <c r="H281" s="218"/>
      <c r="I281" s="76"/>
      <c r="J281" s="77"/>
      <c r="K281" s="76"/>
      <c r="L281" s="78"/>
      <c r="M281" s="78"/>
      <c r="N281" s="76" t="s">
        <v>39</v>
      </c>
      <c r="O281" s="110"/>
      <c r="P281" s="152"/>
      <c r="Q281" s="111" t="str">
        <f>IFERROR(MIN(VLOOKUP(ROUNDDOWN(P281,0),'Aide calcul'!$B$2:$C$282,2,FALSE),O281+1),"")</f>
        <v/>
      </c>
      <c r="R281" s="112" t="str">
        <f t="shared" si="55"/>
        <v/>
      </c>
      <c r="S281" s="152"/>
      <c r="T281" s="152"/>
      <c r="U281" s="152"/>
      <c r="V281" s="152"/>
      <c r="W281" s="152"/>
      <c r="X281" s="152"/>
      <c r="Y281" s="152"/>
      <c r="Z281" s="76"/>
      <c r="AA281" s="76"/>
      <c r="AB281" s="113" t="str">
        <f>IF(C281="3111. Logements",ROUND(VLOOKUP(C281,'Informations générales'!$C$66:$E$70,3,FALSE)*(AL281/$AM$28)/12,0)*12,IF(C281="3112. Logements",ROUND(VLOOKUP(C281,'Informations générales'!$C$66:$E$70,3,FALSE)*(AL281/$AN$28)/12,0)*12,IF(C281="3113. Logements",ROUND(VLOOKUP(C281,'Informations générales'!$C$66:$E$70,3,FALSE)*(AL281/$AO$28)/12,0)*12,IF(C281="3114. Logements",ROUND(VLOOKUP(C281,'Informations générales'!$C$66:$E$70,3,FALSE)*(AL281/$AP$28)/12,0)*12,IF(C281="3115. Logements",ROUND(VLOOKUP(C281,'Informations générales'!$C$66:$E$70,3,FALSE)*(AL281/$AQ$28)/12,0)*12,"")))))</f>
        <v/>
      </c>
      <c r="AC281" s="114"/>
      <c r="AD281" s="113">
        <f t="shared" si="56"/>
        <v>0</v>
      </c>
      <c r="AE281" s="114"/>
      <c r="AF281" s="203" t="str">
        <f>IF(C281="3111. Logements",ROUND(VLOOKUP(C281,'Informations générales'!$C$66:$E$70,3,FALSE)*(AL281/$AM$28)/12,0)*12,IF(C281="3112. Logements",ROUND(VLOOKUP(C281,'Informations générales'!$C$66:$E$70,3,FALSE)*(AL281/$AN$28)/12,0)*12,IF(C281="3113. Logements",ROUND(VLOOKUP(C281,'Informations générales'!$C$66:$E$70,3,FALSE)*(AL281/$AO$28)/12,0)*12,IF(C281="3114. Logements",ROUND(VLOOKUP(C281,'Informations générales'!$C$66:$E$70,3,FALSE)*(AL281/$AP$28)/12,0)*12,IF(C281="3115. Logements",ROUND(VLOOKUP(C281,'Informations générales'!$C$66:$E$70,3,FALSE)*(AL281/$AQ$28)/12,0)*12,"")))))</f>
        <v/>
      </c>
      <c r="AG281" s="202"/>
      <c r="AH281" s="113" t="str">
        <f>IF(C281="3111. Logements",ROUND(VLOOKUP(C281,'Informations générales'!$C$66:$H$70,5,FALSE)*(AL281/$AM$28)/12,0)*12,IF(C281="3112. Logements",ROUND(VLOOKUP(C281,'Informations générales'!$C$66:$H$70,5,FALSE)*(AL281/$AN$28)/12,0)*12,IF(C281="3113. Logements",ROUND(VLOOKUP(C281,'Informations générales'!$C$66:$H$70,5,FALSE)*(AL281/$AO$28)/12,0)*12,IF(C281="3114. Logements",ROUND(VLOOKUP(C281,'Informations générales'!$C$66:$H$70,5,FALSE)*(AL281/$AP$28)/12,0)*12,IF(C281="3115. Logements",ROUND(VLOOKUP(C281,'Informations générales'!$C$66:$H$70,5,FALSE)*(AL281/$AQ$28)/12,0)*12,"")))))</f>
        <v/>
      </c>
      <c r="AI281" s="114"/>
      <c r="AJ281" s="114"/>
      <c r="AK281" s="76"/>
      <c r="AL281" s="58">
        <f t="shared" si="57"/>
        <v>0</v>
      </c>
      <c r="AM281" s="58"/>
      <c r="AN281" s="58"/>
      <c r="AO281" s="58"/>
      <c r="AP281" s="58"/>
      <c r="AQ281" s="58"/>
      <c r="AR281" s="58">
        <f t="shared" si="45"/>
        <v>0</v>
      </c>
      <c r="AS281" s="58">
        <f t="shared" si="46"/>
        <v>0</v>
      </c>
      <c r="AT281" s="58">
        <f t="shared" si="47"/>
        <v>0</v>
      </c>
      <c r="AU281" s="58">
        <f t="shared" si="48"/>
        <v>0</v>
      </c>
      <c r="AV281" s="58">
        <f t="shared" si="49"/>
        <v>0</v>
      </c>
      <c r="AW281" s="58">
        <f t="shared" si="50"/>
        <v>0</v>
      </c>
      <c r="AX281" s="58">
        <f t="shared" si="51"/>
        <v>0</v>
      </c>
      <c r="AY281" s="58">
        <f t="shared" si="58"/>
        <v>0</v>
      </c>
      <c r="AZ281" s="62">
        <f t="shared" si="52"/>
        <v>0</v>
      </c>
      <c r="BA281" s="63">
        <f t="shared" si="53"/>
        <v>0</v>
      </c>
      <c r="BB281" s="63">
        <f t="shared" si="54"/>
        <v>0</v>
      </c>
    </row>
    <row r="282" spans="3:54" s="17" customFormat="1" x14ac:dyDescent="0.25">
      <c r="C282" s="215"/>
      <c r="D282" s="216"/>
      <c r="E282" s="88"/>
      <c r="F282" s="217"/>
      <c r="G282" s="234"/>
      <c r="H282" s="218"/>
      <c r="I282" s="76"/>
      <c r="J282" s="77"/>
      <c r="K282" s="76"/>
      <c r="L282" s="78"/>
      <c r="M282" s="78"/>
      <c r="N282" s="76" t="s">
        <v>39</v>
      </c>
      <c r="O282" s="110"/>
      <c r="P282" s="152"/>
      <c r="Q282" s="111" t="str">
        <f>IFERROR(MIN(VLOOKUP(ROUNDDOWN(P282,0),'Aide calcul'!$B$2:$C$282,2,FALSE),O282+1),"")</f>
        <v/>
      </c>
      <c r="R282" s="112" t="str">
        <f t="shared" si="55"/>
        <v/>
      </c>
      <c r="S282" s="152"/>
      <c r="T282" s="152"/>
      <c r="U282" s="152"/>
      <c r="V282" s="152"/>
      <c r="W282" s="152"/>
      <c r="X282" s="152"/>
      <c r="Y282" s="152"/>
      <c r="Z282" s="76"/>
      <c r="AA282" s="76"/>
      <c r="AB282" s="113" t="str">
        <f>IF(C282="3111. Logements",ROUND(VLOOKUP(C282,'Informations générales'!$C$66:$E$70,3,FALSE)*(AL282/$AM$28)/12,0)*12,IF(C282="3112. Logements",ROUND(VLOOKUP(C282,'Informations générales'!$C$66:$E$70,3,FALSE)*(AL282/$AN$28)/12,0)*12,IF(C282="3113. Logements",ROUND(VLOOKUP(C282,'Informations générales'!$C$66:$E$70,3,FALSE)*(AL282/$AO$28)/12,0)*12,IF(C282="3114. Logements",ROUND(VLOOKUP(C282,'Informations générales'!$C$66:$E$70,3,FALSE)*(AL282/$AP$28)/12,0)*12,IF(C282="3115. Logements",ROUND(VLOOKUP(C282,'Informations générales'!$C$66:$E$70,3,FALSE)*(AL282/$AQ$28)/12,0)*12,"")))))</f>
        <v/>
      </c>
      <c r="AC282" s="114"/>
      <c r="AD282" s="113">
        <f t="shared" si="56"/>
        <v>0</v>
      </c>
      <c r="AE282" s="114"/>
      <c r="AF282" s="203" t="str">
        <f>IF(C282="3111. Logements",ROUND(VLOOKUP(C282,'Informations générales'!$C$66:$E$70,3,FALSE)*(AL282/$AM$28)/12,0)*12,IF(C282="3112. Logements",ROUND(VLOOKUP(C282,'Informations générales'!$C$66:$E$70,3,FALSE)*(AL282/$AN$28)/12,0)*12,IF(C282="3113. Logements",ROUND(VLOOKUP(C282,'Informations générales'!$C$66:$E$70,3,FALSE)*(AL282/$AO$28)/12,0)*12,IF(C282="3114. Logements",ROUND(VLOOKUP(C282,'Informations générales'!$C$66:$E$70,3,FALSE)*(AL282/$AP$28)/12,0)*12,IF(C282="3115. Logements",ROUND(VLOOKUP(C282,'Informations générales'!$C$66:$E$70,3,FALSE)*(AL282/$AQ$28)/12,0)*12,"")))))</f>
        <v/>
      </c>
      <c r="AG282" s="202"/>
      <c r="AH282" s="113" t="str">
        <f>IF(C282="3111. Logements",ROUND(VLOOKUP(C282,'Informations générales'!$C$66:$H$70,5,FALSE)*(AL282/$AM$28)/12,0)*12,IF(C282="3112. Logements",ROUND(VLOOKUP(C282,'Informations générales'!$C$66:$H$70,5,FALSE)*(AL282/$AN$28)/12,0)*12,IF(C282="3113. Logements",ROUND(VLOOKUP(C282,'Informations générales'!$C$66:$H$70,5,FALSE)*(AL282/$AO$28)/12,0)*12,IF(C282="3114. Logements",ROUND(VLOOKUP(C282,'Informations générales'!$C$66:$H$70,5,FALSE)*(AL282/$AP$28)/12,0)*12,IF(C282="3115. Logements",ROUND(VLOOKUP(C282,'Informations générales'!$C$66:$H$70,5,FALSE)*(AL282/$AQ$28)/12,0)*12,"")))))</f>
        <v/>
      </c>
      <c r="AI282" s="114"/>
      <c r="AJ282" s="114"/>
      <c r="AK282" s="76"/>
      <c r="AL282" s="58">
        <f t="shared" si="57"/>
        <v>0</v>
      </c>
      <c r="AM282" s="58"/>
      <c r="AN282" s="58"/>
      <c r="AO282" s="58"/>
      <c r="AP282" s="58"/>
      <c r="AQ282" s="58"/>
      <c r="AR282" s="58">
        <f t="shared" si="45"/>
        <v>0</v>
      </c>
      <c r="AS282" s="58">
        <f t="shared" si="46"/>
        <v>0</v>
      </c>
      <c r="AT282" s="58">
        <f t="shared" si="47"/>
        <v>0</v>
      </c>
      <c r="AU282" s="58">
        <f t="shared" si="48"/>
        <v>0</v>
      </c>
      <c r="AV282" s="58">
        <f t="shared" si="49"/>
        <v>0</v>
      </c>
      <c r="AW282" s="58">
        <f t="shared" si="50"/>
        <v>0</v>
      </c>
      <c r="AX282" s="58">
        <f t="shared" si="51"/>
        <v>0</v>
      </c>
      <c r="AY282" s="58">
        <f t="shared" si="58"/>
        <v>0</v>
      </c>
      <c r="AZ282" s="62">
        <f t="shared" si="52"/>
        <v>0</v>
      </c>
      <c r="BA282" s="63">
        <f t="shared" si="53"/>
        <v>0</v>
      </c>
      <c r="BB282" s="63">
        <f t="shared" si="54"/>
        <v>0</v>
      </c>
    </row>
    <row r="283" spans="3:54" s="17" customFormat="1" x14ac:dyDescent="0.25">
      <c r="C283" s="215"/>
      <c r="D283" s="216"/>
      <c r="E283" s="88"/>
      <c r="F283" s="217"/>
      <c r="G283" s="234"/>
      <c r="H283" s="218"/>
      <c r="I283" s="76"/>
      <c r="J283" s="77"/>
      <c r="K283" s="76"/>
      <c r="L283" s="78"/>
      <c r="M283" s="78"/>
      <c r="N283" s="76" t="s">
        <v>39</v>
      </c>
      <c r="O283" s="110"/>
      <c r="P283" s="152"/>
      <c r="Q283" s="111" t="str">
        <f>IFERROR(MIN(VLOOKUP(ROUNDDOWN(P283,0),'Aide calcul'!$B$2:$C$282,2,FALSE),O283+1),"")</f>
        <v/>
      </c>
      <c r="R283" s="112" t="str">
        <f t="shared" si="55"/>
        <v/>
      </c>
      <c r="S283" s="152"/>
      <c r="T283" s="152"/>
      <c r="U283" s="152"/>
      <c r="V283" s="152"/>
      <c r="W283" s="152"/>
      <c r="X283" s="152"/>
      <c r="Y283" s="152"/>
      <c r="Z283" s="76"/>
      <c r="AA283" s="76"/>
      <c r="AB283" s="113" t="str">
        <f>IF(C283="3111. Logements",ROUND(VLOOKUP(C283,'Informations générales'!$C$66:$E$70,3,FALSE)*(AL283/$AM$28)/12,0)*12,IF(C283="3112. Logements",ROUND(VLOOKUP(C283,'Informations générales'!$C$66:$E$70,3,FALSE)*(AL283/$AN$28)/12,0)*12,IF(C283="3113. Logements",ROUND(VLOOKUP(C283,'Informations générales'!$C$66:$E$70,3,FALSE)*(AL283/$AO$28)/12,0)*12,IF(C283="3114. Logements",ROUND(VLOOKUP(C283,'Informations générales'!$C$66:$E$70,3,FALSE)*(AL283/$AP$28)/12,0)*12,IF(C283="3115. Logements",ROUND(VLOOKUP(C283,'Informations générales'!$C$66:$E$70,3,FALSE)*(AL283/$AQ$28)/12,0)*12,"")))))</f>
        <v/>
      </c>
      <c r="AC283" s="114"/>
      <c r="AD283" s="113">
        <f t="shared" si="56"/>
        <v>0</v>
      </c>
      <c r="AE283" s="114"/>
      <c r="AF283" s="203" t="str">
        <f>IF(C283="3111. Logements",ROUND(VLOOKUP(C283,'Informations générales'!$C$66:$E$70,3,FALSE)*(AL283/$AM$28)/12,0)*12,IF(C283="3112. Logements",ROUND(VLOOKUP(C283,'Informations générales'!$C$66:$E$70,3,FALSE)*(AL283/$AN$28)/12,0)*12,IF(C283="3113. Logements",ROUND(VLOOKUP(C283,'Informations générales'!$C$66:$E$70,3,FALSE)*(AL283/$AO$28)/12,0)*12,IF(C283="3114. Logements",ROUND(VLOOKUP(C283,'Informations générales'!$C$66:$E$70,3,FALSE)*(AL283/$AP$28)/12,0)*12,IF(C283="3115. Logements",ROUND(VLOOKUP(C283,'Informations générales'!$C$66:$E$70,3,FALSE)*(AL283/$AQ$28)/12,0)*12,"")))))</f>
        <v/>
      </c>
      <c r="AG283" s="202"/>
      <c r="AH283" s="113" t="str">
        <f>IF(C283="3111. Logements",ROUND(VLOOKUP(C283,'Informations générales'!$C$66:$H$70,5,FALSE)*(AL283/$AM$28)/12,0)*12,IF(C283="3112. Logements",ROUND(VLOOKUP(C283,'Informations générales'!$C$66:$H$70,5,FALSE)*(AL283/$AN$28)/12,0)*12,IF(C283="3113. Logements",ROUND(VLOOKUP(C283,'Informations générales'!$C$66:$H$70,5,FALSE)*(AL283/$AO$28)/12,0)*12,IF(C283="3114. Logements",ROUND(VLOOKUP(C283,'Informations générales'!$C$66:$H$70,5,FALSE)*(AL283/$AP$28)/12,0)*12,IF(C283="3115. Logements",ROUND(VLOOKUP(C283,'Informations générales'!$C$66:$H$70,5,FALSE)*(AL283/$AQ$28)/12,0)*12,"")))))</f>
        <v/>
      </c>
      <c r="AI283" s="114"/>
      <c r="AJ283" s="114"/>
      <c r="AK283" s="76"/>
      <c r="AL283" s="58">
        <f t="shared" si="57"/>
        <v>0</v>
      </c>
      <c r="AM283" s="58"/>
      <c r="AN283" s="58"/>
      <c r="AO283" s="58"/>
      <c r="AP283" s="58"/>
      <c r="AQ283" s="58"/>
      <c r="AR283" s="58">
        <f t="shared" si="45"/>
        <v>0</v>
      </c>
      <c r="AS283" s="58">
        <f t="shared" si="46"/>
        <v>0</v>
      </c>
      <c r="AT283" s="58">
        <f t="shared" si="47"/>
        <v>0</v>
      </c>
      <c r="AU283" s="58">
        <f t="shared" si="48"/>
        <v>0</v>
      </c>
      <c r="AV283" s="58">
        <f t="shared" si="49"/>
        <v>0</v>
      </c>
      <c r="AW283" s="58">
        <f t="shared" si="50"/>
        <v>0</v>
      </c>
      <c r="AX283" s="58">
        <f t="shared" si="51"/>
        <v>0</v>
      </c>
      <c r="AY283" s="58">
        <f t="shared" si="58"/>
        <v>0</v>
      </c>
      <c r="AZ283" s="62">
        <f t="shared" si="52"/>
        <v>0</v>
      </c>
      <c r="BA283" s="63">
        <f t="shared" si="53"/>
        <v>0</v>
      </c>
      <c r="BB283" s="63">
        <f t="shared" si="54"/>
        <v>0</v>
      </c>
    </row>
    <row r="284" spans="3:54" s="17" customFormat="1" x14ac:dyDescent="0.25">
      <c r="C284" s="215"/>
      <c r="D284" s="216"/>
      <c r="E284" s="88"/>
      <c r="F284" s="217"/>
      <c r="G284" s="234"/>
      <c r="H284" s="218"/>
      <c r="I284" s="76"/>
      <c r="J284" s="77"/>
      <c r="K284" s="76"/>
      <c r="L284" s="78"/>
      <c r="M284" s="78"/>
      <c r="N284" s="76" t="s">
        <v>39</v>
      </c>
      <c r="O284" s="110"/>
      <c r="P284" s="152"/>
      <c r="Q284" s="111" t="str">
        <f>IFERROR(MIN(VLOOKUP(ROUNDDOWN(P284,0),'Aide calcul'!$B$2:$C$282,2,FALSE),O284+1),"")</f>
        <v/>
      </c>
      <c r="R284" s="112" t="str">
        <f t="shared" si="55"/>
        <v/>
      </c>
      <c r="S284" s="152"/>
      <c r="T284" s="152"/>
      <c r="U284" s="152"/>
      <c r="V284" s="152"/>
      <c r="W284" s="152"/>
      <c r="X284" s="152"/>
      <c r="Y284" s="152"/>
      <c r="Z284" s="76"/>
      <c r="AA284" s="76"/>
      <c r="AB284" s="113" t="str">
        <f>IF(C284="3111. Logements",ROUND(VLOOKUP(C284,'Informations générales'!$C$66:$E$70,3,FALSE)*(AL284/$AM$28)/12,0)*12,IF(C284="3112. Logements",ROUND(VLOOKUP(C284,'Informations générales'!$C$66:$E$70,3,FALSE)*(AL284/$AN$28)/12,0)*12,IF(C284="3113. Logements",ROUND(VLOOKUP(C284,'Informations générales'!$C$66:$E$70,3,FALSE)*(AL284/$AO$28)/12,0)*12,IF(C284="3114. Logements",ROUND(VLOOKUP(C284,'Informations générales'!$C$66:$E$70,3,FALSE)*(AL284/$AP$28)/12,0)*12,IF(C284="3115. Logements",ROUND(VLOOKUP(C284,'Informations générales'!$C$66:$E$70,3,FALSE)*(AL284/$AQ$28)/12,0)*12,"")))))</f>
        <v/>
      </c>
      <c r="AC284" s="114"/>
      <c r="AD284" s="113">
        <f t="shared" si="56"/>
        <v>0</v>
      </c>
      <c r="AE284" s="114"/>
      <c r="AF284" s="203" t="str">
        <f>IF(C284="3111. Logements",ROUND(VLOOKUP(C284,'Informations générales'!$C$66:$E$70,3,FALSE)*(AL284/$AM$28)/12,0)*12,IF(C284="3112. Logements",ROUND(VLOOKUP(C284,'Informations générales'!$C$66:$E$70,3,FALSE)*(AL284/$AN$28)/12,0)*12,IF(C284="3113. Logements",ROUND(VLOOKUP(C284,'Informations générales'!$C$66:$E$70,3,FALSE)*(AL284/$AO$28)/12,0)*12,IF(C284="3114. Logements",ROUND(VLOOKUP(C284,'Informations générales'!$C$66:$E$70,3,FALSE)*(AL284/$AP$28)/12,0)*12,IF(C284="3115. Logements",ROUND(VLOOKUP(C284,'Informations générales'!$C$66:$E$70,3,FALSE)*(AL284/$AQ$28)/12,0)*12,"")))))</f>
        <v/>
      </c>
      <c r="AG284" s="202"/>
      <c r="AH284" s="113" t="str">
        <f>IF(C284="3111. Logements",ROUND(VLOOKUP(C284,'Informations générales'!$C$66:$H$70,5,FALSE)*(AL284/$AM$28)/12,0)*12,IF(C284="3112. Logements",ROUND(VLOOKUP(C284,'Informations générales'!$C$66:$H$70,5,FALSE)*(AL284/$AN$28)/12,0)*12,IF(C284="3113. Logements",ROUND(VLOOKUP(C284,'Informations générales'!$C$66:$H$70,5,FALSE)*(AL284/$AO$28)/12,0)*12,IF(C284="3114. Logements",ROUND(VLOOKUP(C284,'Informations générales'!$C$66:$H$70,5,FALSE)*(AL284/$AP$28)/12,0)*12,IF(C284="3115. Logements",ROUND(VLOOKUP(C284,'Informations générales'!$C$66:$H$70,5,FALSE)*(AL284/$AQ$28)/12,0)*12,"")))))</f>
        <v/>
      </c>
      <c r="AI284" s="114"/>
      <c r="AJ284" s="114"/>
      <c r="AK284" s="76"/>
      <c r="AL284" s="58">
        <f t="shared" si="57"/>
        <v>0</v>
      </c>
      <c r="AM284" s="58"/>
      <c r="AN284" s="58"/>
      <c r="AO284" s="58"/>
      <c r="AP284" s="58"/>
      <c r="AQ284" s="58"/>
      <c r="AR284" s="58">
        <f t="shared" ref="AR284:AR347" si="59">S284*$E$13</f>
        <v>0</v>
      </c>
      <c r="AS284" s="58">
        <f t="shared" ref="AS284:AS347" si="60">T284*$E$14</f>
        <v>0</v>
      </c>
      <c r="AT284" s="58">
        <f t="shared" ref="AT284:AT347" si="61">U284*$E$15</f>
        <v>0</v>
      </c>
      <c r="AU284" s="58">
        <f t="shared" ref="AU284:AU347" si="62">V284*$E$16</f>
        <v>0</v>
      </c>
      <c r="AV284" s="58">
        <f t="shared" ref="AV284:AV347" si="63">W284*$E$17</f>
        <v>0</v>
      </c>
      <c r="AW284" s="58">
        <f t="shared" ref="AW284:AW347" si="64">X284*$E$18</f>
        <v>0</v>
      </c>
      <c r="AX284" s="58">
        <f t="shared" ref="AX284:AX347" si="65">Y284*$E$19</f>
        <v>0</v>
      </c>
      <c r="AY284" s="58">
        <f t="shared" si="58"/>
        <v>0</v>
      </c>
      <c r="AZ284" s="62">
        <f t="shared" ref="AZ284:AZ347" si="66">IFERROR(I284*$E$12,0)</f>
        <v>0</v>
      </c>
      <c r="BA284" s="63">
        <f t="shared" ref="BA284:BA347" si="67">IFERROR(VLOOKUP(Z284,$H$12:$I$22,2,FALSE),0)</f>
        <v>0</v>
      </c>
      <c r="BB284" s="63">
        <f t="shared" ref="BB284:BB347" si="68">IFERROR(VLOOKUP(AA284,$L$12:$N$19,3,FALSE),0)</f>
        <v>0</v>
      </c>
    </row>
    <row r="285" spans="3:54" s="17" customFormat="1" x14ac:dyDescent="0.25">
      <c r="C285" s="215"/>
      <c r="D285" s="216"/>
      <c r="E285" s="88"/>
      <c r="F285" s="217"/>
      <c r="G285" s="234"/>
      <c r="H285" s="218"/>
      <c r="I285" s="76"/>
      <c r="J285" s="77"/>
      <c r="K285" s="76"/>
      <c r="L285" s="78"/>
      <c r="M285" s="78"/>
      <c r="N285" s="76" t="s">
        <v>39</v>
      </c>
      <c r="O285" s="110"/>
      <c r="P285" s="152"/>
      <c r="Q285" s="111" t="str">
        <f>IFERROR(MIN(VLOOKUP(ROUNDDOWN(P285,0),'Aide calcul'!$B$2:$C$282,2,FALSE),O285+1),"")</f>
        <v/>
      </c>
      <c r="R285" s="112" t="str">
        <f t="shared" ref="R285:R348" si="69">IFERROR(TRUNC(Q285-0.5),"")</f>
        <v/>
      </c>
      <c r="S285" s="152"/>
      <c r="T285" s="152"/>
      <c r="U285" s="152"/>
      <c r="V285" s="152"/>
      <c r="W285" s="152"/>
      <c r="X285" s="152"/>
      <c r="Y285" s="152"/>
      <c r="Z285" s="76"/>
      <c r="AA285" s="76"/>
      <c r="AB285" s="113" t="str">
        <f>IF(C285="3111. Logements",ROUND(VLOOKUP(C285,'Informations générales'!$C$66:$E$70,3,FALSE)*(AL285/$AM$28)/12,0)*12,IF(C285="3112. Logements",ROUND(VLOOKUP(C285,'Informations générales'!$C$66:$E$70,3,FALSE)*(AL285/$AN$28)/12,0)*12,IF(C285="3113. Logements",ROUND(VLOOKUP(C285,'Informations générales'!$C$66:$E$70,3,FALSE)*(AL285/$AO$28)/12,0)*12,IF(C285="3114. Logements",ROUND(VLOOKUP(C285,'Informations générales'!$C$66:$E$70,3,FALSE)*(AL285/$AP$28)/12,0)*12,IF(C285="3115. Logements",ROUND(VLOOKUP(C285,'Informations générales'!$C$66:$E$70,3,FALSE)*(AL285/$AQ$28)/12,0)*12,"")))))</f>
        <v/>
      </c>
      <c r="AC285" s="114"/>
      <c r="AD285" s="113">
        <f t="shared" ref="AD285:AD348" si="70">MIN(AB285,AC285)</f>
        <v>0</v>
      </c>
      <c r="AE285" s="114"/>
      <c r="AF285" s="203" t="str">
        <f>IF(C285="3111. Logements",ROUND(VLOOKUP(C285,'Informations générales'!$C$66:$E$70,3,FALSE)*(AL285/$AM$28)/12,0)*12,IF(C285="3112. Logements",ROUND(VLOOKUP(C285,'Informations générales'!$C$66:$E$70,3,FALSE)*(AL285/$AN$28)/12,0)*12,IF(C285="3113. Logements",ROUND(VLOOKUP(C285,'Informations générales'!$C$66:$E$70,3,FALSE)*(AL285/$AO$28)/12,0)*12,IF(C285="3114. Logements",ROUND(VLOOKUP(C285,'Informations générales'!$C$66:$E$70,3,FALSE)*(AL285/$AP$28)/12,0)*12,IF(C285="3115. Logements",ROUND(VLOOKUP(C285,'Informations générales'!$C$66:$E$70,3,FALSE)*(AL285/$AQ$28)/12,0)*12,"")))))</f>
        <v/>
      </c>
      <c r="AG285" s="202"/>
      <c r="AH285" s="113" t="str">
        <f>IF(C285="3111. Logements",ROUND(VLOOKUP(C285,'Informations générales'!$C$66:$H$70,5,FALSE)*(AL285/$AM$28)/12,0)*12,IF(C285="3112. Logements",ROUND(VLOOKUP(C285,'Informations générales'!$C$66:$H$70,5,FALSE)*(AL285/$AN$28)/12,0)*12,IF(C285="3113. Logements",ROUND(VLOOKUP(C285,'Informations générales'!$C$66:$H$70,5,FALSE)*(AL285/$AO$28)/12,0)*12,IF(C285="3114. Logements",ROUND(VLOOKUP(C285,'Informations générales'!$C$66:$H$70,5,FALSE)*(AL285/$AP$28)/12,0)*12,IF(C285="3115. Logements",ROUND(VLOOKUP(C285,'Informations générales'!$C$66:$H$70,5,FALSE)*(AL285/$AQ$28)/12,0)*12,"")))))</f>
        <v/>
      </c>
      <c r="AI285" s="114"/>
      <c r="AJ285" s="114"/>
      <c r="AK285" s="76"/>
      <c r="AL285" s="58">
        <f t="shared" ref="AL285:AL348" si="71">AY285*(SUM(1,AZ285,BA285,BB285))</f>
        <v>0</v>
      </c>
      <c r="AM285" s="58"/>
      <c r="AN285" s="58"/>
      <c r="AO285" s="58"/>
      <c r="AP285" s="58"/>
      <c r="AQ285" s="58"/>
      <c r="AR285" s="58">
        <f t="shared" si="59"/>
        <v>0</v>
      </c>
      <c r="AS285" s="58">
        <f t="shared" si="60"/>
        <v>0</v>
      </c>
      <c r="AT285" s="58">
        <f t="shared" si="61"/>
        <v>0</v>
      </c>
      <c r="AU285" s="58">
        <f t="shared" si="62"/>
        <v>0</v>
      </c>
      <c r="AV285" s="58">
        <f t="shared" si="63"/>
        <v>0</v>
      </c>
      <c r="AW285" s="58">
        <f t="shared" si="64"/>
        <v>0</v>
      </c>
      <c r="AX285" s="58">
        <f t="shared" si="65"/>
        <v>0</v>
      </c>
      <c r="AY285" s="58">
        <f t="shared" ref="AY285:AY348" si="72">SUM(AR285:AX285)</f>
        <v>0</v>
      </c>
      <c r="AZ285" s="62">
        <f t="shared" si="66"/>
        <v>0</v>
      </c>
      <c r="BA285" s="63">
        <f t="shared" si="67"/>
        <v>0</v>
      </c>
      <c r="BB285" s="63">
        <f t="shared" si="68"/>
        <v>0</v>
      </c>
    </row>
    <row r="286" spans="3:54" s="17" customFormat="1" x14ac:dyDescent="0.25">
      <c r="C286" s="215"/>
      <c r="D286" s="216"/>
      <c r="E286" s="88"/>
      <c r="F286" s="217"/>
      <c r="G286" s="234"/>
      <c r="H286" s="218"/>
      <c r="I286" s="76"/>
      <c r="J286" s="77"/>
      <c r="K286" s="76"/>
      <c r="L286" s="78"/>
      <c r="M286" s="78"/>
      <c r="N286" s="76" t="s">
        <v>39</v>
      </c>
      <c r="O286" s="110"/>
      <c r="P286" s="152"/>
      <c r="Q286" s="111" t="str">
        <f>IFERROR(MIN(VLOOKUP(ROUNDDOWN(P286,0),'Aide calcul'!$B$2:$C$282,2,FALSE),O286+1),"")</f>
        <v/>
      </c>
      <c r="R286" s="112" t="str">
        <f t="shared" si="69"/>
        <v/>
      </c>
      <c r="S286" s="152"/>
      <c r="T286" s="152"/>
      <c r="U286" s="152"/>
      <c r="V286" s="152"/>
      <c r="W286" s="152"/>
      <c r="X286" s="152"/>
      <c r="Y286" s="152"/>
      <c r="Z286" s="76"/>
      <c r="AA286" s="76"/>
      <c r="AB286" s="113" t="str">
        <f>IF(C286="3111. Logements",ROUND(VLOOKUP(C286,'Informations générales'!$C$66:$E$70,3,FALSE)*(AL286/$AM$28)/12,0)*12,IF(C286="3112. Logements",ROUND(VLOOKUP(C286,'Informations générales'!$C$66:$E$70,3,FALSE)*(AL286/$AN$28)/12,0)*12,IF(C286="3113. Logements",ROUND(VLOOKUP(C286,'Informations générales'!$C$66:$E$70,3,FALSE)*(AL286/$AO$28)/12,0)*12,IF(C286="3114. Logements",ROUND(VLOOKUP(C286,'Informations générales'!$C$66:$E$70,3,FALSE)*(AL286/$AP$28)/12,0)*12,IF(C286="3115. Logements",ROUND(VLOOKUP(C286,'Informations générales'!$C$66:$E$70,3,FALSE)*(AL286/$AQ$28)/12,0)*12,"")))))</f>
        <v/>
      </c>
      <c r="AC286" s="114"/>
      <c r="AD286" s="113">
        <f t="shared" si="70"/>
        <v>0</v>
      </c>
      <c r="AE286" s="114"/>
      <c r="AF286" s="203" t="str">
        <f>IF(C286="3111. Logements",ROUND(VLOOKUP(C286,'Informations générales'!$C$66:$E$70,3,FALSE)*(AL286/$AM$28)/12,0)*12,IF(C286="3112. Logements",ROUND(VLOOKUP(C286,'Informations générales'!$C$66:$E$70,3,FALSE)*(AL286/$AN$28)/12,0)*12,IF(C286="3113. Logements",ROUND(VLOOKUP(C286,'Informations générales'!$C$66:$E$70,3,FALSE)*(AL286/$AO$28)/12,0)*12,IF(C286="3114. Logements",ROUND(VLOOKUP(C286,'Informations générales'!$C$66:$E$70,3,FALSE)*(AL286/$AP$28)/12,0)*12,IF(C286="3115. Logements",ROUND(VLOOKUP(C286,'Informations générales'!$C$66:$E$70,3,FALSE)*(AL286/$AQ$28)/12,0)*12,"")))))</f>
        <v/>
      </c>
      <c r="AG286" s="202"/>
      <c r="AH286" s="113" t="str">
        <f>IF(C286="3111. Logements",ROUND(VLOOKUP(C286,'Informations générales'!$C$66:$H$70,5,FALSE)*(AL286/$AM$28)/12,0)*12,IF(C286="3112. Logements",ROUND(VLOOKUP(C286,'Informations générales'!$C$66:$H$70,5,FALSE)*(AL286/$AN$28)/12,0)*12,IF(C286="3113. Logements",ROUND(VLOOKUP(C286,'Informations générales'!$C$66:$H$70,5,FALSE)*(AL286/$AO$28)/12,0)*12,IF(C286="3114. Logements",ROUND(VLOOKUP(C286,'Informations générales'!$C$66:$H$70,5,FALSE)*(AL286/$AP$28)/12,0)*12,IF(C286="3115. Logements",ROUND(VLOOKUP(C286,'Informations générales'!$C$66:$H$70,5,FALSE)*(AL286/$AQ$28)/12,0)*12,"")))))</f>
        <v/>
      </c>
      <c r="AI286" s="114"/>
      <c r="AJ286" s="114"/>
      <c r="AK286" s="76"/>
      <c r="AL286" s="58">
        <f t="shared" si="71"/>
        <v>0</v>
      </c>
      <c r="AM286" s="58"/>
      <c r="AN286" s="58"/>
      <c r="AO286" s="58"/>
      <c r="AP286" s="58"/>
      <c r="AQ286" s="58"/>
      <c r="AR286" s="58">
        <f t="shared" si="59"/>
        <v>0</v>
      </c>
      <c r="AS286" s="58">
        <f t="shared" si="60"/>
        <v>0</v>
      </c>
      <c r="AT286" s="58">
        <f t="shared" si="61"/>
        <v>0</v>
      </c>
      <c r="AU286" s="58">
        <f t="shared" si="62"/>
        <v>0</v>
      </c>
      <c r="AV286" s="58">
        <f t="shared" si="63"/>
        <v>0</v>
      </c>
      <c r="AW286" s="58">
        <f t="shared" si="64"/>
        <v>0</v>
      </c>
      <c r="AX286" s="58">
        <f t="shared" si="65"/>
        <v>0</v>
      </c>
      <c r="AY286" s="58">
        <f t="shared" si="72"/>
        <v>0</v>
      </c>
      <c r="AZ286" s="62">
        <f t="shared" si="66"/>
        <v>0</v>
      </c>
      <c r="BA286" s="63">
        <f t="shared" si="67"/>
        <v>0</v>
      </c>
      <c r="BB286" s="63">
        <f t="shared" si="68"/>
        <v>0</v>
      </c>
    </row>
    <row r="287" spans="3:54" s="17" customFormat="1" x14ac:dyDescent="0.25">
      <c r="C287" s="215"/>
      <c r="D287" s="216"/>
      <c r="E287" s="88"/>
      <c r="F287" s="217"/>
      <c r="G287" s="234"/>
      <c r="H287" s="218"/>
      <c r="I287" s="76"/>
      <c r="J287" s="77"/>
      <c r="K287" s="76"/>
      <c r="L287" s="78"/>
      <c r="M287" s="78"/>
      <c r="N287" s="76" t="s">
        <v>39</v>
      </c>
      <c r="O287" s="110"/>
      <c r="P287" s="152"/>
      <c r="Q287" s="111" t="str">
        <f>IFERROR(MIN(VLOOKUP(ROUNDDOWN(P287,0),'Aide calcul'!$B$2:$C$282,2,FALSE),O287+1),"")</f>
        <v/>
      </c>
      <c r="R287" s="112" t="str">
        <f t="shared" si="69"/>
        <v/>
      </c>
      <c r="S287" s="152"/>
      <c r="T287" s="152"/>
      <c r="U287" s="152"/>
      <c r="V287" s="152"/>
      <c r="W287" s="152"/>
      <c r="X287" s="152"/>
      <c r="Y287" s="152"/>
      <c r="Z287" s="76"/>
      <c r="AA287" s="76"/>
      <c r="AB287" s="113" t="str">
        <f>IF(C287="3111. Logements",ROUND(VLOOKUP(C287,'Informations générales'!$C$66:$E$70,3,FALSE)*(AL287/$AM$28)/12,0)*12,IF(C287="3112. Logements",ROUND(VLOOKUP(C287,'Informations générales'!$C$66:$E$70,3,FALSE)*(AL287/$AN$28)/12,0)*12,IF(C287="3113. Logements",ROUND(VLOOKUP(C287,'Informations générales'!$C$66:$E$70,3,FALSE)*(AL287/$AO$28)/12,0)*12,IF(C287="3114. Logements",ROUND(VLOOKUP(C287,'Informations générales'!$C$66:$E$70,3,FALSE)*(AL287/$AP$28)/12,0)*12,IF(C287="3115. Logements",ROUND(VLOOKUP(C287,'Informations générales'!$C$66:$E$70,3,FALSE)*(AL287/$AQ$28)/12,0)*12,"")))))</f>
        <v/>
      </c>
      <c r="AC287" s="114"/>
      <c r="AD287" s="113">
        <f t="shared" si="70"/>
        <v>0</v>
      </c>
      <c r="AE287" s="114"/>
      <c r="AF287" s="203" t="str">
        <f>IF(C287="3111. Logements",ROUND(VLOOKUP(C287,'Informations générales'!$C$66:$E$70,3,FALSE)*(AL287/$AM$28)/12,0)*12,IF(C287="3112. Logements",ROUND(VLOOKUP(C287,'Informations générales'!$C$66:$E$70,3,FALSE)*(AL287/$AN$28)/12,0)*12,IF(C287="3113. Logements",ROUND(VLOOKUP(C287,'Informations générales'!$C$66:$E$70,3,FALSE)*(AL287/$AO$28)/12,0)*12,IF(C287="3114. Logements",ROUND(VLOOKUP(C287,'Informations générales'!$C$66:$E$70,3,FALSE)*(AL287/$AP$28)/12,0)*12,IF(C287="3115. Logements",ROUND(VLOOKUP(C287,'Informations générales'!$C$66:$E$70,3,FALSE)*(AL287/$AQ$28)/12,0)*12,"")))))</f>
        <v/>
      </c>
      <c r="AG287" s="202"/>
      <c r="AH287" s="113" t="str">
        <f>IF(C287="3111. Logements",ROUND(VLOOKUP(C287,'Informations générales'!$C$66:$H$70,5,FALSE)*(AL287/$AM$28)/12,0)*12,IF(C287="3112. Logements",ROUND(VLOOKUP(C287,'Informations générales'!$C$66:$H$70,5,FALSE)*(AL287/$AN$28)/12,0)*12,IF(C287="3113. Logements",ROUND(VLOOKUP(C287,'Informations générales'!$C$66:$H$70,5,FALSE)*(AL287/$AO$28)/12,0)*12,IF(C287="3114. Logements",ROUND(VLOOKUP(C287,'Informations générales'!$C$66:$H$70,5,FALSE)*(AL287/$AP$28)/12,0)*12,IF(C287="3115. Logements",ROUND(VLOOKUP(C287,'Informations générales'!$C$66:$H$70,5,FALSE)*(AL287/$AQ$28)/12,0)*12,"")))))</f>
        <v/>
      </c>
      <c r="AI287" s="114"/>
      <c r="AJ287" s="114"/>
      <c r="AK287" s="76"/>
      <c r="AL287" s="58">
        <f t="shared" si="71"/>
        <v>0</v>
      </c>
      <c r="AM287" s="58"/>
      <c r="AN287" s="58"/>
      <c r="AO287" s="58"/>
      <c r="AP287" s="58"/>
      <c r="AQ287" s="58"/>
      <c r="AR287" s="58">
        <f t="shared" si="59"/>
        <v>0</v>
      </c>
      <c r="AS287" s="58">
        <f t="shared" si="60"/>
        <v>0</v>
      </c>
      <c r="AT287" s="58">
        <f t="shared" si="61"/>
        <v>0</v>
      </c>
      <c r="AU287" s="58">
        <f t="shared" si="62"/>
        <v>0</v>
      </c>
      <c r="AV287" s="58">
        <f t="shared" si="63"/>
        <v>0</v>
      </c>
      <c r="AW287" s="58">
        <f t="shared" si="64"/>
        <v>0</v>
      </c>
      <c r="AX287" s="58">
        <f t="shared" si="65"/>
        <v>0</v>
      </c>
      <c r="AY287" s="58">
        <f t="shared" si="72"/>
        <v>0</v>
      </c>
      <c r="AZ287" s="62">
        <f t="shared" si="66"/>
        <v>0</v>
      </c>
      <c r="BA287" s="63">
        <f t="shared" si="67"/>
        <v>0</v>
      </c>
      <c r="BB287" s="63">
        <f t="shared" si="68"/>
        <v>0</v>
      </c>
    </row>
    <row r="288" spans="3:54" s="17" customFormat="1" x14ac:dyDescent="0.25">
      <c r="C288" s="215"/>
      <c r="D288" s="216"/>
      <c r="E288" s="88"/>
      <c r="F288" s="217"/>
      <c r="G288" s="234"/>
      <c r="H288" s="218"/>
      <c r="I288" s="76"/>
      <c r="J288" s="77"/>
      <c r="K288" s="76"/>
      <c r="L288" s="78"/>
      <c r="M288" s="78"/>
      <c r="N288" s="76" t="s">
        <v>39</v>
      </c>
      <c r="O288" s="110"/>
      <c r="P288" s="152"/>
      <c r="Q288" s="111" t="str">
        <f>IFERROR(MIN(VLOOKUP(ROUNDDOWN(P288,0),'Aide calcul'!$B$2:$C$282,2,FALSE),O288+1),"")</f>
        <v/>
      </c>
      <c r="R288" s="112" t="str">
        <f t="shared" si="69"/>
        <v/>
      </c>
      <c r="S288" s="152"/>
      <c r="T288" s="152"/>
      <c r="U288" s="152"/>
      <c r="V288" s="152"/>
      <c r="W288" s="152"/>
      <c r="X288" s="152"/>
      <c r="Y288" s="152"/>
      <c r="Z288" s="76"/>
      <c r="AA288" s="76"/>
      <c r="AB288" s="113" t="str">
        <f>IF(C288="3111. Logements",ROUND(VLOOKUP(C288,'Informations générales'!$C$66:$E$70,3,FALSE)*(AL288/$AM$28)/12,0)*12,IF(C288="3112. Logements",ROUND(VLOOKUP(C288,'Informations générales'!$C$66:$E$70,3,FALSE)*(AL288/$AN$28)/12,0)*12,IF(C288="3113. Logements",ROUND(VLOOKUP(C288,'Informations générales'!$C$66:$E$70,3,FALSE)*(AL288/$AO$28)/12,0)*12,IF(C288="3114. Logements",ROUND(VLOOKUP(C288,'Informations générales'!$C$66:$E$70,3,FALSE)*(AL288/$AP$28)/12,0)*12,IF(C288="3115. Logements",ROUND(VLOOKUP(C288,'Informations générales'!$C$66:$E$70,3,FALSE)*(AL288/$AQ$28)/12,0)*12,"")))))</f>
        <v/>
      </c>
      <c r="AC288" s="114"/>
      <c r="AD288" s="113">
        <f t="shared" si="70"/>
        <v>0</v>
      </c>
      <c r="AE288" s="114"/>
      <c r="AF288" s="203" t="str">
        <f>IF(C288="3111. Logements",ROUND(VLOOKUP(C288,'Informations générales'!$C$66:$E$70,3,FALSE)*(AL288/$AM$28)/12,0)*12,IF(C288="3112. Logements",ROUND(VLOOKUP(C288,'Informations générales'!$C$66:$E$70,3,FALSE)*(AL288/$AN$28)/12,0)*12,IF(C288="3113. Logements",ROUND(VLOOKUP(C288,'Informations générales'!$C$66:$E$70,3,FALSE)*(AL288/$AO$28)/12,0)*12,IF(C288="3114. Logements",ROUND(VLOOKUP(C288,'Informations générales'!$C$66:$E$70,3,FALSE)*(AL288/$AP$28)/12,0)*12,IF(C288="3115. Logements",ROUND(VLOOKUP(C288,'Informations générales'!$C$66:$E$70,3,FALSE)*(AL288/$AQ$28)/12,0)*12,"")))))</f>
        <v/>
      </c>
      <c r="AG288" s="202"/>
      <c r="AH288" s="113" t="str">
        <f>IF(C288="3111. Logements",ROUND(VLOOKUP(C288,'Informations générales'!$C$66:$H$70,5,FALSE)*(AL288/$AM$28)/12,0)*12,IF(C288="3112. Logements",ROUND(VLOOKUP(C288,'Informations générales'!$C$66:$H$70,5,FALSE)*(AL288/$AN$28)/12,0)*12,IF(C288="3113. Logements",ROUND(VLOOKUP(C288,'Informations générales'!$C$66:$H$70,5,FALSE)*(AL288/$AO$28)/12,0)*12,IF(C288="3114. Logements",ROUND(VLOOKUP(C288,'Informations générales'!$C$66:$H$70,5,FALSE)*(AL288/$AP$28)/12,0)*12,IF(C288="3115. Logements",ROUND(VLOOKUP(C288,'Informations générales'!$C$66:$H$70,5,FALSE)*(AL288/$AQ$28)/12,0)*12,"")))))</f>
        <v/>
      </c>
      <c r="AI288" s="114"/>
      <c r="AJ288" s="114"/>
      <c r="AK288" s="76"/>
      <c r="AL288" s="58">
        <f t="shared" si="71"/>
        <v>0</v>
      </c>
      <c r="AM288" s="58"/>
      <c r="AN288" s="58"/>
      <c r="AO288" s="58"/>
      <c r="AP288" s="58"/>
      <c r="AQ288" s="58"/>
      <c r="AR288" s="58">
        <f t="shared" si="59"/>
        <v>0</v>
      </c>
      <c r="AS288" s="58">
        <f t="shared" si="60"/>
        <v>0</v>
      </c>
      <c r="AT288" s="58">
        <f t="shared" si="61"/>
        <v>0</v>
      </c>
      <c r="AU288" s="58">
        <f t="shared" si="62"/>
        <v>0</v>
      </c>
      <c r="AV288" s="58">
        <f t="shared" si="63"/>
        <v>0</v>
      </c>
      <c r="AW288" s="58">
        <f t="shared" si="64"/>
        <v>0</v>
      </c>
      <c r="AX288" s="58">
        <f t="shared" si="65"/>
        <v>0</v>
      </c>
      <c r="AY288" s="58">
        <f t="shared" si="72"/>
        <v>0</v>
      </c>
      <c r="AZ288" s="62">
        <f t="shared" si="66"/>
        <v>0</v>
      </c>
      <c r="BA288" s="63">
        <f t="shared" si="67"/>
        <v>0</v>
      </c>
      <c r="BB288" s="63">
        <f t="shared" si="68"/>
        <v>0</v>
      </c>
    </row>
    <row r="289" spans="3:54" s="17" customFormat="1" x14ac:dyDescent="0.25">
      <c r="C289" s="215"/>
      <c r="D289" s="216"/>
      <c r="E289" s="88"/>
      <c r="F289" s="217"/>
      <c r="G289" s="234"/>
      <c r="H289" s="218"/>
      <c r="I289" s="76"/>
      <c r="J289" s="77"/>
      <c r="K289" s="76"/>
      <c r="L289" s="78"/>
      <c r="M289" s="78"/>
      <c r="N289" s="76" t="s">
        <v>39</v>
      </c>
      <c r="O289" s="110"/>
      <c r="P289" s="152"/>
      <c r="Q289" s="111" t="str">
        <f>IFERROR(MIN(VLOOKUP(ROUNDDOWN(P289,0),'Aide calcul'!$B$2:$C$282,2,FALSE),O289+1),"")</f>
        <v/>
      </c>
      <c r="R289" s="112" t="str">
        <f t="shared" si="69"/>
        <v/>
      </c>
      <c r="S289" s="152"/>
      <c r="T289" s="152"/>
      <c r="U289" s="152"/>
      <c r="V289" s="152"/>
      <c r="W289" s="152"/>
      <c r="X289" s="152"/>
      <c r="Y289" s="152"/>
      <c r="Z289" s="76"/>
      <c r="AA289" s="76"/>
      <c r="AB289" s="113" t="str">
        <f>IF(C289="3111. Logements",ROUND(VLOOKUP(C289,'Informations générales'!$C$66:$E$70,3,FALSE)*(AL289/$AM$28)/12,0)*12,IF(C289="3112. Logements",ROUND(VLOOKUP(C289,'Informations générales'!$C$66:$E$70,3,FALSE)*(AL289/$AN$28)/12,0)*12,IF(C289="3113. Logements",ROUND(VLOOKUP(C289,'Informations générales'!$C$66:$E$70,3,FALSE)*(AL289/$AO$28)/12,0)*12,IF(C289="3114. Logements",ROUND(VLOOKUP(C289,'Informations générales'!$C$66:$E$70,3,FALSE)*(AL289/$AP$28)/12,0)*12,IF(C289="3115. Logements",ROUND(VLOOKUP(C289,'Informations générales'!$C$66:$E$70,3,FALSE)*(AL289/$AQ$28)/12,0)*12,"")))))</f>
        <v/>
      </c>
      <c r="AC289" s="114"/>
      <c r="AD289" s="113">
        <f t="shared" si="70"/>
        <v>0</v>
      </c>
      <c r="AE289" s="114"/>
      <c r="AF289" s="203" t="str">
        <f>IF(C289="3111. Logements",ROUND(VLOOKUP(C289,'Informations générales'!$C$66:$E$70,3,FALSE)*(AL289/$AM$28)/12,0)*12,IF(C289="3112. Logements",ROUND(VLOOKUP(C289,'Informations générales'!$C$66:$E$70,3,FALSE)*(AL289/$AN$28)/12,0)*12,IF(C289="3113. Logements",ROUND(VLOOKUP(C289,'Informations générales'!$C$66:$E$70,3,FALSE)*(AL289/$AO$28)/12,0)*12,IF(C289="3114. Logements",ROUND(VLOOKUP(C289,'Informations générales'!$C$66:$E$70,3,FALSE)*(AL289/$AP$28)/12,0)*12,IF(C289="3115. Logements",ROUND(VLOOKUP(C289,'Informations générales'!$C$66:$E$70,3,FALSE)*(AL289/$AQ$28)/12,0)*12,"")))))</f>
        <v/>
      </c>
      <c r="AG289" s="202"/>
      <c r="AH289" s="113" t="str">
        <f>IF(C289="3111. Logements",ROUND(VLOOKUP(C289,'Informations générales'!$C$66:$H$70,5,FALSE)*(AL289/$AM$28)/12,0)*12,IF(C289="3112. Logements",ROUND(VLOOKUP(C289,'Informations générales'!$C$66:$H$70,5,FALSE)*(AL289/$AN$28)/12,0)*12,IF(C289="3113. Logements",ROUND(VLOOKUP(C289,'Informations générales'!$C$66:$H$70,5,FALSE)*(AL289/$AO$28)/12,0)*12,IF(C289="3114. Logements",ROUND(VLOOKUP(C289,'Informations générales'!$C$66:$H$70,5,FALSE)*(AL289/$AP$28)/12,0)*12,IF(C289="3115. Logements",ROUND(VLOOKUP(C289,'Informations générales'!$C$66:$H$70,5,FALSE)*(AL289/$AQ$28)/12,0)*12,"")))))</f>
        <v/>
      </c>
      <c r="AI289" s="114"/>
      <c r="AJ289" s="114"/>
      <c r="AK289" s="76"/>
      <c r="AL289" s="58">
        <f t="shared" si="71"/>
        <v>0</v>
      </c>
      <c r="AM289" s="58"/>
      <c r="AN289" s="58"/>
      <c r="AO289" s="58"/>
      <c r="AP289" s="58"/>
      <c r="AQ289" s="58"/>
      <c r="AR289" s="58">
        <f t="shared" si="59"/>
        <v>0</v>
      </c>
      <c r="AS289" s="58">
        <f t="shared" si="60"/>
        <v>0</v>
      </c>
      <c r="AT289" s="58">
        <f t="shared" si="61"/>
        <v>0</v>
      </c>
      <c r="AU289" s="58">
        <f t="shared" si="62"/>
        <v>0</v>
      </c>
      <c r="AV289" s="58">
        <f t="shared" si="63"/>
        <v>0</v>
      </c>
      <c r="AW289" s="58">
        <f t="shared" si="64"/>
        <v>0</v>
      </c>
      <c r="AX289" s="58">
        <f t="shared" si="65"/>
        <v>0</v>
      </c>
      <c r="AY289" s="58">
        <f t="shared" si="72"/>
        <v>0</v>
      </c>
      <c r="AZ289" s="62">
        <f t="shared" si="66"/>
        <v>0</v>
      </c>
      <c r="BA289" s="63">
        <f t="shared" si="67"/>
        <v>0</v>
      </c>
      <c r="BB289" s="63">
        <f t="shared" si="68"/>
        <v>0</v>
      </c>
    </row>
    <row r="290" spans="3:54" s="17" customFormat="1" x14ac:dyDescent="0.25">
      <c r="C290" s="215"/>
      <c r="D290" s="216"/>
      <c r="E290" s="88"/>
      <c r="F290" s="217"/>
      <c r="G290" s="234"/>
      <c r="H290" s="218"/>
      <c r="I290" s="76"/>
      <c r="J290" s="77"/>
      <c r="K290" s="76"/>
      <c r="L290" s="78"/>
      <c r="M290" s="78"/>
      <c r="N290" s="76" t="s">
        <v>39</v>
      </c>
      <c r="O290" s="110"/>
      <c r="P290" s="152"/>
      <c r="Q290" s="111" t="str">
        <f>IFERROR(MIN(VLOOKUP(ROUNDDOWN(P290,0),'Aide calcul'!$B$2:$C$282,2,FALSE),O290+1),"")</f>
        <v/>
      </c>
      <c r="R290" s="112" t="str">
        <f t="shared" si="69"/>
        <v/>
      </c>
      <c r="S290" s="152"/>
      <c r="T290" s="152"/>
      <c r="U290" s="152"/>
      <c r="V290" s="152"/>
      <c r="W290" s="152"/>
      <c r="X290" s="152"/>
      <c r="Y290" s="152"/>
      <c r="Z290" s="76"/>
      <c r="AA290" s="76"/>
      <c r="AB290" s="113" t="str">
        <f>IF(C290="3111. Logements",ROUND(VLOOKUP(C290,'Informations générales'!$C$66:$E$70,3,FALSE)*(AL290/$AM$28)/12,0)*12,IF(C290="3112. Logements",ROUND(VLOOKUP(C290,'Informations générales'!$C$66:$E$70,3,FALSE)*(AL290/$AN$28)/12,0)*12,IF(C290="3113. Logements",ROUND(VLOOKUP(C290,'Informations générales'!$C$66:$E$70,3,FALSE)*(AL290/$AO$28)/12,0)*12,IF(C290="3114. Logements",ROUND(VLOOKUP(C290,'Informations générales'!$C$66:$E$70,3,FALSE)*(AL290/$AP$28)/12,0)*12,IF(C290="3115. Logements",ROUND(VLOOKUP(C290,'Informations générales'!$C$66:$E$70,3,FALSE)*(AL290/$AQ$28)/12,0)*12,"")))))</f>
        <v/>
      </c>
      <c r="AC290" s="114"/>
      <c r="AD290" s="113">
        <f t="shared" si="70"/>
        <v>0</v>
      </c>
      <c r="AE290" s="114"/>
      <c r="AF290" s="203" t="str">
        <f>IF(C290="3111. Logements",ROUND(VLOOKUP(C290,'Informations générales'!$C$66:$E$70,3,FALSE)*(AL290/$AM$28)/12,0)*12,IF(C290="3112. Logements",ROUND(VLOOKUP(C290,'Informations générales'!$C$66:$E$70,3,FALSE)*(AL290/$AN$28)/12,0)*12,IF(C290="3113. Logements",ROUND(VLOOKUP(C290,'Informations générales'!$C$66:$E$70,3,FALSE)*(AL290/$AO$28)/12,0)*12,IF(C290="3114. Logements",ROUND(VLOOKUP(C290,'Informations générales'!$C$66:$E$70,3,FALSE)*(AL290/$AP$28)/12,0)*12,IF(C290="3115. Logements",ROUND(VLOOKUP(C290,'Informations générales'!$C$66:$E$70,3,FALSE)*(AL290/$AQ$28)/12,0)*12,"")))))</f>
        <v/>
      </c>
      <c r="AG290" s="202"/>
      <c r="AH290" s="113" t="str">
        <f>IF(C290="3111. Logements",ROUND(VLOOKUP(C290,'Informations générales'!$C$66:$H$70,5,FALSE)*(AL290/$AM$28)/12,0)*12,IF(C290="3112. Logements",ROUND(VLOOKUP(C290,'Informations générales'!$C$66:$H$70,5,FALSE)*(AL290/$AN$28)/12,0)*12,IF(C290="3113. Logements",ROUND(VLOOKUP(C290,'Informations générales'!$C$66:$H$70,5,FALSE)*(AL290/$AO$28)/12,0)*12,IF(C290="3114. Logements",ROUND(VLOOKUP(C290,'Informations générales'!$C$66:$H$70,5,FALSE)*(AL290/$AP$28)/12,0)*12,IF(C290="3115. Logements",ROUND(VLOOKUP(C290,'Informations générales'!$C$66:$H$70,5,FALSE)*(AL290/$AQ$28)/12,0)*12,"")))))</f>
        <v/>
      </c>
      <c r="AI290" s="114"/>
      <c r="AJ290" s="114"/>
      <c r="AK290" s="76"/>
      <c r="AL290" s="58">
        <f t="shared" si="71"/>
        <v>0</v>
      </c>
      <c r="AM290" s="58"/>
      <c r="AN290" s="58"/>
      <c r="AO290" s="58"/>
      <c r="AP290" s="58"/>
      <c r="AQ290" s="58"/>
      <c r="AR290" s="58">
        <f t="shared" si="59"/>
        <v>0</v>
      </c>
      <c r="AS290" s="58">
        <f t="shared" si="60"/>
        <v>0</v>
      </c>
      <c r="AT290" s="58">
        <f t="shared" si="61"/>
        <v>0</v>
      </c>
      <c r="AU290" s="58">
        <f t="shared" si="62"/>
        <v>0</v>
      </c>
      <c r="AV290" s="58">
        <f t="shared" si="63"/>
        <v>0</v>
      </c>
      <c r="AW290" s="58">
        <f t="shared" si="64"/>
        <v>0</v>
      </c>
      <c r="AX290" s="58">
        <f t="shared" si="65"/>
        <v>0</v>
      </c>
      <c r="AY290" s="58">
        <f t="shared" si="72"/>
        <v>0</v>
      </c>
      <c r="AZ290" s="62">
        <f t="shared" si="66"/>
        <v>0</v>
      </c>
      <c r="BA290" s="63">
        <f t="shared" si="67"/>
        <v>0</v>
      </c>
      <c r="BB290" s="63">
        <f t="shared" si="68"/>
        <v>0</v>
      </c>
    </row>
    <row r="291" spans="3:54" s="17" customFormat="1" x14ac:dyDescent="0.25">
      <c r="C291" s="215"/>
      <c r="D291" s="216"/>
      <c r="E291" s="88"/>
      <c r="F291" s="217"/>
      <c r="G291" s="234"/>
      <c r="H291" s="218"/>
      <c r="I291" s="76"/>
      <c r="J291" s="77"/>
      <c r="K291" s="76"/>
      <c r="L291" s="78"/>
      <c r="M291" s="78"/>
      <c r="N291" s="76" t="s">
        <v>39</v>
      </c>
      <c r="O291" s="110"/>
      <c r="P291" s="152"/>
      <c r="Q291" s="111" t="str">
        <f>IFERROR(MIN(VLOOKUP(ROUNDDOWN(P291,0),'Aide calcul'!$B$2:$C$282,2,FALSE),O291+1),"")</f>
        <v/>
      </c>
      <c r="R291" s="112" t="str">
        <f t="shared" si="69"/>
        <v/>
      </c>
      <c r="S291" s="152"/>
      <c r="T291" s="152"/>
      <c r="U291" s="152"/>
      <c r="V291" s="152"/>
      <c r="W291" s="152"/>
      <c r="X291" s="152"/>
      <c r="Y291" s="152"/>
      <c r="Z291" s="76"/>
      <c r="AA291" s="76"/>
      <c r="AB291" s="113" t="str">
        <f>IF(C291="3111. Logements",ROUND(VLOOKUP(C291,'Informations générales'!$C$66:$E$70,3,FALSE)*(AL291/$AM$28)/12,0)*12,IF(C291="3112. Logements",ROUND(VLOOKUP(C291,'Informations générales'!$C$66:$E$70,3,FALSE)*(AL291/$AN$28)/12,0)*12,IF(C291="3113. Logements",ROUND(VLOOKUP(C291,'Informations générales'!$C$66:$E$70,3,FALSE)*(AL291/$AO$28)/12,0)*12,IF(C291="3114. Logements",ROUND(VLOOKUP(C291,'Informations générales'!$C$66:$E$70,3,FALSE)*(AL291/$AP$28)/12,0)*12,IF(C291="3115. Logements",ROUND(VLOOKUP(C291,'Informations générales'!$C$66:$E$70,3,FALSE)*(AL291/$AQ$28)/12,0)*12,"")))))</f>
        <v/>
      </c>
      <c r="AC291" s="114"/>
      <c r="AD291" s="113">
        <f t="shared" si="70"/>
        <v>0</v>
      </c>
      <c r="AE291" s="114"/>
      <c r="AF291" s="203" t="str">
        <f>IF(C291="3111. Logements",ROUND(VLOOKUP(C291,'Informations générales'!$C$66:$E$70,3,FALSE)*(AL291/$AM$28)/12,0)*12,IF(C291="3112. Logements",ROUND(VLOOKUP(C291,'Informations générales'!$C$66:$E$70,3,FALSE)*(AL291/$AN$28)/12,0)*12,IF(C291="3113. Logements",ROUND(VLOOKUP(C291,'Informations générales'!$C$66:$E$70,3,FALSE)*(AL291/$AO$28)/12,0)*12,IF(C291="3114. Logements",ROUND(VLOOKUP(C291,'Informations générales'!$C$66:$E$70,3,FALSE)*(AL291/$AP$28)/12,0)*12,IF(C291="3115. Logements",ROUND(VLOOKUP(C291,'Informations générales'!$C$66:$E$70,3,FALSE)*(AL291/$AQ$28)/12,0)*12,"")))))</f>
        <v/>
      </c>
      <c r="AG291" s="202"/>
      <c r="AH291" s="113" t="str">
        <f>IF(C291="3111. Logements",ROUND(VLOOKUP(C291,'Informations générales'!$C$66:$H$70,5,FALSE)*(AL291/$AM$28)/12,0)*12,IF(C291="3112. Logements",ROUND(VLOOKUP(C291,'Informations générales'!$C$66:$H$70,5,FALSE)*(AL291/$AN$28)/12,0)*12,IF(C291="3113. Logements",ROUND(VLOOKUP(C291,'Informations générales'!$C$66:$H$70,5,FALSE)*(AL291/$AO$28)/12,0)*12,IF(C291="3114. Logements",ROUND(VLOOKUP(C291,'Informations générales'!$C$66:$H$70,5,FALSE)*(AL291/$AP$28)/12,0)*12,IF(C291="3115. Logements",ROUND(VLOOKUP(C291,'Informations générales'!$C$66:$H$70,5,FALSE)*(AL291/$AQ$28)/12,0)*12,"")))))</f>
        <v/>
      </c>
      <c r="AI291" s="114"/>
      <c r="AJ291" s="114"/>
      <c r="AK291" s="76"/>
      <c r="AL291" s="58">
        <f t="shared" si="71"/>
        <v>0</v>
      </c>
      <c r="AM291" s="58"/>
      <c r="AN291" s="58"/>
      <c r="AO291" s="58"/>
      <c r="AP291" s="58"/>
      <c r="AQ291" s="58"/>
      <c r="AR291" s="58">
        <f t="shared" si="59"/>
        <v>0</v>
      </c>
      <c r="AS291" s="58">
        <f t="shared" si="60"/>
        <v>0</v>
      </c>
      <c r="AT291" s="58">
        <f t="shared" si="61"/>
        <v>0</v>
      </c>
      <c r="AU291" s="58">
        <f t="shared" si="62"/>
        <v>0</v>
      </c>
      <c r="AV291" s="58">
        <f t="shared" si="63"/>
        <v>0</v>
      </c>
      <c r="AW291" s="58">
        <f t="shared" si="64"/>
        <v>0</v>
      </c>
      <c r="AX291" s="58">
        <f t="shared" si="65"/>
        <v>0</v>
      </c>
      <c r="AY291" s="58">
        <f t="shared" si="72"/>
        <v>0</v>
      </c>
      <c r="AZ291" s="62">
        <f t="shared" si="66"/>
        <v>0</v>
      </c>
      <c r="BA291" s="63">
        <f t="shared" si="67"/>
        <v>0</v>
      </c>
      <c r="BB291" s="63">
        <f t="shared" si="68"/>
        <v>0</v>
      </c>
    </row>
    <row r="292" spans="3:54" s="17" customFormat="1" x14ac:dyDescent="0.25">
      <c r="C292" s="215"/>
      <c r="D292" s="216"/>
      <c r="E292" s="88"/>
      <c r="F292" s="217"/>
      <c r="G292" s="234"/>
      <c r="H292" s="218"/>
      <c r="I292" s="76"/>
      <c r="J292" s="77"/>
      <c r="K292" s="76"/>
      <c r="L292" s="78"/>
      <c r="M292" s="78"/>
      <c r="N292" s="76" t="s">
        <v>39</v>
      </c>
      <c r="O292" s="110"/>
      <c r="P292" s="152"/>
      <c r="Q292" s="111" t="str">
        <f>IFERROR(MIN(VLOOKUP(ROUNDDOWN(P292,0),'Aide calcul'!$B$2:$C$282,2,FALSE),O292+1),"")</f>
        <v/>
      </c>
      <c r="R292" s="112" t="str">
        <f t="shared" si="69"/>
        <v/>
      </c>
      <c r="S292" s="152"/>
      <c r="T292" s="152"/>
      <c r="U292" s="152"/>
      <c r="V292" s="152"/>
      <c r="W292" s="152"/>
      <c r="X292" s="152"/>
      <c r="Y292" s="152"/>
      <c r="Z292" s="76"/>
      <c r="AA292" s="76"/>
      <c r="AB292" s="113" t="str">
        <f>IF(C292="3111. Logements",ROUND(VLOOKUP(C292,'Informations générales'!$C$66:$E$70,3,FALSE)*(AL292/$AM$28)/12,0)*12,IF(C292="3112. Logements",ROUND(VLOOKUP(C292,'Informations générales'!$C$66:$E$70,3,FALSE)*(AL292/$AN$28)/12,0)*12,IF(C292="3113. Logements",ROUND(VLOOKUP(C292,'Informations générales'!$C$66:$E$70,3,FALSE)*(AL292/$AO$28)/12,0)*12,IF(C292="3114. Logements",ROUND(VLOOKUP(C292,'Informations générales'!$C$66:$E$70,3,FALSE)*(AL292/$AP$28)/12,0)*12,IF(C292="3115. Logements",ROUND(VLOOKUP(C292,'Informations générales'!$C$66:$E$70,3,FALSE)*(AL292/$AQ$28)/12,0)*12,"")))))</f>
        <v/>
      </c>
      <c r="AC292" s="114"/>
      <c r="AD292" s="113">
        <f t="shared" si="70"/>
        <v>0</v>
      </c>
      <c r="AE292" s="114"/>
      <c r="AF292" s="203" t="str">
        <f>IF(C292="3111. Logements",ROUND(VLOOKUP(C292,'Informations générales'!$C$66:$E$70,3,FALSE)*(AL292/$AM$28)/12,0)*12,IF(C292="3112. Logements",ROUND(VLOOKUP(C292,'Informations générales'!$C$66:$E$70,3,FALSE)*(AL292/$AN$28)/12,0)*12,IF(C292="3113. Logements",ROUND(VLOOKUP(C292,'Informations générales'!$C$66:$E$70,3,FALSE)*(AL292/$AO$28)/12,0)*12,IF(C292="3114. Logements",ROUND(VLOOKUP(C292,'Informations générales'!$C$66:$E$70,3,FALSE)*(AL292/$AP$28)/12,0)*12,IF(C292="3115. Logements",ROUND(VLOOKUP(C292,'Informations générales'!$C$66:$E$70,3,FALSE)*(AL292/$AQ$28)/12,0)*12,"")))))</f>
        <v/>
      </c>
      <c r="AG292" s="202"/>
      <c r="AH292" s="113" t="str">
        <f>IF(C292="3111. Logements",ROUND(VLOOKUP(C292,'Informations générales'!$C$66:$H$70,5,FALSE)*(AL292/$AM$28)/12,0)*12,IF(C292="3112. Logements",ROUND(VLOOKUP(C292,'Informations générales'!$C$66:$H$70,5,FALSE)*(AL292/$AN$28)/12,0)*12,IF(C292="3113. Logements",ROUND(VLOOKUP(C292,'Informations générales'!$C$66:$H$70,5,FALSE)*(AL292/$AO$28)/12,0)*12,IF(C292="3114. Logements",ROUND(VLOOKUP(C292,'Informations générales'!$C$66:$H$70,5,FALSE)*(AL292/$AP$28)/12,0)*12,IF(C292="3115. Logements",ROUND(VLOOKUP(C292,'Informations générales'!$C$66:$H$70,5,FALSE)*(AL292/$AQ$28)/12,0)*12,"")))))</f>
        <v/>
      </c>
      <c r="AI292" s="114"/>
      <c r="AJ292" s="114"/>
      <c r="AK292" s="76"/>
      <c r="AL292" s="58">
        <f t="shared" si="71"/>
        <v>0</v>
      </c>
      <c r="AM292" s="58"/>
      <c r="AN292" s="58"/>
      <c r="AO292" s="58"/>
      <c r="AP292" s="58"/>
      <c r="AQ292" s="58"/>
      <c r="AR292" s="58">
        <f t="shared" si="59"/>
        <v>0</v>
      </c>
      <c r="AS292" s="58">
        <f t="shared" si="60"/>
        <v>0</v>
      </c>
      <c r="AT292" s="58">
        <f t="shared" si="61"/>
        <v>0</v>
      </c>
      <c r="AU292" s="58">
        <f t="shared" si="62"/>
        <v>0</v>
      </c>
      <c r="AV292" s="58">
        <f t="shared" si="63"/>
        <v>0</v>
      </c>
      <c r="AW292" s="58">
        <f t="shared" si="64"/>
        <v>0</v>
      </c>
      <c r="AX292" s="58">
        <f t="shared" si="65"/>
        <v>0</v>
      </c>
      <c r="AY292" s="58">
        <f t="shared" si="72"/>
        <v>0</v>
      </c>
      <c r="AZ292" s="62">
        <f t="shared" si="66"/>
        <v>0</v>
      </c>
      <c r="BA292" s="63">
        <f t="shared" si="67"/>
        <v>0</v>
      </c>
      <c r="BB292" s="63">
        <f t="shared" si="68"/>
        <v>0</v>
      </c>
    </row>
    <row r="293" spans="3:54" s="17" customFormat="1" x14ac:dyDescent="0.25">
      <c r="C293" s="215"/>
      <c r="D293" s="216"/>
      <c r="E293" s="88"/>
      <c r="F293" s="217"/>
      <c r="G293" s="234"/>
      <c r="H293" s="218"/>
      <c r="I293" s="76"/>
      <c r="J293" s="77"/>
      <c r="K293" s="76"/>
      <c r="L293" s="78"/>
      <c r="M293" s="78"/>
      <c r="N293" s="76" t="s">
        <v>39</v>
      </c>
      <c r="O293" s="110"/>
      <c r="P293" s="152"/>
      <c r="Q293" s="111" t="str">
        <f>IFERROR(MIN(VLOOKUP(ROUNDDOWN(P293,0),'Aide calcul'!$B$2:$C$282,2,FALSE),O293+1),"")</f>
        <v/>
      </c>
      <c r="R293" s="112" t="str">
        <f t="shared" si="69"/>
        <v/>
      </c>
      <c r="S293" s="152"/>
      <c r="T293" s="152"/>
      <c r="U293" s="152"/>
      <c r="V293" s="152"/>
      <c r="W293" s="152"/>
      <c r="X293" s="152"/>
      <c r="Y293" s="152"/>
      <c r="Z293" s="76"/>
      <c r="AA293" s="76"/>
      <c r="AB293" s="113" t="str">
        <f>IF(C293="3111. Logements",ROUND(VLOOKUP(C293,'Informations générales'!$C$66:$E$70,3,FALSE)*(AL293/$AM$28)/12,0)*12,IF(C293="3112. Logements",ROUND(VLOOKUP(C293,'Informations générales'!$C$66:$E$70,3,FALSE)*(AL293/$AN$28)/12,0)*12,IF(C293="3113. Logements",ROUND(VLOOKUP(C293,'Informations générales'!$C$66:$E$70,3,FALSE)*(AL293/$AO$28)/12,0)*12,IF(C293="3114. Logements",ROUND(VLOOKUP(C293,'Informations générales'!$C$66:$E$70,3,FALSE)*(AL293/$AP$28)/12,0)*12,IF(C293="3115. Logements",ROUND(VLOOKUP(C293,'Informations générales'!$C$66:$E$70,3,FALSE)*(AL293/$AQ$28)/12,0)*12,"")))))</f>
        <v/>
      </c>
      <c r="AC293" s="114"/>
      <c r="AD293" s="113">
        <f t="shared" si="70"/>
        <v>0</v>
      </c>
      <c r="AE293" s="114"/>
      <c r="AF293" s="203" t="str">
        <f>IF(C293="3111. Logements",ROUND(VLOOKUP(C293,'Informations générales'!$C$66:$E$70,3,FALSE)*(AL293/$AM$28)/12,0)*12,IF(C293="3112. Logements",ROUND(VLOOKUP(C293,'Informations générales'!$C$66:$E$70,3,FALSE)*(AL293/$AN$28)/12,0)*12,IF(C293="3113. Logements",ROUND(VLOOKUP(C293,'Informations générales'!$C$66:$E$70,3,FALSE)*(AL293/$AO$28)/12,0)*12,IF(C293="3114. Logements",ROUND(VLOOKUP(C293,'Informations générales'!$C$66:$E$70,3,FALSE)*(AL293/$AP$28)/12,0)*12,IF(C293="3115. Logements",ROUND(VLOOKUP(C293,'Informations générales'!$C$66:$E$70,3,FALSE)*(AL293/$AQ$28)/12,0)*12,"")))))</f>
        <v/>
      </c>
      <c r="AG293" s="202"/>
      <c r="AH293" s="113" t="str">
        <f>IF(C293="3111. Logements",ROUND(VLOOKUP(C293,'Informations générales'!$C$66:$H$70,5,FALSE)*(AL293/$AM$28)/12,0)*12,IF(C293="3112. Logements",ROUND(VLOOKUP(C293,'Informations générales'!$C$66:$H$70,5,FALSE)*(AL293/$AN$28)/12,0)*12,IF(C293="3113. Logements",ROUND(VLOOKUP(C293,'Informations générales'!$C$66:$H$70,5,FALSE)*(AL293/$AO$28)/12,0)*12,IF(C293="3114. Logements",ROUND(VLOOKUP(C293,'Informations générales'!$C$66:$H$70,5,FALSE)*(AL293/$AP$28)/12,0)*12,IF(C293="3115. Logements",ROUND(VLOOKUP(C293,'Informations générales'!$C$66:$H$70,5,FALSE)*(AL293/$AQ$28)/12,0)*12,"")))))</f>
        <v/>
      </c>
      <c r="AI293" s="114"/>
      <c r="AJ293" s="114"/>
      <c r="AK293" s="76"/>
      <c r="AL293" s="58">
        <f t="shared" si="71"/>
        <v>0</v>
      </c>
      <c r="AM293" s="58"/>
      <c r="AN293" s="58"/>
      <c r="AO293" s="58"/>
      <c r="AP293" s="58"/>
      <c r="AQ293" s="58"/>
      <c r="AR293" s="58">
        <f t="shared" si="59"/>
        <v>0</v>
      </c>
      <c r="AS293" s="58">
        <f t="shared" si="60"/>
        <v>0</v>
      </c>
      <c r="AT293" s="58">
        <f t="shared" si="61"/>
        <v>0</v>
      </c>
      <c r="AU293" s="58">
        <f t="shared" si="62"/>
        <v>0</v>
      </c>
      <c r="AV293" s="58">
        <f t="shared" si="63"/>
        <v>0</v>
      </c>
      <c r="AW293" s="58">
        <f t="shared" si="64"/>
        <v>0</v>
      </c>
      <c r="AX293" s="58">
        <f t="shared" si="65"/>
        <v>0</v>
      </c>
      <c r="AY293" s="58">
        <f t="shared" si="72"/>
        <v>0</v>
      </c>
      <c r="AZ293" s="62">
        <f t="shared" si="66"/>
        <v>0</v>
      </c>
      <c r="BA293" s="63">
        <f t="shared" si="67"/>
        <v>0</v>
      </c>
      <c r="BB293" s="63">
        <f t="shared" si="68"/>
        <v>0</v>
      </c>
    </row>
    <row r="294" spans="3:54" s="17" customFormat="1" x14ac:dyDescent="0.25">
      <c r="C294" s="215"/>
      <c r="D294" s="216"/>
      <c r="E294" s="88"/>
      <c r="F294" s="217"/>
      <c r="G294" s="234"/>
      <c r="H294" s="218"/>
      <c r="I294" s="76"/>
      <c r="J294" s="77"/>
      <c r="K294" s="76"/>
      <c r="L294" s="78"/>
      <c r="M294" s="78"/>
      <c r="N294" s="76" t="s">
        <v>39</v>
      </c>
      <c r="O294" s="110"/>
      <c r="P294" s="152"/>
      <c r="Q294" s="111" t="str">
        <f>IFERROR(MIN(VLOOKUP(ROUNDDOWN(P294,0),'Aide calcul'!$B$2:$C$282,2,FALSE),O294+1),"")</f>
        <v/>
      </c>
      <c r="R294" s="112" t="str">
        <f t="shared" si="69"/>
        <v/>
      </c>
      <c r="S294" s="152"/>
      <c r="T294" s="152"/>
      <c r="U294" s="152"/>
      <c r="V294" s="152"/>
      <c r="W294" s="152"/>
      <c r="X294" s="152"/>
      <c r="Y294" s="152"/>
      <c r="Z294" s="76"/>
      <c r="AA294" s="76"/>
      <c r="AB294" s="113" t="str">
        <f>IF(C294="3111. Logements",ROUND(VLOOKUP(C294,'Informations générales'!$C$66:$E$70,3,FALSE)*(AL294/$AM$28)/12,0)*12,IF(C294="3112. Logements",ROUND(VLOOKUP(C294,'Informations générales'!$C$66:$E$70,3,FALSE)*(AL294/$AN$28)/12,0)*12,IF(C294="3113. Logements",ROUND(VLOOKUP(C294,'Informations générales'!$C$66:$E$70,3,FALSE)*(AL294/$AO$28)/12,0)*12,IF(C294="3114. Logements",ROUND(VLOOKUP(C294,'Informations générales'!$C$66:$E$70,3,FALSE)*(AL294/$AP$28)/12,0)*12,IF(C294="3115. Logements",ROUND(VLOOKUP(C294,'Informations générales'!$C$66:$E$70,3,FALSE)*(AL294/$AQ$28)/12,0)*12,"")))))</f>
        <v/>
      </c>
      <c r="AC294" s="114"/>
      <c r="AD294" s="113">
        <f t="shared" si="70"/>
        <v>0</v>
      </c>
      <c r="AE294" s="114"/>
      <c r="AF294" s="203" t="str">
        <f>IF(C294="3111. Logements",ROUND(VLOOKUP(C294,'Informations générales'!$C$66:$E$70,3,FALSE)*(AL294/$AM$28)/12,0)*12,IF(C294="3112. Logements",ROUND(VLOOKUP(C294,'Informations générales'!$C$66:$E$70,3,FALSE)*(AL294/$AN$28)/12,0)*12,IF(C294="3113. Logements",ROUND(VLOOKUP(C294,'Informations générales'!$C$66:$E$70,3,FALSE)*(AL294/$AO$28)/12,0)*12,IF(C294="3114. Logements",ROUND(VLOOKUP(C294,'Informations générales'!$C$66:$E$70,3,FALSE)*(AL294/$AP$28)/12,0)*12,IF(C294="3115. Logements",ROUND(VLOOKUP(C294,'Informations générales'!$C$66:$E$70,3,FALSE)*(AL294/$AQ$28)/12,0)*12,"")))))</f>
        <v/>
      </c>
      <c r="AG294" s="202"/>
      <c r="AH294" s="113" t="str">
        <f>IF(C294="3111. Logements",ROUND(VLOOKUP(C294,'Informations générales'!$C$66:$H$70,5,FALSE)*(AL294/$AM$28)/12,0)*12,IF(C294="3112. Logements",ROUND(VLOOKUP(C294,'Informations générales'!$C$66:$H$70,5,FALSE)*(AL294/$AN$28)/12,0)*12,IF(C294="3113. Logements",ROUND(VLOOKUP(C294,'Informations générales'!$C$66:$H$70,5,FALSE)*(AL294/$AO$28)/12,0)*12,IF(C294="3114. Logements",ROUND(VLOOKUP(C294,'Informations générales'!$C$66:$H$70,5,FALSE)*(AL294/$AP$28)/12,0)*12,IF(C294="3115. Logements",ROUND(VLOOKUP(C294,'Informations générales'!$C$66:$H$70,5,FALSE)*(AL294/$AQ$28)/12,0)*12,"")))))</f>
        <v/>
      </c>
      <c r="AI294" s="114"/>
      <c r="AJ294" s="114"/>
      <c r="AK294" s="76"/>
      <c r="AL294" s="58">
        <f t="shared" si="71"/>
        <v>0</v>
      </c>
      <c r="AM294" s="58"/>
      <c r="AN294" s="58"/>
      <c r="AO294" s="58"/>
      <c r="AP294" s="58"/>
      <c r="AQ294" s="58"/>
      <c r="AR294" s="58">
        <f t="shared" si="59"/>
        <v>0</v>
      </c>
      <c r="AS294" s="58">
        <f t="shared" si="60"/>
        <v>0</v>
      </c>
      <c r="AT294" s="58">
        <f t="shared" si="61"/>
        <v>0</v>
      </c>
      <c r="AU294" s="58">
        <f t="shared" si="62"/>
        <v>0</v>
      </c>
      <c r="AV294" s="58">
        <f t="shared" si="63"/>
        <v>0</v>
      </c>
      <c r="AW294" s="58">
        <f t="shared" si="64"/>
        <v>0</v>
      </c>
      <c r="AX294" s="58">
        <f t="shared" si="65"/>
        <v>0</v>
      </c>
      <c r="AY294" s="58">
        <f t="shared" si="72"/>
        <v>0</v>
      </c>
      <c r="AZ294" s="62">
        <f t="shared" si="66"/>
        <v>0</v>
      </c>
      <c r="BA294" s="63">
        <f t="shared" si="67"/>
        <v>0</v>
      </c>
      <c r="BB294" s="63">
        <f t="shared" si="68"/>
        <v>0</v>
      </c>
    </row>
    <row r="295" spans="3:54" s="17" customFormat="1" x14ac:dyDescent="0.25">
      <c r="C295" s="215"/>
      <c r="D295" s="216"/>
      <c r="E295" s="88"/>
      <c r="F295" s="217"/>
      <c r="G295" s="234"/>
      <c r="H295" s="218"/>
      <c r="I295" s="76"/>
      <c r="J295" s="77"/>
      <c r="K295" s="76"/>
      <c r="L295" s="78"/>
      <c r="M295" s="78"/>
      <c r="N295" s="76" t="s">
        <v>39</v>
      </c>
      <c r="O295" s="110"/>
      <c r="P295" s="152"/>
      <c r="Q295" s="111" t="str">
        <f>IFERROR(MIN(VLOOKUP(ROUNDDOWN(P295,0),'Aide calcul'!$B$2:$C$282,2,FALSE),O295+1),"")</f>
        <v/>
      </c>
      <c r="R295" s="112" t="str">
        <f t="shared" si="69"/>
        <v/>
      </c>
      <c r="S295" s="152"/>
      <c r="T295" s="152"/>
      <c r="U295" s="152"/>
      <c r="V295" s="152"/>
      <c r="W295" s="152"/>
      <c r="X295" s="152"/>
      <c r="Y295" s="152"/>
      <c r="Z295" s="76"/>
      <c r="AA295" s="76"/>
      <c r="AB295" s="113" t="str">
        <f>IF(C295="3111. Logements",ROUND(VLOOKUP(C295,'Informations générales'!$C$66:$E$70,3,FALSE)*(AL295/$AM$28)/12,0)*12,IF(C295="3112. Logements",ROUND(VLOOKUP(C295,'Informations générales'!$C$66:$E$70,3,FALSE)*(AL295/$AN$28)/12,0)*12,IF(C295="3113. Logements",ROUND(VLOOKUP(C295,'Informations générales'!$C$66:$E$70,3,FALSE)*(AL295/$AO$28)/12,0)*12,IF(C295="3114. Logements",ROUND(VLOOKUP(C295,'Informations générales'!$C$66:$E$70,3,FALSE)*(AL295/$AP$28)/12,0)*12,IF(C295="3115. Logements",ROUND(VLOOKUP(C295,'Informations générales'!$C$66:$E$70,3,FALSE)*(AL295/$AQ$28)/12,0)*12,"")))))</f>
        <v/>
      </c>
      <c r="AC295" s="114"/>
      <c r="AD295" s="113">
        <f t="shared" si="70"/>
        <v>0</v>
      </c>
      <c r="AE295" s="114"/>
      <c r="AF295" s="203" t="str">
        <f>IF(C295="3111. Logements",ROUND(VLOOKUP(C295,'Informations générales'!$C$66:$E$70,3,FALSE)*(AL295/$AM$28)/12,0)*12,IF(C295="3112. Logements",ROUND(VLOOKUP(C295,'Informations générales'!$C$66:$E$70,3,FALSE)*(AL295/$AN$28)/12,0)*12,IF(C295="3113. Logements",ROUND(VLOOKUP(C295,'Informations générales'!$C$66:$E$70,3,FALSE)*(AL295/$AO$28)/12,0)*12,IF(C295="3114. Logements",ROUND(VLOOKUP(C295,'Informations générales'!$C$66:$E$70,3,FALSE)*(AL295/$AP$28)/12,0)*12,IF(C295="3115. Logements",ROUND(VLOOKUP(C295,'Informations générales'!$C$66:$E$70,3,FALSE)*(AL295/$AQ$28)/12,0)*12,"")))))</f>
        <v/>
      </c>
      <c r="AG295" s="202"/>
      <c r="AH295" s="113" t="str">
        <f>IF(C295="3111. Logements",ROUND(VLOOKUP(C295,'Informations générales'!$C$66:$H$70,5,FALSE)*(AL295/$AM$28)/12,0)*12,IF(C295="3112. Logements",ROUND(VLOOKUP(C295,'Informations générales'!$C$66:$H$70,5,FALSE)*(AL295/$AN$28)/12,0)*12,IF(C295="3113. Logements",ROUND(VLOOKUP(C295,'Informations générales'!$C$66:$H$70,5,FALSE)*(AL295/$AO$28)/12,0)*12,IF(C295="3114. Logements",ROUND(VLOOKUP(C295,'Informations générales'!$C$66:$H$70,5,FALSE)*(AL295/$AP$28)/12,0)*12,IF(C295="3115. Logements",ROUND(VLOOKUP(C295,'Informations générales'!$C$66:$H$70,5,FALSE)*(AL295/$AQ$28)/12,0)*12,"")))))</f>
        <v/>
      </c>
      <c r="AI295" s="114"/>
      <c r="AJ295" s="114"/>
      <c r="AK295" s="76"/>
      <c r="AL295" s="58">
        <f t="shared" si="71"/>
        <v>0</v>
      </c>
      <c r="AM295" s="58"/>
      <c r="AN295" s="58"/>
      <c r="AO295" s="58"/>
      <c r="AP295" s="58"/>
      <c r="AQ295" s="58"/>
      <c r="AR295" s="58">
        <f t="shared" si="59"/>
        <v>0</v>
      </c>
      <c r="AS295" s="58">
        <f t="shared" si="60"/>
        <v>0</v>
      </c>
      <c r="AT295" s="58">
        <f t="shared" si="61"/>
        <v>0</v>
      </c>
      <c r="AU295" s="58">
        <f t="shared" si="62"/>
        <v>0</v>
      </c>
      <c r="AV295" s="58">
        <f t="shared" si="63"/>
        <v>0</v>
      </c>
      <c r="AW295" s="58">
        <f t="shared" si="64"/>
        <v>0</v>
      </c>
      <c r="AX295" s="58">
        <f t="shared" si="65"/>
        <v>0</v>
      </c>
      <c r="AY295" s="58">
        <f t="shared" si="72"/>
        <v>0</v>
      </c>
      <c r="AZ295" s="62">
        <f t="shared" si="66"/>
        <v>0</v>
      </c>
      <c r="BA295" s="63">
        <f t="shared" si="67"/>
        <v>0</v>
      </c>
      <c r="BB295" s="63">
        <f t="shared" si="68"/>
        <v>0</v>
      </c>
    </row>
    <row r="296" spans="3:54" s="17" customFormat="1" x14ac:dyDescent="0.25">
      <c r="C296" s="215"/>
      <c r="D296" s="216"/>
      <c r="E296" s="88"/>
      <c r="F296" s="217"/>
      <c r="G296" s="234"/>
      <c r="H296" s="218"/>
      <c r="I296" s="76"/>
      <c r="J296" s="77"/>
      <c r="K296" s="76"/>
      <c r="L296" s="78"/>
      <c r="M296" s="78"/>
      <c r="N296" s="76" t="s">
        <v>39</v>
      </c>
      <c r="O296" s="110"/>
      <c r="P296" s="152"/>
      <c r="Q296" s="111" t="str">
        <f>IFERROR(MIN(VLOOKUP(ROUNDDOWN(P296,0),'Aide calcul'!$B$2:$C$282,2,FALSE),O296+1),"")</f>
        <v/>
      </c>
      <c r="R296" s="112" t="str">
        <f t="shared" si="69"/>
        <v/>
      </c>
      <c r="S296" s="152"/>
      <c r="T296" s="152"/>
      <c r="U296" s="152"/>
      <c r="V296" s="152"/>
      <c r="W296" s="152"/>
      <c r="X296" s="152"/>
      <c r="Y296" s="152"/>
      <c r="Z296" s="76"/>
      <c r="AA296" s="76"/>
      <c r="AB296" s="113" t="str">
        <f>IF(C296="3111. Logements",ROUND(VLOOKUP(C296,'Informations générales'!$C$66:$E$70,3,FALSE)*(AL296/$AM$28)/12,0)*12,IF(C296="3112. Logements",ROUND(VLOOKUP(C296,'Informations générales'!$C$66:$E$70,3,FALSE)*(AL296/$AN$28)/12,0)*12,IF(C296="3113. Logements",ROUND(VLOOKUP(C296,'Informations générales'!$C$66:$E$70,3,FALSE)*(AL296/$AO$28)/12,0)*12,IF(C296="3114. Logements",ROUND(VLOOKUP(C296,'Informations générales'!$C$66:$E$70,3,FALSE)*(AL296/$AP$28)/12,0)*12,IF(C296="3115. Logements",ROUND(VLOOKUP(C296,'Informations générales'!$C$66:$E$70,3,FALSE)*(AL296/$AQ$28)/12,0)*12,"")))))</f>
        <v/>
      </c>
      <c r="AC296" s="114"/>
      <c r="AD296" s="113">
        <f t="shared" si="70"/>
        <v>0</v>
      </c>
      <c r="AE296" s="114"/>
      <c r="AF296" s="203" t="str">
        <f>IF(C296="3111. Logements",ROUND(VLOOKUP(C296,'Informations générales'!$C$66:$E$70,3,FALSE)*(AL296/$AM$28)/12,0)*12,IF(C296="3112. Logements",ROUND(VLOOKUP(C296,'Informations générales'!$C$66:$E$70,3,FALSE)*(AL296/$AN$28)/12,0)*12,IF(C296="3113. Logements",ROUND(VLOOKUP(C296,'Informations générales'!$C$66:$E$70,3,FALSE)*(AL296/$AO$28)/12,0)*12,IF(C296="3114. Logements",ROUND(VLOOKUP(C296,'Informations générales'!$C$66:$E$70,3,FALSE)*(AL296/$AP$28)/12,0)*12,IF(C296="3115. Logements",ROUND(VLOOKUP(C296,'Informations générales'!$C$66:$E$70,3,FALSE)*(AL296/$AQ$28)/12,0)*12,"")))))</f>
        <v/>
      </c>
      <c r="AG296" s="202"/>
      <c r="AH296" s="113" t="str">
        <f>IF(C296="3111. Logements",ROUND(VLOOKUP(C296,'Informations générales'!$C$66:$H$70,5,FALSE)*(AL296/$AM$28)/12,0)*12,IF(C296="3112. Logements",ROUND(VLOOKUP(C296,'Informations générales'!$C$66:$H$70,5,FALSE)*(AL296/$AN$28)/12,0)*12,IF(C296="3113. Logements",ROUND(VLOOKUP(C296,'Informations générales'!$C$66:$H$70,5,FALSE)*(AL296/$AO$28)/12,0)*12,IF(C296="3114. Logements",ROUND(VLOOKUP(C296,'Informations générales'!$C$66:$H$70,5,FALSE)*(AL296/$AP$28)/12,0)*12,IF(C296="3115. Logements",ROUND(VLOOKUP(C296,'Informations générales'!$C$66:$H$70,5,FALSE)*(AL296/$AQ$28)/12,0)*12,"")))))</f>
        <v/>
      </c>
      <c r="AI296" s="114"/>
      <c r="AJ296" s="114"/>
      <c r="AK296" s="76"/>
      <c r="AL296" s="58">
        <f t="shared" si="71"/>
        <v>0</v>
      </c>
      <c r="AM296" s="58"/>
      <c r="AN296" s="58"/>
      <c r="AO296" s="58"/>
      <c r="AP296" s="58"/>
      <c r="AQ296" s="58"/>
      <c r="AR296" s="58">
        <f t="shared" si="59"/>
        <v>0</v>
      </c>
      <c r="AS296" s="58">
        <f t="shared" si="60"/>
        <v>0</v>
      </c>
      <c r="AT296" s="58">
        <f t="shared" si="61"/>
        <v>0</v>
      </c>
      <c r="AU296" s="58">
        <f t="shared" si="62"/>
        <v>0</v>
      </c>
      <c r="AV296" s="58">
        <f t="shared" si="63"/>
        <v>0</v>
      </c>
      <c r="AW296" s="58">
        <f t="shared" si="64"/>
        <v>0</v>
      </c>
      <c r="AX296" s="58">
        <f t="shared" si="65"/>
        <v>0</v>
      </c>
      <c r="AY296" s="58">
        <f t="shared" si="72"/>
        <v>0</v>
      </c>
      <c r="AZ296" s="62">
        <f t="shared" si="66"/>
        <v>0</v>
      </c>
      <c r="BA296" s="63">
        <f t="shared" si="67"/>
        <v>0</v>
      </c>
      <c r="BB296" s="63">
        <f t="shared" si="68"/>
        <v>0</v>
      </c>
    </row>
    <row r="297" spans="3:54" s="17" customFormat="1" x14ac:dyDescent="0.25">
      <c r="C297" s="215"/>
      <c r="D297" s="216"/>
      <c r="E297" s="88"/>
      <c r="F297" s="217"/>
      <c r="G297" s="234"/>
      <c r="H297" s="218"/>
      <c r="I297" s="76"/>
      <c r="J297" s="77"/>
      <c r="K297" s="76"/>
      <c r="L297" s="78"/>
      <c r="M297" s="78"/>
      <c r="N297" s="76" t="s">
        <v>39</v>
      </c>
      <c r="O297" s="110"/>
      <c r="P297" s="152"/>
      <c r="Q297" s="111" t="str">
        <f>IFERROR(MIN(VLOOKUP(ROUNDDOWN(P297,0),'Aide calcul'!$B$2:$C$282,2,FALSE),O297+1),"")</f>
        <v/>
      </c>
      <c r="R297" s="112" t="str">
        <f t="shared" si="69"/>
        <v/>
      </c>
      <c r="S297" s="152"/>
      <c r="T297" s="152"/>
      <c r="U297" s="152"/>
      <c r="V297" s="152"/>
      <c r="W297" s="152"/>
      <c r="X297" s="152"/>
      <c r="Y297" s="152"/>
      <c r="Z297" s="76"/>
      <c r="AA297" s="76"/>
      <c r="AB297" s="113" t="str">
        <f>IF(C297="3111. Logements",ROUND(VLOOKUP(C297,'Informations générales'!$C$66:$E$70,3,FALSE)*(AL297/$AM$28)/12,0)*12,IF(C297="3112. Logements",ROUND(VLOOKUP(C297,'Informations générales'!$C$66:$E$70,3,FALSE)*(AL297/$AN$28)/12,0)*12,IF(C297="3113. Logements",ROUND(VLOOKUP(C297,'Informations générales'!$C$66:$E$70,3,FALSE)*(AL297/$AO$28)/12,0)*12,IF(C297="3114. Logements",ROUND(VLOOKUP(C297,'Informations générales'!$C$66:$E$70,3,FALSE)*(AL297/$AP$28)/12,0)*12,IF(C297="3115. Logements",ROUND(VLOOKUP(C297,'Informations générales'!$C$66:$E$70,3,FALSE)*(AL297/$AQ$28)/12,0)*12,"")))))</f>
        <v/>
      </c>
      <c r="AC297" s="114"/>
      <c r="AD297" s="113">
        <f t="shared" si="70"/>
        <v>0</v>
      </c>
      <c r="AE297" s="114"/>
      <c r="AF297" s="203" t="str">
        <f>IF(C297="3111. Logements",ROUND(VLOOKUP(C297,'Informations générales'!$C$66:$E$70,3,FALSE)*(AL297/$AM$28)/12,0)*12,IF(C297="3112. Logements",ROUND(VLOOKUP(C297,'Informations générales'!$C$66:$E$70,3,FALSE)*(AL297/$AN$28)/12,0)*12,IF(C297="3113. Logements",ROUND(VLOOKUP(C297,'Informations générales'!$C$66:$E$70,3,FALSE)*(AL297/$AO$28)/12,0)*12,IF(C297="3114. Logements",ROUND(VLOOKUP(C297,'Informations générales'!$C$66:$E$70,3,FALSE)*(AL297/$AP$28)/12,0)*12,IF(C297="3115. Logements",ROUND(VLOOKUP(C297,'Informations générales'!$C$66:$E$70,3,FALSE)*(AL297/$AQ$28)/12,0)*12,"")))))</f>
        <v/>
      </c>
      <c r="AG297" s="202"/>
      <c r="AH297" s="113" t="str">
        <f>IF(C297="3111. Logements",ROUND(VLOOKUP(C297,'Informations générales'!$C$66:$H$70,5,FALSE)*(AL297/$AM$28)/12,0)*12,IF(C297="3112. Logements",ROUND(VLOOKUP(C297,'Informations générales'!$C$66:$H$70,5,FALSE)*(AL297/$AN$28)/12,0)*12,IF(C297="3113. Logements",ROUND(VLOOKUP(C297,'Informations générales'!$C$66:$H$70,5,FALSE)*(AL297/$AO$28)/12,0)*12,IF(C297="3114. Logements",ROUND(VLOOKUP(C297,'Informations générales'!$C$66:$H$70,5,FALSE)*(AL297/$AP$28)/12,0)*12,IF(C297="3115. Logements",ROUND(VLOOKUP(C297,'Informations générales'!$C$66:$H$70,5,FALSE)*(AL297/$AQ$28)/12,0)*12,"")))))</f>
        <v/>
      </c>
      <c r="AI297" s="114"/>
      <c r="AJ297" s="114"/>
      <c r="AK297" s="76"/>
      <c r="AL297" s="58">
        <f t="shared" si="71"/>
        <v>0</v>
      </c>
      <c r="AM297" s="58"/>
      <c r="AN297" s="58"/>
      <c r="AO297" s="58"/>
      <c r="AP297" s="58"/>
      <c r="AQ297" s="58"/>
      <c r="AR297" s="58">
        <f t="shared" si="59"/>
        <v>0</v>
      </c>
      <c r="AS297" s="58">
        <f t="shared" si="60"/>
        <v>0</v>
      </c>
      <c r="AT297" s="58">
        <f t="shared" si="61"/>
        <v>0</v>
      </c>
      <c r="AU297" s="58">
        <f t="shared" si="62"/>
        <v>0</v>
      </c>
      <c r="AV297" s="58">
        <f t="shared" si="63"/>
        <v>0</v>
      </c>
      <c r="AW297" s="58">
        <f t="shared" si="64"/>
        <v>0</v>
      </c>
      <c r="AX297" s="58">
        <f t="shared" si="65"/>
        <v>0</v>
      </c>
      <c r="AY297" s="58">
        <f t="shared" si="72"/>
        <v>0</v>
      </c>
      <c r="AZ297" s="62">
        <f t="shared" si="66"/>
        <v>0</v>
      </c>
      <c r="BA297" s="63">
        <f t="shared" si="67"/>
        <v>0</v>
      </c>
      <c r="BB297" s="63">
        <f t="shared" si="68"/>
        <v>0</v>
      </c>
    </row>
    <row r="298" spans="3:54" s="17" customFormat="1" x14ac:dyDescent="0.25">
      <c r="C298" s="215"/>
      <c r="D298" s="216"/>
      <c r="E298" s="88"/>
      <c r="F298" s="217"/>
      <c r="G298" s="234"/>
      <c r="H298" s="218"/>
      <c r="I298" s="76"/>
      <c r="J298" s="77"/>
      <c r="K298" s="76"/>
      <c r="L298" s="78"/>
      <c r="M298" s="78"/>
      <c r="N298" s="76" t="s">
        <v>39</v>
      </c>
      <c r="O298" s="110"/>
      <c r="P298" s="152"/>
      <c r="Q298" s="111" t="str">
        <f>IFERROR(MIN(VLOOKUP(ROUNDDOWN(P298,0),'Aide calcul'!$B$2:$C$282,2,FALSE),O298+1),"")</f>
        <v/>
      </c>
      <c r="R298" s="112" t="str">
        <f t="shared" si="69"/>
        <v/>
      </c>
      <c r="S298" s="152"/>
      <c r="T298" s="152"/>
      <c r="U298" s="152"/>
      <c r="V298" s="152"/>
      <c r="W298" s="152"/>
      <c r="X298" s="152"/>
      <c r="Y298" s="152"/>
      <c r="Z298" s="76"/>
      <c r="AA298" s="76"/>
      <c r="AB298" s="113" t="str">
        <f>IF(C298="3111. Logements",ROUND(VLOOKUP(C298,'Informations générales'!$C$66:$E$70,3,FALSE)*(AL298/$AM$28)/12,0)*12,IF(C298="3112. Logements",ROUND(VLOOKUP(C298,'Informations générales'!$C$66:$E$70,3,FALSE)*(AL298/$AN$28)/12,0)*12,IF(C298="3113. Logements",ROUND(VLOOKUP(C298,'Informations générales'!$C$66:$E$70,3,FALSE)*(AL298/$AO$28)/12,0)*12,IF(C298="3114. Logements",ROUND(VLOOKUP(C298,'Informations générales'!$C$66:$E$70,3,FALSE)*(AL298/$AP$28)/12,0)*12,IF(C298="3115. Logements",ROUND(VLOOKUP(C298,'Informations générales'!$C$66:$E$70,3,FALSE)*(AL298/$AQ$28)/12,0)*12,"")))))</f>
        <v/>
      </c>
      <c r="AC298" s="114"/>
      <c r="AD298" s="113">
        <f t="shared" si="70"/>
        <v>0</v>
      </c>
      <c r="AE298" s="114"/>
      <c r="AF298" s="203" t="str">
        <f>IF(C298="3111. Logements",ROUND(VLOOKUP(C298,'Informations générales'!$C$66:$E$70,3,FALSE)*(AL298/$AM$28)/12,0)*12,IF(C298="3112. Logements",ROUND(VLOOKUP(C298,'Informations générales'!$C$66:$E$70,3,FALSE)*(AL298/$AN$28)/12,0)*12,IF(C298="3113. Logements",ROUND(VLOOKUP(C298,'Informations générales'!$C$66:$E$70,3,FALSE)*(AL298/$AO$28)/12,0)*12,IF(C298="3114. Logements",ROUND(VLOOKUP(C298,'Informations générales'!$C$66:$E$70,3,FALSE)*(AL298/$AP$28)/12,0)*12,IF(C298="3115. Logements",ROUND(VLOOKUP(C298,'Informations générales'!$C$66:$E$70,3,FALSE)*(AL298/$AQ$28)/12,0)*12,"")))))</f>
        <v/>
      </c>
      <c r="AG298" s="202"/>
      <c r="AH298" s="113" t="str">
        <f>IF(C298="3111. Logements",ROUND(VLOOKUP(C298,'Informations générales'!$C$66:$H$70,5,FALSE)*(AL298/$AM$28)/12,0)*12,IF(C298="3112. Logements",ROUND(VLOOKUP(C298,'Informations générales'!$C$66:$H$70,5,FALSE)*(AL298/$AN$28)/12,0)*12,IF(C298="3113. Logements",ROUND(VLOOKUP(C298,'Informations générales'!$C$66:$H$70,5,FALSE)*(AL298/$AO$28)/12,0)*12,IF(C298="3114. Logements",ROUND(VLOOKUP(C298,'Informations générales'!$C$66:$H$70,5,FALSE)*(AL298/$AP$28)/12,0)*12,IF(C298="3115. Logements",ROUND(VLOOKUP(C298,'Informations générales'!$C$66:$H$70,5,FALSE)*(AL298/$AQ$28)/12,0)*12,"")))))</f>
        <v/>
      </c>
      <c r="AI298" s="114"/>
      <c r="AJ298" s="114"/>
      <c r="AK298" s="76"/>
      <c r="AL298" s="58">
        <f t="shared" si="71"/>
        <v>0</v>
      </c>
      <c r="AM298" s="58"/>
      <c r="AN298" s="58"/>
      <c r="AO298" s="58"/>
      <c r="AP298" s="58"/>
      <c r="AQ298" s="58"/>
      <c r="AR298" s="58">
        <f t="shared" si="59"/>
        <v>0</v>
      </c>
      <c r="AS298" s="58">
        <f t="shared" si="60"/>
        <v>0</v>
      </c>
      <c r="AT298" s="58">
        <f t="shared" si="61"/>
        <v>0</v>
      </c>
      <c r="AU298" s="58">
        <f t="shared" si="62"/>
        <v>0</v>
      </c>
      <c r="AV298" s="58">
        <f t="shared" si="63"/>
        <v>0</v>
      </c>
      <c r="AW298" s="58">
        <f t="shared" si="64"/>
        <v>0</v>
      </c>
      <c r="AX298" s="58">
        <f t="shared" si="65"/>
        <v>0</v>
      </c>
      <c r="AY298" s="58">
        <f t="shared" si="72"/>
        <v>0</v>
      </c>
      <c r="AZ298" s="62">
        <f t="shared" si="66"/>
        <v>0</v>
      </c>
      <c r="BA298" s="63">
        <f t="shared" si="67"/>
        <v>0</v>
      </c>
      <c r="BB298" s="63">
        <f t="shared" si="68"/>
        <v>0</v>
      </c>
    </row>
    <row r="299" spans="3:54" s="17" customFormat="1" x14ac:dyDescent="0.25">
      <c r="C299" s="215"/>
      <c r="D299" s="216"/>
      <c r="E299" s="88"/>
      <c r="F299" s="217"/>
      <c r="G299" s="234"/>
      <c r="H299" s="218"/>
      <c r="I299" s="76"/>
      <c r="J299" s="77"/>
      <c r="K299" s="76"/>
      <c r="L299" s="78"/>
      <c r="M299" s="78"/>
      <c r="N299" s="76" t="s">
        <v>39</v>
      </c>
      <c r="O299" s="110"/>
      <c r="P299" s="152"/>
      <c r="Q299" s="111" t="str">
        <f>IFERROR(MIN(VLOOKUP(ROUNDDOWN(P299,0),'Aide calcul'!$B$2:$C$282,2,FALSE),O299+1),"")</f>
        <v/>
      </c>
      <c r="R299" s="112" t="str">
        <f t="shared" si="69"/>
        <v/>
      </c>
      <c r="S299" s="152"/>
      <c r="T299" s="152"/>
      <c r="U299" s="152"/>
      <c r="V299" s="152"/>
      <c r="W299" s="152"/>
      <c r="X299" s="152"/>
      <c r="Y299" s="152"/>
      <c r="Z299" s="76"/>
      <c r="AA299" s="76"/>
      <c r="AB299" s="113" t="str">
        <f>IF(C299="3111. Logements",ROUND(VLOOKUP(C299,'Informations générales'!$C$66:$E$70,3,FALSE)*(AL299/$AM$28)/12,0)*12,IF(C299="3112. Logements",ROUND(VLOOKUP(C299,'Informations générales'!$C$66:$E$70,3,FALSE)*(AL299/$AN$28)/12,0)*12,IF(C299="3113. Logements",ROUND(VLOOKUP(C299,'Informations générales'!$C$66:$E$70,3,FALSE)*(AL299/$AO$28)/12,0)*12,IF(C299="3114. Logements",ROUND(VLOOKUP(C299,'Informations générales'!$C$66:$E$70,3,FALSE)*(AL299/$AP$28)/12,0)*12,IF(C299="3115. Logements",ROUND(VLOOKUP(C299,'Informations générales'!$C$66:$E$70,3,FALSE)*(AL299/$AQ$28)/12,0)*12,"")))))</f>
        <v/>
      </c>
      <c r="AC299" s="114"/>
      <c r="AD299" s="113">
        <f t="shared" si="70"/>
        <v>0</v>
      </c>
      <c r="AE299" s="114"/>
      <c r="AF299" s="203" t="str">
        <f>IF(C299="3111. Logements",ROUND(VLOOKUP(C299,'Informations générales'!$C$66:$E$70,3,FALSE)*(AL299/$AM$28)/12,0)*12,IF(C299="3112. Logements",ROUND(VLOOKUP(C299,'Informations générales'!$C$66:$E$70,3,FALSE)*(AL299/$AN$28)/12,0)*12,IF(C299="3113. Logements",ROUND(VLOOKUP(C299,'Informations générales'!$C$66:$E$70,3,FALSE)*(AL299/$AO$28)/12,0)*12,IF(C299="3114. Logements",ROUND(VLOOKUP(C299,'Informations générales'!$C$66:$E$70,3,FALSE)*(AL299/$AP$28)/12,0)*12,IF(C299="3115. Logements",ROUND(VLOOKUP(C299,'Informations générales'!$C$66:$E$70,3,FALSE)*(AL299/$AQ$28)/12,0)*12,"")))))</f>
        <v/>
      </c>
      <c r="AG299" s="202"/>
      <c r="AH299" s="113" t="str">
        <f>IF(C299="3111. Logements",ROUND(VLOOKUP(C299,'Informations générales'!$C$66:$H$70,5,FALSE)*(AL299/$AM$28)/12,0)*12,IF(C299="3112. Logements",ROUND(VLOOKUP(C299,'Informations générales'!$C$66:$H$70,5,FALSE)*(AL299/$AN$28)/12,0)*12,IF(C299="3113. Logements",ROUND(VLOOKUP(C299,'Informations générales'!$C$66:$H$70,5,FALSE)*(AL299/$AO$28)/12,0)*12,IF(C299="3114. Logements",ROUND(VLOOKUP(C299,'Informations générales'!$C$66:$H$70,5,FALSE)*(AL299/$AP$28)/12,0)*12,IF(C299="3115. Logements",ROUND(VLOOKUP(C299,'Informations générales'!$C$66:$H$70,5,FALSE)*(AL299/$AQ$28)/12,0)*12,"")))))</f>
        <v/>
      </c>
      <c r="AI299" s="114"/>
      <c r="AJ299" s="114"/>
      <c r="AK299" s="76"/>
      <c r="AL299" s="58">
        <f t="shared" si="71"/>
        <v>0</v>
      </c>
      <c r="AM299" s="58"/>
      <c r="AN299" s="58"/>
      <c r="AO299" s="58"/>
      <c r="AP299" s="58"/>
      <c r="AQ299" s="58"/>
      <c r="AR299" s="58">
        <f t="shared" si="59"/>
        <v>0</v>
      </c>
      <c r="AS299" s="58">
        <f t="shared" si="60"/>
        <v>0</v>
      </c>
      <c r="AT299" s="58">
        <f t="shared" si="61"/>
        <v>0</v>
      </c>
      <c r="AU299" s="58">
        <f t="shared" si="62"/>
        <v>0</v>
      </c>
      <c r="AV299" s="58">
        <f t="shared" si="63"/>
        <v>0</v>
      </c>
      <c r="AW299" s="58">
        <f t="shared" si="64"/>
        <v>0</v>
      </c>
      <c r="AX299" s="58">
        <f t="shared" si="65"/>
        <v>0</v>
      </c>
      <c r="AY299" s="58">
        <f t="shared" si="72"/>
        <v>0</v>
      </c>
      <c r="AZ299" s="62">
        <f t="shared" si="66"/>
        <v>0</v>
      </c>
      <c r="BA299" s="63">
        <f t="shared" si="67"/>
        <v>0</v>
      </c>
      <c r="BB299" s="63">
        <f t="shared" si="68"/>
        <v>0</v>
      </c>
    </row>
    <row r="300" spans="3:54" s="17" customFormat="1" x14ac:dyDescent="0.25">
      <c r="C300" s="215"/>
      <c r="D300" s="216"/>
      <c r="E300" s="88"/>
      <c r="F300" s="217"/>
      <c r="G300" s="234"/>
      <c r="H300" s="218"/>
      <c r="I300" s="76"/>
      <c r="J300" s="77"/>
      <c r="K300" s="76"/>
      <c r="L300" s="78"/>
      <c r="M300" s="78"/>
      <c r="N300" s="76" t="s">
        <v>39</v>
      </c>
      <c r="O300" s="110"/>
      <c r="P300" s="152"/>
      <c r="Q300" s="111" t="str">
        <f>IFERROR(MIN(VLOOKUP(ROUNDDOWN(P300,0),'Aide calcul'!$B$2:$C$282,2,FALSE),O300+1),"")</f>
        <v/>
      </c>
      <c r="R300" s="112" t="str">
        <f t="shared" si="69"/>
        <v/>
      </c>
      <c r="S300" s="152"/>
      <c r="T300" s="152"/>
      <c r="U300" s="152"/>
      <c r="V300" s="152"/>
      <c r="W300" s="152"/>
      <c r="X300" s="152"/>
      <c r="Y300" s="152"/>
      <c r="Z300" s="76"/>
      <c r="AA300" s="76"/>
      <c r="AB300" s="113" t="str">
        <f>IF(C300="3111. Logements",ROUND(VLOOKUP(C300,'Informations générales'!$C$66:$E$70,3,FALSE)*(AL300/$AM$28)/12,0)*12,IF(C300="3112. Logements",ROUND(VLOOKUP(C300,'Informations générales'!$C$66:$E$70,3,FALSE)*(AL300/$AN$28)/12,0)*12,IF(C300="3113. Logements",ROUND(VLOOKUP(C300,'Informations générales'!$C$66:$E$70,3,FALSE)*(AL300/$AO$28)/12,0)*12,IF(C300="3114. Logements",ROUND(VLOOKUP(C300,'Informations générales'!$C$66:$E$70,3,FALSE)*(AL300/$AP$28)/12,0)*12,IF(C300="3115. Logements",ROUND(VLOOKUP(C300,'Informations générales'!$C$66:$E$70,3,FALSE)*(AL300/$AQ$28)/12,0)*12,"")))))</f>
        <v/>
      </c>
      <c r="AC300" s="114"/>
      <c r="AD300" s="113">
        <f t="shared" si="70"/>
        <v>0</v>
      </c>
      <c r="AE300" s="114"/>
      <c r="AF300" s="203" t="str">
        <f>IF(C300="3111. Logements",ROUND(VLOOKUP(C300,'Informations générales'!$C$66:$E$70,3,FALSE)*(AL300/$AM$28)/12,0)*12,IF(C300="3112. Logements",ROUND(VLOOKUP(C300,'Informations générales'!$C$66:$E$70,3,FALSE)*(AL300/$AN$28)/12,0)*12,IF(C300="3113. Logements",ROUND(VLOOKUP(C300,'Informations générales'!$C$66:$E$70,3,FALSE)*(AL300/$AO$28)/12,0)*12,IF(C300="3114. Logements",ROUND(VLOOKUP(C300,'Informations générales'!$C$66:$E$70,3,FALSE)*(AL300/$AP$28)/12,0)*12,IF(C300="3115. Logements",ROUND(VLOOKUP(C300,'Informations générales'!$C$66:$E$70,3,FALSE)*(AL300/$AQ$28)/12,0)*12,"")))))</f>
        <v/>
      </c>
      <c r="AG300" s="202"/>
      <c r="AH300" s="113" t="str">
        <f>IF(C300="3111. Logements",ROUND(VLOOKUP(C300,'Informations générales'!$C$66:$H$70,5,FALSE)*(AL300/$AM$28)/12,0)*12,IF(C300="3112. Logements",ROUND(VLOOKUP(C300,'Informations générales'!$C$66:$H$70,5,FALSE)*(AL300/$AN$28)/12,0)*12,IF(C300="3113. Logements",ROUND(VLOOKUP(C300,'Informations générales'!$C$66:$H$70,5,FALSE)*(AL300/$AO$28)/12,0)*12,IF(C300="3114. Logements",ROUND(VLOOKUP(C300,'Informations générales'!$C$66:$H$70,5,FALSE)*(AL300/$AP$28)/12,0)*12,IF(C300="3115. Logements",ROUND(VLOOKUP(C300,'Informations générales'!$C$66:$H$70,5,FALSE)*(AL300/$AQ$28)/12,0)*12,"")))))</f>
        <v/>
      </c>
      <c r="AI300" s="114"/>
      <c r="AJ300" s="114"/>
      <c r="AK300" s="76"/>
      <c r="AL300" s="58">
        <f t="shared" si="71"/>
        <v>0</v>
      </c>
      <c r="AM300" s="58"/>
      <c r="AN300" s="58"/>
      <c r="AO300" s="58"/>
      <c r="AP300" s="58"/>
      <c r="AQ300" s="58"/>
      <c r="AR300" s="58">
        <f t="shared" si="59"/>
        <v>0</v>
      </c>
      <c r="AS300" s="58">
        <f t="shared" si="60"/>
        <v>0</v>
      </c>
      <c r="AT300" s="58">
        <f t="shared" si="61"/>
        <v>0</v>
      </c>
      <c r="AU300" s="58">
        <f t="shared" si="62"/>
        <v>0</v>
      </c>
      <c r="AV300" s="58">
        <f t="shared" si="63"/>
        <v>0</v>
      </c>
      <c r="AW300" s="58">
        <f t="shared" si="64"/>
        <v>0</v>
      </c>
      <c r="AX300" s="58">
        <f t="shared" si="65"/>
        <v>0</v>
      </c>
      <c r="AY300" s="58">
        <f t="shared" si="72"/>
        <v>0</v>
      </c>
      <c r="AZ300" s="62">
        <f t="shared" si="66"/>
        <v>0</v>
      </c>
      <c r="BA300" s="63">
        <f t="shared" si="67"/>
        <v>0</v>
      </c>
      <c r="BB300" s="63">
        <f t="shared" si="68"/>
        <v>0</v>
      </c>
    </row>
    <row r="301" spans="3:54" s="17" customFormat="1" x14ac:dyDescent="0.25">
      <c r="C301" s="215"/>
      <c r="D301" s="216"/>
      <c r="E301" s="88"/>
      <c r="F301" s="217"/>
      <c r="G301" s="234"/>
      <c r="H301" s="218"/>
      <c r="I301" s="76"/>
      <c r="J301" s="77"/>
      <c r="K301" s="76"/>
      <c r="L301" s="78"/>
      <c r="M301" s="78"/>
      <c r="N301" s="76" t="s">
        <v>39</v>
      </c>
      <c r="O301" s="110"/>
      <c r="P301" s="152"/>
      <c r="Q301" s="111" t="str">
        <f>IFERROR(MIN(VLOOKUP(ROUNDDOWN(P301,0),'Aide calcul'!$B$2:$C$282,2,FALSE),O301+1),"")</f>
        <v/>
      </c>
      <c r="R301" s="112" t="str">
        <f t="shared" si="69"/>
        <v/>
      </c>
      <c r="S301" s="152"/>
      <c r="T301" s="152"/>
      <c r="U301" s="152"/>
      <c r="V301" s="152"/>
      <c r="W301" s="152"/>
      <c r="X301" s="152"/>
      <c r="Y301" s="152"/>
      <c r="Z301" s="76"/>
      <c r="AA301" s="76"/>
      <c r="AB301" s="113" t="str">
        <f>IF(C301="3111. Logements",ROUND(VLOOKUP(C301,'Informations générales'!$C$66:$E$70,3,FALSE)*(AL301/$AM$28)/12,0)*12,IF(C301="3112. Logements",ROUND(VLOOKUP(C301,'Informations générales'!$C$66:$E$70,3,FALSE)*(AL301/$AN$28)/12,0)*12,IF(C301="3113. Logements",ROUND(VLOOKUP(C301,'Informations générales'!$C$66:$E$70,3,FALSE)*(AL301/$AO$28)/12,0)*12,IF(C301="3114. Logements",ROUND(VLOOKUP(C301,'Informations générales'!$C$66:$E$70,3,FALSE)*(AL301/$AP$28)/12,0)*12,IF(C301="3115. Logements",ROUND(VLOOKUP(C301,'Informations générales'!$C$66:$E$70,3,FALSE)*(AL301/$AQ$28)/12,0)*12,"")))))</f>
        <v/>
      </c>
      <c r="AC301" s="114"/>
      <c r="AD301" s="113">
        <f t="shared" si="70"/>
        <v>0</v>
      </c>
      <c r="AE301" s="114"/>
      <c r="AF301" s="203" t="str">
        <f>IF(C301="3111. Logements",ROUND(VLOOKUP(C301,'Informations générales'!$C$66:$E$70,3,FALSE)*(AL301/$AM$28)/12,0)*12,IF(C301="3112. Logements",ROUND(VLOOKUP(C301,'Informations générales'!$C$66:$E$70,3,FALSE)*(AL301/$AN$28)/12,0)*12,IF(C301="3113. Logements",ROUND(VLOOKUP(C301,'Informations générales'!$C$66:$E$70,3,FALSE)*(AL301/$AO$28)/12,0)*12,IF(C301="3114. Logements",ROUND(VLOOKUP(C301,'Informations générales'!$C$66:$E$70,3,FALSE)*(AL301/$AP$28)/12,0)*12,IF(C301="3115. Logements",ROUND(VLOOKUP(C301,'Informations générales'!$C$66:$E$70,3,FALSE)*(AL301/$AQ$28)/12,0)*12,"")))))</f>
        <v/>
      </c>
      <c r="AG301" s="202"/>
      <c r="AH301" s="113" t="str">
        <f>IF(C301="3111. Logements",ROUND(VLOOKUP(C301,'Informations générales'!$C$66:$H$70,5,FALSE)*(AL301/$AM$28)/12,0)*12,IF(C301="3112. Logements",ROUND(VLOOKUP(C301,'Informations générales'!$C$66:$H$70,5,FALSE)*(AL301/$AN$28)/12,0)*12,IF(C301="3113. Logements",ROUND(VLOOKUP(C301,'Informations générales'!$C$66:$H$70,5,FALSE)*(AL301/$AO$28)/12,0)*12,IF(C301="3114. Logements",ROUND(VLOOKUP(C301,'Informations générales'!$C$66:$H$70,5,FALSE)*(AL301/$AP$28)/12,0)*12,IF(C301="3115. Logements",ROUND(VLOOKUP(C301,'Informations générales'!$C$66:$H$70,5,FALSE)*(AL301/$AQ$28)/12,0)*12,"")))))</f>
        <v/>
      </c>
      <c r="AI301" s="114"/>
      <c r="AJ301" s="114"/>
      <c r="AK301" s="76"/>
      <c r="AL301" s="58">
        <f t="shared" si="71"/>
        <v>0</v>
      </c>
      <c r="AM301" s="58"/>
      <c r="AN301" s="58"/>
      <c r="AO301" s="58"/>
      <c r="AP301" s="58"/>
      <c r="AQ301" s="58"/>
      <c r="AR301" s="58">
        <f t="shared" si="59"/>
        <v>0</v>
      </c>
      <c r="AS301" s="58">
        <f t="shared" si="60"/>
        <v>0</v>
      </c>
      <c r="AT301" s="58">
        <f t="shared" si="61"/>
        <v>0</v>
      </c>
      <c r="AU301" s="58">
        <f t="shared" si="62"/>
        <v>0</v>
      </c>
      <c r="AV301" s="58">
        <f t="shared" si="63"/>
        <v>0</v>
      </c>
      <c r="AW301" s="58">
        <f t="shared" si="64"/>
        <v>0</v>
      </c>
      <c r="AX301" s="58">
        <f t="shared" si="65"/>
        <v>0</v>
      </c>
      <c r="AY301" s="58">
        <f t="shared" si="72"/>
        <v>0</v>
      </c>
      <c r="AZ301" s="62">
        <f t="shared" si="66"/>
        <v>0</v>
      </c>
      <c r="BA301" s="63">
        <f t="shared" si="67"/>
        <v>0</v>
      </c>
      <c r="BB301" s="63">
        <f t="shared" si="68"/>
        <v>0</v>
      </c>
    </row>
    <row r="302" spans="3:54" s="17" customFormat="1" x14ac:dyDescent="0.25">
      <c r="C302" s="215"/>
      <c r="D302" s="216"/>
      <c r="E302" s="88"/>
      <c r="F302" s="217"/>
      <c r="G302" s="234"/>
      <c r="H302" s="218"/>
      <c r="I302" s="76"/>
      <c r="J302" s="77"/>
      <c r="K302" s="76"/>
      <c r="L302" s="78"/>
      <c r="M302" s="78"/>
      <c r="N302" s="76" t="s">
        <v>39</v>
      </c>
      <c r="O302" s="110"/>
      <c r="P302" s="152"/>
      <c r="Q302" s="111" t="str">
        <f>IFERROR(MIN(VLOOKUP(ROUNDDOWN(P302,0),'Aide calcul'!$B$2:$C$282,2,FALSE),O302+1),"")</f>
        <v/>
      </c>
      <c r="R302" s="112" t="str">
        <f t="shared" si="69"/>
        <v/>
      </c>
      <c r="S302" s="152"/>
      <c r="T302" s="152"/>
      <c r="U302" s="152"/>
      <c r="V302" s="152"/>
      <c r="W302" s="152"/>
      <c r="X302" s="152"/>
      <c r="Y302" s="152"/>
      <c r="Z302" s="76"/>
      <c r="AA302" s="76"/>
      <c r="AB302" s="113" t="str">
        <f>IF(C302="3111. Logements",ROUND(VLOOKUP(C302,'Informations générales'!$C$66:$E$70,3,FALSE)*(AL302/$AM$28)/12,0)*12,IF(C302="3112. Logements",ROUND(VLOOKUP(C302,'Informations générales'!$C$66:$E$70,3,FALSE)*(AL302/$AN$28)/12,0)*12,IF(C302="3113. Logements",ROUND(VLOOKUP(C302,'Informations générales'!$C$66:$E$70,3,FALSE)*(AL302/$AO$28)/12,0)*12,IF(C302="3114. Logements",ROUND(VLOOKUP(C302,'Informations générales'!$C$66:$E$70,3,FALSE)*(AL302/$AP$28)/12,0)*12,IF(C302="3115. Logements",ROUND(VLOOKUP(C302,'Informations générales'!$C$66:$E$70,3,FALSE)*(AL302/$AQ$28)/12,0)*12,"")))))</f>
        <v/>
      </c>
      <c r="AC302" s="114"/>
      <c r="AD302" s="113">
        <f t="shared" si="70"/>
        <v>0</v>
      </c>
      <c r="AE302" s="114"/>
      <c r="AF302" s="203" t="str">
        <f>IF(C302="3111. Logements",ROUND(VLOOKUP(C302,'Informations générales'!$C$66:$E$70,3,FALSE)*(AL302/$AM$28)/12,0)*12,IF(C302="3112. Logements",ROUND(VLOOKUP(C302,'Informations générales'!$C$66:$E$70,3,FALSE)*(AL302/$AN$28)/12,0)*12,IF(C302="3113. Logements",ROUND(VLOOKUP(C302,'Informations générales'!$C$66:$E$70,3,FALSE)*(AL302/$AO$28)/12,0)*12,IF(C302="3114. Logements",ROUND(VLOOKUP(C302,'Informations générales'!$C$66:$E$70,3,FALSE)*(AL302/$AP$28)/12,0)*12,IF(C302="3115. Logements",ROUND(VLOOKUP(C302,'Informations générales'!$C$66:$E$70,3,FALSE)*(AL302/$AQ$28)/12,0)*12,"")))))</f>
        <v/>
      </c>
      <c r="AG302" s="202"/>
      <c r="AH302" s="113" t="str">
        <f>IF(C302="3111. Logements",ROUND(VLOOKUP(C302,'Informations générales'!$C$66:$H$70,5,FALSE)*(AL302/$AM$28)/12,0)*12,IF(C302="3112. Logements",ROUND(VLOOKUP(C302,'Informations générales'!$C$66:$H$70,5,FALSE)*(AL302/$AN$28)/12,0)*12,IF(C302="3113. Logements",ROUND(VLOOKUP(C302,'Informations générales'!$C$66:$H$70,5,FALSE)*(AL302/$AO$28)/12,0)*12,IF(C302="3114. Logements",ROUND(VLOOKUP(C302,'Informations générales'!$C$66:$H$70,5,FALSE)*(AL302/$AP$28)/12,0)*12,IF(C302="3115. Logements",ROUND(VLOOKUP(C302,'Informations générales'!$C$66:$H$70,5,FALSE)*(AL302/$AQ$28)/12,0)*12,"")))))</f>
        <v/>
      </c>
      <c r="AI302" s="114"/>
      <c r="AJ302" s="114"/>
      <c r="AK302" s="76"/>
      <c r="AL302" s="58">
        <f t="shared" si="71"/>
        <v>0</v>
      </c>
      <c r="AM302" s="58"/>
      <c r="AN302" s="58"/>
      <c r="AO302" s="58"/>
      <c r="AP302" s="58"/>
      <c r="AQ302" s="58"/>
      <c r="AR302" s="58">
        <f t="shared" si="59"/>
        <v>0</v>
      </c>
      <c r="AS302" s="58">
        <f t="shared" si="60"/>
        <v>0</v>
      </c>
      <c r="AT302" s="58">
        <f t="shared" si="61"/>
        <v>0</v>
      </c>
      <c r="AU302" s="58">
        <f t="shared" si="62"/>
        <v>0</v>
      </c>
      <c r="AV302" s="58">
        <f t="shared" si="63"/>
        <v>0</v>
      </c>
      <c r="AW302" s="58">
        <f t="shared" si="64"/>
        <v>0</v>
      </c>
      <c r="AX302" s="58">
        <f t="shared" si="65"/>
        <v>0</v>
      </c>
      <c r="AY302" s="58">
        <f t="shared" si="72"/>
        <v>0</v>
      </c>
      <c r="AZ302" s="62">
        <f t="shared" si="66"/>
        <v>0</v>
      </c>
      <c r="BA302" s="63">
        <f t="shared" si="67"/>
        <v>0</v>
      </c>
      <c r="BB302" s="63">
        <f t="shared" si="68"/>
        <v>0</v>
      </c>
    </row>
    <row r="303" spans="3:54" s="17" customFormat="1" x14ac:dyDescent="0.25">
      <c r="C303" s="215"/>
      <c r="D303" s="216"/>
      <c r="E303" s="88"/>
      <c r="F303" s="217"/>
      <c r="G303" s="234"/>
      <c r="H303" s="218"/>
      <c r="I303" s="76"/>
      <c r="J303" s="77"/>
      <c r="K303" s="76"/>
      <c r="L303" s="78"/>
      <c r="M303" s="78"/>
      <c r="N303" s="76" t="s">
        <v>39</v>
      </c>
      <c r="O303" s="110"/>
      <c r="P303" s="152"/>
      <c r="Q303" s="111" t="str">
        <f>IFERROR(MIN(VLOOKUP(ROUNDDOWN(P303,0),'Aide calcul'!$B$2:$C$282,2,FALSE),O303+1),"")</f>
        <v/>
      </c>
      <c r="R303" s="112" t="str">
        <f t="shared" si="69"/>
        <v/>
      </c>
      <c r="S303" s="152"/>
      <c r="T303" s="152"/>
      <c r="U303" s="152"/>
      <c r="V303" s="152"/>
      <c r="W303" s="152"/>
      <c r="X303" s="152"/>
      <c r="Y303" s="152"/>
      <c r="Z303" s="76"/>
      <c r="AA303" s="76"/>
      <c r="AB303" s="113" t="str">
        <f>IF(C303="3111. Logements",ROUND(VLOOKUP(C303,'Informations générales'!$C$66:$E$70,3,FALSE)*(AL303/$AM$28)/12,0)*12,IF(C303="3112. Logements",ROUND(VLOOKUP(C303,'Informations générales'!$C$66:$E$70,3,FALSE)*(AL303/$AN$28)/12,0)*12,IF(C303="3113. Logements",ROUND(VLOOKUP(C303,'Informations générales'!$C$66:$E$70,3,FALSE)*(AL303/$AO$28)/12,0)*12,IF(C303="3114. Logements",ROUND(VLOOKUP(C303,'Informations générales'!$C$66:$E$70,3,FALSE)*(AL303/$AP$28)/12,0)*12,IF(C303="3115. Logements",ROUND(VLOOKUP(C303,'Informations générales'!$C$66:$E$70,3,FALSE)*(AL303/$AQ$28)/12,0)*12,"")))))</f>
        <v/>
      </c>
      <c r="AC303" s="114"/>
      <c r="AD303" s="113">
        <f t="shared" si="70"/>
        <v>0</v>
      </c>
      <c r="AE303" s="114"/>
      <c r="AF303" s="203" t="str">
        <f>IF(C303="3111. Logements",ROUND(VLOOKUP(C303,'Informations générales'!$C$66:$E$70,3,FALSE)*(AL303/$AM$28)/12,0)*12,IF(C303="3112. Logements",ROUND(VLOOKUP(C303,'Informations générales'!$C$66:$E$70,3,FALSE)*(AL303/$AN$28)/12,0)*12,IF(C303="3113. Logements",ROUND(VLOOKUP(C303,'Informations générales'!$C$66:$E$70,3,FALSE)*(AL303/$AO$28)/12,0)*12,IF(C303="3114. Logements",ROUND(VLOOKUP(C303,'Informations générales'!$C$66:$E$70,3,FALSE)*(AL303/$AP$28)/12,0)*12,IF(C303="3115. Logements",ROUND(VLOOKUP(C303,'Informations générales'!$C$66:$E$70,3,FALSE)*(AL303/$AQ$28)/12,0)*12,"")))))</f>
        <v/>
      </c>
      <c r="AG303" s="202"/>
      <c r="AH303" s="113" t="str">
        <f>IF(C303="3111. Logements",ROUND(VLOOKUP(C303,'Informations générales'!$C$66:$H$70,5,FALSE)*(AL303/$AM$28)/12,0)*12,IF(C303="3112. Logements",ROUND(VLOOKUP(C303,'Informations générales'!$C$66:$H$70,5,FALSE)*(AL303/$AN$28)/12,0)*12,IF(C303="3113. Logements",ROUND(VLOOKUP(C303,'Informations générales'!$C$66:$H$70,5,FALSE)*(AL303/$AO$28)/12,0)*12,IF(C303="3114. Logements",ROUND(VLOOKUP(C303,'Informations générales'!$C$66:$H$70,5,FALSE)*(AL303/$AP$28)/12,0)*12,IF(C303="3115. Logements",ROUND(VLOOKUP(C303,'Informations générales'!$C$66:$H$70,5,FALSE)*(AL303/$AQ$28)/12,0)*12,"")))))</f>
        <v/>
      </c>
      <c r="AI303" s="114"/>
      <c r="AJ303" s="114"/>
      <c r="AK303" s="76"/>
      <c r="AL303" s="58">
        <f t="shared" si="71"/>
        <v>0</v>
      </c>
      <c r="AM303" s="58"/>
      <c r="AN303" s="58"/>
      <c r="AO303" s="58"/>
      <c r="AP303" s="58"/>
      <c r="AQ303" s="58"/>
      <c r="AR303" s="58">
        <f t="shared" si="59"/>
        <v>0</v>
      </c>
      <c r="AS303" s="58">
        <f t="shared" si="60"/>
        <v>0</v>
      </c>
      <c r="AT303" s="58">
        <f t="shared" si="61"/>
        <v>0</v>
      </c>
      <c r="AU303" s="58">
        <f t="shared" si="62"/>
        <v>0</v>
      </c>
      <c r="AV303" s="58">
        <f t="shared" si="63"/>
        <v>0</v>
      </c>
      <c r="AW303" s="58">
        <f t="shared" si="64"/>
        <v>0</v>
      </c>
      <c r="AX303" s="58">
        <f t="shared" si="65"/>
        <v>0</v>
      </c>
      <c r="AY303" s="58">
        <f t="shared" si="72"/>
        <v>0</v>
      </c>
      <c r="AZ303" s="62">
        <f t="shared" si="66"/>
        <v>0</v>
      </c>
      <c r="BA303" s="63">
        <f t="shared" si="67"/>
        <v>0</v>
      </c>
      <c r="BB303" s="63">
        <f t="shared" si="68"/>
        <v>0</v>
      </c>
    </row>
    <row r="304" spans="3:54" s="17" customFormat="1" x14ac:dyDescent="0.25">
      <c r="C304" s="215"/>
      <c r="D304" s="216"/>
      <c r="E304" s="88"/>
      <c r="F304" s="217"/>
      <c r="G304" s="234"/>
      <c r="H304" s="218"/>
      <c r="I304" s="76"/>
      <c r="J304" s="77"/>
      <c r="K304" s="76"/>
      <c r="L304" s="78"/>
      <c r="M304" s="78"/>
      <c r="N304" s="76" t="s">
        <v>39</v>
      </c>
      <c r="O304" s="110"/>
      <c r="P304" s="152"/>
      <c r="Q304" s="111" t="str">
        <f>IFERROR(MIN(VLOOKUP(ROUNDDOWN(P304,0),'Aide calcul'!$B$2:$C$282,2,FALSE),O304+1),"")</f>
        <v/>
      </c>
      <c r="R304" s="112" t="str">
        <f t="shared" si="69"/>
        <v/>
      </c>
      <c r="S304" s="152"/>
      <c r="T304" s="152"/>
      <c r="U304" s="152"/>
      <c r="V304" s="152"/>
      <c r="W304" s="152"/>
      <c r="X304" s="152"/>
      <c r="Y304" s="152"/>
      <c r="Z304" s="76"/>
      <c r="AA304" s="76"/>
      <c r="AB304" s="113" t="str">
        <f>IF(C304="3111. Logements",ROUND(VLOOKUP(C304,'Informations générales'!$C$66:$E$70,3,FALSE)*(AL304/$AM$28)/12,0)*12,IF(C304="3112. Logements",ROUND(VLOOKUP(C304,'Informations générales'!$C$66:$E$70,3,FALSE)*(AL304/$AN$28)/12,0)*12,IF(C304="3113. Logements",ROUND(VLOOKUP(C304,'Informations générales'!$C$66:$E$70,3,FALSE)*(AL304/$AO$28)/12,0)*12,IF(C304="3114. Logements",ROUND(VLOOKUP(C304,'Informations générales'!$C$66:$E$70,3,FALSE)*(AL304/$AP$28)/12,0)*12,IF(C304="3115. Logements",ROUND(VLOOKUP(C304,'Informations générales'!$C$66:$E$70,3,FALSE)*(AL304/$AQ$28)/12,0)*12,"")))))</f>
        <v/>
      </c>
      <c r="AC304" s="114"/>
      <c r="AD304" s="113">
        <f t="shared" si="70"/>
        <v>0</v>
      </c>
      <c r="AE304" s="114"/>
      <c r="AF304" s="203" t="str">
        <f>IF(C304="3111. Logements",ROUND(VLOOKUP(C304,'Informations générales'!$C$66:$E$70,3,FALSE)*(AL304/$AM$28)/12,0)*12,IF(C304="3112. Logements",ROUND(VLOOKUP(C304,'Informations générales'!$C$66:$E$70,3,FALSE)*(AL304/$AN$28)/12,0)*12,IF(C304="3113. Logements",ROUND(VLOOKUP(C304,'Informations générales'!$C$66:$E$70,3,FALSE)*(AL304/$AO$28)/12,0)*12,IF(C304="3114. Logements",ROUND(VLOOKUP(C304,'Informations générales'!$C$66:$E$70,3,FALSE)*(AL304/$AP$28)/12,0)*12,IF(C304="3115. Logements",ROUND(VLOOKUP(C304,'Informations générales'!$C$66:$E$70,3,FALSE)*(AL304/$AQ$28)/12,0)*12,"")))))</f>
        <v/>
      </c>
      <c r="AG304" s="202"/>
      <c r="AH304" s="113" t="str">
        <f>IF(C304="3111. Logements",ROUND(VLOOKUP(C304,'Informations générales'!$C$66:$H$70,5,FALSE)*(AL304/$AM$28)/12,0)*12,IF(C304="3112. Logements",ROUND(VLOOKUP(C304,'Informations générales'!$C$66:$H$70,5,FALSE)*(AL304/$AN$28)/12,0)*12,IF(C304="3113. Logements",ROUND(VLOOKUP(C304,'Informations générales'!$C$66:$H$70,5,FALSE)*(AL304/$AO$28)/12,0)*12,IF(C304="3114. Logements",ROUND(VLOOKUP(C304,'Informations générales'!$C$66:$H$70,5,FALSE)*(AL304/$AP$28)/12,0)*12,IF(C304="3115. Logements",ROUND(VLOOKUP(C304,'Informations générales'!$C$66:$H$70,5,FALSE)*(AL304/$AQ$28)/12,0)*12,"")))))</f>
        <v/>
      </c>
      <c r="AI304" s="114"/>
      <c r="AJ304" s="114"/>
      <c r="AK304" s="76"/>
      <c r="AL304" s="58">
        <f t="shared" si="71"/>
        <v>0</v>
      </c>
      <c r="AM304" s="58"/>
      <c r="AN304" s="58"/>
      <c r="AO304" s="58"/>
      <c r="AP304" s="58"/>
      <c r="AQ304" s="58"/>
      <c r="AR304" s="58">
        <f t="shared" si="59"/>
        <v>0</v>
      </c>
      <c r="AS304" s="58">
        <f t="shared" si="60"/>
        <v>0</v>
      </c>
      <c r="AT304" s="58">
        <f t="shared" si="61"/>
        <v>0</v>
      </c>
      <c r="AU304" s="58">
        <f t="shared" si="62"/>
        <v>0</v>
      </c>
      <c r="AV304" s="58">
        <f t="shared" si="63"/>
        <v>0</v>
      </c>
      <c r="AW304" s="58">
        <f t="shared" si="64"/>
        <v>0</v>
      </c>
      <c r="AX304" s="58">
        <f t="shared" si="65"/>
        <v>0</v>
      </c>
      <c r="AY304" s="58">
        <f t="shared" si="72"/>
        <v>0</v>
      </c>
      <c r="AZ304" s="62">
        <f t="shared" si="66"/>
        <v>0</v>
      </c>
      <c r="BA304" s="63">
        <f t="shared" si="67"/>
        <v>0</v>
      </c>
      <c r="BB304" s="63">
        <f t="shared" si="68"/>
        <v>0</v>
      </c>
    </row>
    <row r="305" spans="3:54" s="17" customFormat="1" x14ac:dyDescent="0.25">
      <c r="C305" s="215"/>
      <c r="D305" s="216"/>
      <c r="E305" s="88"/>
      <c r="F305" s="217"/>
      <c r="G305" s="234"/>
      <c r="H305" s="218"/>
      <c r="I305" s="76"/>
      <c r="J305" s="77"/>
      <c r="K305" s="76"/>
      <c r="L305" s="78"/>
      <c r="M305" s="78"/>
      <c r="N305" s="76" t="s">
        <v>39</v>
      </c>
      <c r="O305" s="110"/>
      <c r="P305" s="152"/>
      <c r="Q305" s="111" t="str">
        <f>IFERROR(MIN(VLOOKUP(ROUNDDOWN(P305,0),'Aide calcul'!$B$2:$C$282,2,FALSE),O305+1),"")</f>
        <v/>
      </c>
      <c r="R305" s="112" t="str">
        <f t="shared" si="69"/>
        <v/>
      </c>
      <c r="S305" s="152"/>
      <c r="T305" s="152"/>
      <c r="U305" s="152"/>
      <c r="V305" s="152"/>
      <c r="W305" s="152"/>
      <c r="X305" s="152"/>
      <c r="Y305" s="152"/>
      <c r="Z305" s="76"/>
      <c r="AA305" s="76"/>
      <c r="AB305" s="113" t="str">
        <f>IF(C305="3111. Logements",ROUND(VLOOKUP(C305,'Informations générales'!$C$66:$E$70,3,FALSE)*(AL305/$AM$28)/12,0)*12,IF(C305="3112. Logements",ROUND(VLOOKUP(C305,'Informations générales'!$C$66:$E$70,3,FALSE)*(AL305/$AN$28)/12,0)*12,IF(C305="3113. Logements",ROUND(VLOOKUP(C305,'Informations générales'!$C$66:$E$70,3,FALSE)*(AL305/$AO$28)/12,0)*12,IF(C305="3114. Logements",ROUND(VLOOKUP(C305,'Informations générales'!$C$66:$E$70,3,FALSE)*(AL305/$AP$28)/12,0)*12,IF(C305="3115. Logements",ROUND(VLOOKUP(C305,'Informations générales'!$C$66:$E$70,3,FALSE)*(AL305/$AQ$28)/12,0)*12,"")))))</f>
        <v/>
      </c>
      <c r="AC305" s="114"/>
      <c r="AD305" s="113">
        <f t="shared" si="70"/>
        <v>0</v>
      </c>
      <c r="AE305" s="114"/>
      <c r="AF305" s="203" t="str">
        <f>IF(C305="3111. Logements",ROUND(VLOOKUP(C305,'Informations générales'!$C$66:$E$70,3,FALSE)*(AL305/$AM$28)/12,0)*12,IF(C305="3112. Logements",ROUND(VLOOKUP(C305,'Informations générales'!$C$66:$E$70,3,FALSE)*(AL305/$AN$28)/12,0)*12,IF(C305="3113. Logements",ROUND(VLOOKUP(C305,'Informations générales'!$C$66:$E$70,3,FALSE)*(AL305/$AO$28)/12,0)*12,IF(C305="3114. Logements",ROUND(VLOOKUP(C305,'Informations générales'!$C$66:$E$70,3,FALSE)*(AL305/$AP$28)/12,0)*12,IF(C305="3115. Logements",ROUND(VLOOKUP(C305,'Informations générales'!$C$66:$E$70,3,FALSE)*(AL305/$AQ$28)/12,0)*12,"")))))</f>
        <v/>
      </c>
      <c r="AG305" s="202"/>
      <c r="AH305" s="113" t="str">
        <f>IF(C305="3111. Logements",ROUND(VLOOKUP(C305,'Informations générales'!$C$66:$H$70,5,FALSE)*(AL305/$AM$28)/12,0)*12,IF(C305="3112. Logements",ROUND(VLOOKUP(C305,'Informations générales'!$C$66:$H$70,5,FALSE)*(AL305/$AN$28)/12,0)*12,IF(C305="3113. Logements",ROUND(VLOOKUP(C305,'Informations générales'!$C$66:$H$70,5,FALSE)*(AL305/$AO$28)/12,0)*12,IF(C305="3114. Logements",ROUND(VLOOKUP(C305,'Informations générales'!$C$66:$H$70,5,FALSE)*(AL305/$AP$28)/12,0)*12,IF(C305="3115. Logements",ROUND(VLOOKUP(C305,'Informations générales'!$C$66:$H$70,5,FALSE)*(AL305/$AQ$28)/12,0)*12,"")))))</f>
        <v/>
      </c>
      <c r="AI305" s="114"/>
      <c r="AJ305" s="114"/>
      <c r="AK305" s="76"/>
      <c r="AL305" s="58">
        <f t="shared" si="71"/>
        <v>0</v>
      </c>
      <c r="AM305" s="58"/>
      <c r="AN305" s="58"/>
      <c r="AO305" s="58"/>
      <c r="AP305" s="58"/>
      <c r="AQ305" s="58"/>
      <c r="AR305" s="58">
        <f t="shared" si="59"/>
        <v>0</v>
      </c>
      <c r="AS305" s="58">
        <f t="shared" si="60"/>
        <v>0</v>
      </c>
      <c r="AT305" s="58">
        <f t="shared" si="61"/>
        <v>0</v>
      </c>
      <c r="AU305" s="58">
        <f t="shared" si="62"/>
        <v>0</v>
      </c>
      <c r="AV305" s="58">
        <f t="shared" si="63"/>
        <v>0</v>
      </c>
      <c r="AW305" s="58">
        <f t="shared" si="64"/>
        <v>0</v>
      </c>
      <c r="AX305" s="58">
        <f t="shared" si="65"/>
        <v>0</v>
      </c>
      <c r="AY305" s="58">
        <f t="shared" si="72"/>
        <v>0</v>
      </c>
      <c r="AZ305" s="62">
        <f t="shared" si="66"/>
        <v>0</v>
      </c>
      <c r="BA305" s="63">
        <f t="shared" si="67"/>
        <v>0</v>
      </c>
      <c r="BB305" s="63">
        <f t="shared" si="68"/>
        <v>0</v>
      </c>
    </row>
    <row r="306" spans="3:54" s="17" customFormat="1" x14ac:dyDescent="0.25">
      <c r="C306" s="215"/>
      <c r="D306" s="216"/>
      <c r="E306" s="88"/>
      <c r="F306" s="217"/>
      <c r="G306" s="234"/>
      <c r="H306" s="218"/>
      <c r="I306" s="76"/>
      <c r="J306" s="77"/>
      <c r="K306" s="76"/>
      <c r="L306" s="78"/>
      <c r="M306" s="78"/>
      <c r="N306" s="76" t="s">
        <v>39</v>
      </c>
      <c r="O306" s="110"/>
      <c r="P306" s="152"/>
      <c r="Q306" s="111" t="str">
        <f>IFERROR(MIN(VLOOKUP(ROUNDDOWN(P306,0),'Aide calcul'!$B$2:$C$282,2,FALSE),O306+1),"")</f>
        <v/>
      </c>
      <c r="R306" s="112" t="str">
        <f t="shared" si="69"/>
        <v/>
      </c>
      <c r="S306" s="152"/>
      <c r="T306" s="152"/>
      <c r="U306" s="152"/>
      <c r="V306" s="152"/>
      <c r="W306" s="152"/>
      <c r="X306" s="152"/>
      <c r="Y306" s="152"/>
      <c r="Z306" s="76"/>
      <c r="AA306" s="76"/>
      <c r="AB306" s="113" t="str">
        <f>IF(C306="3111. Logements",ROUND(VLOOKUP(C306,'Informations générales'!$C$66:$E$70,3,FALSE)*(AL306/$AM$28)/12,0)*12,IF(C306="3112. Logements",ROUND(VLOOKUP(C306,'Informations générales'!$C$66:$E$70,3,FALSE)*(AL306/$AN$28)/12,0)*12,IF(C306="3113. Logements",ROUND(VLOOKUP(C306,'Informations générales'!$C$66:$E$70,3,FALSE)*(AL306/$AO$28)/12,0)*12,IF(C306="3114. Logements",ROUND(VLOOKUP(C306,'Informations générales'!$C$66:$E$70,3,FALSE)*(AL306/$AP$28)/12,0)*12,IF(C306="3115. Logements",ROUND(VLOOKUP(C306,'Informations générales'!$C$66:$E$70,3,FALSE)*(AL306/$AQ$28)/12,0)*12,"")))))</f>
        <v/>
      </c>
      <c r="AC306" s="114"/>
      <c r="AD306" s="113">
        <f t="shared" si="70"/>
        <v>0</v>
      </c>
      <c r="AE306" s="114"/>
      <c r="AF306" s="203" t="str">
        <f>IF(C306="3111. Logements",ROUND(VLOOKUP(C306,'Informations générales'!$C$66:$E$70,3,FALSE)*(AL306/$AM$28)/12,0)*12,IF(C306="3112. Logements",ROUND(VLOOKUP(C306,'Informations générales'!$C$66:$E$70,3,FALSE)*(AL306/$AN$28)/12,0)*12,IF(C306="3113. Logements",ROUND(VLOOKUP(C306,'Informations générales'!$C$66:$E$70,3,FALSE)*(AL306/$AO$28)/12,0)*12,IF(C306="3114. Logements",ROUND(VLOOKUP(C306,'Informations générales'!$C$66:$E$70,3,FALSE)*(AL306/$AP$28)/12,0)*12,IF(C306="3115. Logements",ROUND(VLOOKUP(C306,'Informations générales'!$C$66:$E$70,3,FALSE)*(AL306/$AQ$28)/12,0)*12,"")))))</f>
        <v/>
      </c>
      <c r="AG306" s="202"/>
      <c r="AH306" s="113" t="str">
        <f>IF(C306="3111. Logements",ROUND(VLOOKUP(C306,'Informations générales'!$C$66:$H$70,5,FALSE)*(AL306/$AM$28)/12,0)*12,IF(C306="3112. Logements",ROUND(VLOOKUP(C306,'Informations générales'!$C$66:$H$70,5,FALSE)*(AL306/$AN$28)/12,0)*12,IF(C306="3113. Logements",ROUND(VLOOKUP(C306,'Informations générales'!$C$66:$H$70,5,FALSE)*(AL306/$AO$28)/12,0)*12,IF(C306="3114. Logements",ROUND(VLOOKUP(C306,'Informations générales'!$C$66:$H$70,5,FALSE)*(AL306/$AP$28)/12,0)*12,IF(C306="3115. Logements",ROUND(VLOOKUP(C306,'Informations générales'!$C$66:$H$70,5,FALSE)*(AL306/$AQ$28)/12,0)*12,"")))))</f>
        <v/>
      </c>
      <c r="AI306" s="114"/>
      <c r="AJ306" s="114"/>
      <c r="AK306" s="76"/>
      <c r="AL306" s="58">
        <f t="shared" si="71"/>
        <v>0</v>
      </c>
      <c r="AM306" s="58"/>
      <c r="AN306" s="58"/>
      <c r="AO306" s="58"/>
      <c r="AP306" s="58"/>
      <c r="AQ306" s="58"/>
      <c r="AR306" s="58">
        <f t="shared" si="59"/>
        <v>0</v>
      </c>
      <c r="AS306" s="58">
        <f t="shared" si="60"/>
        <v>0</v>
      </c>
      <c r="AT306" s="58">
        <f t="shared" si="61"/>
        <v>0</v>
      </c>
      <c r="AU306" s="58">
        <f t="shared" si="62"/>
        <v>0</v>
      </c>
      <c r="AV306" s="58">
        <f t="shared" si="63"/>
        <v>0</v>
      </c>
      <c r="AW306" s="58">
        <f t="shared" si="64"/>
        <v>0</v>
      </c>
      <c r="AX306" s="58">
        <f t="shared" si="65"/>
        <v>0</v>
      </c>
      <c r="AY306" s="58">
        <f t="shared" si="72"/>
        <v>0</v>
      </c>
      <c r="AZ306" s="62">
        <f t="shared" si="66"/>
        <v>0</v>
      </c>
      <c r="BA306" s="63">
        <f t="shared" si="67"/>
        <v>0</v>
      </c>
      <c r="BB306" s="63">
        <f t="shared" si="68"/>
        <v>0</v>
      </c>
    </row>
    <row r="307" spans="3:54" s="17" customFormat="1" x14ac:dyDescent="0.25">
      <c r="C307" s="215"/>
      <c r="D307" s="216"/>
      <c r="E307" s="88"/>
      <c r="F307" s="217"/>
      <c r="G307" s="234"/>
      <c r="H307" s="218"/>
      <c r="I307" s="76"/>
      <c r="J307" s="77"/>
      <c r="K307" s="76"/>
      <c r="L307" s="78"/>
      <c r="M307" s="78"/>
      <c r="N307" s="76" t="s">
        <v>39</v>
      </c>
      <c r="O307" s="110"/>
      <c r="P307" s="152"/>
      <c r="Q307" s="111" t="str">
        <f>IFERROR(MIN(VLOOKUP(ROUNDDOWN(P307,0),'Aide calcul'!$B$2:$C$282,2,FALSE),O307+1),"")</f>
        <v/>
      </c>
      <c r="R307" s="112" t="str">
        <f t="shared" si="69"/>
        <v/>
      </c>
      <c r="S307" s="152"/>
      <c r="T307" s="152"/>
      <c r="U307" s="152"/>
      <c r="V307" s="152"/>
      <c r="W307" s="152"/>
      <c r="X307" s="152"/>
      <c r="Y307" s="152"/>
      <c r="Z307" s="76"/>
      <c r="AA307" s="76"/>
      <c r="AB307" s="113" t="str">
        <f>IF(C307="3111. Logements",ROUND(VLOOKUP(C307,'Informations générales'!$C$66:$E$70,3,FALSE)*(AL307/$AM$28)/12,0)*12,IF(C307="3112. Logements",ROUND(VLOOKUP(C307,'Informations générales'!$C$66:$E$70,3,FALSE)*(AL307/$AN$28)/12,0)*12,IF(C307="3113. Logements",ROUND(VLOOKUP(C307,'Informations générales'!$C$66:$E$70,3,FALSE)*(AL307/$AO$28)/12,0)*12,IF(C307="3114. Logements",ROUND(VLOOKUP(C307,'Informations générales'!$C$66:$E$70,3,FALSE)*(AL307/$AP$28)/12,0)*12,IF(C307="3115. Logements",ROUND(VLOOKUP(C307,'Informations générales'!$C$66:$E$70,3,FALSE)*(AL307/$AQ$28)/12,0)*12,"")))))</f>
        <v/>
      </c>
      <c r="AC307" s="114"/>
      <c r="AD307" s="113">
        <f t="shared" si="70"/>
        <v>0</v>
      </c>
      <c r="AE307" s="114"/>
      <c r="AF307" s="203" t="str">
        <f>IF(C307="3111. Logements",ROUND(VLOOKUP(C307,'Informations générales'!$C$66:$E$70,3,FALSE)*(AL307/$AM$28)/12,0)*12,IF(C307="3112. Logements",ROUND(VLOOKUP(C307,'Informations générales'!$C$66:$E$70,3,FALSE)*(AL307/$AN$28)/12,0)*12,IF(C307="3113. Logements",ROUND(VLOOKUP(C307,'Informations générales'!$C$66:$E$70,3,FALSE)*(AL307/$AO$28)/12,0)*12,IF(C307="3114. Logements",ROUND(VLOOKUP(C307,'Informations générales'!$C$66:$E$70,3,FALSE)*(AL307/$AP$28)/12,0)*12,IF(C307="3115. Logements",ROUND(VLOOKUP(C307,'Informations générales'!$C$66:$E$70,3,FALSE)*(AL307/$AQ$28)/12,0)*12,"")))))</f>
        <v/>
      </c>
      <c r="AG307" s="202"/>
      <c r="AH307" s="113" t="str">
        <f>IF(C307="3111. Logements",ROUND(VLOOKUP(C307,'Informations générales'!$C$66:$H$70,5,FALSE)*(AL307/$AM$28)/12,0)*12,IF(C307="3112. Logements",ROUND(VLOOKUP(C307,'Informations générales'!$C$66:$H$70,5,FALSE)*(AL307/$AN$28)/12,0)*12,IF(C307="3113. Logements",ROUND(VLOOKUP(C307,'Informations générales'!$C$66:$H$70,5,FALSE)*(AL307/$AO$28)/12,0)*12,IF(C307="3114. Logements",ROUND(VLOOKUP(C307,'Informations générales'!$C$66:$H$70,5,FALSE)*(AL307/$AP$28)/12,0)*12,IF(C307="3115. Logements",ROUND(VLOOKUP(C307,'Informations générales'!$C$66:$H$70,5,FALSE)*(AL307/$AQ$28)/12,0)*12,"")))))</f>
        <v/>
      </c>
      <c r="AI307" s="114"/>
      <c r="AJ307" s="114"/>
      <c r="AK307" s="76"/>
      <c r="AL307" s="58">
        <f t="shared" si="71"/>
        <v>0</v>
      </c>
      <c r="AM307" s="58"/>
      <c r="AN307" s="58"/>
      <c r="AO307" s="58"/>
      <c r="AP307" s="58"/>
      <c r="AQ307" s="58"/>
      <c r="AR307" s="58">
        <f t="shared" si="59"/>
        <v>0</v>
      </c>
      <c r="AS307" s="58">
        <f t="shared" si="60"/>
        <v>0</v>
      </c>
      <c r="AT307" s="58">
        <f t="shared" si="61"/>
        <v>0</v>
      </c>
      <c r="AU307" s="58">
        <f t="shared" si="62"/>
        <v>0</v>
      </c>
      <c r="AV307" s="58">
        <f t="shared" si="63"/>
        <v>0</v>
      </c>
      <c r="AW307" s="58">
        <f t="shared" si="64"/>
        <v>0</v>
      </c>
      <c r="AX307" s="58">
        <f t="shared" si="65"/>
        <v>0</v>
      </c>
      <c r="AY307" s="58">
        <f t="shared" si="72"/>
        <v>0</v>
      </c>
      <c r="AZ307" s="62">
        <f t="shared" si="66"/>
        <v>0</v>
      </c>
      <c r="BA307" s="63">
        <f t="shared" si="67"/>
        <v>0</v>
      </c>
      <c r="BB307" s="63">
        <f t="shared" si="68"/>
        <v>0</v>
      </c>
    </row>
    <row r="308" spans="3:54" s="17" customFormat="1" x14ac:dyDescent="0.25">
      <c r="C308" s="215"/>
      <c r="D308" s="216"/>
      <c r="E308" s="88"/>
      <c r="F308" s="217"/>
      <c r="G308" s="234"/>
      <c r="H308" s="218"/>
      <c r="I308" s="76"/>
      <c r="J308" s="77"/>
      <c r="K308" s="76"/>
      <c r="L308" s="78"/>
      <c r="M308" s="78"/>
      <c r="N308" s="76" t="s">
        <v>39</v>
      </c>
      <c r="O308" s="110"/>
      <c r="P308" s="152"/>
      <c r="Q308" s="111" t="str">
        <f>IFERROR(MIN(VLOOKUP(ROUNDDOWN(P308,0),'Aide calcul'!$B$2:$C$282,2,FALSE),O308+1),"")</f>
        <v/>
      </c>
      <c r="R308" s="112" t="str">
        <f t="shared" si="69"/>
        <v/>
      </c>
      <c r="S308" s="152"/>
      <c r="T308" s="152"/>
      <c r="U308" s="152"/>
      <c r="V308" s="152"/>
      <c r="W308" s="152"/>
      <c r="X308" s="152"/>
      <c r="Y308" s="152"/>
      <c r="Z308" s="76"/>
      <c r="AA308" s="76"/>
      <c r="AB308" s="113" t="str">
        <f>IF(C308="3111. Logements",ROUND(VLOOKUP(C308,'Informations générales'!$C$66:$E$70,3,FALSE)*(AL308/$AM$28)/12,0)*12,IF(C308="3112. Logements",ROUND(VLOOKUP(C308,'Informations générales'!$C$66:$E$70,3,FALSE)*(AL308/$AN$28)/12,0)*12,IF(C308="3113. Logements",ROUND(VLOOKUP(C308,'Informations générales'!$C$66:$E$70,3,FALSE)*(AL308/$AO$28)/12,0)*12,IF(C308="3114. Logements",ROUND(VLOOKUP(C308,'Informations générales'!$C$66:$E$70,3,FALSE)*(AL308/$AP$28)/12,0)*12,IF(C308="3115. Logements",ROUND(VLOOKUP(C308,'Informations générales'!$C$66:$E$70,3,FALSE)*(AL308/$AQ$28)/12,0)*12,"")))))</f>
        <v/>
      </c>
      <c r="AC308" s="114"/>
      <c r="AD308" s="113">
        <f t="shared" si="70"/>
        <v>0</v>
      </c>
      <c r="AE308" s="114"/>
      <c r="AF308" s="203" t="str">
        <f>IF(C308="3111. Logements",ROUND(VLOOKUP(C308,'Informations générales'!$C$66:$E$70,3,FALSE)*(AL308/$AM$28)/12,0)*12,IF(C308="3112. Logements",ROUND(VLOOKUP(C308,'Informations générales'!$C$66:$E$70,3,FALSE)*(AL308/$AN$28)/12,0)*12,IF(C308="3113. Logements",ROUND(VLOOKUP(C308,'Informations générales'!$C$66:$E$70,3,FALSE)*(AL308/$AO$28)/12,0)*12,IF(C308="3114. Logements",ROUND(VLOOKUP(C308,'Informations générales'!$C$66:$E$70,3,FALSE)*(AL308/$AP$28)/12,0)*12,IF(C308="3115. Logements",ROUND(VLOOKUP(C308,'Informations générales'!$C$66:$E$70,3,FALSE)*(AL308/$AQ$28)/12,0)*12,"")))))</f>
        <v/>
      </c>
      <c r="AG308" s="202"/>
      <c r="AH308" s="113" t="str">
        <f>IF(C308="3111. Logements",ROUND(VLOOKUP(C308,'Informations générales'!$C$66:$H$70,5,FALSE)*(AL308/$AM$28)/12,0)*12,IF(C308="3112. Logements",ROUND(VLOOKUP(C308,'Informations générales'!$C$66:$H$70,5,FALSE)*(AL308/$AN$28)/12,0)*12,IF(C308="3113. Logements",ROUND(VLOOKUP(C308,'Informations générales'!$C$66:$H$70,5,FALSE)*(AL308/$AO$28)/12,0)*12,IF(C308="3114. Logements",ROUND(VLOOKUP(C308,'Informations générales'!$C$66:$H$70,5,FALSE)*(AL308/$AP$28)/12,0)*12,IF(C308="3115. Logements",ROUND(VLOOKUP(C308,'Informations générales'!$C$66:$H$70,5,FALSE)*(AL308/$AQ$28)/12,0)*12,"")))))</f>
        <v/>
      </c>
      <c r="AI308" s="114"/>
      <c r="AJ308" s="114"/>
      <c r="AK308" s="76"/>
      <c r="AL308" s="58">
        <f t="shared" si="71"/>
        <v>0</v>
      </c>
      <c r="AM308" s="58"/>
      <c r="AN308" s="58"/>
      <c r="AO308" s="58"/>
      <c r="AP308" s="58"/>
      <c r="AQ308" s="58"/>
      <c r="AR308" s="58">
        <f t="shared" si="59"/>
        <v>0</v>
      </c>
      <c r="AS308" s="58">
        <f t="shared" si="60"/>
        <v>0</v>
      </c>
      <c r="AT308" s="58">
        <f t="shared" si="61"/>
        <v>0</v>
      </c>
      <c r="AU308" s="58">
        <f t="shared" si="62"/>
        <v>0</v>
      </c>
      <c r="AV308" s="58">
        <f t="shared" si="63"/>
        <v>0</v>
      </c>
      <c r="AW308" s="58">
        <f t="shared" si="64"/>
        <v>0</v>
      </c>
      <c r="AX308" s="58">
        <f t="shared" si="65"/>
        <v>0</v>
      </c>
      <c r="AY308" s="58">
        <f t="shared" si="72"/>
        <v>0</v>
      </c>
      <c r="AZ308" s="62">
        <f t="shared" si="66"/>
        <v>0</v>
      </c>
      <c r="BA308" s="63">
        <f t="shared" si="67"/>
        <v>0</v>
      </c>
      <c r="BB308" s="63">
        <f t="shared" si="68"/>
        <v>0</v>
      </c>
    </row>
    <row r="309" spans="3:54" s="17" customFormat="1" x14ac:dyDescent="0.25">
      <c r="C309" s="215"/>
      <c r="D309" s="216"/>
      <c r="E309" s="88"/>
      <c r="F309" s="217"/>
      <c r="G309" s="234"/>
      <c r="H309" s="218"/>
      <c r="I309" s="76"/>
      <c r="J309" s="77"/>
      <c r="K309" s="76"/>
      <c r="L309" s="78"/>
      <c r="M309" s="78"/>
      <c r="N309" s="76" t="s">
        <v>39</v>
      </c>
      <c r="O309" s="110"/>
      <c r="P309" s="152"/>
      <c r="Q309" s="111" t="str">
        <f>IFERROR(MIN(VLOOKUP(ROUNDDOWN(P309,0),'Aide calcul'!$B$2:$C$282,2,FALSE),O309+1),"")</f>
        <v/>
      </c>
      <c r="R309" s="112" t="str">
        <f t="shared" si="69"/>
        <v/>
      </c>
      <c r="S309" s="152"/>
      <c r="T309" s="152"/>
      <c r="U309" s="152"/>
      <c r="V309" s="152"/>
      <c r="W309" s="152"/>
      <c r="X309" s="152"/>
      <c r="Y309" s="152"/>
      <c r="Z309" s="76"/>
      <c r="AA309" s="76"/>
      <c r="AB309" s="113" t="str">
        <f>IF(C309="3111. Logements",ROUND(VLOOKUP(C309,'Informations générales'!$C$66:$E$70,3,FALSE)*(AL309/$AM$28)/12,0)*12,IF(C309="3112. Logements",ROUND(VLOOKUP(C309,'Informations générales'!$C$66:$E$70,3,FALSE)*(AL309/$AN$28)/12,0)*12,IF(C309="3113. Logements",ROUND(VLOOKUP(C309,'Informations générales'!$C$66:$E$70,3,FALSE)*(AL309/$AO$28)/12,0)*12,IF(C309="3114. Logements",ROUND(VLOOKUP(C309,'Informations générales'!$C$66:$E$70,3,FALSE)*(AL309/$AP$28)/12,0)*12,IF(C309="3115. Logements",ROUND(VLOOKUP(C309,'Informations générales'!$C$66:$E$70,3,FALSE)*(AL309/$AQ$28)/12,0)*12,"")))))</f>
        <v/>
      </c>
      <c r="AC309" s="114"/>
      <c r="AD309" s="113">
        <f t="shared" si="70"/>
        <v>0</v>
      </c>
      <c r="AE309" s="114"/>
      <c r="AF309" s="203" t="str">
        <f>IF(C309="3111. Logements",ROUND(VLOOKUP(C309,'Informations générales'!$C$66:$E$70,3,FALSE)*(AL309/$AM$28)/12,0)*12,IF(C309="3112. Logements",ROUND(VLOOKUP(C309,'Informations générales'!$C$66:$E$70,3,FALSE)*(AL309/$AN$28)/12,0)*12,IF(C309="3113. Logements",ROUND(VLOOKUP(C309,'Informations générales'!$C$66:$E$70,3,FALSE)*(AL309/$AO$28)/12,0)*12,IF(C309="3114. Logements",ROUND(VLOOKUP(C309,'Informations générales'!$C$66:$E$70,3,FALSE)*(AL309/$AP$28)/12,0)*12,IF(C309="3115. Logements",ROUND(VLOOKUP(C309,'Informations générales'!$C$66:$E$70,3,FALSE)*(AL309/$AQ$28)/12,0)*12,"")))))</f>
        <v/>
      </c>
      <c r="AG309" s="202"/>
      <c r="AH309" s="113" t="str">
        <f>IF(C309="3111. Logements",ROUND(VLOOKUP(C309,'Informations générales'!$C$66:$H$70,5,FALSE)*(AL309/$AM$28)/12,0)*12,IF(C309="3112. Logements",ROUND(VLOOKUP(C309,'Informations générales'!$C$66:$H$70,5,FALSE)*(AL309/$AN$28)/12,0)*12,IF(C309="3113. Logements",ROUND(VLOOKUP(C309,'Informations générales'!$C$66:$H$70,5,FALSE)*(AL309/$AO$28)/12,0)*12,IF(C309="3114. Logements",ROUND(VLOOKUP(C309,'Informations générales'!$C$66:$H$70,5,FALSE)*(AL309/$AP$28)/12,0)*12,IF(C309="3115. Logements",ROUND(VLOOKUP(C309,'Informations générales'!$C$66:$H$70,5,FALSE)*(AL309/$AQ$28)/12,0)*12,"")))))</f>
        <v/>
      </c>
      <c r="AI309" s="114"/>
      <c r="AJ309" s="114"/>
      <c r="AK309" s="76"/>
      <c r="AL309" s="58">
        <f t="shared" si="71"/>
        <v>0</v>
      </c>
      <c r="AM309" s="58"/>
      <c r="AN309" s="58"/>
      <c r="AO309" s="58"/>
      <c r="AP309" s="58"/>
      <c r="AQ309" s="58"/>
      <c r="AR309" s="58">
        <f t="shared" si="59"/>
        <v>0</v>
      </c>
      <c r="AS309" s="58">
        <f t="shared" si="60"/>
        <v>0</v>
      </c>
      <c r="AT309" s="58">
        <f t="shared" si="61"/>
        <v>0</v>
      </c>
      <c r="AU309" s="58">
        <f t="shared" si="62"/>
        <v>0</v>
      </c>
      <c r="AV309" s="58">
        <f t="shared" si="63"/>
        <v>0</v>
      </c>
      <c r="AW309" s="58">
        <f t="shared" si="64"/>
        <v>0</v>
      </c>
      <c r="AX309" s="58">
        <f t="shared" si="65"/>
        <v>0</v>
      </c>
      <c r="AY309" s="58">
        <f t="shared" si="72"/>
        <v>0</v>
      </c>
      <c r="AZ309" s="62">
        <f t="shared" si="66"/>
        <v>0</v>
      </c>
      <c r="BA309" s="63">
        <f t="shared" si="67"/>
        <v>0</v>
      </c>
      <c r="BB309" s="63">
        <f t="shared" si="68"/>
        <v>0</v>
      </c>
    </row>
    <row r="310" spans="3:54" s="17" customFormat="1" x14ac:dyDescent="0.25">
      <c r="C310" s="215"/>
      <c r="D310" s="216"/>
      <c r="E310" s="88"/>
      <c r="F310" s="217"/>
      <c r="G310" s="234"/>
      <c r="H310" s="218"/>
      <c r="I310" s="76"/>
      <c r="J310" s="77"/>
      <c r="K310" s="76"/>
      <c r="L310" s="78"/>
      <c r="M310" s="78"/>
      <c r="N310" s="76" t="s">
        <v>39</v>
      </c>
      <c r="O310" s="110"/>
      <c r="P310" s="152"/>
      <c r="Q310" s="111" t="str">
        <f>IFERROR(MIN(VLOOKUP(ROUNDDOWN(P310,0),'Aide calcul'!$B$2:$C$282,2,FALSE),O310+1),"")</f>
        <v/>
      </c>
      <c r="R310" s="112" t="str">
        <f t="shared" si="69"/>
        <v/>
      </c>
      <c r="S310" s="152"/>
      <c r="T310" s="152"/>
      <c r="U310" s="152"/>
      <c r="V310" s="152"/>
      <c r="W310" s="152"/>
      <c r="X310" s="152"/>
      <c r="Y310" s="152"/>
      <c r="Z310" s="76"/>
      <c r="AA310" s="76"/>
      <c r="AB310" s="113" t="str">
        <f>IF(C310="3111. Logements",ROUND(VLOOKUP(C310,'Informations générales'!$C$66:$E$70,3,FALSE)*(AL310/$AM$28)/12,0)*12,IF(C310="3112. Logements",ROUND(VLOOKUP(C310,'Informations générales'!$C$66:$E$70,3,FALSE)*(AL310/$AN$28)/12,0)*12,IF(C310="3113. Logements",ROUND(VLOOKUP(C310,'Informations générales'!$C$66:$E$70,3,FALSE)*(AL310/$AO$28)/12,0)*12,IF(C310="3114. Logements",ROUND(VLOOKUP(C310,'Informations générales'!$C$66:$E$70,3,FALSE)*(AL310/$AP$28)/12,0)*12,IF(C310="3115. Logements",ROUND(VLOOKUP(C310,'Informations générales'!$C$66:$E$70,3,FALSE)*(AL310/$AQ$28)/12,0)*12,"")))))</f>
        <v/>
      </c>
      <c r="AC310" s="114"/>
      <c r="AD310" s="113">
        <f t="shared" si="70"/>
        <v>0</v>
      </c>
      <c r="AE310" s="114"/>
      <c r="AF310" s="203" t="str">
        <f>IF(C310="3111. Logements",ROUND(VLOOKUP(C310,'Informations générales'!$C$66:$E$70,3,FALSE)*(AL310/$AM$28)/12,0)*12,IF(C310="3112. Logements",ROUND(VLOOKUP(C310,'Informations générales'!$C$66:$E$70,3,FALSE)*(AL310/$AN$28)/12,0)*12,IF(C310="3113. Logements",ROUND(VLOOKUP(C310,'Informations générales'!$C$66:$E$70,3,FALSE)*(AL310/$AO$28)/12,0)*12,IF(C310="3114. Logements",ROUND(VLOOKUP(C310,'Informations générales'!$C$66:$E$70,3,FALSE)*(AL310/$AP$28)/12,0)*12,IF(C310="3115. Logements",ROUND(VLOOKUP(C310,'Informations générales'!$C$66:$E$70,3,FALSE)*(AL310/$AQ$28)/12,0)*12,"")))))</f>
        <v/>
      </c>
      <c r="AG310" s="202"/>
      <c r="AH310" s="113" t="str">
        <f>IF(C310="3111. Logements",ROUND(VLOOKUP(C310,'Informations générales'!$C$66:$H$70,5,FALSE)*(AL310/$AM$28)/12,0)*12,IF(C310="3112. Logements",ROUND(VLOOKUP(C310,'Informations générales'!$C$66:$H$70,5,FALSE)*(AL310/$AN$28)/12,0)*12,IF(C310="3113. Logements",ROUND(VLOOKUP(C310,'Informations générales'!$C$66:$H$70,5,FALSE)*(AL310/$AO$28)/12,0)*12,IF(C310="3114. Logements",ROUND(VLOOKUP(C310,'Informations générales'!$C$66:$H$70,5,FALSE)*(AL310/$AP$28)/12,0)*12,IF(C310="3115. Logements",ROUND(VLOOKUP(C310,'Informations générales'!$C$66:$H$70,5,FALSE)*(AL310/$AQ$28)/12,0)*12,"")))))</f>
        <v/>
      </c>
      <c r="AI310" s="114"/>
      <c r="AJ310" s="114"/>
      <c r="AK310" s="76"/>
      <c r="AL310" s="58">
        <f t="shared" si="71"/>
        <v>0</v>
      </c>
      <c r="AM310" s="58"/>
      <c r="AN310" s="58"/>
      <c r="AO310" s="58"/>
      <c r="AP310" s="58"/>
      <c r="AQ310" s="58"/>
      <c r="AR310" s="58">
        <f t="shared" si="59"/>
        <v>0</v>
      </c>
      <c r="AS310" s="58">
        <f t="shared" si="60"/>
        <v>0</v>
      </c>
      <c r="AT310" s="58">
        <f t="shared" si="61"/>
        <v>0</v>
      </c>
      <c r="AU310" s="58">
        <f t="shared" si="62"/>
        <v>0</v>
      </c>
      <c r="AV310" s="58">
        <f t="shared" si="63"/>
        <v>0</v>
      </c>
      <c r="AW310" s="58">
        <f t="shared" si="64"/>
        <v>0</v>
      </c>
      <c r="AX310" s="58">
        <f t="shared" si="65"/>
        <v>0</v>
      </c>
      <c r="AY310" s="58">
        <f t="shared" si="72"/>
        <v>0</v>
      </c>
      <c r="AZ310" s="62">
        <f t="shared" si="66"/>
        <v>0</v>
      </c>
      <c r="BA310" s="63">
        <f t="shared" si="67"/>
        <v>0</v>
      </c>
      <c r="BB310" s="63">
        <f t="shared" si="68"/>
        <v>0</v>
      </c>
    </row>
    <row r="311" spans="3:54" s="17" customFormat="1" x14ac:dyDescent="0.25">
      <c r="C311" s="215"/>
      <c r="D311" s="216"/>
      <c r="E311" s="88"/>
      <c r="F311" s="217"/>
      <c r="G311" s="234"/>
      <c r="H311" s="218"/>
      <c r="I311" s="76"/>
      <c r="J311" s="77"/>
      <c r="K311" s="76"/>
      <c r="L311" s="78"/>
      <c r="M311" s="78"/>
      <c r="N311" s="76" t="s">
        <v>39</v>
      </c>
      <c r="O311" s="110"/>
      <c r="P311" s="152"/>
      <c r="Q311" s="111" t="str">
        <f>IFERROR(MIN(VLOOKUP(ROUNDDOWN(P311,0),'Aide calcul'!$B$2:$C$282,2,FALSE),O311+1),"")</f>
        <v/>
      </c>
      <c r="R311" s="112" t="str">
        <f t="shared" si="69"/>
        <v/>
      </c>
      <c r="S311" s="152"/>
      <c r="T311" s="152"/>
      <c r="U311" s="152"/>
      <c r="V311" s="152"/>
      <c r="W311" s="152"/>
      <c r="X311" s="152"/>
      <c r="Y311" s="152"/>
      <c r="Z311" s="76"/>
      <c r="AA311" s="76"/>
      <c r="AB311" s="113" t="str">
        <f>IF(C311="3111. Logements",ROUND(VLOOKUP(C311,'Informations générales'!$C$66:$E$70,3,FALSE)*(AL311/$AM$28)/12,0)*12,IF(C311="3112. Logements",ROUND(VLOOKUP(C311,'Informations générales'!$C$66:$E$70,3,FALSE)*(AL311/$AN$28)/12,0)*12,IF(C311="3113. Logements",ROUND(VLOOKUP(C311,'Informations générales'!$C$66:$E$70,3,FALSE)*(AL311/$AO$28)/12,0)*12,IF(C311="3114. Logements",ROUND(VLOOKUP(C311,'Informations générales'!$C$66:$E$70,3,FALSE)*(AL311/$AP$28)/12,0)*12,IF(C311="3115. Logements",ROUND(VLOOKUP(C311,'Informations générales'!$C$66:$E$70,3,FALSE)*(AL311/$AQ$28)/12,0)*12,"")))))</f>
        <v/>
      </c>
      <c r="AC311" s="114"/>
      <c r="AD311" s="113">
        <f t="shared" si="70"/>
        <v>0</v>
      </c>
      <c r="AE311" s="114"/>
      <c r="AF311" s="203" t="str">
        <f>IF(C311="3111. Logements",ROUND(VLOOKUP(C311,'Informations générales'!$C$66:$E$70,3,FALSE)*(AL311/$AM$28)/12,0)*12,IF(C311="3112. Logements",ROUND(VLOOKUP(C311,'Informations générales'!$C$66:$E$70,3,FALSE)*(AL311/$AN$28)/12,0)*12,IF(C311="3113. Logements",ROUND(VLOOKUP(C311,'Informations générales'!$C$66:$E$70,3,FALSE)*(AL311/$AO$28)/12,0)*12,IF(C311="3114. Logements",ROUND(VLOOKUP(C311,'Informations générales'!$C$66:$E$70,3,FALSE)*(AL311/$AP$28)/12,0)*12,IF(C311="3115. Logements",ROUND(VLOOKUP(C311,'Informations générales'!$C$66:$E$70,3,FALSE)*(AL311/$AQ$28)/12,0)*12,"")))))</f>
        <v/>
      </c>
      <c r="AG311" s="202"/>
      <c r="AH311" s="113" t="str">
        <f>IF(C311="3111. Logements",ROUND(VLOOKUP(C311,'Informations générales'!$C$66:$H$70,5,FALSE)*(AL311/$AM$28)/12,0)*12,IF(C311="3112. Logements",ROUND(VLOOKUP(C311,'Informations générales'!$C$66:$H$70,5,FALSE)*(AL311/$AN$28)/12,0)*12,IF(C311="3113. Logements",ROUND(VLOOKUP(C311,'Informations générales'!$C$66:$H$70,5,FALSE)*(AL311/$AO$28)/12,0)*12,IF(C311="3114. Logements",ROUND(VLOOKUP(C311,'Informations générales'!$C$66:$H$70,5,FALSE)*(AL311/$AP$28)/12,0)*12,IF(C311="3115. Logements",ROUND(VLOOKUP(C311,'Informations générales'!$C$66:$H$70,5,FALSE)*(AL311/$AQ$28)/12,0)*12,"")))))</f>
        <v/>
      </c>
      <c r="AI311" s="114"/>
      <c r="AJ311" s="114"/>
      <c r="AK311" s="76"/>
      <c r="AL311" s="58">
        <f t="shared" si="71"/>
        <v>0</v>
      </c>
      <c r="AM311" s="58"/>
      <c r="AN311" s="58"/>
      <c r="AO311" s="58"/>
      <c r="AP311" s="58"/>
      <c r="AQ311" s="58"/>
      <c r="AR311" s="58">
        <f t="shared" si="59"/>
        <v>0</v>
      </c>
      <c r="AS311" s="58">
        <f t="shared" si="60"/>
        <v>0</v>
      </c>
      <c r="AT311" s="58">
        <f t="shared" si="61"/>
        <v>0</v>
      </c>
      <c r="AU311" s="58">
        <f t="shared" si="62"/>
        <v>0</v>
      </c>
      <c r="AV311" s="58">
        <f t="shared" si="63"/>
        <v>0</v>
      </c>
      <c r="AW311" s="58">
        <f t="shared" si="64"/>
        <v>0</v>
      </c>
      <c r="AX311" s="58">
        <f t="shared" si="65"/>
        <v>0</v>
      </c>
      <c r="AY311" s="58">
        <f t="shared" si="72"/>
        <v>0</v>
      </c>
      <c r="AZ311" s="62">
        <f t="shared" si="66"/>
        <v>0</v>
      </c>
      <c r="BA311" s="63">
        <f t="shared" si="67"/>
        <v>0</v>
      </c>
      <c r="BB311" s="63">
        <f t="shared" si="68"/>
        <v>0</v>
      </c>
    </row>
    <row r="312" spans="3:54" s="17" customFormat="1" x14ac:dyDescent="0.25">
      <c r="C312" s="215"/>
      <c r="D312" s="216"/>
      <c r="E312" s="88"/>
      <c r="F312" s="217"/>
      <c r="G312" s="234"/>
      <c r="H312" s="218"/>
      <c r="I312" s="76"/>
      <c r="J312" s="77"/>
      <c r="K312" s="76"/>
      <c r="L312" s="78"/>
      <c r="M312" s="78"/>
      <c r="N312" s="76" t="s">
        <v>39</v>
      </c>
      <c r="O312" s="110"/>
      <c r="P312" s="152"/>
      <c r="Q312" s="111" t="str">
        <f>IFERROR(MIN(VLOOKUP(ROUNDDOWN(P312,0),'Aide calcul'!$B$2:$C$282,2,FALSE),O312+1),"")</f>
        <v/>
      </c>
      <c r="R312" s="112" t="str">
        <f t="shared" si="69"/>
        <v/>
      </c>
      <c r="S312" s="152"/>
      <c r="T312" s="152"/>
      <c r="U312" s="152"/>
      <c r="V312" s="152"/>
      <c r="W312" s="152"/>
      <c r="X312" s="152"/>
      <c r="Y312" s="152"/>
      <c r="Z312" s="76"/>
      <c r="AA312" s="76"/>
      <c r="AB312" s="113" t="str">
        <f>IF(C312="3111. Logements",ROUND(VLOOKUP(C312,'Informations générales'!$C$66:$E$70,3,FALSE)*(AL312/$AM$28)/12,0)*12,IF(C312="3112. Logements",ROUND(VLOOKUP(C312,'Informations générales'!$C$66:$E$70,3,FALSE)*(AL312/$AN$28)/12,0)*12,IF(C312="3113. Logements",ROUND(VLOOKUP(C312,'Informations générales'!$C$66:$E$70,3,FALSE)*(AL312/$AO$28)/12,0)*12,IF(C312="3114. Logements",ROUND(VLOOKUP(C312,'Informations générales'!$C$66:$E$70,3,FALSE)*(AL312/$AP$28)/12,0)*12,IF(C312="3115. Logements",ROUND(VLOOKUP(C312,'Informations générales'!$C$66:$E$70,3,FALSE)*(AL312/$AQ$28)/12,0)*12,"")))))</f>
        <v/>
      </c>
      <c r="AC312" s="114"/>
      <c r="AD312" s="113">
        <f t="shared" si="70"/>
        <v>0</v>
      </c>
      <c r="AE312" s="114"/>
      <c r="AF312" s="203" t="str">
        <f>IF(C312="3111. Logements",ROUND(VLOOKUP(C312,'Informations générales'!$C$66:$E$70,3,FALSE)*(AL312/$AM$28)/12,0)*12,IF(C312="3112. Logements",ROUND(VLOOKUP(C312,'Informations générales'!$C$66:$E$70,3,FALSE)*(AL312/$AN$28)/12,0)*12,IF(C312="3113. Logements",ROUND(VLOOKUP(C312,'Informations générales'!$C$66:$E$70,3,FALSE)*(AL312/$AO$28)/12,0)*12,IF(C312="3114. Logements",ROUND(VLOOKUP(C312,'Informations générales'!$C$66:$E$70,3,FALSE)*(AL312/$AP$28)/12,0)*12,IF(C312="3115. Logements",ROUND(VLOOKUP(C312,'Informations générales'!$C$66:$E$70,3,FALSE)*(AL312/$AQ$28)/12,0)*12,"")))))</f>
        <v/>
      </c>
      <c r="AG312" s="202"/>
      <c r="AH312" s="113" t="str">
        <f>IF(C312="3111. Logements",ROUND(VLOOKUP(C312,'Informations générales'!$C$66:$H$70,5,FALSE)*(AL312/$AM$28)/12,0)*12,IF(C312="3112. Logements",ROUND(VLOOKUP(C312,'Informations générales'!$C$66:$H$70,5,FALSE)*(AL312/$AN$28)/12,0)*12,IF(C312="3113. Logements",ROUND(VLOOKUP(C312,'Informations générales'!$C$66:$H$70,5,FALSE)*(AL312/$AO$28)/12,0)*12,IF(C312="3114. Logements",ROUND(VLOOKUP(C312,'Informations générales'!$C$66:$H$70,5,FALSE)*(AL312/$AP$28)/12,0)*12,IF(C312="3115. Logements",ROUND(VLOOKUP(C312,'Informations générales'!$C$66:$H$70,5,FALSE)*(AL312/$AQ$28)/12,0)*12,"")))))</f>
        <v/>
      </c>
      <c r="AI312" s="114"/>
      <c r="AJ312" s="114"/>
      <c r="AK312" s="76"/>
      <c r="AL312" s="58">
        <f t="shared" si="71"/>
        <v>0</v>
      </c>
      <c r="AM312" s="58"/>
      <c r="AN312" s="58"/>
      <c r="AO312" s="58"/>
      <c r="AP312" s="58"/>
      <c r="AQ312" s="58"/>
      <c r="AR312" s="58">
        <f t="shared" si="59"/>
        <v>0</v>
      </c>
      <c r="AS312" s="58">
        <f t="shared" si="60"/>
        <v>0</v>
      </c>
      <c r="AT312" s="58">
        <f t="shared" si="61"/>
        <v>0</v>
      </c>
      <c r="AU312" s="58">
        <f t="shared" si="62"/>
        <v>0</v>
      </c>
      <c r="AV312" s="58">
        <f t="shared" si="63"/>
        <v>0</v>
      </c>
      <c r="AW312" s="58">
        <f t="shared" si="64"/>
        <v>0</v>
      </c>
      <c r="AX312" s="58">
        <f t="shared" si="65"/>
        <v>0</v>
      </c>
      <c r="AY312" s="58">
        <f t="shared" si="72"/>
        <v>0</v>
      </c>
      <c r="AZ312" s="62">
        <f t="shared" si="66"/>
        <v>0</v>
      </c>
      <c r="BA312" s="63">
        <f t="shared" si="67"/>
        <v>0</v>
      </c>
      <c r="BB312" s="63">
        <f t="shared" si="68"/>
        <v>0</v>
      </c>
    </row>
    <row r="313" spans="3:54" s="17" customFormat="1" x14ac:dyDescent="0.25">
      <c r="C313" s="215"/>
      <c r="D313" s="216"/>
      <c r="E313" s="88"/>
      <c r="F313" s="217"/>
      <c r="G313" s="234"/>
      <c r="H313" s="218"/>
      <c r="I313" s="76"/>
      <c r="J313" s="77"/>
      <c r="K313" s="76"/>
      <c r="L313" s="78"/>
      <c r="M313" s="78"/>
      <c r="N313" s="76" t="s">
        <v>39</v>
      </c>
      <c r="O313" s="110"/>
      <c r="P313" s="152"/>
      <c r="Q313" s="111" t="str">
        <f>IFERROR(MIN(VLOOKUP(ROUNDDOWN(P313,0),'Aide calcul'!$B$2:$C$282,2,FALSE),O313+1),"")</f>
        <v/>
      </c>
      <c r="R313" s="112" t="str">
        <f t="shared" si="69"/>
        <v/>
      </c>
      <c r="S313" s="152"/>
      <c r="T313" s="152"/>
      <c r="U313" s="152"/>
      <c r="V313" s="152"/>
      <c r="W313" s="152"/>
      <c r="X313" s="152"/>
      <c r="Y313" s="152"/>
      <c r="Z313" s="76"/>
      <c r="AA313" s="76"/>
      <c r="AB313" s="113" t="str">
        <f>IF(C313="3111. Logements",ROUND(VLOOKUP(C313,'Informations générales'!$C$66:$E$70,3,FALSE)*(AL313/$AM$28)/12,0)*12,IF(C313="3112. Logements",ROUND(VLOOKUP(C313,'Informations générales'!$C$66:$E$70,3,FALSE)*(AL313/$AN$28)/12,0)*12,IF(C313="3113. Logements",ROUND(VLOOKUP(C313,'Informations générales'!$C$66:$E$70,3,FALSE)*(AL313/$AO$28)/12,0)*12,IF(C313="3114. Logements",ROUND(VLOOKUP(C313,'Informations générales'!$C$66:$E$70,3,FALSE)*(AL313/$AP$28)/12,0)*12,IF(C313="3115. Logements",ROUND(VLOOKUP(C313,'Informations générales'!$C$66:$E$70,3,FALSE)*(AL313/$AQ$28)/12,0)*12,"")))))</f>
        <v/>
      </c>
      <c r="AC313" s="114"/>
      <c r="AD313" s="113">
        <f t="shared" si="70"/>
        <v>0</v>
      </c>
      <c r="AE313" s="114"/>
      <c r="AF313" s="203" t="str">
        <f>IF(C313="3111. Logements",ROUND(VLOOKUP(C313,'Informations générales'!$C$66:$E$70,3,FALSE)*(AL313/$AM$28)/12,0)*12,IF(C313="3112. Logements",ROUND(VLOOKUP(C313,'Informations générales'!$C$66:$E$70,3,FALSE)*(AL313/$AN$28)/12,0)*12,IF(C313="3113. Logements",ROUND(VLOOKUP(C313,'Informations générales'!$C$66:$E$70,3,FALSE)*(AL313/$AO$28)/12,0)*12,IF(C313="3114. Logements",ROUND(VLOOKUP(C313,'Informations générales'!$C$66:$E$70,3,FALSE)*(AL313/$AP$28)/12,0)*12,IF(C313="3115. Logements",ROUND(VLOOKUP(C313,'Informations générales'!$C$66:$E$70,3,FALSE)*(AL313/$AQ$28)/12,0)*12,"")))))</f>
        <v/>
      </c>
      <c r="AG313" s="202"/>
      <c r="AH313" s="113" t="str">
        <f>IF(C313="3111. Logements",ROUND(VLOOKUP(C313,'Informations générales'!$C$66:$H$70,5,FALSE)*(AL313/$AM$28)/12,0)*12,IF(C313="3112. Logements",ROUND(VLOOKUP(C313,'Informations générales'!$C$66:$H$70,5,FALSE)*(AL313/$AN$28)/12,0)*12,IF(C313="3113. Logements",ROUND(VLOOKUP(C313,'Informations générales'!$C$66:$H$70,5,FALSE)*(AL313/$AO$28)/12,0)*12,IF(C313="3114. Logements",ROUND(VLOOKUP(C313,'Informations générales'!$C$66:$H$70,5,FALSE)*(AL313/$AP$28)/12,0)*12,IF(C313="3115. Logements",ROUND(VLOOKUP(C313,'Informations générales'!$C$66:$H$70,5,FALSE)*(AL313/$AQ$28)/12,0)*12,"")))))</f>
        <v/>
      </c>
      <c r="AI313" s="114"/>
      <c r="AJ313" s="114"/>
      <c r="AK313" s="76"/>
      <c r="AL313" s="58">
        <f t="shared" si="71"/>
        <v>0</v>
      </c>
      <c r="AM313" s="58"/>
      <c r="AN313" s="58"/>
      <c r="AO313" s="58"/>
      <c r="AP313" s="58"/>
      <c r="AQ313" s="58"/>
      <c r="AR313" s="58">
        <f t="shared" si="59"/>
        <v>0</v>
      </c>
      <c r="AS313" s="58">
        <f t="shared" si="60"/>
        <v>0</v>
      </c>
      <c r="AT313" s="58">
        <f t="shared" si="61"/>
        <v>0</v>
      </c>
      <c r="AU313" s="58">
        <f t="shared" si="62"/>
        <v>0</v>
      </c>
      <c r="AV313" s="58">
        <f t="shared" si="63"/>
        <v>0</v>
      </c>
      <c r="AW313" s="58">
        <f t="shared" si="64"/>
        <v>0</v>
      </c>
      <c r="AX313" s="58">
        <f t="shared" si="65"/>
        <v>0</v>
      </c>
      <c r="AY313" s="58">
        <f t="shared" si="72"/>
        <v>0</v>
      </c>
      <c r="AZ313" s="62">
        <f t="shared" si="66"/>
        <v>0</v>
      </c>
      <c r="BA313" s="63">
        <f t="shared" si="67"/>
        <v>0</v>
      </c>
      <c r="BB313" s="63">
        <f t="shared" si="68"/>
        <v>0</v>
      </c>
    </row>
    <row r="314" spans="3:54" s="17" customFormat="1" x14ac:dyDescent="0.25">
      <c r="C314" s="215"/>
      <c r="D314" s="216"/>
      <c r="E314" s="88"/>
      <c r="F314" s="217"/>
      <c r="G314" s="234"/>
      <c r="H314" s="218"/>
      <c r="I314" s="76"/>
      <c r="J314" s="77"/>
      <c r="K314" s="76"/>
      <c r="L314" s="78"/>
      <c r="M314" s="78"/>
      <c r="N314" s="76" t="s">
        <v>39</v>
      </c>
      <c r="O314" s="110"/>
      <c r="P314" s="152"/>
      <c r="Q314" s="111" t="str">
        <f>IFERROR(MIN(VLOOKUP(ROUNDDOWN(P314,0),'Aide calcul'!$B$2:$C$282,2,FALSE),O314+1),"")</f>
        <v/>
      </c>
      <c r="R314" s="112" t="str">
        <f t="shared" si="69"/>
        <v/>
      </c>
      <c r="S314" s="152"/>
      <c r="T314" s="152"/>
      <c r="U314" s="152"/>
      <c r="V314" s="152"/>
      <c r="W314" s="152"/>
      <c r="X314" s="152"/>
      <c r="Y314" s="152"/>
      <c r="Z314" s="76"/>
      <c r="AA314" s="76"/>
      <c r="AB314" s="113" t="str">
        <f>IF(C314="3111. Logements",ROUND(VLOOKUP(C314,'Informations générales'!$C$66:$E$70,3,FALSE)*(AL314/$AM$28)/12,0)*12,IF(C314="3112. Logements",ROUND(VLOOKUP(C314,'Informations générales'!$C$66:$E$70,3,FALSE)*(AL314/$AN$28)/12,0)*12,IF(C314="3113. Logements",ROUND(VLOOKUP(C314,'Informations générales'!$C$66:$E$70,3,FALSE)*(AL314/$AO$28)/12,0)*12,IF(C314="3114. Logements",ROUND(VLOOKUP(C314,'Informations générales'!$C$66:$E$70,3,FALSE)*(AL314/$AP$28)/12,0)*12,IF(C314="3115. Logements",ROUND(VLOOKUP(C314,'Informations générales'!$C$66:$E$70,3,FALSE)*(AL314/$AQ$28)/12,0)*12,"")))))</f>
        <v/>
      </c>
      <c r="AC314" s="114"/>
      <c r="AD314" s="113">
        <f t="shared" si="70"/>
        <v>0</v>
      </c>
      <c r="AE314" s="114"/>
      <c r="AF314" s="203" t="str">
        <f>IF(C314="3111. Logements",ROUND(VLOOKUP(C314,'Informations générales'!$C$66:$E$70,3,FALSE)*(AL314/$AM$28)/12,0)*12,IF(C314="3112. Logements",ROUND(VLOOKUP(C314,'Informations générales'!$C$66:$E$70,3,FALSE)*(AL314/$AN$28)/12,0)*12,IF(C314="3113. Logements",ROUND(VLOOKUP(C314,'Informations générales'!$C$66:$E$70,3,FALSE)*(AL314/$AO$28)/12,0)*12,IF(C314="3114. Logements",ROUND(VLOOKUP(C314,'Informations générales'!$C$66:$E$70,3,FALSE)*(AL314/$AP$28)/12,0)*12,IF(C314="3115. Logements",ROUND(VLOOKUP(C314,'Informations générales'!$C$66:$E$70,3,FALSE)*(AL314/$AQ$28)/12,0)*12,"")))))</f>
        <v/>
      </c>
      <c r="AG314" s="202"/>
      <c r="AH314" s="113" t="str">
        <f>IF(C314="3111. Logements",ROUND(VLOOKUP(C314,'Informations générales'!$C$66:$H$70,5,FALSE)*(AL314/$AM$28)/12,0)*12,IF(C314="3112. Logements",ROUND(VLOOKUP(C314,'Informations générales'!$C$66:$H$70,5,FALSE)*(AL314/$AN$28)/12,0)*12,IF(C314="3113. Logements",ROUND(VLOOKUP(C314,'Informations générales'!$C$66:$H$70,5,FALSE)*(AL314/$AO$28)/12,0)*12,IF(C314="3114. Logements",ROUND(VLOOKUP(C314,'Informations générales'!$C$66:$H$70,5,FALSE)*(AL314/$AP$28)/12,0)*12,IF(C314="3115. Logements",ROUND(VLOOKUP(C314,'Informations générales'!$C$66:$H$70,5,FALSE)*(AL314/$AQ$28)/12,0)*12,"")))))</f>
        <v/>
      </c>
      <c r="AI314" s="114"/>
      <c r="AJ314" s="114"/>
      <c r="AK314" s="76"/>
      <c r="AL314" s="58">
        <f t="shared" si="71"/>
        <v>0</v>
      </c>
      <c r="AM314" s="58"/>
      <c r="AN314" s="58"/>
      <c r="AO314" s="58"/>
      <c r="AP314" s="58"/>
      <c r="AQ314" s="58"/>
      <c r="AR314" s="58">
        <f t="shared" si="59"/>
        <v>0</v>
      </c>
      <c r="AS314" s="58">
        <f t="shared" si="60"/>
        <v>0</v>
      </c>
      <c r="AT314" s="58">
        <f t="shared" si="61"/>
        <v>0</v>
      </c>
      <c r="AU314" s="58">
        <f t="shared" si="62"/>
        <v>0</v>
      </c>
      <c r="AV314" s="58">
        <f t="shared" si="63"/>
        <v>0</v>
      </c>
      <c r="AW314" s="58">
        <f t="shared" si="64"/>
        <v>0</v>
      </c>
      <c r="AX314" s="58">
        <f t="shared" si="65"/>
        <v>0</v>
      </c>
      <c r="AY314" s="58">
        <f t="shared" si="72"/>
        <v>0</v>
      </c>
      <c r="AZ314" s="62">
        <f t="shared" si="66"/>
        <v>0</v>
      </c>
      <c r="BA314" s="63">
        <f t="shared" si="67"/>
        <v>0</v>
      </c>
      <c r="BB314" s="63">
        <f t="shared" si="68"/>
        <v>0</v>
      </c>
    </row>
    <row r="315" spans="3:54" s="17" customFormat="1" x14ac:dyDescent="0.25">
      <c r="C315" s="215"/>
      <c r="D315" s="216"/>
      <c r="E315" s="88"/>
      <c r="F315" s="217"/>
      <c r="G315" s="234"/>
      <c r="H315" s="218"/>
      <c r="I315" s="76"/>
      <c r="J315" s="77"/>
      <c r="K315" s="76"/>
      <c r="L315" s="78"/>
      <c r="M315" s="78"/>
      <c r="N315" s="76" t="s">
        <v>39</v>
      </c>
      <c r="O315" s="110"/>
      <c r="P315" s="152"/>
      <c r="Q315" s="111" t="str">
        <f>IFERROR(MIN(VLOOKUP(ROUNDDOWN(P315,0),'Aide calcul'!$B$2:$C$282,2,FALSE),O315+1),"")</f>
        <v/>
      </c>
      <c r="R315" s="112" t="str">
        <f t="shared" si="69"/>
        <v/>
      </c>
      <c r="S315" s="152"/>
      <c r="T315" s="152"/>
      <c r="U315" s="152"/>
      <c r="V315" s="152"/>
      <c r="W315" s="152"/>
      <c r="X315" s="152"/>
      <c r="Y315" s="152"/>
      <c r="Z315" s="76"/>
      <c r="AA315" s="76"/>
      <c r="AB315" s="113" t="str">
        <f>IF(C315="3111. Logements",ROUND(VLOOKUP(C315,'Informations générales'!$C$66:$E$70,3,FALSE)*(AL315/$AM$28)/12,0)*12,IF(C315="3112. Logements",ROUND(VLOOKUP(C315,'Informations générales'!$C$66:$E$70,3,FALSE)*(AL315/$AN$28)/12,0)*12,IF(C315="3113. Logements",ROUND(VLOOKUP(C315,'Informations générales'!$C$66:$E$70,3,FALSE)*(AL315/$AO$28)/12,0)*12,IF(C315="3114. Logements",ROUND(VLOOKUP(C315,'Informations générales'!$C$66:$E$70,3,FALSE)*(AL315/$AP$28)/12,0)*12,IF(C315="3115. Logements",ROUND(VLOOKUP(C315,'Informations générales'!$C$66:$E$70,3,FALSE)*(AL315/$AQ$28)/12,0)*12,"")))))</f>
        <v/>
      </c>
      <c r="AC315" s="114"/>
      <c r="AD315" s="113">
        <f t="shared" si="70"/>
        <v>0</v>
      </c>
      <c r="AE315" s="114"/>
      <c r="AF315" s="203" t="str">
        <f>IF(C315="3111. Logements",ROUND(VLOOKUP(C315,'Informations générales'!$C$66:$E$70,3,FALSE)*(AL315/$AM$28)/12,0)*12,IF(C315="3112. Logements",ROUND(VLOOKUP(C315,'Informations générales'!$C$66:$E$70,3,FALSE)*(AL315/$AN$28)/12,0)*12,IF(C315="3113. Logements",ROUND(VLOOKUP(C315,'Informations générales'!$C$66:$E$70,3,FALSE)*(AL315/$AO$28)/12,0)*12,IF(C315="3114. Logements",ROUND(VLOOKUP(C315,'Informations générales'!$C$66:$E$70,3,FALSE)*(AL315/$AP$28)/12,0)*12,IF(C315="3115. Logements",ROUND(VLOOKUP(C315,'Informations générales'!$C$66:$E$70,3,FALSE)*(AL315/$AQ$28)/12,0)*12,"")))))</f>
        <v/>
      </c>
      <c r="AG315" s="202"/>
      <c r="AH315" s="113" t="str">
        <f>IF(C315="3111. Logements",ROUND(VLOOKUP(C315,'Informations générales'!$C$66:$H$70,5,FALSE)*(AL315/$AM$28)/12,0)*12,IF(C315="3112. Logements",ROUND(VLOOKUP(C315,'Informations générales'!$C$66:$H$70,5,FALSE)*(AL315/$AN$28)/12,0)*12,IF(C315="3113. Logements",ROUND(VLOOKUP(C315,'Informations générales'!$C$66:$H$70,5,FALSE)*(AL315/$AO$28)/12,0)*12,IF(C315="3114. Logements",ROUND(VLOOKUP(C315,'Informations générales'!$C$66:$H$70,5,FALSE)*(AL315/$AP$28)/12,0)*12,IF(C315="3115. Logements",ROUND(VLOOKUP(C315,'Informations générales'!$C$66:$H$70,5,FALSE)*(AL315/$AQ$28)/12,0)*12,"")))))</f>
        <v/>
      </c>
      <c r="AI315" s="114"/>
      <c r="AJ315" s="114"/>
      <c r="AK315" s="76"/>
      <c r="AL315" s="58">
        <f t="shared" si="71"/>
        <v>0</v>
      </c>
      <c r="AM315" s="58"/>
      <c r="AN315" s="58"/>
      <c r="AO315" s="58"/>
      <c r="AP315" s="58"/>
      <c r="AQ315" s="58"/>
      <c r="AR315" s="58">
        <f t="shared" si="59"/>
        <v>0</v>
      </c>
      <c r="AS315" s="58">
        <f t="shared" si="60"/>
        <v>0</v>
      </c>
      <c r="AT315" s="58">
        <f t="shared" si="61"/>
        <v>0</v>
      </c>
      <c r="AU315" s="58">
        <f t="shared" si="62"/>
        <v>0</v>
      </c>
      <c r="AV315" s="58">
        <f t="shared" si="63"/>
        <v>0</v>
      </c>
      <c r="AW315" s="58">
        <f t="shared" si="64"/>
        <v>0</v>
      </c>
      <c r="AX315" s="58">
        <f t="shared" si="65"/>
        <v>0</v>
      </c>
      <c r="AY315" s="58">
        <f t="shared" si="72"/>
        <v>0</v>
      </c>
      <c r="AZ315" s="62">
        <f t="shared" si="66"/>
        <v>0</v>
      </c>
      <c r="BA315" s="63">
        <f t="shared" si="67"/>
        <v>0</v>
      </c>
      <c r="BB315" s="63">
        <f t="shared" si="68"/>
        <v>0</v>
      </c>
    </row>
    <row r="316" spans="3:54" s="17" customFormat="1" x14ac:dyDescent="0.25">
      <c r="C316" s="215"/>
      <c r="D316" s="216"/>
      <c r="E316" s="88"/>
      <c r="F316" s="217"/>
      <c r="G316" s="234"/>
      <c r="H316" s="218"/>
      <c r="I316" s="76"/>
      <c r="J316" s="77"/>
      <c r="K316" s="76"/>
      <c r="L316" s="78"/>
      <c r="M316" s="78"/>
      <c r="N316" s="76" t="s">
        <v>39</v>
      </c>
      <c r="O316" s="110"/>
      <c r="P316" s="152"/>
      <c r="Q316" s="111" t="str">
        <f>IFERROR(MIN(VLOOKUP(ROUNDDOWN(P316,0),'Aide calcul'!$B$2:$C$282,2,FALSE),O316+1),"")</f>
        <v/>
      </c>
      <c r="R316" s="112" t="str">
        <f t="shared" si="69"/>
        <v/>
      </c>
      <c r="S316" s="152"/>
      <c r="T316" s="152"/>
      <c r="U316" s="152"/>
      <c r="V316" s="152"/>
      <c r="W316" s="152"/>
      <c r="X316" s="152"/>
      <c r="Y316" s="152"/>
      <c r="Z316" s="76"/>
      <c r="AA316" s="76"/>
      <c r="AB316" s="113" t="str">
        <f>IF(C316="3111. Logements",ROUND(VLOOKUP(C316,'Informations générales'!$C$66:$E$70,3,FALSE)*(AL316/$AM$28)/12,0)*12,IF(C316="3112. Logements",ROUND(VLOOKUP(C316,'Informations générales'!$C$66:$E$70,3,FALSE)*(AL316/$AN$28)/12,0)*12,IF(C316="3113. Logements",ROUND(VLOOKUP(C316,'Informations générales'!$C$66:$E$70,3,FALSE)*(AL316/$AO$28)/12,0)*12,IF(C316="3114. Logements",ROUND(VLOOKUP(C316,'Informations générales'!$C$66:$E$70,3,FALSE)*(AL316/$AP$28)/12,0)*12,IF(C316="3115. Logements",ROUND(VLOOKUP(C316,'Informations générales'!$C$66:$E$70,3,FALSE)*(AL316/$AQ$28)/12,0)*12,"")))))</f>
        <v/>
      </c>
      <c r="AC316" s="114"/>
      <c r="AD316" s="113">
        <f t="shared" si="70"/>
        <v>0</v>
      </c>
      <c r="AE316" s="114"/>
      <c r="AF316" s="203" t="str">
        <f>IF(C316="3111. Logements",ROUND(VLOOKUP(C316,'Informations générales'!$C$66:$E$70,3,FALSE)*(AL316/$AM$28)/12,0)*12,IF(C316="3112. Logements",ROUND(VLOOKUP(C316,'Informations générales'!$C$66:$E$70,3,FALSE)*(AL316/$AN$28)/12,0)*12,IF(C316="3113. Logements",ROUND(VLOOKUP(C316,'Informations générales'!$C$66:$E$70,3,FALSE)*(AL316/$AO$28)/12,0)*12,IF(C316="3114. Logements",ROUND(VLOOKUP(C316,'Informations générales'!$C$66:$E$70,3,FALSE)*(AL316/$AP$28)/12,0)*12,IF(C316="3115. Logements",ROUND(VLOOKUP(C316,'Informations générales'!$C$66:$E$70,3,FALSE)*(AL316/$AQ$28)/12,0)*12,"")))))</f>
        <v/>
      </c>
      <c r="AG316" s="202"/>
      <c r="AH316" s="113" t="str">
        <f>IF(C316="3111. Logements",ROUND(VLOOKUP(C316,'Informations générales'!$C$66:$H$70,5,FALSE)*(AL316/$AM$28)/12,0)*12,IF(C316="3112. Logements",ROUND(VLOOKUP(C316,'Informations générales'!$C$66:$H$70,5,FALSE)*(AL316/$AN$28)/12,0)*12,IF(C316="3113. Logements",ROUND(VLOOKUP(C316,'Informations générales'!$C$66:$H$70,5,FALSE)*(AL316/$AO$28)/12,0)*12,IF(C316="3114. Logements",ROUND(VLOOKUP(C316,'Informations générales'!$C$66:$H$70,5,FALSE)*(AL316/$AP$28)/12,0)*12,IF(C316="3115. Logements",ROUND(VLOOKUP(C316,'Informations générales'!$C$66:$H$70,5,FALSE)*(AL316/$AQ$28)/12,0)*12,"")))))</f>
        <v/>
      </c>
      <c r="AI316" s="114"/>
      <c r="AJ316" s="114"/>
      <c r="AK316" s="76"/>
      <c r="AL316" s="58">
        <f t="shared" si="71"/>
        <v>0</v>
      </c>
      <c r="AM316" s="58"/>
      <c r="AN316" s="58"/>
      <c r="AO316" s="58"/>
      <c r="AP316" s="58"/>
      <c r="AQ316" s="58"/>
      <c r="AR316" s="58">
        <f t="shared" si="59"/>
        <v>0</v>
      </c>
      <c r="AS316" s="58">
        <f t="shared" si="60"/>
        <v>0</v>
      </c>
      <c r="AT316" s="58">
        <f t="shared" si="61"/>
        <v>0</v>
      </c>
      <c r="AU316" s="58">
        <f t="shared" si="62"/>
        <v>0</v>
      </c>
      <c r="AV316" s="58">
        <f t="shared" si="63"/>
        <v>0</v>
      </c>
      <c r="AW316" s="58">
        <f t="shared" si="64"/>
        <v>0</v>
      </c>
      <c r="AX316" s="58">
        <f t="shared" si="65"/>
        <v>0</v>
      </c>
      <c r="AY316" s="58">
        <f t="shared" si="72"/>
        <v>0</v>
      </c>
      <c r="AZ316" s="62">
        <f t="shared" si="66"/>
        <v>0</v>
      </c>
      <c r="BA316" s="63">
        <f t="shared" si="67"/>
        <v>0</v>
      </c>
      <c r="BB316" s="63">
        <f t="shared" si="68"/>
        <v>0</v>
      </c>
    </row>
    <row r="317" spans="3:54" s="17" customFormat="1" x14ac:dyDescent="0.25">
      <c r="C317" s="215"/>
      <c r="D317" s="216"/>
      <c r="E317" s="88"/>
      <c r="F317" s="217"/>
      <c r="G317" s="234"/>
      <c r="H317" s="218"/>
      <c r="I317" s="76"/>
      <c r="J317" s="77"/>
      <c r="K317" s="76"/>
      <c r="L317" s="78"/>
      <c r="M317" s="78"/>
      <c r="N317" s="76" t="s">
        <v>39</v>
      </c>
      <c r="O317" s="110"/>
      <c r="P317" s="152"/>
      <c r="Q317" s="111" t="str">
        <f>IFERROR(MIN(VLOOKUP(ROUNDDOWN(P317,0),'Aide calcul'!$B$2:$C$282,2,FALSE),O317+1),"")</f>
        <v/>
      </c>
      <c r="R317" s="112" t="str">
        <f t="shared" si="69"/>
        <v/>
      </c>
      <c r="S317" s="152"/>
      <c r="T317" s="152"/>
      <c r="U317" s="152"/>
      <c r="V317" s="152"/>
      <c r="W317" s="152"/>
      <c r="X317" s="152"/>
      <c r="Y317" s="152"/>
      <c r="Z317" s="76"/>
      <c r="AA317" s="76"/>
      <c r="AB317" s="113" t="str">
        <f>IF(C317="3111. Logements",ROUND(VLOOKUP(C317,'Informations générales'!$C$66:$E$70,3,FALSE)*(AL317/$AM$28)/12,0)*12,IF(C317="3112. Logements",ROUND(VLOOKUP(C317,'Informations générales'!$C$66:$E$70,3,FALSE)*(AL317/$AN$28)/12,0)*12,IF(C317="3113. Logements",ROUND(VLOOKUP(C317,'Informations générales'!$C$66:$E$70,3,FALSE)*(AL317/$AO$28)/12,0)*12,IF(C317="3114. Logements",ROUND(VLOOKUP(C317,'Informations générales'!$C$66:$E$70,3,FALSE)*(AL317/$AP$28)/12,0)*12,IF(C317="3115. Logements",ROUND(VLOOKUP(C317,'Informations générales'!$C$66:$E$70,3,FALSE)*(AL317/$AQ$28)/12,0)*12,"")))))</f>
        <v/>
      </c>
      <c r="AC317" s="114"/>
      <c r="AD317" s="113">
        <f t="shared" si="70"/>
        <v>0</v>
      </c>
      <c r="AE317" s="114"/>
      <c r="AF317" s="203" t="str">
        <f>IF(C317="3111. Logements",ROUND(VLOOKUP(C317,'Informations générales'!$C$66:$E$70,3,FALSE)*(AL317/$AM$28)/12,0)*12,IF(C317="3112. Logements",ROUND(VLOOKUP(C317,'Informations générales'!$C$66:$E$70,3,FALSE)*(AL317/$AN$28)/12,0)*12,IF(C317="3113. Logements",ROUND(VLOOKUP(C317,'Informations générales'!$C$66:$E$70,3,FALSE)*(AL317/$AO$28)/12,0)*12,IF(C317="3114. Logements",ROUND(VLOOKUP(C317,'Informations générales'!$C$66:$E$70,3,FALSE)*(AL317/$AP$28)/12,0)*12,IF(C317="3115. Logements",ROUND(VLOOKUP(C317,'Informations générales'!$C$66:$E$70,3,FALSE)*(AL317/$AQ$28)/12,0)*12,"")))))</f>
        <v/>
      </c>
      <c r="AG317" s="202"/>
      <c r="AH317" s="113" t="str">
        <f>IF(C317="3111. Logements",ROUND(VLOOKUP(C317,'Informations générales'!$C$66:$H$70,5,FALSE)*(AL317/$AM$28)/12,0)*12,IF(C317="3112. Logements",ROUND(VLOOKUP(C317,'Informations générales'!$C$66:$H$70,5,FALSE)*(AL317/$AN$28)/12,0)*12,IF(C317="3113. Logements",ROUND(VLOOKUP(C317,'Informations générales'!$C$66:$H$70,5,FALSE)*(AL317/$AO$28)/12,0)*12,IF(C317="3114. Logements",ROUND(VLOOKUP(C317,'Informations générales'!$C$66:$H$70,5,FALSE)*(AL317/$AP$28)/12,0)*12,IF(C317="3115. Logements",ROUND(VLOOKUP(C317,'Informations générales'!$C$66:$H$70,5,FALSE)*(AL317/$AQ$28)/12,0)*12,"")))))</f>
        <v/>
      </c>
      <c r="AI317" s="114"/>
      <c r="AJ317" s="114"/>
      <c r="AK317" s="76"/>
      <c r="AL317" s="58">
        <f t="shared" si="71"/>
        <v>0</v>
      </c>
      <c r="AM317" s="58"/>
      <c r="AN317" s="58"/>
      <c r="AO317" s="58"/>
      <c r="AP317" s="58"/>
      <c r="AQ317" s="58"/>
      <c r="AR317" s="58">
        <f t="shared" si="59"/>
        <v>0</v>
      </c>
      <c r="AS317" s="58">
        <f t="shared" si="60"/>
        <v>0</v>
      </c>
      <c r="AT317" s="58">
        <f t="shared" si="61"/>
        <v>0</v>
      </c>
      <c r="AU317" s="58">
        <f t="shared" si="62"/>
        <v>0</v>
      </c>
      <c r="AV317" s="58">
        <f t="shared" si="63"/>
        <v>0</v>
      </c>
      <c r="AW317" s="58">
        <f t="shared" si="64"/>
        <v>0</v>
      </c>
      <c r="AX317" s="58">
        <f t="shared" si="65"/>
        <v>0</v>
      </c>
      <c r="AY317" s="58">
        <f t="shared" si="72"/>
        <v>0</v>
      </c>
      <c r="AZ317" s="62">
        <f t="shared" si="66"/>
        <v>0</v>
      </c>
      <c r="BA317" s="63">
        <f t="shared" si="67"/>
        <v>0</v>
      </c>
      <c r="BB317" s="63">
        <f t="shared" si="68"/>
        <v>0</v>
      </c>
    </row>
    <row r="318" spans="3:54" s="17" customFormat="1" x14ac:dyDescent="0.25">
      <c r="C318" s="215"/>
      <c r="D318" s="216"/>
      <c r="E318" s="88"/>
      <c r="F318" s="217"/>
      <c r="G318" s="234"/>
      <c r="H318" s="218"/>
      <c r="I318" s="76"/>
      <c r="J318" s="77"/>
      <c r="K318" s="76"/>
      <c r="L318" s="78"/>
      <c r="M318" s="78"/>
      <c r="N318" s="76" t="s">
        <v>39</v>
      </c>
      <c r="O318" s="110"/>
      <c r="P318" s="152"/>
      <c r="Q318" s="111" t="str">
        <f>IFERROR(MIN(VLOOKUP(ROUNDDOWN(P318,0),'Aide calcul'!$B$2:$C$282,2,FALSE),O318+1),"")</f>
        <v/>
      </c>
      <c r="R318" s="112" t="str">
        <f t="shared" si="69"/>
        <v/>
      </c>
      <c r="S318" s="152"/>
      <c r="T318" s="152"/>
      <c r="U318" s="152"/>
      <c r="V318" s="152"/>
      <c r="W318" s="152"/>
      <c r="X318" s="152"/>
      <c r="Y318" s="152"/>
      <c r="Z318" s="76"/>
      <c r="AA318" s="76"/>
      <c r="AB318" s="113" t="str">
        <f>IF(C318="3111. Logements",ROUND(VLOOKUP(C318,'Informations générales'!$C$66:$E$70,3,FALSE)*(AL318/$AM$28)/12,0)*12,IF(C318="3112. Logements",ROUND(VLOOKUP(C318,'Informations générales'!$C$66:$E$70,3,FALSE)*(AL318/$AN$28)/12,0)*12,IF(C318="3113. Logements",ROUND(VLOOKUP(C318,'Informations générales'!$C$66:$E$70,3,FALSE)*(AL318/$AO$28)/12,0)*12,IF(C318="3114. Logements",ROUND(VLOOKUP(C318,'Informations générales'!$C$66:$E$70,3,FALSE)*(AL318/$AP$28)/12,0)*12,IF(C318="3115. Logements",ROUND(VLOOKUP(C318,'Informations générales'!$C$66:$E$70,3,FALSE)*(AL318/$AQ$28)/12,0)*12,"")))))</f>
        <v/>
      </c>
      <c r="AC318" s="114"/>
      <c r="AD318" s="113">
        <f t="shared" si="70"/>
        <v>0</v>
      </c>
      <c r="AE318" s="114"/>
      <c r="AF318" s="203" t="str">
        <f>IF(C318="3111. Logements",ROUND(VLOOKUP(C318,'Informations générales'!$C$66:$E$70,3,FALSE)*(AL318/$AM$28)/12,0)*12,IF(C318="3112. Logements",ROUND(VLOOKUP(C318,'Informations générales'!$C$66:$E$70,3,FALSE)*(AL318/$AN$28)/12,0)*12,IF(C318="3113. Logements",ROUND(VLOOKUP(C318,'Informations générales'!$C$66:$E$70,3,FALSE)*(AL318/$AO$28)/12,0)*12,IF(C318="3114. Logements",ROUND(VLOOKUP(C318,'Informations générales'!$C$66:$E$70,3,FALSE)*(AL318/$AP$28)/12,0)*12,IF(C318="3115. Logements",ROUND(VLOOKUP(C318,'Informations générales'!$C$66:$E$70,3,FALSE)*(AL318/$AQ$28)/12,0)*12,"")))))</f>
        <v/>
      </c>
      <c r="AG318" s="202"/>
      <c r="AH318" s="113" t="str">
        <f>IF(C318="3111. Logements",ROUND(VLOOKUP(C318,'Informations générales'!$C$66:$H$70,5,FALSE)*(AL318/$AM$28)/12,0)*12,IF(C318="3112. Logements",ROUND(VLOOKUP(C318,'Informations générales'!$C$66:$H$70,5,FALSE)*(AL318/$AN$28)/12,0)*12,IF(C318="3113. Logements",ROUND(VLOOKUP(C318,'Informations générales'!$C$66:$H$70,5,FALSE)*(AL318/$AO$28)/12,0)*12,IF(C318="3114. Logements",ROUND(VLOOKUP(C318,'Informations générales'!$C$66:$H$70,5,FALSE)*(AL318/$AP$28)/12,0)*12,IF(C318="3115. Logements",ROUND(VLOOKUP(C318,'Informations générales'!$C$66:$H$70,5,FALSE)*(AL318/$AQ$28)/12,0)*12,"")))))</f>
        <v/>
      </c>
      <c r="AI318" s="114"/>
      <c r="AJ318" s="114"/>
      <c r="AK318" s="76"/>
      <c r="AL318" s="58">
        <f t="shared" si="71"/>
        <v>0</v>
      </c>
      <c r="AM318" s="58"/>
      <c r="AN318" s="58"/>
      <c r="AO318" s="58"/>
      <c r="AP318" s="58"/>
      <c r="AQ318" s="58"/>
      <c r="AR318" s="58">
        <f t="shared" si="59"/>
        <v>0</v>
      </c>
      <c r="AS318" s="58">
        <f t="shared" si="60"/>
        <v>0</v>
      </c>
      <c r="AT318" s="58">
        <f t="shared" si="61"/>
        <v>0</v>
      </c>
      <c r="AU318" s="58">
        <f t="shared" si="62"/>
        <v>0</v>
      </c>
      <c r="AV318" s="58">
        <f t="shared" si="63"/>
        <v>0</v>
      </c>
      <c r="AW318" s="58">
        <f t="shared" si="64"/>
        <v>0</v>
      </c>
      <c r="AX318" s="58">
        <f t="shared" si="65"/>
        <v>0</v>
      </c>
      <c r="AY318" s="58">
        <f t="shared" si="72"/>
        <v>0</v>
      </c>
      <c r="AZ318" s="62">
        <f t="shared" si="66"/>
        <v>0</v>
      </c>
      <c r="BA318" s="63">
        <f t="shared" si="67"/>
        <v>0</v>
      </c>
      <c r="BB318" s="63">
        <f t="shared" si="68"/>
        <v>0</v>
      </c>
    </row>
    <row r="319" spans="3:54" s="17" customFormat="1" x14ac:dyDescent="0.25">
      <c r="C319" s="215"/>
      <c r="D319" s="216"/>
      <c r="E319" s="88"/>
      <c r="F319" s="217"/>
      <c r="G319" s="234"/>
      <c r="H319" s="218"/>
      <c r="I319" s="76"/>
      <c r="J319" s="77"/>
      <c r="K319" s="76"/>
      <c r="L319" s="78"/>
      <c r="M319" s="78"/>
      <c r="N319" s="76" t="s">
        <v>39</v>
      </c>
      <c r="O319" s="110"/>
      <c r="P319" s="152"/>
      <c r="Q319" s="111" t="str">
        <f>IFERROR(MIN(VLOOKUP(ROUNDDOWN(P319,0),'Aide calcul'!$B$2:$C$282,2,FALSE),O319+1),"")</f>
        <v/>
      </c>
      <c r="R319" s="112" t="str">
        <f t="shared" si="69"/>
        <v/>
      </c>
      <c r="S319" s="152"/>
      <c r="T319" s="152"/>
      <c r="U319" s="152"/>
      <c r="V319" s="152"/>
      <c r="W319" s="152"/>
      <c r="X319" s="152"/>
      <c r="Y319" s="152"/>
      <c r="Z319" s="76"/>
      <c r="AA319" s="76"/>
      <c r="AB319" s="113" t="str">
        <f>IF(C319="3111. Logements",ROUND(VLOOKUP(C319,'Informations générales'!$C$66:$E$70,3,FALSE)*(AL319/$AM$28)/12,0)*12,IF(C319="3112. Logements",ROUND(VLOOKUP(C319,'Informations générales'!$C$66:$E$70,3,FALSE)*(AL319/$AN$28)/12,0)*12,IF(C319="3113. Logements",ROUND(VLOOKUP(C319,'Informations générales'!$C$66:$E$70,3,FALSE)*(AL319/$AO$28)/12,0)*12,IF(C319="3114. Logements",ROUND(VLOOKUP(C319,'Informations générales'!$C$66:$E$70,3,FALSE)*(AL319/$AP$28)/12,0)*12,IF(C319="3115. Logements",ROUND(VLOOKUP(C319,'Informations générales'!$C$66:$E$70,3,FALSE)*(AL319/$AQ$28)/12,0)*12,"")))))</f>
        <v/>
      </c>
      <c r="AC319" s="114"/>
      <c r="AD319" s="113">
        <f t="shared" si="70"/>
        <v>0</v>
      </c>
      <c r="AE319" s="114"/>
      <c r="AF319" s="203" t="str">
        <f>IF(C319="3111. Logements",ROUND(VLOOKUP(C319,'Informations générales'!$C$66:$E$70,3,FALSE)*(AL319/$AM$28)/12,0)*12,IF(C319="3112. Logements",ROUND(VLOOKUP(C319,'Informations générales'!$C$66:$E$70,3,FALSE)*(AL319/$AN$28)/12,0)*12,IF(C319="3113. Logements",ROUND(VLOOKUP(C319,'Informations générales'!$C$66:$E$70,3,FALSE)*(AL319/$AO$28)/12,0)*12,IF(C319="3114. Logements",ROUND(VLOOKUP(C319,'Informations générales'!$C$66:$E$70,3,FALSE)*(AL319/$AP$28)/12,0)*12,IF(C319="3115. Logements",ROUND(VLOOKUP(C319,'Informations générales'!$C$66:$E$70,3,FALSE)*(AL319/$AQ$28)/12,0)*12,"")))))</f>
        <v/>
      </c>
      <c r="AG319" s="202"/>
      <c r="AH319" s="113" t="str">
        <f>IF(C319="3111. Logements",ROUND(VLOOKUP(C319,'Informations générales'!$C$66:$H$70,5,FALSE)*(AL319/$AM$28)/12,0)*12,IF(C319="3112. Logements",ROUND(VLOOKUP(C319,'Informations générales'!$C$66:$H$70,5,FALSE)*(AL319/$AN$28)/12,0)*12,IF(C319="3113. Logements",ROUND(VLOOKUP(C319,'Informations générales'!$C$66:$H$70,5,FALSE)*(AL319/$AO$28)/12,0)*12,IF(C319="3114. Logements",ROUND(VLOOKUP(C319,'Informations générales'!$C$66:$H$70,5,FALSE)*(AL319/$AP$28)/12,0)*12,IF(C319="3115. Logements",ROUND(VLOOKUP(C319,'Informations générales'!$C$66:$H$70,5,FALSE)*(AL319/$AQ$28)/12,0)*12,"")))))</f>
        <v/>
      </c>
      <c r="AI319" s="114"/>
      <c r="AJ319" s="114"/>
      <c r="AK319" s="76"/>
      <c r="AL319" s="58">
        <f t="shared" si="71"/>
        <v>0</v>
      </c>
      <c r="AM319" s="58"/>
      <c r="AN319" s="58"/>
      <c r="AO319" s="58"/>
      <c r="AP319" s="58"/>
      <c r="AQ319" s="58"/>
      <c r="AR319" s="58">
        <f t="shared" si="59"/>
        <v>0</v>
      </c>
      <c r="AS319" s="58">
        <f t="shared" si="60"/>
        <v>0</v>
      </c>
      <c r="AT319" s="58">
        <f t="shared" si="61"/>
        <v>0</v>
      </c>
      <c r="AU319" s="58">
        <f t="shared" si="62"/>
        <v>0</v>
      </c>
      <c r="AV319" s="58">
        <f t="shared" si="63"/>
        <v>0</v>
      </c>
      <c r="AW319" s="58">
        <f t="shared" si="64"/>
        <v>0</v>
      </c>
      <c r="AX319" s="58">
        <f t="shared" si="65"/>
        <v>0</v>
      </c>
      <c r="AY319" s="58">
        <f t="shared" si="72"/>
        <v>0</v>
      </c>
      <c r="AZ319" s="62">
        <f t="shared" si="66"/>
        <v>0</v>
      </c>
      <c r="BA319" s="63">
        <f t="shared" si="67"/>
        <v>0</v>
      </c>
      <c r="BB319" s="63">
        <f t="shared" si="68"/>
        <v>0</v>
      </c>
    </row>
    <row r="320" spans="3:54" s="17" customFormat="1" x14ac:dyDescent="0.25">
      <c r="C320" s="215"/>
      <c r="D320" s="216"/>
      <c r="E320" s="88"/>
      <c r="F320" s="217"/>
      <c r="G320" s="234"/>
      <c r="H320" s="218"/>
      <c r="I320" s="76"/>
      <c r="J320" s="77"/>
      <c r="K320" s="76"/>
      <c r="L320" s="78"/>
      <c r="M320" s="78"/>
      <c r="N320" s="76" t="s">
        <v>39</v>
      </c>
      <c r="O320" s="110"/>
      <c r="P320" s="152"/>
      <c r="Q320" s="111" t="str">
        <f>IFERROR(MIN(VLOOKUP(ROUNDDOWN(P320,0),'Aide calcul'!$B$2:$C$282,2,FALSE),O320+1),"")</f>
        <v/>
      </c>
      <c r="R320" s="112" t="str">
        <f t="shared" si="69"/>
        <v/>
      </c>
      <c r="S320" s="152"/>
      <c r="T320" s="152"/>
      <c r="U320" s="152"/>
      <c r="V320" s="152"/>
      <c r="W320" s="152"/>
      <c r="X320" s="152"/>
      <c r="Y320" s="152"/>
      <c r="Z320" s="76"/>
      <c r="AA320" s="76"/>
      <c r="AB320" s="113" t="str">
        <f>IF(C320="3111. Logements",ROUND(VLOOKUP(C320,'Informations générales'!$C$66:$E$70,3,FALSE)*(AL320/$AM$28)/12,0)*12,IF(C320="3112. Logements",ROUND(VLOOKUP(C320,'Informations générales'!$C$66:$E$70,3,FALSE)*(AL320/$AN$28)/12,0)*12,IF(C320="3113. Logements",ROUND(VLOOKUP(C320,'Informations générales'!$C$66:$E$70,3,FALSE)*(AL320/$AO$28)/12,0)*12,IF(C320="3114. Logements",ROUND(VLOOKUP(C320,'Informations générales'!$C$66:$E$70,3,FALSE)*(AL320/$AP$28)/12,0)*12,IF(C320="3115. Logements",ROUND(VLOOKUP(C320,'Informations générales'!$C$66:$E$70,3,FALSE)*(AL320/$AQ$28)/12,0)*12,"")))))</f>
        <v/>
      </c>
      <c r="AC320" s="114"/>
      <c r="AD320" s="113">
        <f t="shared" si="70"/>
        <v>0</v>
      </c>
      <c r="AE320" s="114"/>
      <c r="AF320" s="203" t="str">
        <f>IF(C320="3111. Logements",ROUND(VLOOKUP(C320,'Informations générales'!$C$66:$E$70,3,FALSE)*(AL320/$AM$28)/12,0)*12,IF(C320="3112. Logements",ROUND(VLOOKUP(C320,'Informations générales'!$C$66:$E$70,3,FALSE)*(AL320/$AN$28)/12,0)*12,IF(C320="3113. Logements",ROUND(VLOOKUP(C320,'Informations générales'!$C$66:$E$70,3,FALSE)*(AL320/$AO$28)/12,0)*12,IF(C320="3114. Logements",ROUND(VLOOKUP(C320,'Informations générales'!$C$66:$E$70,3,FALSE)*(AL320/$AP$28)/12,0)*12,IF(C320="3115. Logements",ROUND(VLOOKUP(C320,'Informations générales'!$C$66:$E$70,3,FALSE)*(AL320/$AQ$28)/12,0)*12,"")))))</f>
        <v/>
      </c>
      <c r="AG320" s="202"/>
      <c r="AH320" s="113" t="str">
        <f>IF(C320="3111. Logements",ROUND(VLOOKUP(C320,'Informations générales'!$C$66:$H$70,5,FALSE)*(AL320/$AM$28)/12,0)*12,IF(C320="3112. Logements",ROUND(VLOOKUP(C320,'Informations générales'!$C$66:$H$70,5,FALSE)*(AL320/$AN$28)/12,0)*12,IF(C320="3113. Logements",ROUND(VLOOKUP(C320,'Informations générales'!$C$66:$H$70,5,FALSE)*(AL320/$AO$28)/12,0)*12,IF(C320="3114. Logements",ROUND(VLOOKUP(C320,'Informations générales'!$C$66:$H$70,5,FALSE)*(AL320/$AP$28)/12,0)*12,IF(C320="3115. Logements",ROUND(VLOOKUP(C320,'Informations générales'!$C$66:$H$70,5,FALSE)*(AL320/$AQ$28)/12,0)*12,"")))))</f>
        <v/>
      </c>
      <c r="AI320" s="114"/>
      <c r="AJ320" s="114"/>
      <c r="AK320" s="76"/>
      <c r="AL320" s="58">
        <f t="shared" si="71"/>
        <v>0</v>
      </c>
      <c r="AM320" s="58"/>
      <c r="AN320" s="58"/>
      <c r="AO320" s="58"/>
      <c r="AP320" s="58"/>
      <c r="AQ320" s="58"/>
      <c r="AR320" s="58">
        <f t="shared" si="59"/>
        <v>0</v>
      </c>
      <c r="AS320" s="58">
        <f t="shared" si="60"/>
        <v>0</v>
      </c>
      <c r="AT320" s="58">
        <f t="shared" si="61"/>
        <v>0</v>
      </c>
      <c r="AU320" s="58">
        <f t="shared" si="62"/>
        <v>0</v>
      </c>
      <c r="AV320" s="58">
        <f t="shared" si="63"/>
        <v>0</v>
      </c>
      <c r="AW320" s="58">
        <f t="shared" si="64"/>
        <v>0</v>
      </c>
      <c r="AX320" s="58">
        <f t="shared" si="65"/>
        <v>0</v>
      </c>
      <c r="AY320" s="58">
        <f t="shared" si="72"/>
        <v>0</v>
      </c>
      <c r="AZ320" s="62">
        <f t="shared" si="66"/>
        <v>0</v>
      </c>
      <c r="BA320" s="63">
        <f t="shared" si="67"/>
        <v>0</v>
      </c>
      <c r="BB320" s="63">
        <f t="shared" si="68"/>
        <v>0</v>
      </c>
    </row>
    <row r="321" spans="3:54" s="17" customFormat="1" x14ac:dyDescent="0.25">
      <c r="C321" s="215"/>
      <c r="D321" s="216"/>
      <c r="E321" s="88"/>
      <c r="F321" s="217"/>
      <c r="G321" s="234"/>
      <c r="H321" s="218"/>
      <c r="I321" s="76"/>
      <c r="J321" s="77"/>
      <c r="K321" s="76"/>
      <c r="L321" s="78"/>
      <c r="M321" s="78"/>
      <c r="N321" s="76" t="s">
        <v>39</v>
      </c>
      <c r="O321" s="110"/>
      <c r="P321" s="152"/>
      <c r="Q321" s="111" t="str">
        <f>IFERROR(MIN(VLOOKUP(ROUNDDOWN(P321,0),'Aide calcul'!$B$2:$C$282,2,FALSE),O321+1),"")</f>
        <v/>
      </c>
      <c r="R321" s="112" t="str">
        <f t="shared" si="69"/>
        <v/>
      </c>
      <c r="S321" s="152"/>
      <c r="T321" s="152"/>
      <c r="U321" s="152"/>
      <c r="V321" s="152"/>
      <c r="W321" s="152"/>
      <c r="X321" s="152"/>
      <c r="Y321" s="152"/>
      <c r="Z321" s="76"/>
      <c r="AA321" s="76"/>
      <c r="AB321" s="113" t="str">
        <f>IF(C321="3111. Logements",ROUND(VLOOKUP(C321,'Informations générales'!$C$66:$E$70,3,FALSE)*(AL321/$AM$28)/12,0)*12,IF(C321="3112. Logements",ROUND(VLOOKUP(C321,'Informations générales'!$C$66:$E$70,3,FALSE)*(AL321/$AN$28)/12,0)*12,IF(C321="3113. Logements",ROUND(VLOOKUP(C321,'Informations générales'!$C$66:$E$70,3,FALSE)*(AL321/$AO$28)/12,0)*12,IF(C321="3114. Logements",ROUND(VLOOKUP(C321,'Informations générales'!$C$66:$E$70,3,FALSE)*(AL321/$AP$28)/12,0)*12,IF(C321="3115. Logements",ROUND(VLOOKUP(C321,'Informations générales'!$C$66:$E$70,3,FALSE)*(AL321/$AQ$28)/12,0)*12,"")))))</f>
        <v/>
      </c>
      <c r="AC321" s="114"/>
      <c r="AD321" s="113">
        <f t="shared" si="70"/>
        <v>0</v>
      </c>
      <c r="AE321" s="114"/>
      <c r="AF321" s="203" t="str">
        <f>IF(C321="3111. Logements",ROUND(VLOOKUP(C321,'Informations générales'!$C$66:$E$70,3,FALSE)*(AL321/$AM$28)/12,0)*12,IF(C321="3112. Logements",ROUND(VLOOKUP(C321,'Informations générales'!$C$66:$E$70,3,FALSE)*(AL321/$AN$28)/12,0)*12,IF(C321="3113. Logements",ROUND(VLOOKUP(C321,'Informations générales'!$C$66:$E$70,3,FALSE)*(AL321/$AO$28)/12,0)*12,IF(C321="3114. Logements",ROUND(VLOOKUP(C321,'Informations générales'!$C$66:$E$70,3,FALSE)*(AL321/$AP$28)/12,0)*12,IF(C321="3115. Logements",ROUND(VLOOKUP(C321,'Informations générales'!$C$66:$E$70,3,FALSE)*(AL321/$AQ$28)/12,0)*12,"")))))</f>
        <v/>
      </c>
      <c r="AG321" s="202"/>
      <c r="AH321" s="113" t="str">
        <f>IF(C321="3111. Logements",ROUND(VLOOKUP(C321,'Informations générales'!$C$66:$H$70,5,FALSE)*(AL321/$AM$28)/12,0)*12,IF(C321="3112. Logements",ROUND(VLOOKUP(C321,'Informations générales'!$C$66:$H$70,5,FALSE)*(AL321/$AN$28)/12,0)*12,IF(C321="3113. Logements",ROUND(VLOOKUP(C321,'Informations générales'!$C$66:$H$70,5,FALSE)*(AL321/$AO$28)/12,0)*12,IF(C321="3114. Logements",ROUND(VLOOKUP(C321,'Informations générales'!$C$66:$H$70,5,FALSE)*(AL321/$AP$28)/12,0)*12,IF(C321="3115. Logements",ROUND(VLOOKUP(C321,'Informations générales'!$C$66:$H$70,5,FALSE)*(AL321/$AQ$28)/12,0)*12,"")))))</f>
        <v/>
      </c>
      <c r="AI321" s="114"/>
      <c r="AJ321" s="114"/>
      <c r="AK321" s="76"/>
      <c r="AL321" s="58">
        <f t="shared" si="71"/>
        <v>0</v>
      </c>
      <c r="AM321" s="58"/>
      <c r="AN321" s="58"/>
      <c r="AO321" s="58"/>
      <c r="AP321" s="58"/>
      <c r="AQ321" s="58"/>
      <c r="AR321" s="58">
        <f t="shared" si="59"/>
        <v>0</v>
      </c>
      <c r="AS321" s="58">
        <f t="shared" si="60"/>
        <v>0</v>
      </c>
      <c r="AT321" s="58">
        <f t="shared" si="61"/>
        <v>0</v>
      </c>
      <c r="AU321" s="58">
        <f t="shared" si="62"/>
        <v>0</v>
      </c>
      <c r="AV321" s="58">
        <f t="shared" si="63"/>
        <v>0</v>
      </c>
      <c r="AW321" s="58">
        <f t="shared" si="64"/>
        <v>0</v>
      </c>
      <c r="AX321" s="58">
        <f t="shared" si="65"/>
        <v>0</v>
      </c>
      <c r="AY321" s="58">
        <f t="shared" si="72"/>
        <v>0</v>
      </c>
      <c r="AZ321" s="62">
        <f t="shared" si="66"/>
        <v>0</v>
      </c>
      <c r="BA321" s="63">
        <f t="shared" si="67"/>
        <v>0</v>
      </c>
      <c r="BB321" s="63">
        <f t="shared" si="68"/>
        <v>0</v>
      </c>
    </row>
    <row r="322" spans="3:54" s="17" customFormat="1" x14ac:dyDescent="0.25">
      <c r="C322" s="215"/>
      <c r="D322" s="216"/>
      <c r="E322" s="88"/>
      <c r="F322" s="217"/>
      <c r="G322" s="234"/>
      <c r="H322" s="218"/>
      <c r="I322" s="76"/>
      <c r="J322" s="77"/>
      <c r="K322" s="76"/>
      <c r="L322" s="78"/>
      <c r="M322" s="78"/>
      <c r="N322" s="76" t="s">
        <v>39</v>
      </c>
      <c r="O322" s="110"/>
      <c r="P322" s="152"/>
      <c r="Q322" s="111" t="str">
        <f>IFERROR(MIN(VLOOKUP(ROUNDDOWN(P322,0),'Aide calcul'!$B$2:$C$282,2,FALSE),O322+1),"")</f>
        <v/>
      </c>
      <c r="R322" s="112" t="str">
        <f t="shared" si="69"/>
        <v/>
      </c>
      <c r="S322" s="152"/>
      <c r="T322" s="152"/>
      <c r="U322" s="152"/>
      <c r="V322" s="152"/>
      <c r="W322" s="152"/>
      <c r="X322" s="152"/>
      <c r="Y322" s="152"/>
      <c r="Z322" s="76"/>
      <c r="AA322" s="76"/>
      <c r="AB322" s="113" t="str">
        <f>IF(C322="3111. Logements",ROUND(VLOOKUP(C322,'Informations générales'!$C$66:$E$70,3,FALSE)*(AL322/$AM$28)/12,0)*12,IF(C322="3112. Logements",ROUND(VLOOKUP(C322,'Informations générales'!$C$66:$E$70,3,FALSE)*(AL322/$AN$28)/12,0)*12,IF(C322="3113. Logements",ROUND(VLOOKUP(C322,'Informations générales'!$C$66:$E$70,3,FALSE)*(AL322/$AO$28)/12,0)*12,IF(C322="3114. Logements",ROUND(VLOOKUP(C322,'Informations générales'!$C$66:$E$70,3,FALSE)*(AL322/$AP$28)/12,0)*12,IF(C322="3115. Logements",ROUND(VLOOKUP(C322,'Informations générales'!$C$66:$E$70,3,FALSE)*(AL322/$AQ$28)/12,0)*12,"")))))</f>
        <v/>
      </c>
      <c r="AC322" s="114"/>
      <c r="AD322" s="113">
        <f t="shared" si="70"/>
        <v>0</v>
      </c>
      <c r="AE322" s="114"/>
      <c r="AF322" s="203" t="str">
        <f>IF(C322="3111. Logements",ROUND(VLOOKUP(C322,'Informations générales'!$C$66:$E$70,3,FALSE)*(AL322/$AM$28)/12,0)*12,IF(C322="3112. Logements",ROUND(VLOOKUP(C322,'Informations générales'!$C$66:$E$70,3,FALSE)*(AL322/$AN$28)/12,0)*12,IF(C322="3113. Logements",ROUND(VLOOKUP(C322,'Informations générales'!$C$66:$E$70,3,FALSE)*(AL322/$AO$28)/12,0)*12,IF(C322="3114. Logements",ROUND(VLOOKUP(C322,'Informations générales'!$C$66:$E$70,3,FALSE)*(AL322/$AP$28)/12,0)*12,IF(C322="3115. Logements",ROUND(VLOOKUP(C322,'Informations générales'!$C$66:$E$70,3,FALSE)*(AL322/$AQ$28)/12,0)*12,"")))))</f>
        <v/>
      </c>
      <c r="AG322" s="202"/>
      <c r="AH322" s="113" t="str">
        <f>IF(C322="3111. Logements",ROUND(VLOOKUP(C322,'Informations générales'!$C$66:$H$70,5,FALSE)*(AL322/$AM$28)/12,0)*12,IF(C322="3112. Logements",ROUND(VLOOKUP(C322,'Informations générales'!$C$66:$H$70,5,FALSE)*(AL322/$AN$28)/12,0)*12,IF(C322="3113. Logements",ROUND(VLOOKUP(C322,'Informations générales'!$C$66:$H$70,5,FALSE)*(AL322/$AO$28)/12,0)*12,IF(C322="3114. Logements",ROUND(VLOOKUP(C322,'Informations générales'!$C$66:$H$70,5,FALSE)*(AL322/$AP$28)/12,0)*12,IF(C322="3115. Logements",ROUND(VLOOKUP(C322,'Informations générales'!$C$66:$H$70,5,FALSE)*(AL322/$AQ$28)/12,0)*12,"")))))</f>
        <v/>
      </c>
      <c r="AI322" s="114"/>
      <c r="AJ322" s="114"/>
      <c r="AK322" s="76"/>
      <c r="AL322" s="58">
        <f t="shared" si="71"/>
        <v>0</v>
      </c>
      <c r="AM322" s="58"/>
      <c r="AN322" s="58"/>
      <c r="AO322" s="58"/>
      <c r="AP322" s="58"/>
      <c r="AQ322" s="58"/>
      <c r="AR322" s="58">
        <f t="shared" si="59"/>
        <v>0</v>
      </c>
      <c r="AS322" s="58">
        <f t="shared" si="60"/>
        <v>0</v>
      </c>
      <c r="AT322" s="58">
        <f t="shared" si="61"/>
        <v>0</v>
      </c>
      <c r="AU322" s="58">
        <f t="shared" si="62"/>
        <v>0</v>
      </c>
      <c r="AV322" s="58">
        <f t="shared" si="63"/>
        <v>0</v>
      </c>
      <c r="AW322" s="58">
        <f t="shared" si="64"/>
        <v>0</v>
      </c>
      <c r="AX322" s="58">
        <f t="shared" si="65"/>
        <v>0</v>
      </c>
      <c r="AY322" s="58">
        <f t="shared" si="72"/>
        <v>0</v>
      </c>
      <c r="AZ322" s="62">
        <f t="shared" si="66"/>
        <v>0</v>
      </c>
      <c r="BA322" s="63">
        <f t="shared" si="67"/>
        <v>0</v>
      </c>
      <c r="BB322" s="63">
        <f t="shared" si="68"/>
        <v>0</v>
      </c>
    </row>
    <row r="323" spans="3:54" s="17" customFormat="1" x14ac:dyDescent="0.25">
      <c r="C323" s="215"/>
      <c r="D323" s="216"/>
      <c r="E323" s="88"/>
      <c r="F323" s="217"/>
      <c r="G323" s="234"/>
      <c r="H323" s="218"/>
      <c r="I323" s="76"/>
      <c r="J323" s="77"/>
      <c r="K323" s="76"/>
      <c r="L323" s="78"/>
      <c r="M323" s="78"/>
      <c r="N323" s="76" t="s">
        <v>39</v>
      </c>
      <c r="O323" s="110"/>
      <c r="P323" s="152"/>
      <c r="Q323" s="111" t="str">
        <f>IFERROR(MIN(VLOOKUP(ROUNDDOWN(P323,0),'Aide calcul'!$B$2:$C$282,2,FALSE),O323+1),"")</f>
        <v/>
      </c>
      <c r="R323" s="112" t="str">
        <f t="shared" si="69"/>
        <v/>
      </c>
      <c r="S323" s="152"/>
      <c r="T323" s="152"/>
      <c r="U323" s="152"/>
      <c r="V323" s="152"/>
      <c r="W323" s="152"/>
      <c r="X323" s="152"/>
      <c r="Y323" s="152"/>
      <c r="Z323" s="76"/>
      <c r="AA323" s="76"/>
      <c r="AB323" s="113" t="str">
        <f>IF(C323="3111. Logements",ROUND(VLOOKUP(C323,'Informations générales'!$C$66:$E$70,3,FALSE)*(AL323/$AM$28)/12,0)*12,IF(C323="3112. Logements",ROUND(VLOOKUP(C323,'Informations générales'!$C$66:$E$70,3,FALSE)*(AL323/$AN$28)/12,0)*12,IF(C323="3113. Logements",ROUND(VLOOKUP(C323,'Informations générales'!$C$66:$E$70,3,FALSE)*(AL323/$AO$28)/12,0)*12,IF(C323="3114. Logements",ROUND(VLOOKUP(C323,'Informations générales'!$C$66:$E$70,3,FALSE)*(AL323/$AP$28)/12,0)*12,IF(C323="3115. Logements",ROUND(VLOOKUP(C323,'Informations générales'!$C$66:$E$70,3,FALSE)*(AL323/$AQ$28)/12,0)*12,"")))))</f>
        <v/>
      </c>
      <c r="AC323" s="114"/>
      <c r="AD323" s="113">
        <f t="shared" si="70"/>
        <v>0</v>
      </c>
      <c r="AE323" s="114"/>
      <c r="AF323" s="203" t="str">
        <f>IF(C323="3111. Logements",ROUND(VLOOKUP(C323,'Informations générales'!$C$66:$E$70,3,FALSE)*(AL323/$AM$28)/12,0)*12,IF(C323="3112. Logements",ROUND(VLOOKUP(C323,'Informations générales'!$C$66:$E$70,3,FALSE)*(AL323/$AN$28)/12,0)*12,IF(C323="3113. Logements",ROUND(VLOOKUP(C323,'Informations générales'!$C$66:$E$70,3,FALSE)*(AL323/$AO$28)/12,0)*12,IF(C323="3114. Logements",ROUND(VLOOKUP(C323,'Informations générales'!$C$66:$E$70,3,FALSE)*(AL323/$AP$28)/12,0)*12,IF(C323="3115. Logements",ROUND(VLOOKUP(C323,'Informations générales'!$C$66:$E$70,3,FALSE)*(AL323/$AQ$28)/12,0)*12,"")))))</f>
        <v/>
      </c>
      <c r="AG323" s="202"/>
      <c r="AH323" s="113" t="str">
        <f>IF(C323="3111. Logements",ROUND(VLOOKUP(C323,'Informations générales'!$C$66:$H$70,5,FALSE)*(AL323/$AM$28)/12,0)*12,IF(C323="3112. Logements",ROUND(VLOOKUP(C323,'Informations générales'!$C$66:$H$70,5,FALSE)*(AL323/$AN$28)/12,0)*12,IF(C323="3113. Logements",ROUND(VLOOKUP(C323,'Informations générales'!$C$66:$H$70,5,FALSE)*(AL323/$AO$28)/12,0)*12,IF(C323="3114. Logements",ROUND(VLOOKUP(C323,'Informations générales'!$C$66:$H$70,5,FALSE)*(AL323/$AP$28)/12,0)*12,IF(C323="3115. Logements",ROUND(VLOOKUP(C323,'Informations générales'!$C$66:$H$70,5,FALSE)*(AL323/$AQ$28)/12,0)*12,"")))))</f>
        <v/>
      </c>
      <c r="AI323" s="114"/>
      <c r="AJ323" s="114"/>
      <c r="AK323" s="76"/>
      <c r="AL323" s="58">
        <f t="shared" si="71"/>
        <v>0</v>
      </c>
      <c r="AM323" s="58"/>
      <c r="AN323" s="58"/>
      <c r="AO323" s="58"/>
      <c r="AP323" s="58"/>
      <c r="AQ323" s="58"/>
      <c r="AR323" s="58">
        <f t="shared" si="59"/>
        <v>0</v>
      </c>
      <c r="AS323" s="58">
        <f t="shared" si="60"/>
        <v>0</v>
      </c>
      <c r="AT323" s="58">
        <f t="shared" si="61"/>
        <v>0</v>
      </c>
      <c r="AU323" s="58">
        <f t="shared" si="62"/>
        <v>0</v>
      </c>
      <c r="AV323" s="58">
        <f t="shared" si="63"/>
        <v>0</v>
      </c>
      <c r="AW323" s="58">
        <f t="shared" si="64"/>
        <v>0</v>
      </c>
      <c r="AX323" s="58">
        <f t="shared" si="65"/>
        <v>0</v>
      </c>
      <c r="AY323" s="58">
        <f t="shared" si="72"/>
        <v>0</v>
      </c>
      <c r="AZ323" s="62">
        <f t="shared" si="66"/>
        <v>0</v>
      </c>
      <c r="BA323" s="63">
        <f t="shared" si="67"/>
        <v>0</v>
      </c>
      <c r="BB323" s="63">
        <f t="shared" si="68"/>
        <v>0</v>
      </c>
    </row>
    <row r="324" spans="3:54" s="17" customFormat="1" x14ac:dyDescent="0.25">
      <c r="C324" s="215"/>
      <c r="D324" s="216"/>
      <c r="E324" s="88"/>
      <c r="F324" s="217"/>
      <c r="G324" s="234"/>
      <c r="H324" s="218"/>
      <c r="I324" s="76"/>
      <c r="J324" s="77"/>
      <c r="K324" s="76"/>
      <c r="L324" s="78"/>
      <c r="M324" s="78"/>
      <c r="N324" s="76" t="s">
        <v>39</v>
      </c>
      <c r="O324" s="110"/>
      <c r="P324" s="152"/>
      <c r="Q324" s="111" t="str">
        <f>IFERROR(MIN(VLOOKUP(ROUNDDOWN(P324,0),'Aide calcul'!$B$2:$C$282,2,FALSE),O324+1),"")</f>
        <v/>
      </c>
      <c r="R324" s="112" t="str">
        <f t="shared" si="69"/>
        <v/>
      </c>
      <c r="S324" s="152"/>
      <c r="T324" s="152"/>
      <c r="U324" s="152"/>
      <c r="V324" s="152"/>
      <c r="W324" s="152"/>
      <c r="X324" s="152"/>
      <c r="Y324" s="152"/>
      <c r="Z324" s="76"/>
      <c r="AA324" s="76"/>
      <c r="AB324" s="113" t="str">
        <f>IF(C324="3111. Logements",ROUND(VLOOKUP(C324,'Informations générales'!$C$66:$E$70,3,FALSE)*(AL324/$AM$28)/12,0)*12,IF(C324="3112. Logements",ROUND(VLOOKUP(C324,'Informations générales'!$C$66:$E$70,3,FALSE)*(AL324/$AN$28)/12,0)*12,IF(C324="3113. Logements",ROUND(VLOOKUP(C324,'Informations générales'!$C$66:$E$70,3,FALSE)*(AL324/$AO$28)/12,0)*12,IF(C324="3114. Logements",ROUND(VLOOKUP(C324,'Informations générales'!$C$66:$E$70,3,FALSE)*(AL324/$AP$28)/12,0)*12,IF(C324="3115. Logements",ROUND(VLOOKUP(C324,'Informations générales'!$C$66:$E$70,3,FALSE)*(AL324/$AQ$28)/12,0)*12,"")))))</f>
        <v/>
      </c>
      <c r="AC324" s="114"/>
      <c r="AD324" s="113">
        <f t="shared" si="70"/>
        <v>0</v>
      </c>
      <c r="AE324" s="114"/>
      <c r="AF324" s="203" t="str">
        <f>IF(C324="3111. Logements",ROUND(VLOOKUP(C324,'Informations générales'!$C$66:$E$70,3,FALSE)*(AL324/$AM$28)/12,0)*12,IF(C324="3112. Logements",ROUND(VLOOKUP(C324,'Informations générales'!$C$66:$E$70,3,FALSE)*(AL324/$AN$28)/12,0)*12,IF(C324="3113. Logements",ROUND(VLOOKUP(C324,'Informations générales'!$C$66:$E$70,3,FALSE)*(AL324/$AO$28)/12,0)*12,IF(C324="3114. Logements",ROUND(VLOOKUP(C324,'Informations générales'!$C$66:$E$70,3,FALSE)*(AL324/$AP$28)/12,0)*12,IF(C324="3115. Logements",ROUND(VLOOKUP(C324,'Informations générales'!$C$66:$E$70,3,FALSE)*(AL324/$AQ$28)/12,0)*12,"")))))</f>
        <v/>
      </c>
      <c r="AG324" s="202"/>
      <c r="AH324" s="113" t="str">
        <f>IF(C324="3111. Logements",ROUND(VLOOKUP(C324,'Informations générales'!$C$66:$H$70,5,FALSE)*(AL324/$AM$28)/12,0)*12,IF(C324="3112. Logements",ROUND(VLOOKUP(C324,'Informations générales'!$C$66:$H$70,5,FALSE)*(AL324/$AN$28)/12,0)*12,IF(C324="3113. Logements",ROUND(VLOOKUP(C324,'Informations générales'!$C$66:$H$70,5,FALSE)*(AL324/$AO$28)/12,0)*12,IF(C324="3114. Logements",ROUND(VLOOKUP(C324,'Informations générales'!$C$66:$H$70,5,FALSE)*(AL324/$AP$28)/12,0)*12,IF(C324="3115. Logements",ROUND(VLOOKUP(C324,'Informations générales'!$C$66:$H$70,5,FALSE)*(AL324/$AQ$28)/12,0)*12,"")))))</f>
        <v/>
      </c>
      <c r="AI324" s="114"/>
      <c r="AJ324" s="114"/>
      <c r="AK324" s="76"/>
      <c r="AL324" s="58">
        <f t="shared" si="71"/>
        <v>0</v>
      </c>
      <c r="AM324" s="58"/>
      <c r="AN324" s="58"/>
      <c r="AO324" s="58"/>
      <c r="AP324" s="58"/>
      <c r="AQ324" s="58"/>
      <c r="AR324" s="58">
        <f t="shared" si="59"/>
        <v>0</v>
      </c>
      <c r="AS324" s="58">
        <f t="shared" si="60"/>
        <v>0</v>
      </c>
      <c r="AT324" s="58">
        <f t="shared" si="61"/>
        <v>0</v>
      </c>
      <c r="AU324" s="58">
        <f t="shared" si="62"/>
        <v>0</v>
      </c>
      <c r="AV324" s="58">
        <f t="shared" si="63"/>
        <v>0</v>
      </c>
      <c r="AW324" s="58">
        <f t="shared" si="64"/>
        <v>0</v>
      </c>
      <c r="AX324" s="58">
        <f t="shared" si="65"/>
        <v>0</v>
      </c>
      <c r="AY324" s="58">
        <f t="shared" si="72"/>
        <v>0</v>
      </c>
      <c r="AZ324" s="62">
        <f t="shared" si="66"/>
        <v>0</v>
      </c>
      <c r="BA324" s="63">
        <f t="shared" si="67"/>
        <v>0</v>
      </c>
      <c r="BB324" s="63">
        <f t="shared" si="68"/>
        <v>0</v>
      </c>
    </row>
    <row r="325" spans="3:54" s="17" customFormat="1" x14ac:dyDescent="0.25">
      <c r="C325" s="215"/>
      <c r="D325" s="216"/>
      <c r="E325" s="88"/>
      <c r="F325" s="217"/>
      <c r="G325" s="234"/>
      <c r="H325" s="218"/>
      <c r="I325" s="76"/>
      <c r="J325" s="77"/>
      <c r="K325" s="76"/>
      <c r="L325" s="78"/>
      <c r="M325" s="78"/>
      <c r="N325" s="76" t="s">
        <v>39</v>
      </c>
      <c r="O325" s="110"/>
      <c r="P325" s="152"/>
      <c r="Q325" s="111" t="str">
        <f>IFERROR(MIN(VLOOKUP(ROUNDDOWN(P325,0),'Aide calcul'!$B$2:$C$282,2,FALSE),O325+1),"")</f>
        <v/>
      </c>
      <c r="R325" s="112" t="str">
        <f t="shared" si="69"/>
        <v/>
      </c>
      <c r="S325" s="152"/>
      <c r="T325" s="152"/>
      <c r="U325" s="152"/>
      <c r="V325" s="152"/>
      <c r="W325" s="152"/>
      <c r="X325" s="152"/>
      <c r="Y325" s="152"/>
      <c r="Z325" s="76"/>
      <c r="AA325" s="76"/>
      <c r="AB325" s="113" t="str">
        <f>IF(C325="3111. Logements",ROUND(VLOOKUP(C325,'Informations générales'!$C$66:$E$70,3,FALSE)*(AL325/$AM$28)/12,0)*12,IF(C325="3112. Logements",ROUND(VLOOKUP(C325,'Informations générales'!$C$66:$E$70,3,FALSE)*(AL325/$AN$28)/12,0)*12,IF(C325="3113. Logements",ROUND(VLOOKUP(C325,'Informations générales'!$C$66:$E$70,3,FALSE)*(AL325/$AO$28)/12,0)*12,IF(C325="3114. Logements",ROUND(VLOOKUP(C325,'Informations générales'!$C$66:$E$70,3,FALSE)*(AL325/$AP$28)/12,0)*12,IF(C325="3115. Logements",ROUND(VLOOKUP(C325,'Informations générales'!$C$66:$E$70,3,FALSE)*(AL325/$AQ$28)/12,0)*12,"")))))</f>
        <v/>
      </c>
      <c r="AC325" s="114"/>
      <c r="AD325" s="113">
        <f t="shared" si="70"/>
        <v>0</v>
      </c>
      <c r="AE325" s="114"/>
      <c r="AF325" s="203" t="str">
        <f>IF(C325="3111. Logements",ROUND(VLOOKUP(C325,'Informations générales'!$C$66:$E$70,3,FALSE)*(AL325/$AM$28)/12,0)*12,IF(C325="3112. Logements",ROUND(VLOOKUP(C325,'Informations générales'!$C$66:$E$70,3,FALSE)*(AL325/$AN$28)/12,0)*12,IF(C325="3113. Logements",ROUND(VLOOKUP(C325,'Informations générales'!$C$66:$E$70,3,FALSE)*(AL325/$AO$28)/12,0)*12,IF(C325="3114. Logements",ROUND(VLOOKUP(C325,'Informations générales'!$C$66:$E$70,3,FALSE)*(AL325/$AP$28)/12,0)*12,IF(C325="3115. Logements",ROUND(VLOOKUP(C325,'Informations générales'!$C$66:$E$70,3,FALSE)*(AL325/$AQ$28)/12,0)*12,"")))))</f>
        <v/>
      </c>
      <c r="AG325" s="202"/>
      <c r="AH325" s="113" t="str">
        <f>IF(C325="3111. Logements",ROUND(VLOOKUP(C325,'Informations générales'!$C$66:$H$70,5,FALSE)*(AL325/$AM$28)/12,0)*12,IF(C325="3112. Logements",ROUND(VLOOKUP(C325,'Informations générales'!$C$66:$H$70,5,FALSE)*(AL325/$AN$28)/12,0)*12,IF(C325="3113. Logements",ROUND(VLOOKUP(C325,'Informations générales'!$C$66:$H$70,5,FALSE)*(AL325/$AO$28)/12,0)*12,IF(C325="3114. Logements",ROUND(VLOOKUP(C325,'Informations générales'!$C$66:$H$70,5,FALSE)*(AL325/$AP$28)/12,0)*12,IF(C325="3115. Logements",ROUND(VLOOKUP(C325,'Informations générales'!$C$66:$H$70,5,FALSE)*(AL325/$AQ$28)/12,0)*12,"")))))</f>
        <v/>
      </c>
      <c r="AI325" s="114"/>
      <c r="AJ325" s="114"/>
      <c r="AK325" s="76"/>
      <c r="AL325" s="58">
        <f t="shared" si="71"/>
        <v>0</v>
      </c>
      <c r="AM325" s="58"/>
      <c r="AN325" s="58"/>
      <c r="AO325" s="58"/>
      <c r="AP325" s="58"/>
      <c r="AQ325" s="58"/>
      <c r="AR325" s="58">
        <f t="shared" si="59"/>
        <v>0</v>
      </c>
      <c r="AS325" s="58">
        <f t="shared" si="60"/>
        <v>0</v>
      </c>
      <c r="AT325" s="58">
        <f t="shared" si="61"/>
        <v>0</v>
      </c>
      <c r="AU325" s="58">
        <f t="shared" si="62"/>
        <v>0</v>
      </c>
      <c r="AV325" s="58">
        <f t="shared" si="63"/>
        <v>0</v>
      </c>
      <c r="AW325" s="58">
        <f t="shared" si="64"/>
        <v>0</v>
      </c>
      <c r="AX325" s="58">
        <f t="shared" si="65"/>
        <v>0</v>
      </c>
      <c r="AY325" s="58">
        <f t="shared" si="72"/>
        <v>0</v>
      </c>
      <c r="AZ325" s="62">
        <f t="shared" si="66"/>
        <v>0</v>
      </c>
      <c r="BA325" s="63">
        <f t="shared" si="67"/>
        <v>0</v>
      </c>
      <c r="BB325" s="63">
        <f t="shared" si="68"/>
        <v>0</v>
      </c>
    </row>
    <row r="326" spans="3:54" s="17" customFormat="1" x14ac:dyDescent="0.25">
      <c r="C326" s="215"/>
      <c r="D326" s="216"/>
      <c r="E326" s="88"/>
      <c r="F326" s="217"/>
      <c r="G326" s="234"/>
      <c r="H326" s="218"/>
      <c r="I326" s="76"/>
      <c r="J326" s="77"/>
      <c r="K326" s="76"/>
      <c r="L326" s="78"/>
      <c r="M326" s="78"/>
      <c r="N326" s="76" t="s">
        <v>39</v>
      </c>
      <c r="O326" s="110"/>
      <c r="P326" s="152"/>
      <c r="Q326" s="111" t="str">
        <f>IFERROR(MIN(VLOOKUP(ROUNDDOWN(P326,0),'Aide calcul'!$B$2:$C$282,2,FALSE),O326+1),"")</f>
        <v/>
      </c>
      <c r="R326" s="112" t="str">
        <f t="shared" si="69"/>
        <v/>
      </c>
      <c r="S326" s="152"/>
      <c r="T326" s="152"/>
      <c r="U326" s="152"/>
      <c r="V326" s="152"/>
      <c r="W326" s="152"/>
      <c r="X326" s="152"/>
      <c r="Y326" s="152"/>
      <c r="Z326" s="76"/>
      <c r="AA326" s="76"/>
      <c r="AB326" s="113" t="str">
        <f>IF(C326="3111. Logements",ROUND(VLOOKUP(C326,'Informations générales'!$C$66:$E$70,3,FALSE)*(AL326/$AM$28)/12,0)*12,IF(C326="3112. Logements",ROUND(VLOOKUP(C326,'Informations générales'!$C$66:$E$70,3,FALSE)*(AL326/$AN$28)/12,0)*12,IF(C326="3113. Logements",ROUND(VLOOKUP(C326,'Informations générales'!$C$66:$E$70,3,FALSE)*(AL326/$AO$28)/12,0)*12,IF(C326="3114. Logements",ROUND(VLOOKUP(C326,'Informations générales'!$C$66:$E$70,3,FALSE)*(AL326/$AP$28)/12,0)*12,IF(C326="3115. Logements",ROUND(VLOOKUP(C326,'Informations générales'!$C$66:$E$70,3,FALSE)*(AL326/$AQ$28)/12,0)*12,"")))))</f>
        <v/>
      </c>
      <c r="AC326" s="114"/>
      <c r="AD326" s="113">
        <f t="shared" si="70"/>
        <v>0</v>
      </c>
      <c r="AE326" s="114"/>
      <c r="AF326" s="203" t="str">
        <f>IF(C326="3111. Logements",ROUND(VLOOKUP(C326,'Informations générales'!$C$66:$E$70,3,FALSE)*(AL326/$AM$28)/12,0)*12,IF(C326="3112. Logements",ROUND(VLOOKUP(C326,'Informations générales'!$C$66:$E$70,3,FALSE)*(AL326/$AN$28)/12,0)*12,IF(C326="3113. Logements",ROUND(VLOOKUP(C326,'Informations générales'!$C$66:$E$70,3,FALSE)*(AL326/$AO$28)/12,0)*12,IF(C326="3114. Logements",ROUND(VLOOKUP(C326,'Informations générales'!$C$66:$E$70,3,FALSE)*(AL326/$AP$28)/12,0)*12,IF(C326="3115. Logements",ROUND(VLOOKUP(C326,'Informations générales'!$C$66:$E$70,3,FALSE)*(AL326/$AQ$28)/12,0)*12,"")))))</f>
        <v/>
      </c>
      <c r="AG326" s="202"/>
      <c r="AH326" s="113" t="str">
        <f>IF(C326="3111. Logements",ROUND(VLOOKUP(C326,'Informations générales'!$C$66:$H$70,5,FALSE)*(AL326/$AM$28)/12,0)*12,IF(C326="3112. Logements",ROUND(VLOOKUP(C326,'Informations générales'!$C$66:$H$70,5,FALSE)*(AL326/$AN$28)/12,0)*12,IF(C326="3113. Logements",ROUND(VLOOKUP(C326,'Informations générales'!$C$66:$H$70,5,FALSE)*(AL326/$AO$28)/12,0)*12,IF(C326="3114. Logements",ROUND(VLOOKUP(C326,'Informations générales'!$C$66:$H$70,5,FALSE)*(AL326/$AP$28)/12,0)*12,IF(C326="3115. Logements",ROUND(VLOOKUP(C326,'Informations générales'!$C$66:$H$70,5,FALSE)*(AL326/$AQ$28)/12,0)*12,"")))))</f>
        <v/>
      </c>
      <c r="AI326" s="114"/>
      <c r="AJ326" s="114"/>
      <c r="AK326" s="76"/>
      <c r="AL326" s="58">
        <f t="shared" si="71"/>
        <v>0</v>
      </c>
      <c r="AM326" s="58"/>
      <c r="AN326" s="58"/>
      <c r="AO326" s="58"/>
      <c r="AP326" s="58"/>
      <c r="AQ326" s="58"/>
      <c r="AR326" s="58">
        <f t="shared" si="59"/>
        <v>0</v>
      </c>
      <c r="AS326" s="58">
        <f t="shared" si="60"/>
        <v>0</v>
      </c>
      <c r="AT326" s="58">
        <f t="shared" si="61"/>
        <v>0</v>
      </c>
      <c r="AU326" s="58">
        <f t="shared" si="62"/>
        <v>0</v>
      </c>
      <c r="AV326" s="58">
        <f t="shared" si="63"/>
        <v>0</v>
      </c>
      <c r="AW326" s="58">
        <f t="shared" si="64"/>
        <v>0</v>
      </c>
      <c r="AX326" s="58">
        <f t="shared" si="65"/>
        <v>0</v>
      </c>
      <c r="AY326" s="58">
        <f t="shared" si="72"/>
        <v>0</v>
      </c>
      <c r="AZ326" s="62">
        <f t="shared" si="66"/>
        <v>0</v>
      </c>
      <c r="BA326" s="63">
        <f t="shared" si="67"/>
        <v>0</v>
      </c>
      <c r="BB326" s="63">
        <f t="shared" si="68"/>
        <v>0</v>
      </c>
    </row>
    <row r="327" spans="3:54" s="17" customFormat="1" x14ac:dyDescent="0.25">
      <c r="C327" s="215"/>
      <c r="D327" s="216"/>
      <c r="E327" s="88"/>
      <c r="F327" s="217"/>
      <c r="G327" s="234"/>
      <c r="H327" s="218"/>
      <c r="I327" s="76"/>
      <c r="J327" s="77"/>
      <c r="K327" s="76"/>
      <c r="L327" s="78"/>
      <c r="M327" s="78"/>
      <c r="N327" s="76" t="s">
        <v>39</v>
      </c>
      <c r="O327" s="110"/>
      <c r="P327" s="152"/>
      <c r="Q327" s="111" t="str">
        <f>IFERROR(MIN(VLOOKUP(ROUNDDOWN(P327,0),'Aide calcul'!$B$2:$C$282,2,FALSE),O327+1),"")</f>
        <v/>
      </c>
      <c r="R327" s="112" t="str">
        <f t="shared" si="69"/>
        <v/>
      </c>
      <c r="S327" s="152"/>
      <c r="T327" s="152"/>
      <c r="U327" s="152"/>
      <c r="V327" s="152"/>
      <c r="W327" s="152"/>
      <c r="X327" s="152"/>
      <c r="Y327" s="152"/>
      <c r="Z327" s="76"/>
      <c r="AA327" s="76"/>
      <c r="AB327" s="113" t="str">
        <f>IF(C327="3111. Logements",ROUND(VLOOKUP(C327,'Informations générales'!$C$66:$E$70,3,FALSE)*(AL327/$AM$28)/12,0)*12,IF(C327="3112. Logements",ROUND(VLOOKUP(C327,'Informations générales'!$C$66:$E$70,3,FALSE)*(AL327/$AN$28)/12,0)*12,IF(C327="3113. Logements",ROUND(VLOOKUP(C327,'Informations générales'!$C$66:$E$70,3,FALSE)*(AL327/$AO$28)/12,0)*12,IF(C327="3114. Logements",ROUND(VLOOKUP(C327,'Informations générales'!$C$66:$E$70,3,FALSE)*(AL327/$AP$28)/12,0)*12,IF(C327="3115. Logements",ROUND(VLOOKUP(C327,'Informations générales'!$C$66:$E$70,3,FALSE)*(AL327/$AQ$28)/12,0)*12,"")))))</f>
        <v/>
      </c>
      <c r="AC327" s="114"/>
      <c r="AD327" s="113">
        <f t="shared" si="70"/>
        <v>0</v>
      </c>
      <c r="AE327" s="114"/>
      <c r="AF327" s="203" t="str">
        <f>IF(C327="3111. Logements",ROUND(VLOOKUP(C327,'Informations générales'!$C$66:$E$70,3,FALSE)*(AL327/$AM$28)/12,0)*12,IF(C327="3112. Logements",ROUND(VLOOKUP(C327,'Informations générales'!$C$66:$E$70,3,FALSE)*(AL327/$AN$28)/12,0)*12,IF(C327="3113. Logements",ROUND(VLOOKUP(C327,'Informations générales'!$C$66:$E$70,3,FALSE)*(AL327/$AO$28)/12,0)*12,IF(C327="3114. Logements",ROUND(VLOOKUP(C327,'Informations générales'!$C$66:$E$70,3,FALSE)*(AL327/$AP$28)/12,0)*12,IF(C327="3115. Logements",ROUND(VLOOKUP(C327,'Informations générales'!$C$66:$E$70,3,FALSE)*(AL327/$AQ$28)/12,0)*12,"")))))</f>
        <v/>
      </c>
      <c r="AG327" s="202"/>
      <c r="AH327" s="113" t="str">
        <f>IF(C327="3111. Logements",ROUND(VLOOKUP(C327,'Informations générales'!$C$66:$H$70,5,FALSE)*(AL327/$AM$28)/12,0)*12,IF(C327="3112. Logements",ROUND(VLOOKUP(C327,'Informations générales'!$C$66:$H$70,5,FALSE)*(AL327/$AN$28)/12,0)*12,IF(C327="3113. Logements",ROUND(VLOOKUP(C327,'Informations générales'!$C$66:$H$70,5,FALSE)*(AL327/$AO$28)/12,0)*12,IF(C327="3114. Logements",ROUND(VLOOKUP(C327,'Informations générales'!$C$66:$H$70,5,FALSE)*(AL327/$AP$28)/12,0)*12,IF(C327="3115. Logements",ROUND(VLOOKUP(C327,'Informations générales'!$C$66:$H$70,5,FALSE)*(AL327/$AQ$28)/12,0)*12,"")))))</f>
        <v/>
      </c>
      <c r="AI327" s="114"/>
      <c r="AJ327" s="114"/>
      <c r="AK327" s="76"/>
      <c r="AL327" s="58">
        <f t="shared" si="71"/>
        <v>0</v>
      </c>
      <c r="AM327" s="58"/>
      <c r="AN327" s="58"/>
      <c r="AO327" s="58"/>
      <c r="AP327" s="58"/>
      <c r="AQ327" s="58"/>
      <c r="AR327" s="58">
        <f t="shared" si="59"/>
        <v>0</v>
      </c>
      <c r="AS327" s="58">
        <f t="shared" si="60"/>
        <v>0</v>
      </c>
      <c r="AT327" s="58">
        <f t="shared" si="61"/>
        <v>0</v>
      </c>
      <c r="AU327" s="58">
        <f t="shared" si="62"/>
        <v>0</v>
      </c>
      <c r="AV327" s="58">
        <f t="shared" si="63"/>
        <v>0</v>
      </c>
      <c r="AW327" s="58">
        <f t="shared" si="64"/>
        <v>0</v>
      </c>
      <c r="AX327" s="58">
        <f t="shared" si="65"/>
        <v>0</v>
      </c>
      <c r="AY327" s="58">
        <f t="shared" si="72"/>
        <v>0</v>
      </c>
      <c r="AZ327" s="62">
        <f t="shared" si="66"/>
        <v>0</v>
      </c>
      <c r="BA327" s="63">
        <f t="shared" si="67"/>
        <v>0</v>
      </c>
      <c r="BB327" s="63">
        <f t="shared" si="68"/>
        <v>0</v>
      </c>
    </row>
    <row r="328" spans="3:54" s="17" customFormat="1" x14ac:dyDescent="0.25">
      <c r="C328" s="215"/>
      <c r="D328" s="216"/>
      <c r="E328" s="88"/>
      <c r="F328" s="217"/>
      <c r="G328" s="234"/>
      <c r="H328" s="218"/>
      <c r="I328" s="76"/>
      <c r="J328" s="77"/>
      <c r="K328" s="76"/>
      <c r="L328" s="78"/>
      <c r="M328" s="78"/>
      <c r="N328" s="76" t="s">
        <v>39</v>
      </c>
      <c r="O328" s="110"/>
      <c r="P328" s="152"/>
      <c r="Q328" s="111" t="str">
        <f>IFERROR(MIN(VLOOKUP(ROUNDDOWN(P328,0),'Aide calcul'!$B$2:$C$282,2,FALSE),O328+1),"")</f>
        <v/>
      </c>
      <c r="R328" s="112" t="str">
        <f t="shared" si="69"/>
        <v/>
      </c>
      <c r="S328" s="152"/>
      <c r="T328" s="152"/>
      <c r="U328" s="152"/>
      <c r="V328" s="152"/>
      <c r="W328" s="152"/>
      <c r="X328" s="152"/>
      <c r="Y328" s="152"/>
      <c r="Z328" s="76"/>
      <c r="AA328" s="76"/>
      <c r="AB328" s="113" t="str">
        <f>IF(C328="3111. Logements",ROUND(VLOOKUP(C328,'Informations générales'!$C$66:$E$70,3,FALSE)*(AL328/$AM$28)/12,0)*12,IF(C328="3112. Logements",ROUND(VLOOKUP(C328,'Informations générales'!$C$66:$E$70,3,FALSE)*(AL328/$AN$28)/12,0)*12,IF(C328="3113. Logements",ROUND(VLOOKUP(C328,'Informations générales'!$C$66:$E$70,3,FALSE)*(AL328/$AO$28)/12,0)*12,IF(C328="3114. Logements",ROUND(VLOOKUP(C328,'Informations générales'!$C$66:$E$70,3,FALSE)*(AL328/$AP$28)/12,0)*12,IF(C328="3115. Logements",ROUND(VLOOKUP(C328,'Informations générales'!$C$66:$E$70,3,FALSE)*(AL328/$AQ$28)/12,0)*12,"")))))</f>
        <v/>
      </c>
      <c r="AC328" s="114"/>
      <c r="AD328" s="113">
        <f t="shared" si="70"/>
        <v>0</v>
      </c>
      <c r="AE328" s="114"/>
      <c r="AF328" s="203" t="str">
        <f>IF(C328="3111. Logements",ROUND(VLOOKUP(C328,'Informations générales'!$C$66:$E$70,3,FALSE)*(AL328/$AM$28)/12,0)*12,IF(C328="3112. Logements",ROUND(VLOOKUP(C328,'Informations générales'!$C$66:$E$70,3,FALSE)*(AL328/$AN$28)/12,0)*12,IF(C328="3113. Logements",ROUND(VLOOKUP(C328,'Informations générales'!$C$66:$E$70,3,FALSE)*(AL328/$AO$28)/12,0)*12,IF(C328="3114. Logements",ROUND(VLOOKUP(C328,'Informations générales'!$C$66:$E$70,3,FALSE)*(AL328/$AP$28)/12,0)*12,IF(C328="3115. Logements",ROUND(VLOOKUP(C328,'Informations générales'!$C$66:$E$70,3,FALSE)*(AL328/$AQ$28)/12,0)*12,"")))))</f>
        <v/>
      </c>
      <c r="AG328" s="202"/>
      <c r="AH328" s="113" t="str">
        <f>IF(C328="3111. Logements",ROUND(VLOOKUP(C328,'Informations générales'!$C$66:$H$70,5,FALSE)*(AL328/$AM$28)/12,0)*12,IF(C328="3112. Logements",ROUND(VLOOKUP(C328,'Informations générales'!$C$66:$H$70,5,FALSE)*(AL328/$AN$28)/12,0)*12,IF(C328="3113. Logements",ROUND(VLOOKUP(C328,'Informations générales'!$C$66:$H$70,5,FALSE)*(AL328/$AO$28)/12,0)*12,IF(C328="3114. Logements",ROUND(VLOOKUP(C328,'Informations générales'!$C$66:$H$70,5,FALSE)*(AL328/$AP$28)/12,0)*12,IF(C328="3115. Logements",ROUND(VLOOKUP(C328,'Informations générales'!$C$66:$H$70,5,FALSE)*(AL328/$AQ$28)/12,0)*12,"")))))</f>
        <v/>
      </c>
      <c r="AI328" s="114"/>
      <c r="AJ328" s="114"/>
      <c r="AK328" s="76"/>
      <c r="AL328" s="58">
        <f t="shared" si="71"/>
        <v>0</v>
      </c>
      <c r="AM328" s="58"/>
      <c r="AN328" s="58"/>
      <c r="AO328" s="58"/>
      <c r="AP328" s="58"/>
      <c r="AQ328" s="58"/>
      <c r="AR328" s="58">
        <f t="shared" si="59"/>
        <v>0</v>
      </c>
      <c r="AS328" s="58">
        <f t="shared" si="60"/>
        <v>0</v>
      </c>
      <c r="AT328" s="58">
        <f t="shared" si="61"/>
        <v>0</v>
      </c>
      <c r="AU328" s="58">
        <f t="shared" si="62"/>
        <v>0</v>
      </c>
      <c r="AV328" s="58">
        <f t="shared" si="63"/>
        <v>0</v>
      </c>
      <c r="AW328" s="58">
        <f t="shared" si="64"/>
        <v>0</v>
      </c>
      <c r="AX328" s="58">
        <f t="shared" si="65"/>
        <v>0</v>
      </c>
      <c r="AY328" s="58">
        <f t="shared" si="72"/>
        <v>0</v>
      </c>
      <c r="AZ328" s="62">
        <f t="shared" si="66"/>
        <v>0</v>
      </c>
      <c r="BA328" s="63">
        <f t="shared" si="67"/>
        <v>0</v>
      </c>
      <c r="BB328" s="63">
        <f t="shared" si="68"/>
        <v>0</v>
      </c>
    </row>
    <row r="329" spans="3:54" s="17" customFormat="1" x14ac:dyDescent="0.25">
      <c r="C329" s="215"/>
      <c r="D329" s="216"/>
      <c r="E329" s="88"/>
      <c r="F329" s="217"/>
      <c r="G329" s="234"/>
      <c r="H329" s="218"/>
      <c r="I329" s="76"/>
      <c r="J329" s="77"/>
      <c r="K329" s="76"/>
      <c r="L329" s="78"/>
      <c r="M329" s="78"/>
      <c r="N329" s="76" t="s">
        <v>39</v>
      </c>
      <c r="O329" s="110"/>
      <c r="P329" s="152"/>
      <c r="Q329" s="111" t="str">
        <f>IFERROR(MIN(VLOOKUP(ROUNDDOWN(P329,0),'Aide calcul'!$B$2:$C$282,2,FALSE),O329+1),"")</f>
        <v/>
      </c>
      <c r="R329" s="112" t="str">
        <f t="shared" si="69"/>
        <v/>
      </c>
      <c r="S329" s="152"/>
      <c r="T329" s="152"/>
      <c r="U329" s="152"/>
      <c r="V329" s="152"/>
      <c r="W329" s="152"/>
      <c r="X329" s="152"/>
      <c r="Y329" s="152"/>
      <c r="Z329" s="76"/>
      <c r="AA329" s="76"/>
      <c r="AB329" s="113" t="str">
        <f>IF(C329="3111. Logements",ROUND(VLOOKUP(C329,'Informations générales'!$C$66:$E$70,3,FALSE)*(AL329/$AM$28)/12,0)*12,IF(C329="3112. Logements",ROUND(VLOOKUP(C329,'Informations générales'!$C$66:$E$70,3,FALSE)*(AL329/$AN$28)/12,0)*12,IF(C329="3113. Logements",ROUND(VLOOKUP(C329,'Informations générales'!$C$66:$E$70,3,FALSE)*(AL329/$AO$28)/12,0)*12,IF(C329="3114. Logements",ROUND(VLOOKUP(C329,'Informations générales'!$C$66:$E$70,3,FALSE)*(AL329/$AP$28)/12,0)*12,IF(C329="3115. Logements",ROUND(VLOOKUP(C329,'Informations générales'!$C$66:$E$70,3,FALSE)*(AL329/$AQ$28)/12,0)*12,"")))))</f>
        <v/>
      </c>
      <c r="AC329" s="114"/>
      <c r="AD329" s="113">
        <f t="shared" si="70"/>
        <v>0</v>
      </c>
      <c r="AE329" s="114"/>
      <c r="AF329" s="203" t="str">
        <f>IF(C329="3111. Logements",ROUND(VLOOKUP(C329,'Informations générales'!$C$66:$E$70,3,FALSE)*(AL329/$AM$28)/12,0)*12,IF(C329="3112. Logements",ROUND(VLOOKUP(C329,'Informations générales'!$C$66:$E$70,3,FALSE)*(AL329/$AN$28)/12,0)*12,IF(C329="3113. Logements",ROUND(VLOOKUP(C329,'Informations générales'!$C$66:$E$70,3,FALSE)*(AL329/$AO$28)/12,0)*12,IF(C329="3114. Logements",ROUND(VLOOKUP(C329,'Informations générales'!$C$66:$E$70,3,FALSE)*(AL329/$AP$28)/12,0)*12,IF(C329="3115. Logements",ROUND(VLOOKUP(C329,'Informations générales'!$C$66:$E$70,3,FALSE)*(AL329/$AQ$28)/12,0)*12,"")))))</f>
        <v/>
      </c>
      <c r="AG329" s="202"/>
      <c r="AH329" s="113" t="str">
        <f>IF(C329="3111. Logements",ROUND(VLOOKUP(C329,'Informations générales'!$C$66:$H$70,5,FALSE)*(AL329/$AM$28)/12,0)*12,IF(C329="3112. Logements",ROUND(VLOOKUP(C329,'Informations générales'!$C$66:$H$70,5,FALSE)*(AL329/$AN$28)/12,0)*12,IF(C329="3113. Logements",ROUND(VLOOKUP(C329,'Informations générales'!$C$66:$H$70,5,FALSE)*(AL329/$AO$28)/12,0)*12,IF(C329="3114. Logements",ROUND(VLOOKUP(C329,'Informations générales'!$C$66:$H$70,5,FALSE)*(AL329/$AP$28)/12,0)*12,IF(C329="3115. Logements",ROUND(VLOOKUP(C329,'Informations générales'!$C$66:$H$70,5,FALSE)*(AL329/$AQ$28)/12,0)*12,"")))))</f>
        <v/>
      </c>
      <c r="AI329" s="114"/>
      <c r="AJ329" s="114"/>
      <c r="AK329" s="76"/>
      <c r="AL329" s="58">
        <f t="shared" si="71"/>
        <v>0</v>
      </c>
      <c r="AM329" s="58"/>
      <c r="AN329" s="58"/>
      <c r="AO329" s="58"/>
      <c r="AP329" s="58"/>
      <c r="AQ329" s="58"/>
      <c r="AR329" s="58">
        <f t="shared" si="59"/>
        <v>0</v>
      </c>
      <c r="AS329" s="58">
        <f t="shared" si="60"/>
        <v>0</v>
      </c>
      <c r="AT329" s="58">
        <f t="shared" si="61"/>
        <v>0</v>
      </c>
      <c r="AU329" s="58">
        <f t="shared" si="62"/>
        <v>0</v>
      </c>
      <c r="AV329" s="58">
        <f t="shared" si="63"/>
        <v>0</v>
      </c>
      <c r="AW329" s="58">
        <f t="shared" si="64"/>
        <v>0</v>
      </c>
      <c r="AX329" s="58">
        <f t="shared" si="65"/>
        <v>0</v>
      </c>
      <c r="AY329" s="58">
        <f t="shared" si="72"/>
        <v>0</v>
      </c>
      <c r="AZ329" s="62">
        <f t="shared" si="66"/>
        <v>0</v>
      </c>
      <c r="BA329" s="63">
        <f t="shared" si="67"/>
        <v>0</v>
      </c>
      <c r="BB329" s="63">
        <f t="shared" si="68"/>
        <v>0</v>
      </c>
    </row>
    <row r="330" spans="3:54" s="17" customFormat="1" x14ac:dyDescent="0.25">
      <c r="C330" s="215"/>
      <c r="D330" s="216"/>
      <c r="E330" s="88"/>
      <c r="F330" s="217"/>
      <c r="G330" s="234"/>
      <c r="H330" s="218"/>
      <c r="I330" s="76"/>
      <c r="J330" s="77"/>
      <c r="K330" s="76"/>
      <c r="L330" s="78"/>
      <c r="M330" s="78"/>
      <c r="N330" s="76" t="s">
        <v>39</v>
      </c>
      <c r="O330" s="110"/>
      <c r="P330" s="152"/>
      <c r="Q330" s="111" t="str">
        <f>IFERROR(MIN(VLOOKUP(ROUNDDOWN(P330,0),'Aide calcul'!$B$2:$C$282,2,FALSE),O330+1),"")</f>
        <v/>
      </c>
      <c r="R330" s="112" t="str">
        <f t="shared" si="69"/>
        <v/>
      </c>
      <c r="S330" s="152"/>
      <c r="T330" s="152"/>
      <c r="U330" s="152"/>
      <c r="V330" s="152"/>
      <c r="W330" s="152"/>
      <c r="X330" s="152"/>
      <c r="Y330" s="152"/>
      <c r="Z330" s="76"/>
      <c r="AA330" s="76"/>
      <c r="AB330" s="113" t="str">
        <f>IF(C330="3111. Logements",ROUND(VLOOKUP(C330,'Informations générales'!$C$66:$E$70,3,FALSE)*(AL330/$AM$28)/12,0)*12,IF(C330="3112. Logements",ROUND(VLOOKUP(C330,'Informations générales'!$C$66:$E$70,3,FALSE)*(AL330/$AN$28)/12,0)*12,IF(C330="3113. Logements",ROUND(VLOOKUP(C330,'Informations générales'!$C$66:$E$70,3,FALSE)*(AL330/$AO$28)/12,0)*12,IF(C330="3114. Logements",ROUND(VLOOKUP(C330,'Informations générales'!$C$66:$E$70,3,FALSE)*(AL330/$AP$28)/12,0)*12,IF(C330="3115. Logements",ROUND(VLOOKUP(C330,'Informations générales'!$C$66:$E$70,3,FALSE)*(AL330/$AQ$28)/12,0)*12,"")))))</f>
        <v/>
      </c>
      <c r="AC330" s="114"/>
      <c r="AD330" s="113">
        <f t="shared" si="70"/>
        <v>0</v>
      </c>
      <c r="AE330" s="114"/>
      <c r="AF330" s="203" t="str">
        <f>IF(C330="3111. Logements",ROUND(VLOOKUP(C330,'Informations générales'!$C$66:$E$70,3,FALSE)*(AL330/$AM$28)/12,0)*12,IF(C330="3112. Logements",ROUND(VLOOKUP(C330,'Informations générales'!$C$66:$E$70,3,FALSE)*(AL330/$AN$28)/12,0)*12,IF(C330="3113. Logements",ROUND(VLOOKUP(C330,'Informations générales'!$C$66:$E$70,3,FALSE)*(AL330/$AO$28)/12,0)*12,IF(C330="3114. Logements",ROUND(VLOOKUP(C330,'Informations générales'!$C$66:$E$70,3,FALSE)*(AL330/$AP$28)/12,0)*12,IF(C330="3115. Logements",ROUND(VLOOKUP(C330,'Informations générales'!$C$66:$E$70,3,FALSE)*(AL330/$AQ$28)/12,0)*12,"")))))</f>
        <v/>
      </c>
      <c r="AG330" s="202"/>
      <c r="AH330" s="113" t="str">
        <f>IF(C330="3111. Logements",ROUND(VLOOKUP(C330,'Informations générales'!$C$66:$H$70,5,FALSE)*(AL330/$AM$28)/12,0)*12,IF(C330="3112. Logements",ROUND(VLOOKUP(C330,'Informations générales'!$C$66:$H$70,5,FALSE)*(AL330/$AN$28)/12,0)*12,IF(C330="3113. Logements",ROUND(VLOOKUP(C330,'Informations générales'!$C$66:$H$70,5,FALSE)*(AL330/$AO$28)/12,0)*12,IF(C330="3114. Logements",ROUND(VLOOKUP(C330,'Informations générales'!$C$66:$H$70,5,FALSE)*(AL330/$AP$28)/12,0)*12,IF(C330="3115. Logements",ROUND(VLOOKUP(C330,'Informations générales'!$C$66:$H$70,5,FALSE)*(AL330/$AQ$28)/12,0)*12,"")))))</f>
        <v/>
      </c>
      <c r="AI330" s="114"/>
      <c r="AJ330" s="114"/>
      <c r="AK330" s="76"/>
      <c r="AL330" s="58">
        <f t="shared" si="71"/>
        <v>0</v>
      </c>
      <c r="AM330" s="58"/>
      <c r="AN330" s="58"/>
      <c r="AO330" s="58"/>
      <c r="AP330" s="58"/>
      <c r="AQ330" s="58"/>
      <c r="AR330" s="58">
        <f t="shared" si="59"/>
        <v>0</v>
      </c>
      <c r="AS330" s="58">
        <f t="shared" si="60"/>
        <v>0</v>
      </c>
      <c r="AT330" s="58">
        <f t="shared" si="61"/>
        <v>0</v>
      </c>
      <c r="AU330" s="58">
        <f t="shared" si="62"/>
        <v>0</v>
      </c>
      <c r="AV330" s="58">
        <f t="shared" si="63"/>
        <v>0</v>
      </c>
      <c r="AW330" s="58">
        <f t="shared" si="64"/>
        <v>0</v>
      </c>
      <c r="AX330" s="58">
        <f t="shared" si="65"/>
        <v>0</v>
      </c>
      <c r="AY330" s="58">
        <f t="shared" si="72"/>
        <v>0</v>
      </c>
      <c r="AZ330" s="62">
        <f t="shared" si="66"/>
        <v>0</v>
      </c>
      <c r="BA330" s="63">
        <f t="shared" si="67"/>
        <v>0</v>
      </c>
      <c r="BB330" s="63">
        <f t="shared" si="68"/>
        <v>0</v>
      </c>
    </row>
    <row r="331" spans="3:54" s="17" customFormat="1" x14ac:dyDescent="0.25">
      <c r="C331" s="215"/>
      <c r="D331" s="216"/>
      <c r="E331" s="88"/>
      <c r="F331" s="217"/>
      <c r="G331" s="234"/>
      <c r="H331" s="218"/>
      <c r="I331" s="76"/>
      <c r="J331" s="77"/>
      <c r="K331" s="76"/>
      <c r="L331" s="78"/>
      <c r="M331" s="78"/>
      <c r="N331" s="76" t="s">
        <v>39</v>
      </c>
      <c r="O331" s="110"/>
      <c r="P331" s="152"/>
      <c r="Q331" s="111" t="str">
        <f>IFERROR(MIN(VLOOKUP(ROUNDDOWN(P331,0),'Aide calcul'!$B$2:$C$282,2,FALSE),O331+1),"")</f>
        <v/>
      </c>
      <c r="R331" s="112" t="str">
        <f t="shared" si="69"/>
        <v/>
      </c>
      <c r="S331" s="152"/>
      <c r="T331" s="152"/>
      <c r="U331" s="152"/>
      <c r="V331" s="152"/>
      <c r="W331" s="152"/>
      <c r="X331" s="152"/>
      <c r="Y331" s="152"/>
      <c r="Z331" s="76"/>
      <c r="AA331" s="76"/>
      <c r="AB331" s="113" t="str">
        <f>IF(C331="3111. Logements",ROUND(VLOOKUP(C331,'Informations générales'!$C$66:$E$70,3,FALSE)*(AL331/$AM$28)/12,0)*12,IF(C331="3112. Logements",ROUND(VLOOKUP(C331,'Informations générales'!$C$66:$E$70,3,FALSE)*(AL331/$AN$28)/12,0)*12,IF(C331="3113. Logements",ROUND(VLOOKUP(C331,'Informations générales'!$C$66:$E$70,3,FALSE)*(AL331/$AO$28)/12,0)*12,IF(C331="3114. Logements",ROUND(VLOOKUP(C331,'Informations générales'!$C$66:$E$70,3,FALSE)*(AL331/$AP$28)/12,0)*12,IF(C331="3115. Logements",ROUND(VLOOKUP(C331,'Informations générales'!$C$66:$E$70,3,FALSE)*(AL331/$AQ$28)/12,0)*12,"")))))</f>
        <v/>
      </c>
      <c r="AC331" s="114"/>
      <c r="AD331" s="113">
        <f t="shared" si="70"/>
        <v>0</v>
      </c>
      <c r="AE331" s="114"/>
      <c r="AF331" s="203" t="str">
        <f>IF(C331="3111. Logements",ROUND(VLOOKUP(C331,'Informations générales'!$C$66:$E$70,3,FALSE)*(AL331/$AM$28)/12,0)*12,IF(C331="3112. Logements",ROUND(VLOOKUP(C331,'Informations générales'!$C$66:$E$70,3,FALSE)*(AL331/$AN$28)/12,0)*12,IF(C331="3113. Logements",ROUND(VLOOKUP(C331,'Informations générales'!$C$66:$E$70,3,FALSE)*(AL331/$AO$28)/12,0)*12,IF(C331="3114. Logements",ROUND(VLOOKUP(C331,'Informations générales'!$C$66:$E$70,3,FALSE)*(AL331/$AP$28)/12,0)*12,IF(C331="3115. Logements",ROUND(VLOOKUP(C331,'Informations générales'!$C$66:$E$70,3,FALSE)*(AL331/$AQ$28)/12,0)*12,"")))))</f>
        <v/>
      </c>
      <c r="AG331" s="202"/>
      <c r="AH331" s="113" t="str">
        <f>IF(C331="3111. Logements",ROUND(VLOOKUP(C331,'Informations générales'!$C$66:$H$70,5,FALSE)*(AL331/$AM$28)/12,0)*12,IF(C331="3112. Logements",ROUND(VLOOKUP(C331,'Informations générales'!$C$66:$H$70,5,FALSE)*(AL331/$AN$28)/12,0)*12,IF(C331="3113. Logements",ROUND(VLOOKUP(C331,'Informations générales'!$C$66:$H$70,5,FALSE)*(AL331/$AO$28)/12,0)*12,IF(C331="3114. Logements",ROUND(VLOOKUP(C331,'Informations générales'!$C$66:$H$70,5,FALSE)*(AL331/$AP$28)/12,0)*12,IF(C331="3115. Logements",ROUND(VLOOKUP(C331,'Informations générales'!$C$66:$H$70,5,FALSE)*(AL331/$AQ$28)/12,0)*12,"")))))</f>
        <v/>
      </c>
      <c r="AI331" s="114"/>
      <c r="AJ331" s="114"/>
      <c r="AK331" s="76"/>
      <c r="AL331" s="58">
        <f t="shared" si="71"/>
        <v>0</v>
      </c>
      <c r="AM331" s="58"/>
      <c r="AN331" s="58"/>
      <c r="AO331" s="58"/>
      <c r="AP331" s="58"/>
      <c r="AQ331" s="58"/>
      <c r="AR331" s="58">
        <f t="shared" si="59"/>
        <v>0</v>
      </c>
      <c r="AS331" s="58">
        <f t="shared" si="60"/>
        <v>0</v>
      </c>
      <c r="AT331" s="58">
        <f t="shared" si="61"/>
        <v>0</v>
      </c>
      <c r="AU331" s="58">
        <f t="shared" si="62"/>
        <v>0</v>
      </c>
      <c r="AV331" s="58">
        <f t="shared" si="63"/>
        <v>0</v>
      </c>
      <c r="AW331" s="58">
        <f t="shared" si="64"/>
        <v>0</v>
      </c>
      <c r="AX331" s="58">
        <f t="shared" si="65"/>
        <v>0</v>
      </c>
      <c r="AY331" s="58">
        <f t="shared" si="72"/>
        <v>0</v>
      </c>
      <c r="AZ331" s="62">
        <f t="shared" si="66"/>
        <v>0</v>
      </c>
      <c r="BA331" s="63">
        <f t="shared" si="67"/>
        <v>0</v>
      </c>
      <c r="BB331" s="63">
        <f t="shared" si="68"/>
        <v>0</v>
      </c>
    </row>
    <row r="332" spans="3:54" s="17" customFormat="1" x14ac:dyDescent="0.25">
      <c r="C332" s="215"/>
      <c r="D332" s="216"/>
      <c r="E332" s="88"/>
      <c r="F332" s="217"/>
      <c r="G332" s="234"/>
      <c r="H332" s="218"/>
      <c r="I332" s="76"/>
      <c r="J332" s="77"/>
      <c r="K332" s="76"/>
      <c r="L332" s="78"/>
      <c r="M332" s="78"/>
      <c r="N332" s="76" t="s">
        <v>39</v>
      </c>
      <c r="O332" s="110"/>
      <c r="P332" s="152"/>
      <c r="Q332" s="111" t="str">
        <f>IFERROR(MIN(VLOOKUP(ROUNDDOWN(P332,0),'Aide calcul'!$B$2:$C$282,2,FALSE),O332+1),"")</f>
        <v/>
      </c>
      <c r="R332" s="112" t="str">
        <f t="shared" si="69"/>
        <v/>
      </c>
      <c r="S332" s="152"/>
      <c r="T332" s="152"/>
      <c r="U332" s="152"/>
      <c r="V332" s="152"/>
      <c r="W332" s="152"/>
      <c r="X332" s="152"/>
      <c r="Y332" s="152"/>
      <c r="Z332" s="76"/>
      <c r="AA332" s="76"/>
      <c r="AB332" s="113" t="str">
        <f>IF(C332="3111. Logements",ROUND(VLOOKUP(C332,'Informations générales'!$C$66:$E$70,3,FALSE)*(AL332/$AM$28)/12,0)*12,IF(C332="3112. Logements",ROUND(VLOOKUP(C332,'Informations générales'!$C$66:$E$70,3,FALSE)*(AL332/$AN$28)/12,0)*12,IF(C332="3113. Logements",ROUND(VLOOKUP(C332,'Informations générales'!$C$66:$E$70,3,FALSE)*(AL332/$AO$28)/12,0)*12,IF(C332="3114. Logements",ROUND(VLOOKUP(C332,'Informations générales'!$C$66:$E$70,3,FALSE)*(AL332/$AP$28)/12,0)*12,IF(C332="3115. Logements",ROUND(VLOOKUP(C332,'Informations générales'!$C$66:$E$70,3,FALSE)*(AL332/$AQ$28)/12,0)*12,"")))))</f>
        <v/>
      </c>
      <c r="AC332" s="114"/>
      <c r="AD332" s="113">
        <f t="shared" si="70"/>
        <v>0</v>
      </c>
      <c r="AE332" s="114"/>
      <c r="AF332" s="203" t="str">
        <f>IF(C332="3111. Logements",ROUND(VLOOKUP(C332,'Informations générales'!$C$66:$E$70,3,FALSE)*(AL332/$AM$28)/12,0)*12,IF(C332="3112. Logements",ROUND(VLOOKUP(C332,'Informations générales'!$C$66:$E$70,3,FALSE)*(AL332/$AN$28)/12,0)*12,IF(C332="3113. Logements",ROUND(VLOOKUP(C332,'Informations générales'!$C$66:$E$70,3,FALSE)*(AL332/$AO$28)/12,0)*12,IF(C332="3114. Logements",ROUND(VLOOKUP(C332,'Informations générales'!$C$66:$E$70,3,FALSE)*(AL332/$AP$28)/12,0)*12,IF(C332="3115. Logements",ROUND(VLOOKUP(C332,'Informations générales'!$C$66:$E$70,3,FALSE)*(AL332/$AQ$28)/12,0)*12,"")))))</f>
        <v/>
      </c>
      <c r="AG332" s="202"/>
      <c r="AH332" s="113" t="str">
        <f>IF(C332="3111. Logements",ROUND(VLOOKUP(C332,'Informations générales'!$C$66:$H$70,5,FALSE)*(AL332/$AM$28)/12,0)*12,IF(C332="3112. Logements",ROUND(VLOOKUP(C332,'Informations générales'!$C$66:$H$70,5,FALSE)*(AL332/$AN$28)/12,0)*12,IF(C332="3113. Logements",ROUND(VLOOKUP(C332,'Informations générales'!$C$66:$H$70,5,FALSE)*(AL332/$AO$28)/12,0)*12,IF(C332="3114. Logements",ROUND(VLOOKUP(C332,'Informations générales'!$C$66:$H$70,5,FALSE)*(AL332/$AP$28)/12,0)*12,IF(C332="3115. Logements",ROUND(VLOOKUP(C332,'Informations générales'!$C$66:$H$70,5,FALSE)*(AL332/$AQ$28)/12,0)*12,"")))))</f>
        <v/>
      </c>
      <c r="AI332" s="114"/>
      <c r="AJ332" s="114"/>
      <c r="AK332" s="76"/>
      <c r="AL332" s="58">
        <f t="shared" si="71"/>
        <v>0</v>
      </c>
      <c r="AM332" s="58"/>
      <c r="AN332" s="58"/>
      <c r="AO332" s="58"/>
      <c r="AP332" s="58"/>
      <c r="AQ332" s="58"/>
      <c r="AR332" s="58">
        <f t="shared" si="59"/>
        <v>0</v>
      </c>
      <c r="AS332" s="58">
        <f t="shared" si="60"/>
        <v>0</v>
      </c>
      <c r="AT332" s="58">
        <f t="shared" si="61"/>
        <v>0</v>
      </c>
      <c r="AU332" s="58">
        <f t="shared" si="62"/>
        <v>0</v>
      </c>
      <c r="AV332" s="58">
        <f t="shared" si="63"/>
        <v>0</v>
      </c>
      <c r="AW332" s="58">
        <f t="shared" si="64"/>
        <v>0</v>
      </c>
      <c r="AX332" s="58">
        <f t="shared" si="65"/>
        <v>0</v>
      </c>
      <c r="AY332" s="58">
        <f t="shared" si="72"/>
        <v>0</v>
      </c>
      <c r="AZ332" s="62">
        <f t="shared" si="66"/>
        <v>0</v>
      </c>
      <c r="BA332" s="63">
        <f t="shared" si="67"/>
        <v>0</v>
      </c>
      <c r="BB332" s="63">
        <f t="shared" si="68"/>
        <v>0</v>
      </c>
    </row>
    <row r="333" spans="3:54" s="17" customFormat="1" x14ac:dyDescent="0.25">
      <c r="C333" s="215"/>
      <c r="D333" s="216"/>
      <c r="E333" s="88"/>
      <c r="F333" s="217"/>
      <c r="G333" s="234"/>
      <c r="H333" s="218"/>
      <c r="I333" s="76"/>
      <c r="J333" s="77"/>
      <c r="K333" s="76"/>
      <c r="L333" s="78"/>
      <c r="M333" s="78"/>
      <c r="N333" s="76" t="s">
        <v>39</v>
      </c>
      <c r="O333" s="110"/>
      <c r="P333" s="152"/>
      <c r="Q333" s="111" t="str">
        <f>IFERROR(MIN(VLOOKUP(ROUNDDOWN(P333,0),'Aide calcul'!$B$2:$C$282,2,FALSE),O333+1),"")</f>
        <v/>
      </c>
      <c r="R333" s="112" t="str">
        <f t="shared" si="69"/>
        <v/>
      </c>
      <c r="S333" s="152"/>
      <c r="T333" s="152"/>
      <c r="U333" s="152"/>
      <c r="V333" s="152"/>
      <c r="W333" s="152"/>
      <c r="X333" s="152"/>
      <c r="Y333" s="152"/>
      <c r="Z333" s="76"/>
      <c r="AA333" s="76"/>
      <c r="AB333" s="113" t="str">
        <f>IF(C333="3111. Logements",ROUND(VLOOKUP(C333,'Informations générales'!$C$66:$E$70,3,FALSE)*(AL333/$AM$28)/12,0)*12,IF(C333="3112. Logements",ROUND(VLOOKUP(C333,'Informations générales'!$C$66:$E$70,3,FALSE)*(AL333/$AN$28)/12,0)*12,IF(C333="3113. Logements",ROUND(VLOOKUP(C333,'Informations générales'!$C$66:$E$70,3,FALSE)*(AL333/$AO$28)/12,0)*12,IF(C333="3114. Logements",ROUND(VLOOKUP(C333,'Informations générales'!$C$66:$E$70,3,FALSE)*(AL333/$AP$28)/12,0)*12,IF(C333="3115. Logements",ROUND(VLOOKUP(C333,'Informations générales'!$C$66:$E$70,3,FALSE)*(AL333/$AQ$28)/12,0)*12,"")))))</f>
        <v/>
      </c>
      <c r="AC333" s="114"/>
      <c r="AD333" s="113">
        <f t="shared" si="70"/>
        <v>0</v>
      </c>
      <c r="AE333" s="114"/>
      <c r="AF333" s="203" t="str">
        <f>IF(C333="3111. Logements",ROUND(VLOOKUP(C333,'Informations générales'!$C$66:$E$70,3,FALSE)*(AL333/$AM$28)/12,0)*12,IF(C333="3112. Logements",ROUND(VLOOKUP(C333,'Informations générales'!$C$66:$E$70,3,FALSE)*(AL333/$AN$28)/12,0)*12,IF(C333="3113. Logements",ROUND(VLOOKUP(C333,'Informations générales'!$C$66:$E$70,3,FALSE)*(AL333/$AO$28)/12,0)*12,IF(C333="3114. Logements",ROUND(VLOOKUP(C333,'Informations générales'!$C$66:$E$70,3,FALSE)*(AL333/$AP$28)/12,0)*12,IF(C333="3115. Logements",ROUND(VLOOKUP(C333,'Informations générales'!$C$66:$E$70,3,FALSE)*(AL333/$AQ$28)/12,0)*12,"")))))</f>
        <v/>
      </c>
      <c r="AG333" s="202"/>
      <c r="AH333" s="113" t="str">
        <f>IF(C333="3111. Logements",ROUND(VLOOKUP(C333,'Informations générales'!$C$66:$H$70,5,FALSE)*(AL333/$AM$28)/12,0)*12,IF(C333="3112. Logements",ROUND(VLOOKUP(C333,'Informations générales'!$C$66:$H$70,5,FALSE)*(AL333/$AN$28)/12,0)*12,IF(C333="3113. Logements",ROUND(VLOOKUP(C333,'Informations générales'!$C$66:$H$70,5,FALSE)*(AL333/$AO$28)/12,0)*12,IF(C333="3114. Logements",ROUND(VLOOKUP(C333,'Informations générales'!$C$66:$H$70,5,FALSE)*(AL333/$AP$28)/12,0)*12,IF(C333="3115. Logements",ROUND(VLOOKUP(C333,'Informations générales'!$C$66:$H$70,5,FALSE)*(AL333/$AQ$28)/12,0)*12,"")))))</f>
        <v/>
      </c>
      <c r="AI333" s="114"/>
      <c r="AJ333" s="114"/>
      <c r="AK333" s="76"/>
      <c r="AL333" s="58">
        <f t="shared" si="71"/>
        <v>0</v>
      </c>
      <c r="AM333" s="58"/>
      <c r="AN333" s="58"/>
      <c r="AO333" s="58"/>
      <c r="AP333" s="58"/>
      <c r="AQ333" s="58"/>
      <c r="AR333" s="58">
        <f t="shared" si="59"/>
        <v>0</v>
      </c>
      <c r="AS333" s="58">
        <f t="shared" si="60"/>
        <v>0</v>
      </c>
      <c r="AT333" s="58">
        <f t="shared" si="61"/>
        <v>0</v>
      </c>
      <c r="AU333" s="58">
        <f t="shared" si="62"/>
        <v>0</v>
      </c>
      <c r="AV333" s="58">
        <f t="shared" si="63"/>
        <v>0</v>
      </c>
      <c r="AW333" s="58">
        <f t="shared" si="64"/>
        <v>0</v>
      </c>
      <c r="AX333" s="58">
        <f t="shared" si="65"/>
        <v>0</v>
      </c>
      <c r="AY333" s="58">
        <f t="shared" si="72"/>
        <v>0</v>
      </c>
      <c r="AZ333" s="62">
        <f t="shared" si="66"/>
        <v>0</v>
      </c>
      <c r="BA333" s="63">
        <f t="shared" si="67"/>
        <v>0</v>
      </c>
      <c r="BB333" s="63">
        <f t="shared" si="68"/>
        <v>0</v>
      </c>
    </row>
    <row r="334" spans="3:54" s="17" customFormat="1" x14ac:dyDescent="0.25">
      <c r="C334" s="215"/>
      <c r="D334" s="216"/>
      <c r="E334" s="88"/>
      <c r="F334" s="217"/>
      <c r="G334" s="234"/>
      <c r="H334" s="218"/>
      <c r="I334" s="76"/>
      <c r="J334" s="77"/>
      <c r="K334" s="76"/>
      <c r="L334" s="78"/>
      <c r="M334" s="78"/>
      <c r="N334" s="76" t="s">
        <v>39</v>
      </c>
      <c r="O334" s="110"/>
      <c r="P334" s="152"/>
      <c r="Q334" s="111" t="str">
        <f>IFERROR(MIN(VLOOKUP(ROUNDDOWN(P334,0),'Aide calcul'!$B$2:$C$282,2,FALSE),O334+1),"")</f>
        <v/>
      </c>
      <c r="R334" s="112" t="str">
        <f t="shared" si="69"/>
        <v/>
      </c>
      <c r="S334" s="152"/>
      <c r="T334" s="152"/>
      <c r="U334" s="152"/>
      <c r="V334" s="152"/>
      <c r="W334" s="152"/>
      <c r="X334" s="152"/>
      <c r="Y334" s="152"/>
      <c r="Z334" s="76"/>
      <c r="AA334" s="76"/>
      <c r="AB334" s="113" t="str">
        <f>IF(C334="3111. Logements",ROUND(VLOOKUP(C334,'Informations générales'!$C$66:$E$70,3,FALSE)*(AL334/$AM$28)/12,0)*12,IF(C334="3112. Logements",ROUND(VLOOKUP(C334,'Informations générales'!$C$66:$E$70,3,FALSE)*(AL334/$AN$28)/12,0)*12,IF(C334="3113. Logements",ROUND(VLOOKUP(C334,'Informations générales'!$C$66:$E$70,3,FALSE)*(AL334/$AO$28)/12,0)*12,IF(C334="3114. Logements",ROUND(VLOOKUP(C334,'Informations générales'!$C$66:$E$70,3,FALSE)*(AL334/$AP$28)/12,0)*12,IF(C334="3115. Logements",ROUND(VLOOKUP(C334,'Informations générales'!$C$66:$E$70,3,FALSE)*(AL334/$AQ$28)/12,0)*12,"")))))</f>
        <v/>
      </c>
      <c r="AC334" s="114"/>
      <c r="AD334" s="113">
        <f t="shared" si="70"/>
        <v>0</v>
      </c>
      <c r="AE334" s="114"/>
      <c r="AF334" s="203" t="str">
        <f>IF(C334="3111. Logements",ROUND(VLOOKUP(C334,'Informations générales'!$C$66:$E$70,3,FALSE)*(AL334/$AM$28)/12,0)*12,IF(C334="3112. Logements",ROUND(VLOOKUP(C334,'Informations générales'!$C$66:$E$70,3,FALSE)*(AL334/$AN$28)/12,0)*12,IF(C334="3113. Logements",ROUND(VLOOKUP(C334,'Informations générales'!$C$66:$E$70,3,FALSE)*(AL334/$AO$28)/12,0)*12,IF(C334="3114. Logements",ROUND(VLOOKUP(C334,'Informations générales'!$C$66:$E$70,3,FALSE)*(AL334/$AP$28)/12,0)*12,IF(C334="3115. Logements",ROUND(VLOOKUP(C334,'Informations générales'!$C$66:$E$70,3,FALSE)*(AL334/$AQ$28)/12,0)*12,"")))))</f>
        <v/>
      </c>
      <c r="AG334" s="202"/>
      <c r="AH334" s="113" t="str">
        <f>IF(C334="3111. Logements",ROUND(VLOOKUP(C334,'Informations générales'!$C$66:$H$70,5,FALSE)*(AL334/$AM$28)/12,0)*12,IF(C334="3112. Logements",ROUND(VLOOKUP(C334,'Informations générales'!$C$66:$H$70,5,FALSE)*(AL334/$AN$28)/12,0)*12,IF(C334="3113. Logements",ROUND(VLOOKUP(C334,'Informations générales'!$C$66:$H$70,5,FALSE)*(AL334/$AO$28)/12,0)*12,IF(C334="3114. Logements",ROUND(VLOOKUP(C334,'Informations générales'!$C$66:$H$70,5,FALSE)*(AL334/$AP$28)/12,0)*12,IF(C334="3115. Logements",ROUND(VLOOKUP(C334,'Informations générales'!$C$66:$H$70,5,FALSE)*(AL334/$AQ$28)/12,0)*12,"")))))</f>
        <v/>
      </c>
      <c r="AI334" s="114"/>
      <c r="AJ334" s="114"/>
      <c r="AK334" s="76"/>
      <c r="AL334" s="58">
        <f t="shared" si="71"/>
        <v>0</v>
      </c>
      <c r="AM334" s="58"/>
      <c r="AN334" s="58"/>
      <c r="AO334" s="58"/>
      <c r="AP334" s="58"/>
      <c r="AQ334" s="58"/>
      <c r="AR334" s="58">
        <f t="shared" si="59"/>
        <v>0</v>
      </c>
      <c r="AS334" s="58">
        <f t="shared" si="60"/>
        <v>0</v>
      </c>
      <c r="AT334" s="58">
        <f t="shared" si="61"/>
        <v>0</v>
      </c>
      <c r="AU334" s="58">
        <f t="shared" si="62"/>
        <v>0</v>
      </c>
      <c r="AV334" s="58">
        <f t="shared" si="63"/>
        <v>0</v>
      </c>
      <c r="AW334" s="58">
        <f t="shared" si="64"/>
        <v>0</v>
      </c>
      <c r="AX334" s="58">
        <f t="shared" si="65"/>
        <v>0</v>
      </c>
      <c r="AY334" s="58">
        <f t="shared" si="72"/>
        <v>0</v>
      </c>
      <c r="AZ334" s="62">
        <f t="shared" si="66"/>
        <v>0</v>
      </c>
      <c r="BA334" s="63">
        <f t="shared" si="67"/>
        <v>0</v>
      </c>
      <c r="BB334" s="63">
        <f t="shared" si="68"/>
        <v>0</v>
      </c>
    </row>
    <row r="335" spans="3:54" s="17" customFormat="1" x14ac:dyDescent="0.25">
      <c r="C335" s="215"/>
      <c r="D335" s="216"/>
      <c r="E335" s="88"/>
      <c r="F335" s="217"/>
      <c r="G335" s="234"/>
      <c r="H335" s="218"/>
      <c r="I335" s="76"/>
      <c r="J335" s="77"/>
      <c r="K335" s="76"/>
      <c r="L335" s="78"/>
      <c r="M335" s="78"/>
      <c r="N335" s="76" t="s">
        <v>39</v>
      </c>
      <c r="O335" s="110"/>
      <c r="P335" s="152"/>
      <c r="Q335" s="111" t="str">
        <f>IFERROR(MIN(VLOOKUP(ROUNDDOWN(P335,0),'Aide calcul'!$B$2:$C$282,2,FALSE),O335+1),"")</f>
        <v/>
      </c>
      <c r="R335" s="112" t="str">
        <f t="shared" si="69"/>
        <v/>
      </c>
      <c r="S335" s="152"/>
      <c r="T335" s="152"/>
      <c r="U335" s="152"/>
      <c r="V335" s="152"/>
      <c r="W335" s="152"/>
      <c r="X335" s="152"/>
      <c r="Y335" s="152"/>
      <c r="Z335" s="76"/>
      <c r="AA335" s="76"/>
      <c r="AB335" s="113" t="str">
        <f>IF(C335="3111. Logements",ROUND(VLOOKUP(C335,'Informations générales'!$C$66:$E$70,3,FALSE)*(AL335/$AM$28)/12,0)*12,IF(C335="3112. Logements",ROUND(VLOOKUP(C335,'Informations générales'!$C$66:$E$70,3,FALSE)*(AL335/$AN$28)/12,0)*12,IF(C335="3113. Logements",ROUND(VLOOKUP(C335,'Informations générales'!$C$66:$E$70,3,FALSE)*(AL335/$AO$28)/12,0)*12,IF(C335="3114. Logements",ROUND(VLOOKUP(C335,'Informations générales'!$C$66:$E$70,3,FALSE)*(AL335/$AP$28)/12,0)*12,IF(C335="3115. Logements",ROUND(VLOOKUP(C335,'Informations générales'!$C$66:$E$70,3,FALSE)*(AL335/$AQ$28)/12,0)*12,"")))))</f>
        <v/>
      </c>
      <c r="AC335" s="114"/>
      <c r="AD335" s="113">
        <f t="shared" si="70"/>
        <v>0</v>
      </c>
      <c r="AE335" s="114"/>
      <c r="AF335" s="203" t="str">
        <f>IF(C335="3111. Logements",ROUND(VLOOKUP(C335,'Informations générales'!$C$66:$E$70,3,FALSE)*(AL335/$AM$28)/12,0)*12,IF(C335="3112. Logements",ROUND(VLOOKUP(C335,'Informations générales'!$C$66:$E$70,3,FALSE)*(AL335/$AN$28)/12,0)*12,IF(C335="3113. Logements",ROUND(VLOOKUP(C335,'Informations générales'!$C$66:$E$70,3,FALSE)*(AL335/$AO$28)/12,0)*12,IF(C335="3114. Logements",ROUND(VLOOKUP(C335,'Informations générales'!$C$66:$E$70,3,FALSE)*(AL335/$AP$28)/12,0)*12,IF(C335="3115. Logements",ROUND(VLOOKUP(C335,'Informations générales'!$C$66:$E$70,3,FALSE)*(AL335/$AQ$28)/12,0)*12,"")))))</f>
        <v/>
      </c>
      <c r="AG335" s="202"/>
      <c r="AH335" s="113" t="str">
        <f>IF(C335="3111. Logements",ROUND(VLOOKUP(C335,'Informations générales'!$C$66:$H$70,5,FALSE)*(AL335/$AM$28)/12,0)*12,IF(C335="3112. Logements",ROUND(VLOOKUP(C335,'Informations générales'!$C$66:$H$70,5,FALSE)*(AL335/$AN$28)/12,0)*12,IF(C335="3113. Logements",ROUND(VLOOKUP(C335,'Informations générales'!$C$66:$H$70,5,FALSE)*(AL335/$AO$28)/12,0)*12,IF(C335="3114. Logements",ROUND(VLOOKUP(C335,'Informations générales'!$C$66:$H$70,5,FALSE)*(AL335/$AP$28)/12,0)*12,IF(C335="3115. Logements",ROUND(VLOOKUP(C335,'Informations générales'!$C$66:$H$70,5,FALSE)*(AL335/$AQ$28)/12,0)*12,"")))))</f>
        <v/>
      </c>
      <c r="AI335" s="114"/>
      <c r="AJ335" s="114"/>
      <c r="AK335" s="76"/>
      <c r="AL335" s="58">
        <f t="shared" si="71"/>
        <v>0</v>
      </c>
      <c r="AM335" s="58"/>
      <c r="AN335" s="58"/>
      <c r="AO335" s="58"/>
      <c r="AP335" s="58"/>
      <c r="AQ335" s="58"/>
      <c r="AR335" s="58">
        <f t="shared" si="59"/>
        <v>0</v>
      </c>
      <c r="AS335" s="58">
        <f t="shared" si="60"/>
        <v>0</v>
      </c>
      <c r="AT335" s="58">
        <f t="shared" si="61"/>
        <v>0</v>
      </c>
      <c r="AU335" s="58">
        <f t="shared" si="62"/>
        <v>0</v>
      </c>
      <c r="AV335" s="58">
        <f t="shared" si="63"/>
        <v>0</v>
      </c>
      <c r="AW335" s="58">
        <f t="shared" si="64"/>
        <v>0</v>
      </c>
      <c r="AX335" s="58">
        <f t="shared" si="65"/>
        <v>0</v>
      </c>
      <c r="AY335" s="58">
        <f t="shared" si="72"/>
        <v>0</v>
      </c>
      <c r="AZ335" s="62">
        <f t="shared" si="66"/>
        <v>0</v>
      </c>
      <c r="BA335" s="63">
        <f t="shared" si="67"/>
        <v>0</v>
      </c>
      <c r="BB335" s="63">
        <f t="shared" si="68"/>
        <v>0</v>
      </c>
    </row>
    <row r="336" spans="3:54" s="17" customFormat="1" x14ac:dyDescent="0.25">
      <c r="C336" s="215"/>
      <c r="D336" s="216"/>
      <c r="E336" s="88"/>
      <c r="F336" s="217"/>
      <c r="G336" s="234"/>
      <c r="H336" s="218"/>
      <c r="I336" s="76"/>
      <c r="J336" s="77"/>
      <c r="K336" s="76"/>
      <c r="L336" s="78"/>
      <c r="M336" s="78"/>
      <c r="N336" s="76" t="s">
        <v>39</v>
      </c>
      <c r="O336" s="110"/>
      <c r="P336" s="152"/>
      <c r="Q336" s="111" t="str">
        <f>IFERROR(MIN(VLOOKUP(ROUNDDOWN(P336,0),'Aide calcul'!$B$2:$C$282,2,FALSE),O336+1),"")</f>
        <v/>
      </c>
      <c r="R336" s="112" t="str">
        <f t="shared" si="69"/>
        <v/>
      </c>
      <c r="S336" s="152"/>
      <c r="T336" s="152"/>
      <c r="U336" s="152"/>
      <c r="V336" s="152"/>
      <c r="W336" s="152"/>
      <c r="X336" s="152"/>
      <c r="Y336" s="152"/>
      <c r="Z336" s="76"/>
      <c r="AA336" s="76"/>
      <c r="AB336" s="113" t="str">
        <f>IF(C336="3111. Logements",ROUND(VLOOKUP(C336,'Informations générales'!$C$66:$E$70,3,FALSE)*(AL336/$AM$28)/12,0)*12,IF(C336="3112. Logements",ROUND(VLOOKUP(C336,'Informations générales'!$C$66:$E$70,3,FALSE)*(AL336/$AN$28)/12,0)*12,IF(C336="3113. Logements",ROUND(VLOOKUP(C336,'Informations générales'!$C$66:$E$70,3,FALSE)*(AL336/$AO$28)/12,0)*12,IF(C336="3114. Logements",ROUND(VLOOKUP(C336,'Informations générales'!$C$66:$E$70,3,FALSE)*(AL336/$AP$28)/12,0)*12,IF(C336="3115. Logements",ROUND(VLOOKUP(C336,'Informations générales'!$C$66:$E$70,3,FALSE)*(AL336/$AQ$28)/12,0)*12,"")))))</f>
        <v/>
      </c>
      <c r="AC336" s="114"/>
      <c r="AD336" s="113">
        <f t="shared" si="70"/>
        <v>0</v>
      </c>
      <c r="AE336" s="114"/>
      <c r="AF336" s="203" t="str">
        <f>IF(C336="3111. Logements",ROUND(VLOOKUP(C336,'Informations générales'!$C$66:$E$70,3,FALSE)*(AL336/$AM$28)/12,0)*12,IF(C336="3112. Logements",ROUND(VLOOKUP(C336,'Informations générales'!$C$66:$E$70,3,FALSE)*(AL336/$AN$28)/12,0)*12,IF(C336="3113. Logements",ROUND(VLOOKUP(C336,'Informations générales'!$C$66:$E$70,3,FALSE)*(AL336/$AO$28)/12,0)*12,IF(C336="3114. Logements",ROUND(VLOOKUP(C336,'Informations générales'!$C$66:$E$70,3,FALSE)*(AL336/$AP$28)/12,0)*12,IF(C336="3115. Logements",ROUND(VLOOKUP(C336,'Informations générales'!$C$66:$E$70,3,FALSE)*(AL336/$AQ$28)/12,0)*12,"")))))</f>
        <v/>
      </c>
      <c r="AG336" s="202"/>
      <c r="AH336" s="113" t="str">
        <f>IF(C336="3111. Logements",ROUND(VLOOKUP(C336,'Informations générales'!$C$66:$H$70,5,FALSE)*(AL336/$AM$28)/12,0)*12,IF(C336="3112. Logements",ROUND(VLOOKUP(C336,'Informations générales'!$C$66:$H$70,5,FALSE)*(AL336/$AN$28)/12,0)*12,IF(C336="3113. Logements",ROUND(VLOOKUP(C336,'Informations générales'!$C$66:$H$70,5,FALSE)*(AL336/$AO$28)/12,0)*12,IF(C336="3114. Logements",ROUND(VLOOKUP(C336,'Informations générales'!$C$66:$H$70,5,FALSE)*(AL336/$AP$28)/12,0)*12,IF(C336="3115. Logements",ROUND(VLOOKUP(C336,'Informations générales'!$C$66:$H$70,5,FALSE)*(AL336/$AQ$28)/12,0)*12,"")))))</f>
        <v/>
      </c>
      <c r="AI336" s="114"/>
      <c r="AJ336" s="114"/>
      <c r="AK336" s="76"/>
      <c r="AL336" s="58">
        <f t="shared" si="71"/>
        <v>0</v>
      </c>
      <c r="AM336" s="58"/>
      <c r="AN336" s="58"/>
      <c r="AO336" s="58"/>
      <c r="AP336" s="58"/>
      <c r="AQ336" s="58"/>
      <c r="AR336" s="58">
        <f t="shared" si="59"/>
        <v>0</v>
      </c>
      <c r="AS336" s="58">
        <f t="shared" si="60"/>
        <v>0</v>
      </c>
      <c r="AT336" s="58">
        <f t="shared" si="61"/>
        <v>0</v>
      </c>
      <c r="AU336" s="58">
        <f t="shared" si="62"/>
        <v>0</v>
      </c>
      <c r="AV336" s="58">
        <f t="shared" si="63"/>
        <v>0</v>
      </c>
      <c r="AW336" s="58">
        <f t="shared" si="64"/>
        <v>0</v>
      </c>
      <c r="AX336" s="58">
        <f t="shared" si="65"/>
        <v>0</v>
      </c>
      <c r="AY336" s="58">
        <f t="shared" si="72"/>
        <v>0</v>
      </c>
      <c r="AZ336" s="62">
        <f t="shared" si="66"/>
        <v>0</v>
      </c>
      <c r="BA336" s="63">
        <f t="shared" si="67"/>
        <v>0</v>
      </c>
      <c r="BB336" s="63">
        <f t="shared" si="68"/>
        <v>0</v>
      </c>
    </row>
    <row r="337" spans="3:54" s="17" customFormat="1" x14ac:dyDescent="0.25">
      <c r="C337" s="215"/>
      <c r="D337" s="216"/>
      <c r="E337" s="88"/>
      <c r="F337" s="217"/>
      <c r="G337" s="234"/>
      <c r="H337" s="218"/>
      <c r="I337" s="76"/>
      <c r="J337" s="77"/>
      <c r="K337" s="76"/>
      <c r="L337" s="78"/>
      <c r="M337" s="78"/>
      <c r="N337" s="76" t="s">
        <v>39</v>
      </c>
      <c r="O337" s="110"/>
      <c r="P337" s="152"/>
      <c r="Q337" s="111" t="str">
        <f>IFERROR(MIN(VLOOKUP(ROUNDDOWN(P337,0),'Aide calcul'!$B$2:$C$282,2,FALSE),O337+1),"")</f>
        <v/>
      </c>
      <c r="R337" s="112" t="str">
        <f t="shared" si="69"/>
        <v/>
      </c>
      <c r="S337" s="152"/>
      <c r="T337" s="152"/>
      <c r="U337" s="152"/>
      <c r="V337" s="152"/>
      <c r="W337" s="152"/>
      <c r="X337" s="152"/>
      <c r="Y337" s="152"/>
      <c r="Z337" s="76"/>
      <c r="AA337" s="76"/>
      <c r="AB337" s="113" t="str">
        <f>IF(C337="3111. Logements",ROUND(VLOOKUP(C337,'Informations générales'!$C$66:$E$70,3,FALSE)*(AL337/$AM$28)/12,0)*12,IF(C337="3112. Logements",ROUND(VLOOKUP(C337,'Informations générales'!$C$66:$E$70,3,FALSE)*(AL337/$AN$28)/12,0)*12,IF(C337="3113. Logements",ROUND(VLOOKUP(C337,'Informations générales'!$C$66:$E$70,3,FALSE)*(AL337/$AO$28)/12,0)*12,IF(C337="3114. Logements",ROUND(VLOOKUP(C337,'Informations générales'!$C$66:$E$70,3,FALSE)*(AL337/$AP$28)/12,0)*12,IF(C337="3115. Logements",ROUND(VLOOKUP(C337,'Informations générales'!$C$66:$E$70,3,FALSE)*(AL337/$AQ$28)/12,0)*12,"")))))</f>
        <v/>
      </c>
      <c r="AC337" s="114"/>
      <c r="AD337" s="113">
        <f t="shared" si="70"/>
        <v>0</v>
      </c>
      <c r="AE337" s="114"/>
      <c r="AF337" s="203" t="str">
        <f>IF(C337="3111. Logements",ROUND(VLOOKUP(C337,'Informations générales'!$C$66:$E$70,3,FALSE)*(AL337/$AM$28)/12,0)*12,IF(C337="3112. Logements",ROUND(VLOOKUP(C337,'Informations générales'!$C$66:$E$70,3,FALSE)*(AL337/$AN$28)/12,0)*12,IF(C337="3113. Logements",ROUND(VLOOKUP(C337,'Informations générales'!$C$66:$E$70,3,FALSE)*(AL337/$AO$28)/12,0)*12,IF(C337="3114. Logements",ROUND(VLOOKUP(C337,'Informations générales'!$C$66:$E$70,3,FALSE)*(AL337/$AP$28)/12,0)*12,IF(C337="3115. Logements",ROUND(VLOOKUP(C337,'Informations générales'!$C$66:$E$70,3,FALSE)*(AL337/$AQ$28)/12,0)*12,"")))))</f>
        <v/>
      </c>
      <c r="AG337" s="202"/>
      <c r="AH337" s="113" t="str">
        <f>IF(C337="3111. Logements",ROUND(VLOOKUP(C337,'Informations générales'!$C$66:$H$70,5,FALSE)*(AL337/$AM$28)/12,0)*12,IF(C337="3112. Logements",ROUND(VLOOKUP(C337,'Informations générales'!$C$66:$H$70,5,FALSE)*(AL337/$AN$28)/12,0)*12,IF(C337="3113. Logements",ROUND(VLOOKUP(C337,'Informations générales'!$C$66:$H$70,5,FALSE)*(AL337/$AO$28)/12,0)*12,IF(C337="3114. Logements",ROUND(VLOOKUP(C337,'Informations générales'!$C$66:$H$70,5,FALSE)*(AL337/$AP$28)/12,0)*12,IF(C337="3115. Logements",ROUND(VLOOKUP(C337,'Informations générales'!$C$66:$H$70,5,FALSE)*(AL337/$AQ$28)/12,0)*12,"")))))</f>
        <v/>
      </c>
      <c r="AI337" s="114"/>
      <c r="AJ337" s="114"/>
      <c r="AK337" s="76"/>
      <c r="AL337" s="58">
        <f t="shared" si="71"/>
        <v>0</v>
      </c>
      <c r="AM337" s="58"/>
      <c r="AN337" s="58"/>
      <c r="AO337" s="58"/>
      <c r="AP337" s="58"/>
      <c r="AQ337" s="58"/>
      <c r="AR337" s="58">
        <f t="shared" si="59"/>
        <v>0</v>
      </c>
      <c r="AS337" s="58">
        <f t="shared" si="60"/>
        <v>0</v>
      </c>
      <c r="AT337" s="58">
        <f t="shared" si="61"/>
        <v>0</v>
      </c>
      <c r="AU337" s="58">
        <f t="shared" si="62"/>
        <v>0</v>
      </c>
      <c r="AV337" s="58">
        <f t="shared" si="63"/>
        <v>0</v>
      </c>
      <c r="AW337" s="58">
        <f t="shared" si="64"/>
        <v>0</v>
      </c>
      <c r="AX337" s="58">
        <f t="shared" si="65"/>
        <v>0</v>
      </c>
      <c r="AY337" s="58">
        <f t="shared" si="72"/>
        <v>0</v>
      </c>
      <c r="AZ337" s="62">
        <f t="shared" si="66"/>
        <v>0</v>
      </c>
      <c r="BA337" s="63">
        <f t="shared" si="67"/>
        <v>0</v>
      </c>
      <c r="BB337" s="63">
        <f t="shared" si="68"/>
        <v>0</v>
      </c>
    </row>
    <row r="338" spans="3:54" s="17" customFormat="1" x14ac:dyDescent="0.25">
      <c r="C338" s="215"/>
      <c r="D338" s="216"/>
      <c r="E338" s="88"/>
      <c r="F338" s="217"/>
      <c r="G338" s="234"/>
      <c r="H338" s="218"/>
      <c r="I338" s="76"/>
      <c r="J338" s="77"/>
      <c r="K338" s="76"/>
      <c r="L338" s="78"/>
      <c r="M338" s="78"/>
      <c r="N338" s="76" t="s">
        <v>39</v>
      </c>
      <c r="O338" s="110"/>
      <c r="P338" s="152"/>
      <c r="Q338" s="111" t="str">
        <f>IFERROR(MIN(VLOOKUP(ROUNDDOWN(P338,0),'Aide calcul'!$B$2:$C$282,2,FALSE),O338+1),"")</f>
        <v/>
      </c>
      <c r="R338" s="112" t="str">
        <f t="shared" si="69"/>
        <v/>
      </c>
      <c r="S338" s="152"/>
      <c r="T338" s="152"/>
      <c r="U338" s="152"/>
      <c r="V338" s="152"/>
      <c r="W338" s="152"/>
      <c r="X338" s="152"/>
      <c r="Y338" s="152"/>
      <c r="Z338" s="76"/>
      <c r="AA338" s="76"/>
      <c r="AB338" s="113" t="str">
        <f>IF(C338="3111. Logements",ROUND(VLOOKUP(C338,'Informations générales'!$C$66:$E$70,3,FALSE)*(AL338/$AM$28)/12,0)*12,IF(C338="3112. Logements",ROUND(VLOOKUP(C338,'Informations générales'!$C$66:$E$70,3,FALSE)*(AL338/$AN$28)/12,0)*12,IF(C338="3113. Logements",ROUND(VLOOKUP(C338,'Informations générales'!$C$66:$E$70,3,FALSE)*(AL338/$AO$28)/12,0)*12,IF(C338="3114. Logements",ROUND(VLOOKUP(C338,'Informations générales'!$C$66:$E$70,3,FALSE)*(AL338/$AP$28)/12,0)*12,IF(C338="3115. Logements",ROUND(VLOOKUP(C338,'Informations générales'!$C$66:$E$70,3,FALSE)*(AL338/$AQ$28)/12,0)*12,"")))))</f>
        <v/>
      </c>
      <c r="AC338" s="114"/>
      <c r="AD338" s="113">
        <f t="shared" si="70"/>
        <v>0</v>
      </c>
      <c r="AE338" s="114"/>
      <c r="AF338" s="203" t="str">
        <f>IF(C338="3111. Logements",ROUND(VLOOKUP(C338,'Informations générales'!$C$66:$E$70,3,FALSE)*(AL338/$AM$28)/12,0)*12,IF(C338="3112. Logements",ROUND(VLOOKUP(C338,'Informations générales'!$C$66:$E$70,3,FALSE)*(AL338/$AN$28)/12,0)*12,IF(C338="3113. Logements",ROUND(VLOOKUP(C338,'Informations générales'!$C$66:$E$70,3,FALSE)*(AL338/$AO$28)/12,0)*12,IF(C338="3114. Logements",ROUND(VLOOKUP(C338,'Informations générales'!$C$66:$E$70,3,FALSE)*(AL338/$AP$28)/12,0)*12,IF(C338="3115. Logements",ROUND(VLOOKUP(C338,'Informations générales'!$C$66:$E$70,3,FALSE)*(AL338/$AQ$28)/12,0)*12,"")))))</f>
        <v/>
      </c>
      <c r="AG338" s="202"/>
      <c r="AH338" s="113" t="str">
        <f>IF(C338="3111. Logements",ROUND(VLOOKUP(C338,'Informations générales'!$C$66:$H$70,5,FALSE)*(AL338/$AM$28)/12,0)*12,IF(C338="3112. Logements",ROUND(VLOOKUP(C338,'Informations générales'!$C$66:$H$70,5,FALSE)*(AL338/$AN$28)/12,0)*12,IF(C338="3113. Logements",ROUND(VLOOKUP(C338,'Informations générales'!$C$66:$H$70,5,FALSE)*(AL338/$AO$28)/12,0)*12,IF(C338="3114. Logements",ROUND(VLOOKUP(C338,'Informations générales'!$C$66:$H$70,5,FALSE)*(AL338/$AP$28)/12,0)*12,IF(C338="3115. Logements",ROUND(VLOOKUP(C338,'Informations générales'!$C$66:$H$70,5,FALSE)*(AL338/$AQ$28)/12,0)*12,"")))))</f>
        <v/>
      </c>
      <c r="AI338" s="114"/>
      <c r="AJ338" s="114"/>
      <c r="AK338" s="76"/>
      <c r="AL338" s="58">
        <f t="shared" si="71"/>
        <v>0</v>
      </c>
      <c r="AM338" s="58"/>
      <c r="AN338" s="58"/>
      <c r="AO338" s="58"/>
      <c r="AP338" s="58"/>
      <c r="AQ338" s="58"/>
      <c r="AR338" s="58">
        <f t="shared" si="59"/>
        <v>0</v>
      </c>
      <c r="AS338" s="58">
        <f t="shared" si="60"/>
        <v>0</v>
      </c>
      <c r="AT338" s="58">
        <f t="shared" si="61"/>
        <v>0</v>
      </c>
      <c r="AU338" s="58">
        <f t="shared" si="62"/>
        <v>0</v>
      </c>
      <c r="AV338" s="58">
        <f t="shared" si="63"/>
        <v>0</v>
      </c>
      <c r="AW338" s="58">
        <f t="shared" si="64"/>
        <v>0</v>
      </c>
      <c r="AX338" s="58">
        <f t="shared" si="65"/>
        <v>0</v>
      </c>
      <c r="AY338" s="58">
        <f t="shared" si="72"/>
        <v>0</v>
      </c>
      <c r="AZ338" s="62">
        <f t="shared" si="66"/>
        <v>0</v>
      </c>
      <c r="BA338" s="63">
        <f t="shared" si="67"/>
        <v>0</v>
      </c>
      <c r="BB338" s="63">
        <f t="shared" si="68"/>
        <v>0</v>
      </c>
    </row>
    <row r="339" spans="3:54" s="17" customFormat="1" x14ac:dyDescent="0.25">
      <c r="C339" s="215"/>
      <c r="D339" s="216"/>
      <c r="E339" s="88"/>
      <c r="F339" s="217"/>
      <c r="G339" s="234"/>
      <c r="H339" s="218"/>
      <c r="I339" s="76"/>
      <c r="J339" s="77"/>
      <c r="K339" s="76"/>
      <c r="L339" s="78"/>
      <c r="M339" s="78"/>
      <c r="N339" s="76" t="s">
        <v>39</v>
      </c>
      <c r="O339" s="110"/>
      <c r="P339" s="152"/>
      <c r="Q339" s="111" t="str">
        <f>IFERROR(MIN(VLOOKUP(ROUNDDOWN(P339,0),'Aide calcul'!$B$2:$C$282,2,FALSE),O339+1),"")</f>
        <v/>
      </c>
      <c r="R339" s="112" t="str">
        <f t="shared" si="69"/>
        <v/>
      </c>
      <c r="S339" s="152"/>
      <c r="T339" s="152"/>
      <c r="U339" s="152"/>
      <c r="V339" s="152"/>
      <c r="W339" s="152"/>
      <c r="X339" s="152"/>
      <c r="Y339" s="152"/>
      <c r="Z339" s="76"/>
      <c r="AA339" s="76"/>
      <c r="AB339" s="113" t="str">
        <f>IF(C339="3111. Logements",ROUND(VLOOKUP(C339,'Informations générales'!$C$66:$E$70,3,FALSE)*(AL339/$AM$28)/12,0)*12,IF(C339="3112. Logements",ROUND(VLOOKUP(C339,'Informations générales'!$C$66:$E$70,3,FALSE)*(AL339/$AN$28)/12,0)*12,IF(C339="3113. Logements",ROUND(VLOOKUP(C339,'Informations générales'!$C$66:$E$70,3,FALSE)*(AL339/$AO$28)/12,0)*12,IF(C339="3114. Logements",ROUND(VLOOKUP(C339,'Informations générales'!$C$66:$E$70,3,FALSE)*(AL339/$AP$28)/12,0)*12,IF(C339="3115. Logements",ROUND(VLOOKUP(C339,'Informations générales'!$C$66:$E$70,3,FALSE)*(AL339/$AQ$28)/12,0)*12,"")))))</f>
        <v/>
      </c>
      <c r="AC339" s="114"/>
      <c r="AD339" s="113">
        <f t="shared" si="70"/>
        <v>0</v>
      </c>
      <c r="AE339" s="114"/>
      <c r="AF339" s="203" t="str">
        <f>IF(C339="3111. Logements",ROUND(VLOOKUP(C339,'Informations générales'!$C$66:$E$70,3,FALSE)*(AL339/$AM$28)/12,0)*12,IF(C339="3112. Logements",ROUND(VLOOKUP(C339,'Informations générales'!$C$66:$E$70,3,FALSE)*(AL339/$AN$28)/12,0)*12,IF(C339="3113. Logements",ROUND(VLOOKUP(C339,'Informations générales'!$C$66:$E$70,3,FALSE)*(AL339/$AO$28)/12,0)*12,IF(C339="3114. Logements",ROUND(VLOOKUP(C339,'Informations générales'!$C$66:$E$70,3,FALSE)*(AL339/$AP$28)/12,0)*12,IF(C339="3115. Logements",ROUND(VLOOKUP(C339,'Informations générales'!$C$66:$E$70,3,FALSE)*(AL339/$AQ$28)/12,0)*12,"")))))</f>
        <v/>
      </c>
      <c r="AG339" s="202"/>
      <c r="AH339" s="113" t="str">
        <f>IF(C339="3111. Logements",ROUND(VLOOKUP(C339,'Informations générales'!$C$66:$H$70,5,FALSE)*(AL339/$AM$28)/12,0)*12,IF(C339="3112. Logements",ROUND(VLOOKUP(C339,'Informations générales'!$C$66:$H$70,5,FALSE)*(AL339/$AN$28)/12,0)*12,IF(C339="3113. Logements",ROUND(VLOOKUP(C339,'Informations générales'!$C$66:$H$70,5,FALSE)*(AL339/$AO$28)/12,0)*12,IF(C339="3114. Logements",ROUND(VLOOKUP(C339,'Informations générales'!$C$66:$H$70,5,FALSE)*(AL339/$AP$28)/12,0)*12,IF(C339="3115. Logements",ROUND(VLOOKUP(C339,'Informations générales'!$C$66:$H$70,5,FALSE)*(AL339/$AQ$28)/12,0)*12,"")))))</f>
        <v/>
      </c>
      <c r="AI339" s="114"/>
      <c r="AJ339" s="114"/>
      <c r="AK339" s="76"/>
      <c r="AL339" s="58">
        <f t="shared" si="71"/>
        <v>0</v>
      </c>
      <c r="AM339" s="58"/>
      <c r="AN339" s="58"/>
      <c r="AO339" s="58"/>
      <c r="AP339" s="58"/>
      <c r="AQ339" s="58"/>
      <c r="AR339" s="58">
        <f t="shared" si="59"/>
        <v>0</v>
      </c>
      <c r="AS339" s="58">
        <f t="shared" si="60"/>
        <v>0</v>
      </c>
      <c r="AT339" s="58">
        <f t="shared" si="61"/>
        <v>0</v>
      </c>
      <c r="AU339" s="58">
        <f t="shared" si="62"/>
        <v>0</v>
      </c>
      <c r="AV339" s="58">
        <f t="shared" si="63"/>
        <v>0</v>
      </c>
      <c r="AW339" s="58">
        <f t="shared" si="64"/>
        <v>0</v>
      </c>
      <c r="AX339" s="58">
        <f t="shared" si="65"/>
        <v>0</v>
      </c>
      <c r="AY339" s="58">
        <f t="shared" si="72"/>
        <v>0</v>
      </c>
      <c r="AZ339" s="62">
        <f t="shared" si="66"/>
        <v>0</v>
      </c>
      <c r="BA339" s="63">
        <f t="shared" si="67"/>
        <v>0</v>
      </c>
      <c r="BB339" s="63">
        <f t="shared" si="68"/>
        <v>0</v>
      </c>
    </row>
    <row r="340" spans="3:54" s="17" customFormat="1" x14ac:dyDescent="0.25">
      <c r="C340" s="215"/>
      <c r="D340" s="216"/>
      <c r="E340" s="88"/>
      <c r="F340" s="217"/>
      <c r="G340" s="234"/>
      <c r="H340" s="218"/>
      <c r="I340" s="76"/>
      <c r="J340" s="77"/>
      <c r="K340" s="76"/>
      <c r="L340" s="78"/>
      <c r="M340" s="78"/>
      <c r="N340" s="76" t="s">
        <v>39</v>
      </c>
      <c r="O340" s="110"/>
      <c r="P340" s="152"/>
      <c r="Q340" s="111" t="str">
        <f>IFERROR(MIN(VLOOKUP(ROUNDDOWN(P340,0),'Aide calcul'!$B$2:$C$282,2,FALSE),O340+1),"")</f>
        <v/>
      </c>
      <c r="R340" s="112" t="str">
        <f t="shared" si="69"/>
        <v/>
      </c>
      <c r="S340" s="152"/>
      <c r="T340" s="152"/>
      <c r="U340" s="152"/>
      <c r="V340" s="152"/>
      <c r="W340" s="152"/>
      <c r="X340" s="152"/>
      <c r="Y340" s="152"/>
      <c r="Z340" s="76"/>
      <c r="AA340" s="76"/>
      <c r="AB340" s="113" t="str">
        <f>IF(C340="3111. Logements",ROUND(VLOOKUP(C340,'Informations générales'!$C$66:$E$70,3,FALSE)*(AL340/$AM$28)/12,0)*12,IF(C340="3112. Logements",ROUND(VLOOKUP(C340,'Informations générales'!$C$66:$E$70,3,FALSE)*(AL340/$AN$28)/12,0)*12,IF(C340="3113. Logements",ROUND(VLOOKUP(C340,'Informations générales'!$C$66:$E$70,3,FALSE)*(AL340/$AO$28)/12,0)*12,IF(C340="3114. Logements",ROUND(VLOOKUP(C340,'Informations générales'!$C$66:$E$70,3,FALSE)*(AL340/$AP$28)/12,0)*12,IF(C340="3115. Logements",ROUND(VLOOKUP(C340,'Informations générales'!$C$66:$E$70,3,FALSE)*(AL340/$AQ$28)/12,0)*12,"")))))</f>
        <v/>
      </c>
      <c r="AC340" s="114"/>
      <c r="AD340" s="113">
        <f t="shared" si="70"/>
        <v>0</v>
      </c>
      <c r="AE340" s="114"/>
      <c r="AF340" s="203" t="str">
        <f>IF(C340="3111. Logements",ROUND(VLOOKUP(C340,'Informations générales'!$C$66:$E$70,3,FALSE)*(AL340/$AM$28)/12,0)*12,IF(C340="3112. Logements",ROUND(VLOOKUP(C340,'Informations générales'!$C$66:$E$70,3,FALSE)*(AL340/$AN$28)/12,0)*12,IF(C340="3113. Logements",ROUND(VLOOKUP(C340,'Informations générales'!$C$66:$E$70,3,FALSE)*(AL340/$AO$28)/12,0)*12,IF(C340="3114. Logements",ROUND(VLOOKUP(C340,'Informations générales'!$C$66:$E$70,3,FALSE)*(AL340/$AP$28)/12,0)*12,IF(C340="3115. Logements",ROUND(VLOOKUP(C340,'Informations générales'!$C$66:$E$70,3,FALSE)*(AL340/$AQ$28)/12,0)*12,"")))))</f>
        <v/>
      </c>
      <c r="AG340" s="202"/>
      <c r="AH340" s="113" t="str">
        <f>IF(C340="3111. Logements",ROUND(VLOOKUP(C340,'Informations générales'!$C$66:$H$70,5,FALSE)*(AL340/$AM$28)/12,0)*12,IF(C340="3112. Logements",ROUND(VLOOKUP(C340,'Informations générales'!$C$66:$H$70,5,FALSE)*(AL340/$AN$28)/12,0)*12,IF(C340="3113. Logements",ROUND(VLOOKUP(C340,'Informations générales'!$C$66:$H$70,5,FALSE)*(AL340/$AO$28)/12,0)*12,IF(C340="3114. Logements",ROUND(VLOOKUP(C340,'Informations générales'!$C$66:$H$70,5,FALSE)*(AL340/$AP$28)/12,0)*12,IF(C340="3115. Logements",ROUND(VLOOKUP(C340,'Informations générales'!$C$66:$H$70,5,FALSE)*(AL340/$AQ$28)/12,0)*12,"")))))</f>
        <v/>
      </c>
      <c r="AI340" s="114"/>
      <c r="AJ340" s="114"/>
      <c r="AK340" s="76"/>
      <c r="AL340" s="58">
        <f t="shared" si="71"/>
        <v>0</v>
      </c>
      <c r="AM340" s="58"/>
      <c r="AN340" s="58"/>
      <c r="AO340" s="58"/>
      <c r="AP340" s="58"/>
      <c r="AQ340" s="58"/>
      <c r="AR340" s="58">
        <f t="shared" si="59"/>
        <v>0</v>
      </c>
      <c r="AS340" s="58">
        <f t="shared" si="60"/>
        <v>0</v>
      </c>
      <c r="AT340" s="58">
        <f t="shared" si="61"/>
        <v>0</v>
      </c>
      <c r="AU340" s="58">
        <f t="shared" si="62"/>
        <v>0</v>
      </c>
      <c r="AV340" s="58">
        <f t="shared" si="63"/>
        <v>0</v>
      </c>
      <c r="AW340" s="58">
        <f t="shared" si="64"/>
        <v>0</v>
      </c>
      <c r="AX340" s="58">
        <f t="shared" si="65"/>
        <v>0</v>
      </c>
      <c r="AY340" s="58">
        <f t="shared" si="72"/>
        <v>0</v>
      </c>
      <c r="AZ340" s="62">
        <f t="shared" si="66"/>
        <v>0</v>
      </c>
      <c r="BA340" s="63">
        <f t="shared" si="67"/>
        <v>0</v>
      </c>
      <c r="BB340" s="63">
        <f t="shared" si="68"/>
        <v>0</v>
      </c>
    </row>
    <row r="341" spans="3:54" s="17" customFormat="1" x14ac:dyDescent="0.25">
      <c r="C341" s="215"/>
      <c r="D341" s="216"/>
      <c r="E341" s="88"/>
      <c r="F341" s="217"/>
      <c r="G341" s="234"/>
      <c r="H341" s="218"/>
      <c r="I341" s="76"/>
      <c r="J341" s="77"/>
      <c r="K341" s="76"/>
      <c r="L341" s="78"/>
      <c r="M341" s="78"/>
      <c r="N341" s="76" t="s">
        <v>39</v>
      </c>
      <c r="O341" s="110"/>
      <c r="P341" s="152"/>
      <c r="Q341" s="111" t="str">
        <f>IFERROR(MIN(VLOOKUP(ROUNDDOWN(P341,0),'Aide calcul'!$B$2:$C$282,2,FALSE),O341+1),"")</f>
        <v/>
      </c>
      <c r="R341" s="112" t="str">
        <f t="shared" si="69"/>
        <v/>
      </c>
      <c r="S341" s="152"/>
      <c r="T341" s="152"/>
      <c r="U341" s="152"/>
      <c r="V341" s="152"/>
      <c r="W341" s="152"/>
      <c r="X341" s="152"/>
      <c r="Y341" s="152"/>
      <c r="Z341" s="76"/>
      <c r="AA341" s="76"/>
      <c r="AB341" s="113" t="str">
        <f>IF(C341="3111. Logements",ROUND(VLOOKUP(C341,'Informations générales'!$C$66:$E$70,3,FALSE)*(AL341/$AM$28)/12,0)*12,IF(C341="3112. Logements",ROUND(VLOOKUP(C341,'Informations générales'!$C$66:$E$70,3,FALSE)*(AL341/$AN$28)/12,0)*12,IF(C341="3113. Logements",ROUND(VLOOKUP(C341,'Informations générales'!$C$66:$E$70,3,FALSE)*(AL341/$AO$28)/12,0)*12,IF(C341="3114. Logements",ROUND(VLOOKUP(C341,'Informations générales'!$C$66:$E$70,3,FALSE)*(AL341/$AP$28)/12,0)*12,IF(C341="3115. Logements",ROUND(VLOOKUP(C341,'Informations générales'!$C$66:$E$70,3,FALSE)*(AL341/$AQ$28)/12,0)*12,"")))))</f>
        <v/>
      </c>
      <c r="AC341" s="114"/>
      <c r="AD341" s="113">
        <f t="shared" si="70"/>
        <v>0</v>
      </c>
      <c r="AE341" s="114"/>
      <c r="AF341" s="203" t="str">
        <f>IF(C341="3111. Logements",ROUND(VLOOKUP(C341,'Informations générales'!$C$66:$E$70,3,FALSE)*(AL341/$AM$28)/12,0)*12,IF(C341="3112. Logements",ROUND(VLOOKUP(C341,'Informations générales'!$C$66:$E$70,3,FALSE)*(AL341/$AN$28)/12,0)*12,IF(C341="3113. Logements",ROUND(VLOOKUP(C341,'Informations générales'!$C$66:$E$70,3,FALSE)*(AL341/$AO$28)/12,0)*12,IF(C341="3114. Logements",ROUND(VLOOKUP(C341,'Informations générales'!$C$66:$E$70,3,FALSE)*(AL341/$AP$28)/12,0)*12,IF(C341="3115. Logements",ROUND(VLOOKUP(C341,'Informations générales'!$C$66:$E$70,3,FALSE)*(AL341/$AQ$28)/12,0)*12,"")))))</f>
        <v/>
      </c>
      <c r="AG341" s="202"/>
      <c r="AH341" s="113" t="str">
        <f>IF(C341="3111. Logements",ROUND(VLOOKUP(C341,'Informations générales'!$C$66:$H$70,5,FALSE)*(AL341/$AM$28)/12,0)*12,IF(C341="3112. Logements",ROUND(VLOOKUP(C341,'Informations générales'!$C$66:$H$70,5,FALSE)*(AL341/$AN$28)/12,0)*12,IF(C341="3113. Logements",ROUND(VLOOKUP(C341,'Informations générales'!$C$66:$H$70,5,FALSE)*(AL341/$AO$28)/12,0)*12,IF(C341="3114. Logements",ROUND(VLOOKUP(C341,'Informations générales'!$C$66:$H$70,5,FALSE)*(AL341/$AP$28)/12,0)*12,IF(C341="3115. Logements",ROUND(VLOOKUP(C341,'Informations générales'!$C$66:$H$70,5,FALSE)*(AL341/$AQ$28)/12,0)*12,"")))))</f>
        <v/>
      </c>
      <c r="AI341" s="114"/>
      <c r="AJ341" s="114"/>
      <c r="AK341" s="76"/>
      <c r="AL341" s="58">
        <f t="shared" si="71"/>
        <v>0</v>
      </c>
      <c r="AM341" s="58"/>
      <c r="AN341" s="58"/>
      <c r="AO341" s="58"/>
      <c r="AP341" s="58"/>
      <c r="AQ341" s="58"/>
      <c r="AR341" s="58">
        <f t="shared" si="59"/>
        <v>0</v>
      </c>
      <c r="AS341" s="58">
        <f t="shared" si="60"/>
        <v>0</v>
      </c>
      <c r="AT341" s="58">
        <f t="shared" si="61"/>
        <v>0</v>
      </c>
      <c r="AU341" s="58">
        <f t="shared" si="62"/>
        <v>0</v>
      </c>
      <c r="AV341" s="58">
        <f t="shared" si="63"/>
        <v>0</v>
      </c>
      <c r="AW341" s="58">
        <f t="shared" si="64"/>
        <v>0</v>
      </c>
      <c r="AX341" s="58">
        <f t="shared" si="65"/>
        <v>0</v>
      </c>
      <c r="AY341" s="58">
        <f t="shared" si="72"/>
        <v>0</v>
      </c>
      <c r="AZ341" s="62">
        <f t="shared" si="66"/>
        <v>0</v>
      </c>
      <c r="BA341" s="63">
        <f t="shared" si="67"/>
        <v>0</v>
      </c>
      <c r="BB341" s="63">
        <f t="shared" si="68"/>
        <v>0</v>
      </c>
    </row>
    <row r="342" spans="3:54" s="17" customFormat="1" x14ac:dyDescent="0.25">
      <c r="C342" s="215"/>
      <c r="D342" s="216"/>
      <c r="E342" s="88"/>
      <c r="F342" s="217"/>
      <c r="G342" s="234"/>
      <c r="H342" s="218"/>
      <c r="I342" s="76"/>
      <c r="J342" s="77"/>
      <c r="K342" s="76"/>
      <c r="L342" s="78"/>
      <c r="M342" s="78"/>
      <c r="N342" s="76" t="s">
        <v>39</v>
      </c>
      <c r="O342" s="110"/>
      <c r="P342" s="152"/>
      <c r="Q342" s="111" t="str">
        <f>IFERROR(MIN(VLOOKUP(ROUNDDOWN(P342,0),'Aide calcul'!$B$2:$C$282,2,FALSE),O342+1),"")</f>
        <v/>
      </c>
      <c r="R342" s="112" t="str">
        <f t="shared" si="69"/>
        <v/>
      </c>
      <c r="S342" s="152"/>
      <c r="T342" s="152"/>
      <c r="U342" s="152"/>
      <c r="V342" s="152"/>
      <c r="W342" s="152"/>
      <c r="X342" s="152"/>
      <c r="Y342" s="152"/>
      <c r="Z342" s="76"/>
      <c r="AA342" s="76"/>
      <c r="AB342" s="113" t="str">
        <f>IF(C342="3111. Logements",ROUND(VLOOKUP(C342,'Informations générales'!$C$66:$E$70,3,FALSE)*(AL342/$AM$28)/12,0)*12,IF(C342="3112. Logements",ROUND(VLOOKUP(C342,'Informations générales'!$C$66:$E$70,3,FALSE)*(AL342/$AN$28)/12,0)*12,IF(C342="3113. Logements",ROUND(VLOOKUP(C342,'Informations générales'!$C$66:$E$70,3,FALSE)*(AL342/$AO$28)/12,0)*12,IF(C342="3114. Logements",ROUND(VLOOKUP(C342,'Informations générales'!$C$66:$E$70,3,FALSE)*(AL342/$AP$28)/12,0)*12,IF(C342="3115. Logements",ROUND(VLOOKUP(C342,'Informations générales'!$C$66:$E$70,3,FALSE)*(AL342/$AQ$28)/12,0)*12,"")))))</f>
        <v/>
      </c>
      <c r="AC342" s="114"/>
      <c r="AD342" s="113">
        <f t="shared" si="70"/>
        <v>0</v>
      </c>
      <c r="AE342" s="114"/>
      <c r="AF342" s="203" t="str">
        <f>IF(C342="3111. Logements",ROUND(VLOOKUP(C342,'Informations générales'!$C$66:$E$70,3,FALSE)*(AL342/$AM$28)/12,0)*12,IF(C342="3112. Logements",ROUND(VLOOKUP(C342,'Informations générales'!$C$66:$E$70,3,FALSE)*(AL342/$AN$28)/12,0)*12,IF(C342="3113. Logements",ROUND(VLOOKUP(C342,'Informations générales'!$C$66:$E$70,3,FALSE)*(AL342/$AO$28)/12,0)*12,IF(C342="3114. Logements",ROUND(VLOOKUP(C342,'Informations générales'!$C$66:$E$70,3,FALSE)*(AL342/$AP$28)/12,0)*12,IF(C342="3115. Logements",ROUND(VLOOKUP(C342,'Informations générales'!$C$66:$E$70,3,FALSE)*(AL342/$AQ$28)/12,0)*12,"")))))</f>
        <v/>
      </c>
      <c r="AG342" s="202"/>
      <c r="AH342" s="113" t="str">
        <f>IF(C342="3111. Logements",ROUND(VLOOKUP(C342,'Informations générales'!$C$66:$H$70,5,FALSE)*(AL342/$AM$28)/12,0)*12,IF(C342="3112. Logements",ROUND(VLOOKUP(C342,'Informations générales'!$C$66:$H$70,5,FALSE)*(AL342/$AN$28)/12,0)*12,IF(C342="3113. Logements",ROUND(VLOOKUP(C342,'Informations générales'!$C$66:$H$70,5,FALSE)*(AL342/$AO$28)/12,0)*12,IF(C342="3114. Logements",ROUND(VLOOKUP(C342,'Informations générales'!$C$66:$H$70,5,FALSE)*(AL342/$AP$28)/12,0)*12,IF(C342="3115. Logements",ROUND(VLOOKUP(C342,'Informations générales'!$C$66:$H$70,5,FALSE)*(AL342/$AQ$28)/12,0)*12,"")))))</f>
        <v/>
      </c>
      <c r="AI342" s="114"/>
      <c r="AJ342" s="114"/>
      <c r="AK342" s="76"/>
      <c r="AL342" s="58">
        <f t="shared" si="71"/>
        <v>0</v>
      </c>
      <c r="AM342" s="58"/>
      <c r="AN342" s="58"/>
      <c r="AO342" s="58"/>
      <c r="AP342" s="58"/>
      <c r="AQ342" s="58"/>
      <c r="AR342" s="58">
        <f t="shared" si="59"/>
        <v>0</v>
      </c>
      <c r="AS342" s="58">
        <f t="shared" si="60"/>
        <v>0</v>
      </c>
      <c r="AT342" s="58">
        <f t="shared" si="61"/>
        <v>0</v>
      </c>
      <c r="AU342" s="58">
        <f t="shared" si="62"/>
        <v>0</v>
      </c>
      <c r="AV342" s="58">
        <f t="shared" si="63"/>
        <v>0</v>
      </c>
      <c r="AW342" s="58">
        <f t="shared" si="64"/>
        <v>0</v>
      </c>
      <c r="AX342" s="58">
        <f t="shared" si="65"/>
        <v>0</v>
      </c>
      <c r="AY342" s="58">
        <f t="shared" si="72"/>
        <v>0</v>
      </c>
      <c r="AZ342" s="62">
        <f t="shared" si="66"/>
        <v>0</v>
      </c>
      <c r="BA342" s="63">
        <f t="shared" si="67"/>
        <v>0</v>
      </c>
      <c r="BB342" s="63">
        <f t="shared" si="68"/>
        <v>0</v>
      </c>
    </row>
    <row r="343" spans="3:54" s="17" customFormat="1" x14ac:dyDescent="0.25">
      <c r="C343" s="215"/>
      <c r="D343" s="216"/>
      <c r="E343" s="88"/>
      <c r="F343" s="217"/>
      <c r="G343" s="234"/>
      <c r="H343" s="218"/>
      <c r="I343" s="76"/>
      <c r="J343" s="77"/>
      <c r="K343" s="76"/>
      <c r="L343" s="78"/>
      <c r="M343" s="78"/>
      <c r="N343" s="76" t="s">
        <v>39</v>
      </c>
      <c r="O343" s="110"/>
      <c r="P343" s="152"/>
      <c r="Q343" s="111" t="str">
        <f>IFERROR(MIN(VLOOKUP(ROUNDDOWN(P343,0),'Aide calcul'!$B$2:$C$282,2,FALSE),O343+1),"")</f>
        <v/>
      </c>
      <c r="R343" s="112" t="str">
        <f t="shared" si="69"/>
        <v/>
      </c>
      <c r="S343" s="152"/>
      <c r="T343" s="152"/>
      <c r="U343" s="152"/>
      <c r="V343" s="152"/>
      <c r="W343" s="152"/>
      <c r="X343" s="152"/>
      <c r="Y343" s="152"/>
      <c r="Z343" s="76"/>
      <c r="AA343" s="76"/>
      <c r="AB343" s="113" t="str">
        <f>IF(C343="3111. Logements",ROUND(VLOOKUP(C343,'Informations générales'!$C$66:$E$70,3,FALSE)*(AL343/$AM$28)/12,0)*12,IF(C343="3112. Logements",ROUND(VLOOKUP(C343,'Informations générales'!$C$66:$E$70,3,FALSE)*(AL343/$AN$28)/12,0)*12,IF(C343="3113. Logements",ROUND(VLOOKUP(C343,'Informations générales'!$C$66:$E$70,3,FALSE)*(AL343/$AO$28)/12,0)*12,IF(C343="3114. Logements",ROUND(VLOOKUP(C343,'Informations générales'!$C$66:$E$70,3,FALSE)*(AL343/$AP$28)/12,0)*12,IF(C343="3115. Logements",ROUND(VLOOKUP(C343,'Informations générales'!$C$66:$E$70,3,FALSE)*(AL343/$AQ$28)/12,0)*12,"")))))</f>
        <v/>
      </c>
      <c r="AC343" s="114"/>
      <c r="AD343" s="113">
        <f t="shared" si="70"/>
        <v>0</v>
      </c>
      <c r="AE343" s="114"/>
      <c r="AF343" s="203" t="str">
        <f>IF(C343="3111. Logements",ROUND(VLOOKUP(C343,'Informations générales'!$C$66:$E$70,3,FALSE)*(AL343/$AM$28)/12,0)*12,IF(C343="3112. Logements",ROUND(VLOOKUP(C343,'Informations générales'!$C$66:$E$70,3,FALSE)*(AL343/$AN$28)/12,0)*12,IF(C343="3113. Logements",ROUND(VLOOKUP(C343,'Informations générales'!$C$66:$E$70,3,FALSE)*(AL343/$AO$28)/12,0)*12,IF(C343="3114. Logements",ROUND(VLOOKUP(C343,'Informations générales'!$C$66:$E$70,3,FALSE)*(AL343/$AP$28)/12,0)*12,IF(C343="3115. Logements",ROUND(VLOOKUP(C343,'Informations générales'!$C$66:$E$70,3,FALSE)*(AL343/$AQ$28)/12,0)*12,"")))))</f>
        <v/>
      </c>
      <c r="AG343" s="202"/>
      <c r="AH343" s="113" t="str">
        <f>IF(C343="3111. Logements",ROUND(VLOOKUP(C343,'Informations générales'!$C$66:$H$70,5,FALSE)*(AL343/$AM$28)/12,0)*12,IF(C343="3112. Logements",ROUND(VLOOKUP(C343,'Informations générales'!$C$66:$H$70,5,FALSE)*(AL343/$AN$28)/12,0)*12,IF(C343="3113. Logements",ROUND(VLOOKUP(C343,'Informations générales'!$C$66:$H$70,5,FALSE)*(AL343/$AO$28)/12,0)*12,IF(C343="3114. Logements",ROUND(VLOOKUP(C343,'Informations générales'!$C$66:$H$70,5,FALSE)*(AL343/$AP$28)/12,0)*12,IF(C343="3115. Logements",ROUND(VLOOKUP(C343,'Informations générales'!$C$66:$H$70,5,FALSE)*(AL343/$AQ$28)/12,0)*12,"")))))</f>
        <v/>
      </c>
      <c r="AI343" s="114"/>
      <c r="AJ343" s="114"/>
      <c r="AK343" s="76"/>
      <c r="AL343" s="58">
        <f t="shared" si="71"/>
        <v>0</v>
      </c>
      <c r="AM343" s="58"/>
      <c r="AN343" s="58"/>
      <c r="AO343" s="58"/>
      <c r="AP343" s="58"/>
      <c r="AQ343" s="58"/>
      <c r="AR343" s="58">
        <f t="shared" si="59"/>
        <v>0</v>
      </c>
      <c r="AS343" s="58">
        <f t="shared" si="60"/>
        <v>0</v>
      </c>
      <c r="AT343" s="58">
        <f t="shared" si="61"/>
        <v>0</v>
      </c>
      <c r="AU343" s="58">
        <f t="shared" si="62"/>
        <v>0</v>
      </c>
      <c r="AV343" s="58">
        <f t="shared" si="63"/>
        <v>0</v>
      </c>
      <c r="AW343" s="58">
        <f t="shared" si="64"/>
        <v>0</v>
      </c>
      <c r="AX343" s="58">
        <f t="shared" si="65"/>
        <v>0</v>
      </c>
      <c r="AY343" s="58">
        <f t="shared" si="72"/>
        <v>0</v>
      </c>
      <c r="AZ343" s="62">
        <f t="shared" si="66"/>
        <v>0</v>
      </c>
      <c r="BA343" s="63">
        <f t="shared" si="67"/>
        <v>0</v>
      </c>
      <c r="BB343" s="63">
        <f t="shared" si="68"/>
        <v>0</v>
      </c>
    </row>
    <row r="344" spans="3:54" s="17" customFormat="1" x14ac:dyDescent="0.25">
      <c r="C344" s="215"/>
      <c r="D344" s="216"/>
      <c r="E344" s="88"/>
      <c r="F344" s="217"/>
      <c r="G344" s="234"/>
      <c r="H344" s="218"/>
      <c r="I344" s="76"/>
      <c r="J344" s="77"/>
      <c r="K344" s="76"/>
      <c r="L344" s="78"/>
      <c r="M344" s="78"/>
      <c r="N344" s="76" t="s">
        <v>39</v>
      </c>
      <c r="O344" s="110"/>
      <c r="P344" s="152"/>
      <c r="Q344" s="111" t="str">
        <f>IFERROR(MIN(VLOOKUP(ROUNDDOWN(P344,0),'Aide calcul'!$B$2:$C$282,2,FALSE),O344+1),"")</f>
        <v/>
      </c>
      <c r="R344" s="112" t="str">
        <f t="shared" si="69"/>
        <v/>
      </c>
      <c r="S344" s="152"/>
      <c r="T344" s="152"/>
      <c r="U344" s="152"/>
      <c r="V344" s="152"/>
      <c r="W344" s="152"/>
      <c r="X344" s="152"/>
      <c r="Y344" s="152"/>
      <c r="Z344" s="76"/>
      <c r="AA344" s="76"/>
      <c r="AB344" s="113" t="str">
        <f>IF(C344="3111. Logements",ROUND(VLOOKUP(C344,'Informations générales'!$C$66:$E$70,3,FALSE)*(AL344/$AM$28)/12,0)*12,IF(C344="3112. Logements",ROUND(VLOOKUP(C344,'Informations générales'!$C$66:$E$70,3,FALSE)*(AL344/$AN$28)/12,0)*12,IF(C344="3113. Logements",ROUND(VLOOKUP(C344,'Informations générales'!$C$66:$E$70,3,FALSE)*(AL344/$AO$28)/12,0)*12,IF(C344="3114. Logements",ROUND(VLOOKUP(C344,'Informations générales'!$C$66:$E$70,3,FALSE)*(AL344/$AP$28)/12,0)*12,IF(C344="3115. Logements",ROUND(VLOOKUP(C344,'Informations générales'!$C$66:$E$70,3,FALSE)*(AL344/$AQ$28)/12,0)*12,"")))))</f>
        <v/>
      </c>
      <c r="AC344" s="114"/>
      <c r="AD344" s="113">
        <f t="shared" si="70"/>
        <v>0</v>
      </c>
      <c r="AE344" s="114"/>
      <c r="AF344" s="203" t="str">
        <f>IF(C344="3111. Logements",ROUND(VLOOKUP(C344,'Informations générales'!$C$66:$E$70,3,FALSE)*(AL344/$AM$28)/12,0)*12,IF(C344="3112. Logements",ROUND(VLOOKUP(C344,'Informations générales'!$C$66:$E$70,3,FALSE)*(AL344/$AN$28)/12,0)*12,IF(C344="3113. Logements",ROUND(VLOOKUP(C344,'Informations générales'!$C$66:$E$70,3,FALSE)*(AL344/$AO$28)/12,0)*12,IF(C344="3114. Logements",ROUND(VLOOKUP(C344,'Informations générales'!$C$66:$E$70,3,FALSE)*(AL344/$AP$28)/12,0)*12,IF(C344="3115. Logements",ROUND(VLOOKUP(C344,'Informations générales'!$C$66:$E$70,3,FALSE)*(AL344/$AQ$28)/12,0)*12,"")))))</f>
        <v/>
      </c>
      <c r="AG344" s="202"/>
      <c r="AH344" s="113" t="str">
        <f>IF(C344="3111. Logements",ROUND(VLOOKUP(C344,'Informations générales'!$C$66:$H$70,5,FALSE)*(AL344/$AM$28)/12,0)*12,IF(C344="3112. Logements",ROUND(VLOOKUP(C344,'Informations générales'!$C$66:$H$70,5,FALSE)*(AL344/$AN$28)/12,0)*12,IF(C344="3113. Logements",ROUND(VLOOKUP(C344,'Informations générales'!$C$66:$H$70,5,FALSE)*(AL344/$AO$28)/12,0)*12,IF(C344="3114. Logements",ROUND(VLOOKUP(C344,'Informations générales'!$C$66:$H$70,5,FALSE)*(AL344/$AP$28)/12,0)*12,IF(C344="3115. Logements",ROUND(VLOOKUP(C344,'Informations générales'!$C$66:$H$70,5,FALSE)*(AL344/$AQ$28)/12,0)*12,"")))))</f>
        <v/>
      </c>
      <c r="AI344" s="114"/>
      <c r="AJ344" s="114"/>
      <c r="AK344" s="76"/>
      <c r="AL344" s="58">
        <f t="shared" si="71"/>
        <v>0</v>
      </c>
      <c r="AM344" s="58"/>
      <c r="AN344" s="58"/>
      <c r="AO344" s="58"/>
      <c r="AP344" s="58"/>
      <c r="AQ344" s="58"/>
      <c r="AR344" s="58">
        <f t="shared" si="59"/>
        <v>0</v>
      </c>
      <c r="AS344" s="58">
        <f t="shared" si="60"/>
        <v>0</v>
      </c>
      <c r="AT344" s="58">
        <f t="shared" si="61"/>
        <v>0</v>
      </c>
      <c r="AU344" s="58">
        <f t="shared" si="62"/>
        <v>0</v>
      </c>
      <c r="AV344" s="58">
        <f t="shared" si="63"/>
        <v>0</v>
      </c>
      <c r="AW344" s="58">
        <f t="shared" si="64"/>
        <v>0</v>
      </c>
      <c r="AX344" s="58">
        <f t="shared" si="65"/>
        <v>0</v>
      </c>
      <c r="AY344" s="58">
        <f t="shared" si="72"/>
        <v>0</v>
      </c>
      <c r="AZ344" s="62">
        <f t="shared" si="66"/>
        <v>0</v>
      </c>
      <c r="BA344" s="63">
        <f t="shared" si="67"/>
        <v>0</v>
      </c>
      <c r="BB344" s="63">
        <f t="shared" si="68"/>
        <v>0</v>
      </c>
    </row>
    <row r="345" spans="3:54" s="17" customFormat="1" x14ac:dyDescent="0.25">
      <c r="C345" s="215"/>
      <c r="D345" s="216"/>
      <c r="E345" s="88"/>
      <c r="F345" s="217"/>
      <c r="G345" s="234"/>
      <c r="H345" s="218"/>
      <c r="I345" s="76"/>
      <c r="J345" s="77"/>
      <c r="K345" s="76"/>
      <c r="L345" s="78"/>
      <c r="M345" s="78"/>
      <c r="N345" s="76" t="s">
        <v>39</v>
      </c>
      <c r="O345" s="110"/>
      <c r="P345" s="152"/>
      <c r="Q345" s="111" t="str">
        <f>IFERROR(MIN(VLOOKUP(ROUNDDOWN(P345,0),'Aide calcul'!$B$2:$C$282,2,FALSE),O345+1),"")</f>
        <v/>
      </c>
      <c r="R345" s="112" t="str">
        <f t="shared" si="69"/>
        <v/>
      </c>
      <c r="S345" s="152"/>
      <c r="T345" s="152"/>
      <c r="U345" s="152"/>
      <c r="V345" s="152"/>
      <c r="W345" s="152"/>
      <c r="X345" s="152"/>
      <c r="Y345" s="152"/>
      <c r="Z345" s="76"/>
      <c r="AA345" s="76"/>
      <c r="AB345" s="113" t="str">
        <f>IF(C345="3111. Logements",ROUND(VLOOKUP(C345,'Informations générales'!$C$66:$E$70,3,FALSE)*(AL345/$AM$28)/12,0)*12,IF(C345="3112. Logements",ROUND(VLOOKUP(C345,'Informations générales'!$C$66:$E$70,3,FALSE)*(AL345/$AN$28)/12,0)*12,IF(C345="3113. Logements",ROUND(VLOOKUP(C345,'Informations générales'!$C$66:$E$70,3,FALSE)*(AL345/$AO$28)/12,0)*12,IF(C345="3114. Logements",ROUND(VLOOKUP(C345,'Informations générales'!$C$66:$E$70,3,FALSE)*(AL345/$AP$28)/12,0)*12,IF(C345="3115. Logements",ROUND(VLOOKUP(C345,'Informations générales'!$C$66:$E$70,3,FALSE)*(AL345/$AQ$28)/12,0)*12,"")))))</f>
        <v/>
      </c>
      <c r="AC345" s="114"/>
      <c r="AD345" s="113">
        <f t="shared" si="70"/>
        <v>0</v>
      </c>
      <c r="AE345" s="114"/>
      <c r="AF345" s="203" t="str">
        <f>IF(C345="3111. Logements",ROUND(VLOOKUP(C345,'Informations générales'!$C$66:$E$70,3,FALSE)*(AL345/$AM$28)/12,0)*12,IF(C345="3112. Logements",ROUND(VLOOKUP(C345,'Informations générales'!$C$66:$E$70,3,FALSE)*(AL345/$AN$28)/12,0)*12,IF(C345="3113. Logements",ROUND(VLOOKUP(C345,'Informations générales'!$C$66:$E$70,3,FALSE)*(AL345/$AO$28)/12,0)*12,IF(C345="3114. Logements",ROUND(VLOOKUP(C345,'Informations générales'!$C$66:$E$70,3,FALSE)*(AL345/$AP$28)/12,0)*12,IF(C345="3115. Logements",ROUND(VLOOKUP(C345,'Informations générales'!$C$66:$E$70,3,FALSE)*(AL345/$AQ$28)/12,0)*12,"")))))</f>
        <v/>
      </c>
      <c r="AG345" s="202"/>
      <c r="AH345" s="113" t="str">
        <f>IF(C345="3111. Logements",ROUND(VLOOKUP(C345,'Informations générales'!$C$66:$H$70,5,FALSE)*(AL345/$AM$28)/12,0)*12,IF(C345="3112. Logements",ROUND(VLOOKUP(C345,'Informations générales'!$C$66:$H$70,5,FALSE)*(AL345/$AN$28)/12,0)*12,IF(C345="3113. Logements",ROUND(VLOOKUP(C345,'Informations générales'!$C$66:$H$70,5,FALSE)*(AL345/$AO$28)/12,0)*12,IF(C345="3114. Logements",ROUND(VLOOKUP(C345,'Informations générales'!$C$66:$H$70,5,FALSE)*(AL345/$AP$28)/12,0)*12,IF(C345="3115. Logements",ROUND(VLOOKUP(C345,'Informations générales'!$C$66:$H$70,5,FALSE)*(AL345/$AQ$28)/12,0)*12,"")))))</f>
        <v/>
      </c>
      <c r="AI345" s="114"/>
      <c r="AJ345" s="114"/>
      <c r="AK345" s="76"/>
      <c r="AL345" s="58">
        <f t="shared" si="71"/>
        <v>0</v>
      </c>
      <c r="AM345" s="58"/>
      <c r="AN345" s="58"/>
      <c r="AO345" s="58"/>
      <c r="AP345" s="58"/>
      <c r="AQ345" s="58"/>
      <c r="AR345" s="58">
        <f t="shared" si="59"/>
        <v>0</v>
      </c>
      <c r="AS345" s="58">
        <f t="shared" si="60"/>
        <v>0</v>
      </c>
      <c r="AT345" s="58">
        <f t="shared" si="61"/>
        <v>0</v>
      </c>
      <c r="AU345" s="58">
        <f t="shared" si="62"/>
        <v>0</v>
      </c>
      <c r="AV345" s="58">
        <f t="shared" si="63"/>
        <v>0</v>
      </c>
      <c r="AW345" s="58">
        <f t="shared" si="64"/>
        <v>0</v>
      </c>
      <c r="AX345" s="58">
        <f t="shared" si="65"/>
        <v>0</v>
      </c>
      <c r="AY345" s="58">
        <f t="shared" si="72"/>
        <v>0</v>
      </c>
      <c r="AZ345" s="62">
        <f t="shared" si="66"/>
        <v>0</v>
      </c>
      <c r="BA345" s="63">
        <f t="shared" si="67"/>
        <v>0</v>
      </c>
      <c r="BB345" s="63">
        <f t="shared" si="68"/>
        <v>0</v>
      </c>
    </row>
    <row r="346" spans="3:54" s="17" customFormat="1" x14ac:dyDescent="0.25">
      <c r="C346" s="215"/>
      <c r="D346" s="216"/>
      <c r="E346" s="88"/>
      <c r="F346" s="217"/>
      <c r="G346" s="234"/>
      <c r="H346" s="218"/>
      <c r="I346" s="76"/>
      <c r="J346" s="77"/>
      <c r="K346" s="76"/>
      <c r="L346" s="78"/>
      <c r="M346" s="78"/>
      <c r="N346" s="76" t="s">
        <v>39</v>
      </c>
      <c r="O346" s="110"/>
      <c r="P346" s="152"/>
      <c r="Q346" s="111" t="str">
        <f>IFERROR(MIN(VLOOKUP(ROUNDDOWN(P346,0),'Aide calcul'!$B$2:$C$282,2,FALSE),O346+1),"")</f>
        <v/>
      </c>
      <c r="R346" s="112" t="str">
        <f t="shared" si="69"/>
        <v/>
      </c>
      <c r="S346" s="152"/>
      <c r="T346" s="152"/>
      <c r="U346" s="152"/>
      <c r="V346" s="152"/>
      <c r="W346" s="152"/>
      <c r="X346" s="152"/>
      <c r="Y346" s="152"/>
      <c r="Z346" s="76"/>
      <c r="AA346" s="76"/>
      <c r="AB346" s="113" t="str">
        <f>IF(C346="3111. Logements",ROUND(VLOOKUP(C346,'Informations générales'!$C$66:$E$70,3,FALSE)*(AL346/$AM$28)/12,0)*12,IF(C346="3112. Logements",ROUND(VLOOKUP(C346,'Informations générales'!$C$66:$E$70,3,FALSE)*(AL346/$AN$28)/12,0)*12,IF(C346="3113. Logements",ROUND(VLOOKUP(C346,'Informations générales'!$C$66:$E$70,3,FALSE)*(AL346/$AO$28)/12,0)*12,IF(C346="3114. Logements",ROUND(VLOOKUP(C346,'Informations générales'!$C$66:$E$70,3,FALSE)*(AL346/$AP$28)/12,0)*12,IF(C346="3115. Logements",ROUND(VLOOKUP(C346,'Informations générales'!$C$66:$E$70,3,FALSE)*(AL346/$AQ$28)/12,0)*12,"")))))</f>
        <v/>
      </c>
      <c r="AC346" s="114"/>
      <c r="AD346" s="113">
        <f t="shared" si="70"/>
        <v>0</v>
      </c>
      <c r="AE346" s="114"/>
      <c r="AF346" s="203" t="str">
        <f>IF(C346="3111. Logements",ROUND(VLOOKUP(C346,'Informations générales'!$C$66:$E$70,3,FALSE)*(AL346/$AM$28)/12,0)*12,IF(C346="3112. Logements",ROUND(VLOOKUP(C346,'Informations générales'!$C$66:$E$70,3,FALSE)*(AL346/$AN$28)/12,0)*12,IF(C346="3113. Logements",ROUND(VLOOKUP(C346,'Informations générales'!$C$66:$E$70,3,FALSE)*(AL346/$AO$28)/12,0)*12,IF(C346="3114. Logements",ROUND(VLOOKUP(C346,'Informations générales'!$C$66:$E$70,3,FALSE)*(AL346/$AP$28)/12,0)*12,IF(C346="3115. Logements",ROUND(VLOOKUP(C346,'Informations générales'!$C$66:$E$70,3,FALSE)*(AL346/$AQ$28)/12,0)*12,"")))))</f>
        <v/>
      </c>
      <c r="AG346" s="202"/>
      <c r="AH346" s="113" t="str">
        <f>IF(C346="3111. Logements",ROUND(VLOOKUP(C346,'Informations générales'!$C$66:$H$70,5,FALSE)*(AL346/$AM$28)/12,0)*12,IF(C346="3112. Logements",ROUND(VLOOKUP(C346,'Informations générales'!$C$66:$H$70,5,FALSE)*(AL346/$AN$28)/12,0)*12,IF(C346="3113. Logements",ROUND(VLOOKUP(C346,'Informations générales'!$C$66:$H$70,5,FALSE)*(AL346/$AO$28)/12,0)*12,IF(C346="3114. Logements",ROUND(VLOOKUP(C346,'Informations générales'!$C$66:$H$70,5,FALSE)*(AL346/$AP$28)/12,0)*12,IF(C346="3115. Logements",ROUND(VLOOKUP(C346,'Informations générales'!$C$66:$H$70,5,FALSE)*(AL346/$AQ$28)/12,0)*12,"")))))</f>
        <v/>
      </c>
      <c r="AI346" s="114"/>
      <c r="AJ346" s="114"/>
      <c r="AK346" s="76"/>
      <c r="AL346" s="58">
        <f t="shared" si="71"/>
        <v>0</v>
      </c>
      <c r="AM346" s="58"/>
      <c r="AN346" s="58"/>
      <c r="AO346" s="58"/>
      <c r="AP346" s="58"/>
      <c r="AQ346" s="58"/>
      <c r="AR346" s="58">
        <f t="shared" si="59"/>
        <v>0</v>
      </c>
      <c r="AS346" s="58">
        <f t="shared" si="60"/>
        <v>0</v>
      </c>
      <c r="AT346" s="58">
        <f t="shared" si="61"/>
        <v>0</v>
      </c>
      <c r="AU346" s="58">
        <f t="shared" si="62"/>
        <v>0</v>
      </c>
      <c r="AV346" s="58">
        <f t="shared" si="63"/>
        <v>0</v>
      </c>
      <c r="AW346" s="58">
        <f t="shared" si="64"/>
        <v>0</v>
      </c>
      <c r="AX346" s="58">
        <f t="shared" si="65"/>
        <v>0</v>
      </c>
      <c r="AY346" s="58">
        <f t="shared" si="72"/>
        <v>0</v>
      </c>
      <c r="AZ346" s="62">
        <f t="shared" si="66"/>
        <v>0</v>
      </c>
      <c r="BA346" s="63">
        <f t="shared" si="67"/>
        <v>0</v>
      </c>
      <c r="BB346" s="63">
        <f t="shared" si="68"/>
        <v>0</v>
      </c>
    </row>
    <row r="347" spans="3:54" s="17" customFormat="1" x14ac:dyDescent="0.25">
      <c r="C347" s="215"/>
      <c r="D347" s="216"/>
      <c r="E347" s="88"/>
      <c r="F347" s="217"/>
      <c r="G347" s="234"/>
      <c r="H347" s="218"/>
      <c r="I347" s="76"/>
      <c r="J347" s="77"/>
      <c r="K347" s="76"/>
      <c r="L347" s="78"/>
      <c r="M347" s="78"/>
      <c r="N347" s="76" t="s">
        <v>39</v>
      </c>
      <c r="O347" s="110"/>
      <c r="P347" s="152"/>
      <c r="Q347" s="111" t="str">
        <f>IFERROR(MIN(VLOOKUP(ROUNDDOWN(P347,0),'Aide calcul'!$B$2:$C$282,2,FALSE),O347+1),"")</f>
        <v/>
      </c>
      <c r="R347" s="112" t="str">
        <f t="shared" si="69"/>
        <v/>
      </c>
      <c r="S347" s="152"/>
      <c r="T347" s="152"/>
      <c r="U347" s="152"/>
      <c r="V347" s="152"/>
      <c r="W347" s="152"/>
      <c r="X347" s="152"/>
      <c r="Y347" s="152"/>
      <c r="Z347" s="76"/>
      <c r="AA347" s="76"/>
      <c r="AB347" s="113" t="str">
        <f>IF(C347="3111. Logements",ROUND(VLOOKUP(C347,'Informations générales'!$C$66:$E$70,3,FALSE)*(AL347/$AM$28)/12,0)*12,IF(C347="3112. Logements",ROUND(VLOOKUP(C347,'Informations générales'!$C$66:$E$70,3,FALSE)*(AL347/$AN$28)/12,0)*12,IF(C347="3113. Logements",ROUND(VLOOKUP(C347,'Informations générales'!$C$66:$E$70,3,FALSE)*(AL347/$AO$28)/12,0)*12,IF(C347="3114. Logements",ROUND(VLOOKUP(C347,'Informations générales'!$C$66:$E$70,3,FALSE)*(AL347/$AP$28)/12,0)*12,IF(C347="3115. Logements",ROUND(VLOOKUP(C347,'Informations générales'!$C$66:$E$70,3,FALSE)*(AL347/$AQ$28)/12,0)*12,"")))))</f>
        <v/>
      </c>
      <c r="AC347" s="114"/>
      <c r="AD347" s="113">
        <f t="shared" si="70"/>
        <v>0</v>
      </c>
      <c r="AE347" s="114"/>
      <c r="AF347" s="203" t="str">
        <f>IF(C347="3111. Logements",ROUND(VLOOKUP(C347,'Informations générales'!$C$66:$E$70,3,FALSE)*(AL347/$AM$28)/12,0)*12,IF(C347="3112. Logements",ROUND(VLOOKUP(C347,'Informations générales'!$C$66:$E$70,3,FALSE)*(AL347/$AN$28)/12,0)*12,IF(C347="3113. Logements",ROUND(VLOOKUP(C347,'Informations générales'!$C$66:$E$70,3,FALSE)*(AL347/$AO$28)/12,0)*12,IF(C347="3114. Logements",ROUND(VLOOKUP(C347,'Informations générales'!$C$66:$E$70,3,FALSE)*(AL347/$AP$28)/12,0)*12,IF(C347="3115. Logements",ROUND(VLOOKUP(C347,'Informations générales'!$C$66:$E$70,3,FALSE)*(AL347/$AQ$28)/12,0)*12,"")))))</f>
        <v/>
      </c>
      <c r="AG347" s="202"/>
      <c r="AH347" s="113" t="str">
        <f>IF(C347="3111. Logements",ROUND(VLOOKUP(C347,'Informations générales'!$C$66:$H$70,5,FALSE)*(AL347/$AM$28)/12,0)*12,IF(C347="3112. Logements",ROUND(VLOOKUP(C347,'Informations générales'!$C$66:$H$70,5,FALSE)*(AL347/$AN$28)/12,0)*12,IF(C347="3113. Logements",ROUND(VLOOKUP(C347,'Informations générales'!$C$66:$H$70,5,FALSE)*(AL347/$AO$28)/12,0)*12,IF(C347="3114. Logements",ROUND(VLOOKUP(C347,'Informations générales'!$C$66:$H$70,5,FALSE)*(AL347/$AP$28)/12,0)*12,IF(C347="3115. Logements",ROUND(VLOOKUP(C347,'Informations générales'!$C$66:$H$70,5,FALSE)*(AL347/$AQ$28)/12,0)*12,"")))))</f>
        <v/>
      </c>
      <c r="AI347" s="114"/>
      <c r="AJ347" s="114"/>
      <c r="AK347" s="76"/>
      <c r="AL347" s="58">
        <f t="shared" si="71"/>
        <v>0</v>
      </c>
      <c r="AM347" s="58"/>
      <c r="AN347" s="58"/>
      <c r="AO347" s="58"/>
      <c r="AP347" s="58"/>
      <c r="AQ347" s="58"/>
      <c r="AR347" s="58">
        <f t="shared" si="59"/>
        <v>0</v>
      </c>
      <c r="AS347" s="58">
        <f t="shared" si="60"/>
        <v>0</v>
      </c>
      <c r="AT347" s="58">
        <f t="shared" si="61"/>
        <v>0</v>
      </c>
      <c r="AU347" s="58">
        <f t="shared" si="62"/>
        <v>0</v>
      </c>
      <c r="AV347" s="58">
        <f t="shared" si="63"/>
        <v>0</v>
      </c>
      <c r="AW347" s="58">
        <f t="shared" si="64"/>
        <v>0</v>
      </c>
      <c r="AX347" s="58">
        <f t="shared" si="65"/>
        <v>0</v>
      </c>
      <c r="AY347" s="58">
        <f t="shared" si="72"/>
        <v>0</v>
      </c>
      <c r="AZ347" s="62">
        <f t="shared" si="66"/>
        <v>0</v>
      </c>
      <c r="BA347" s="63">
        <f t="shared" si="67"/>
        <v>0</v>
      </c>
      <c r="BB347" s="63">
        <f t="shared" si="68"/>
        <v>0</v>
      </c>
    </row>
    <row r="348" spans="3:54" s="17" customFormat="1" x14ac:dyDescent="0.25">
      <c r="C348" s="215"/>
      <c r="D348" s="216"/>
      <c r="E348" s="88"/>
      <c r="F348" s="217"/>
      <c r="G348" s="234"/>
      <c r="H348" s="218"/>
      <c r="I348" s="76"/>
      <c r="J348" s="77"/>
      <c r="K348" s="76"/>
      <c r="L348" s="78"/>
      <c r="M348" s="78"/>
      <c r="N348" s="76" t="s">
        <v>39</v>
      </c>
      <c r="O348" s="110"/>
      <c r="P348" s="152"/>
      <c r="Q348" s="111" t="str">
        <f>IFERROR(MIN(VLOOKUP(ROUNDDOWN(P348,0),'Aide calcul'!$B$2:$C$282,2,FALSE),O348+1),"")</f>
        <v/>
      </c>
      <c r="R348" s="112" t="str">
        <f t="shared" si="69"/>
        <v/>
      </c>
      <c r="S348" s="152"/>
      <c r="T348" s="152"/>
      <c r="U348" s="152"/>
      <c r="V348" s="152"/>
      <c r="W348" s="152"/>
      <c r="X348" s="152"/>
      <c r="Y348" s="152"/>
      <c r="Z348" s="76"/>
      <c r="AA348" s="76"/>
      <c r="AB348" s="113" t="str">
        <f>IF(C348="3111. Logements",ROUND(VLOOKUP(C348,'Informations générales'!$C$66:$E$70,3,FALSE)*(AL348/$AM$28)/12,0)*12,IF(C348="3112. Logements",ROUND(VLOOKUP(C348,'Informations générales'!$C$66:$E$70,3,FALSE)*(AL348/$AN$28)/12,0)*12,IF(C348="3113. Logements",ROUND(VLOOKUP(C348,'Informations générales'!$C$66:$E$70,3,FALSE)*(AL348/$AO$28)/12,0)*12,IF(C348="3114. Logements",ROUND(VLOOKUP(C348,'Informations générales'!$C$66:$E$70,3,FALSE)*(AL348/$AP$28)/12,0)*12,IF(C348="3115. Logements",ROUND(VLOOKUP(C348,'Informations générales'!$C$66:$E$70,3,FALSE)*(AL348/$AQ$28)/12,0)*12,"")))))</f>
        <v/>
      </c>
      <c r="AC348" s="114"/>
      <c r="AD348" s="113">
        <f t="shared" si="70"/>
        <v>0</v>
      </c>
      <c r="AE348" s="114"/>
      <c r="AF348" s="203" t="str">
        <f>IF(C348="3111. Logements",ROUND(VLOOKUP(C348,'Informations générales'!$C$66:$E$70,3,FALSE)*(AL348/$AM$28)/12,0)*12,IF(C348="3112. Logements",ROUND(VLOOKUP(C348,'Informations générales'!$C$66:$E$70,3,FALSE)*(AL348/$AN$28)/12,0)*12,IF(C348="3113. Logements",ROUND(VLOOKUP(C348,'Informations générales'!$C$66:$E$70,3,FALSE)*(AL348/$AO$28)/12,0)*12,IF(C348="3114. Logements",ROUND(VLOOKUP(C348,'Informations générales'!$C$66:$E$70,3,FALSE)*(AL348/$AP$28)/12,0)*12,IF(C348="3115. Logements",ROUND(VLOOKUP(C348,'Informations générales'!$C$66:$E$70,3,FALSE)*(AL348/$AQ$28)/12,0)*12,"")))))</f>
        <v/>
      </c>
      <c r="AG348" s="202"/>
      <c r="AH348" s="113" t="str">
        <f>IF(C348="3111. Logements",ROUND(VLOOKUP(C348,'Informations générales'!$C$66:$H$70,5,FALSE)*(AL348/$AM$28)/12,0)*12,IF(C348="3112. Logements",ROUND(VLOOKUP(C348,'Informations générales'!$C$66:$H$70,5,FALSE)*(AL348/$AN$28)/12,0)*12,IF(C348="3113. Logements",ROUND(VLOOKUP(C348,'Informations générales'!$C$66:$H$70,5,FALSE)*(AL348/$AO$28)/12,0)*12,IF(C348="3114. Logements",ROUND(VLOOKUP(C348,'Informations générales'!$C$66:$H$70,5,FALSE)*(AL348/$AP$28)/12,0)*12,IF(C348="3115. Logements",ROUND(VLOOKUP(C348,'Informations générales'!$C$66:$H$70,5,FALSE)*(AL348/$AQ$28)/12,0)*12,"")))))</f>
        <v/>
      </c>
      <c r="AI348" s="114"/>
      <c r="AJ348" s="114"/>
      <c r="AK348" s="76"/>
      <c r="AL348" s="58">
        <f t="shared" si="71"/>
        <v>0</v>
      </c>
      <c r="AM348" s="58"/>
      <c r="AN348" s="58"/>
      <c r="AO348" s="58"/>
      <c r="AP348" s="58"/>
      <c r="AQ348" s="58"/>
      <c r="AR348" s="58">
        <f t="shared" ref="AR348:AR411" si="73">S348*$E$13</f>
        <v>0</v>
      </c>
      <c r="AS348" s="58">
        <f t="shared" ref="AS348:AS411" si="74">T348*$E$14</f>
        <v>0</v>
      </c>
      <c r="AT348" s="58">
        <f t="shared" ref="AT348:AT411" si="75">U348*$E$15</f>
        <v>0</v>
      </c>
      <c r="AU348" s="58">
        <f t="shared" ref="AU348:AU411" si="76">V348*$E$16</f>
        <v>0</v>
      </c>
      <c r="AV348" s="58">
        <f t="shared" ref="AV348:AV411" si="77">W348*$E$17</f>
        <v>0</v>
      </c>
      <c r="AW348" s="58">
        <f t="shared" ref="AW348:AW411" si="78">X348*$E$18</f>
        <v>0</v>
      </c>
      <c r="AX348" s="58">
        <f t="shared" ref="AX348:AX411" si="79">Y348*$E$19</f>
        <v>0</v>
      </c>
      <c r="AY348" s="58">
        <f t="shared" si="72"/>
        <v>0</v>
      </c>
      <c r="AZ348" s="62">
        <f t="shared" ref="AZ348:AZ411" si="80">IFERROR(I348*$E$12,0)</f>
        <v>0</v>
      </c>
      <c r="BA348" s="63">
        <f t="shared" ref="BA348:BA411" si="81">IFERROR(VLOOKUP(Z348,$H$12:$I$22,2,FALSE),0)</f>
        <v>0</v>
      </c>
      <c r="BB348" s="63">
        <f t="shared" ref="BB348:BB411" si="82">IFERROR(VLOOKUP(AA348,$L$12:$N$19,3,FALSE),0)</f>
        <v>0</v>
      </c>
    </row>
    <row r="349" spans="3:54" s="17" customFormat="1" x14ac:dyDescent="0.25">
      <c r="C349" s="215"/>
      <c r="D349" s="216"/>
      <c r="E349" s="88"/>
      <c r="F349" s="217"/>
      <c r="G349" s="234"/>
      <c r="H349" s="218"/>
      <c r="I349" s="76"/>
      <c r="J349" s="77"/>
      <c r="K349" s="76"/>
      <c r="L349" s="78"/>
      <c r="M349" s="78"/>
      <c r="N349" s="76" t="s">
        <v>39</v>
      </c>
      <c r="O349" s="110"/>
      <c r="P349" s="152"/>
      <c r="Q349" s="111" t="str">
        <f>IFERROR(MIN(VLOOKUP(ROUNDDOWN(P349,0),'Aide calcul'!$B$2:$C$282,2,FALSE),O349+1),"")</f>
        <v/>
      </c>
      <c r="R349" s="112" t="str">
        <f t="shared" ref="R349:R412" si="83">IFERROR(TRUNC(Q349-0.5),"")</f>
        <v/>
      </c>
      <c r="S349" s="152"/>
      <c r="T349" s="152"/>
      <c r="U349" s="152"/>
      <c r="V349" s="152"/>
      <c r="W349" s="152"/>
      <c r="X349" s="152"/>
      <c r="Y349" s="152"/>
      <c r="Z349" s="76"/>
      <c r="AA349" s="76"/>
      <c r="AB349" s="113" t="str">
        <f>IF(C349="3111. Logements",ROUND(VLOOKUP(C349,'Informations générales'!$C$66:$E$70,3,FALSE)*(AL349/$AM$28)/12,0)*12,IF(C349="3112. Logements",ROUND(VLOOKUP(C349,'Informations générales'!$C$66:$E$70,3,FALSE)*(AL349/$AN$28)/12,0)*12,IF(C349="3113. Logements",ROUND(VLOOKUP(C349,'Informations générales'!$C$66:$E$70,3,FALSE)*(AL349/$AO$28)/12,0)*12,IF(C349="3114. Logements",ROUND(VLOOKUP(C349,'Informations générales'!$C$66:$E$70,3,FALSE)*(AL349/$AP$28)/12,0)*12,IF(C349="3115. Logements",ROUND(VLOOKUP(C349,'Informations générales'!$C$66:$E$70,3,FALSE)*(AL349/$AQ$28)/12,0)*12,"")))))</f>
        <v/>
      </c>
      <c r="AC349" s="114"/>
      <c r="AD349" s="113">
        <f t="shared" ref="AD349:AD412" si="84">MIN(AB349,AC349)</f>
        <v>0</v>
      </c>
      <c r="AE349" s="114"/>
      <c r="AF349" s="203" t="str">
        <f>IF(C349="3111. Logements",ROUND(VLOOKUP(C349,'Informations générales'!$C$66:$E$70,3,FALSE)*(AL349/$AM$28)/12,0)*12,IF(C349="3112. Logements",ROUND(VLOOKUP(C349,'Informations générales'!$C$66:$E$70,3,FALSE)*(AL349/$AN$28)/12,0)*12,IF(C349="3113. Logements",ROUND(VLOOKUP(C349,'Informations générales'!$C$66:$E$70,3,FALSE)*(AL349/$AO$28)/12,0)*12,IF(C349="3114. Logements",ROUND(VLOOKUP(C349,'Informations générales'!$C$66:$E$70,3,FALSE)*(AL349/$AP$28)/12,0)*12,IF(C349="3115. Logements",ROUND(VLOOKUP(C349,'Informations générales'!$C$66:$E$70,3,FALSE)*(AL349/$AQ$28)/12,0)*12,"")))))</f>
        <v/>
      </c>
      <c r="AG349" s="202"/>
      <c r="AH349" s="113" t="str">
        <f>IF(C349="3111. Logements",ROUND(VLOOKUP(C349,'Informations générales'!$C$66:$H$70,5,FALSE)*(AL349/$AM$28)/12,0)*12,IF(C349="3112. Logements",ROUND(VLOOKUP(C349,'Informations générales'!$C$66:$H$70,5,FALSE)*(AL349/$AN$28)/12,0)*12,IF(C349="3113. Logements",ROUND(VLOOKUP(C349,'Informations générales'!$C$66:$H$70,5,FALSE)*(AL349/$AO$28)/12,0)*12,IF(C349="3114. Logements",ROUND(VLOOKUP(C349,'Informations générales'!$C$66:$H$70,5,FALSE)*(AL349/$AP$28)/12,0)*12,IF(C349="3115. Logements",ROUND(VLOOKUP(C349,'Informations générales'!$C$66:$H$70,5,FALSE)*(AL349/$AQ$28)/12,0)*12,"")))))</f>
        <v/>
      </c>
      <c r="AI349" s="114"/>
      <c r="AJ349" s="114"/>
      <c r="AK349" s="76"/>
      <c r="AL349" s="58">
        <f t="shared" ref="AL349:AL412" si="85">AY349*(SUM(1,AZ349,BA349,BB349))</f>
        <v>0</v>
      </c>
      <c r="AM349" s="58"/>
      <c r="AN349" s="58"/>
      <c r="AO349" s="58"/>
      <c r="AP349" s="58"/>
      <c r="AQ349" s="58"/>
      <c r="AR349" s="58">
        <f t="shared" si="73"/>
        <v>0</v>
      </c>
      <c r="AS349" s="58">
        <f t="shared" si="74"/>
        <v>0</v>
      </c>
      <c r="AT349" s="58">
        <f t="shared" si="75"/>
        <v>0</v>
      </c>
      <c r="AU349" s="58">
        <f t="shared" si="76"/>
        <v>0</v>
      </c>
      <c r="AV349" s="58">
        <f t="shared" si="77"/>
        <v>0</v>
      </c>
      <c r="AW349" s="58">
        <f t="shared" si="78"/>
        <v>0</v>
      </c>
      <c r="AX349" s="58">
        <f t="shared" si="79"/>
        <v>0</v>
      </c>
      <c r="AY349" s="58">
        <f t="shared" ref="AY349:AY412" si="86">SUM(AR349:AX349)</f>
        <v>0</v>
      </c>
      <c r="AZ349" s="62">
        <f t="shared" si="80"/>
        <v>0</v>
      </c>
      <c r="BA349" s="63">
        <f t="shared" si="81"/>
        <v>0</v>
      </c>
      <c r="BB349" s="63">
        <f t="shared" si="82"/>
        <v>0</v>
      </c>
    </row>
    <row r="350" spans="3:54" s="17" customFormat="1" x14ac:dyDescent="0.25">
      <c r="C350" s="215"/>
      <c r="D350" s="216"/>
      <c r="E350" s="88"/>
      <c r="F350" s="217"/>
      <c r="G350" s="234"/>
      <c r="H350" s="218"/>
      <c r="I350" s="76"/>
      <c r="J350" s="77"/>
      <c r="K350" s="76"/>
      <c r="L350" s="78"/>
      <c r="M350" s="78"/>
      <c r="N350" s="76" t="s">
        <v>39</v>
      </c>
      <c r="O350" s="110"/>
      <c r="P350" s="152"/>
      <c r="Q350" s="111" t="str">
        <f>IFERROR(MIN(VLOOKUP(ROUNDDOWN(P350,0),'Aide calcul'!$B$2:$C$282,2,FALSE),O350+1),"")</f>
        <v/>
      </c>
      <c r="R350" s="112" t="str">
        <f t="shared" si="83"/>
        <v/>
      </c>
      <c r="S350" s="152"/>
      <c r="T350" s="152"/>
      <c r="U350" s="152"/>
      <c r="V350" s="152"/>
      <c r="W350" s="152"/>
      <c r="X350" s="152"/>
      <c r="Y350" s="152"/>
      <c r="Z350" s="76"/>
      <c r="AA350" s="76"/>
      <c r="AB350" s="113" t="str">
        <f>IF(C350="3111. Logements",ROUND(VLOOKUP(C350,'Informations générales'!$C$66:$E$70,3,FALSE)*(AL350/$AM$28)/12,0)*12,IF(C350="3112. Logements",ROUND(VLOOKUP(C350,'Informations générales'!$C$66:$E$70,3,FALSE)*(AL350/$AN$28)/12,0)*12,IF(C350="3113. Logements",ROUND(VLOOKUP(C350,'Informations générales'!$C$66:$E$70,3,FALSE)*(AL350/$AO$28)/12,0)*12,IF(C350="3114. Logements",ROUND(VLOOKUP(C350,'Informations générales'!$C$66:$E$70,3,FALSE)*(AL350/$AP$28)/12,0)*12,IF(C350="3115. Logements",ROUND(VLOOKUP(C350,'Informations générales'!$C$66:$E$70,3,FALSE)*(AL350/$AQ$28)/12,0)*12,"")))))</f>
        <v/>
      </c>
      <c r="AC350" s="114"/>
      <c r="AD350" s="113">
        <f t="shared" si="84"/>
        <v>0</v>
      </c>
      <c r="AE350" s="114"/>
      <c r="AF350" s="203" t="str">
        <f>IF(C350="3111. Logements",ROUND(VLOOKUP(C350,'Informations générales'!$C$66:$E$70,3,FALSE)*(AL350/$AM$28)/12,0)*12,IF(C350="3112. Logements",ROUND(VLOOKUP(C350,'Informations générales'!$C$66:$E$70,3,FALSE)*(AL350/$AN$28)/12,0)*12,IF(C350="3113. Logements",ROUND(VLOOKUP(C350,'Informations générales'!$C$66:$E$70,3,FALSE)*(AL350/$AO$28)/12,0)*12,IF(C350="3114. Logements",ROUND(VLOOKUP(C350,'Informations générales'!$C$66:$E$70,3,FALSE)*(AL350/$AP$28)/12,0)*12,IF(C350="3115. Logements",ROUND(VLOOKUP(C350,'Informations générales'!$C$66:$E$70,3,FALSE)*(AL350/$AQ$28)/12,0)*12,"")))))</f>
        <v/>
      </c>
      <c r="AG350" s="202"/>
      <c r="AH350" s="113" t="str">
        <f>IF(C350="3111. Logements",ROUND(VLOOKUP(C350,'Informations générales'!$C$66:$H$70,5,FALSE)*(AL350/$AM$28)/12,0)*12,IF(C350="3112. Logements",ROUND(VLOOKUP(C350,'Informations générales'!$C$66:$H$70,5,FALSE)*(AL350/$AN$28)/12,0)*12,IF(C350="3113. Logements",ROUND(VLOOKUP(C350,'Informations générales'!$C$66:$H$70,5,FALSE)*(AL350/$AO$28)/12,0)*12,IF(C350="3114. Logements",ROUND(VLOOKUP(C350,'Informations générales'!$C$66:$H$70,5,FALSE)*(AL350/$AP$28)/12,0)*12,IF(C350="3115. Logements",ROUND(VLOOKUP(C350,'Informations générales'!$C$66:$H$70,5,FALSE)*(AL350/$AQ$28)/12,0)*12,"")))))</f>
        <v/>
      </c>
      <c r="AI350" s="114"/>
      <c r="AJ350" s="114"/>
      <c r="AK350" s="76"/>
      <c r="AL350" s="58">
        <f t="shared" si="85"/>
        <v>0</v>
      </c>
      <c r="AM350" s="58"/>
      <c r="AN350" s="58"/>
      <c r="AO350" s="58"/>
      <c r="AP350" s="58"/>
      <c r="AQ350" s="58"/>
      <c r="AR350" s="58">
        <f t="shared" si="73"/>
        <v>0</v>
      </c>
      <c r="AS350" s="58">
        <f t="shared" si="74"/>
        <v>0</v>
      </c>
      <c r="AT350" s="58">
        <f t="shared" si="75"/>
        <v>0</v>
      </c>
      <c r="AU350" s="58">
        <f t="shared" si="76"/>
        <v>0</v>
      </c>
      <c r="AV350" s="58">
        <f t="shared" si="77"/>
        <v>0</v>
      </c>
      <c r="AW350" s="58">
        <f t="shared" si="78"/>
        <v>0</v>
      </c>
      <c r="AX350" s="58">
        <f t="shared" si="79"/>
        <v>0</v>
      </c>
      <c r="AY350" s="58">
        <f t="shared" si="86"/>
        <v>0</v>
      </c>
      <c r="AZ350" s="62">
        <f t="shared" si="80"/>
        <v>0</v>
      </c>
      <c r="BA350" s="63">
        <f t="shared" si="81"/>
        <v>0</v>
      </c>
      <c r="BB350" s="63">
        <f t="shared" si="82"/>
        <v>0</v>
      </c>
    </row>
    <row r="351" spans="3:54" s="17" customFormat="1" x14ac:dyDescent="0.25">
      <c r="C351" s="215"/>
      <c r="D351" s="216"/>
      <c r="E351" s="88"/>
      <c r="F351" s="217"/>
      <c r="G351" s="234"/>
      <c r="H351" s="218"/>
      <c r="I351" s="76"/>
      <c r="J351" s="77"/>
      <c r="K351" s="76"/>
      <c r="L351" s="78"/>
      <c r="M351" s="78"/>
      <c r="N351" s="76" t="s">
        <v>39</v>
      </c>
      <c r="O351" s="110"/>
      <c r="P351" s="152"/>
      <c r="Q351" s="111" t="str">
        <f>IFERROR(MIN(VLOOKUP(ROUNDDOWN(P351,0),'Aide calcul'!$B$2:$C$282,2,FALSE),O351+1),"")</f>
        <v/>
      </c>
      <c r="R351" s="112" t="str">
        <f t="shared" si="83"/>
        <v/>
      </c>
      <c r="S351" s="152"/>
      <c r="T351" s="152"/>
      <c r="U351" s="152"/>
      <c r="V351" s="152"/>
      <c r="W351" s="152"/>
      <c r="X351" s="152"/>
      <c r="Y351" s="152"/>
      <c r="Z351" s="76"/>
      <c r="AA351" s="76"/>
      <c r="AB351" s="113" t="str">
        <f>IF(C351="3111. Logements",ROUND(VLOOKUP(C351,'Informations générales'!$C$66:$E$70,3,FALSE)*(AL351/$AM$28)/12,0)*12,IF(C351="3112. Logements",ROUND(VLOOKUP(C351,'Informations générales'!$C$66:$E$70,3,FALSE)*(AL351/$AN$28)/12,0)*12,IF(C351="3113. Logements",ROUND(VLOOKUP(C351,'Informations générales'!$C$66:$E$70,3,FALSE)*(AL351/$AO$28)/12,0)*12,IF(C351="3114. Logements",ROUND(VLOOKUP(C351,'Informations générales'!$C$66:$E$70,3,FALSE)*(AL351/$AP$28)/12,0)*12,IF(C351="3115. Logements",ROUND(VLOOKUP(C351,'Informations générales'!$C$66:$E$70,3,FALSE)*(AL351/$AQ$28)/12,0)*12,"")))))</f>
        <v/>
      </c>
      <c r="AC351" s="114"/>
      <c r="AD351" s="113">
        <f t="shared" si="84"/>
        <v>0</v>
      </c>
      <c r="AE351" s="114"/>
      <c r="AF351" s="203" t="str">
        <f>IF(C351="3111. Logements",ROUND(VLOOKUP(C351,'Informations générales'!$C$66:$E$70,3,FALSE)*(AL351/$AM$28)/12,0)*12,IF(C351="3112. Logements",ROUND(VLOOKUP(C351,'Informations générales'!$C$66:$E$70,3,FALSE)*(AL351/$AN$28)/12,0)*12,IF(C351="3113. Logements",ROUND(VLOOKUP(C351,'Informations générales'!$C$66:$E$70,3,FALSE)*(AL351/$AO$28)/12,0)*12,IF(C351="3114. Logements",ROUND(VLOOKUP(C351,'Informations générales'!$C$66:$E$70,3,FALSE)*(AL351/$AP$28)/12,0)*12,IF(C351="3115. Logements",ROUND(VLOOKUP(C351,'Informations générales'!$C$66:$E$70,3,FALSE)*(AL351/$AQ$28)/12,0)*12,"")))))</f>
        <v/>
      </c>
      <c r="AG351" s="202"/>
      <c r="AH351" s="113" t="str">
        <f>IF(C351="3111. Logements",ROUND(VLOOKUP(C351,'Informations générales'!$C$66:$H$70,5,FALSE)*(AL351/$AM$28)/12,0)*12,IF(C351="3112. Logements",ROUND(VLOOKUP(C351,'Informations générales'!$C$66:$H$70,5,FALSE)*(AL351/$AN$28)/12,0)*12,IF(C351="3113. Logements",ROUND(VLOOKUP(C351,'Informations générales'!$C$66:$H$70,5,FALSE)*(AL351/$AO$28)/12,0)*12,IF(C351="3114. Logements",ROUND(VLOOKUP(C351,'Informations générales'!$C$66:$H$70,5,FALSE)*(AL351/$AP$28)/12,0)*12,IF(C351="3115. Logements",ROUND(VLOOKUP(C351,'Informations générales'!$C$66:$H$70,5,FALSE)*(AL351/$AQ$28)/12,0)*12,"")))))</f>
        <v/>
      </c>
      <c r="AI351" s="114"/>
      <c r="AJ351" s="114"/>
      <c r="AK351" s="76"/>
      <c r="AL351" s="58">
        <f t="shared" si="85"/>
        <v>0</v>
      </c>
      <c r="AM351" s="58"/>
      <c r="AN351" s="58"/>
      <c r="AO351" s="58"/>
      <c r="AP351" s="58"/>
      <c r="AQ351" s="58"/>
      <c r="AR351" s="58">
        <f t="shared" si="73"/>
        <v>0</v>
      </c>
      <c r="AS351" s="58">
        <f t="shared" si="74"/>
        <v>0</v>
      </c>
      <c r="AT351" s="58">
        <f t="shared" si="75"/>
        <v>0</v>
      </c>
      <c r="AU351" s="58">
        <f t="shared" si="76"/>
        <v>0</v>
      </c>
      <c r="AV351" s="58">
        <f t="shared" si="77"/>
        <v>0</v>
      </c>
      <c r="AW351" s="58">
        <f t="shared" si="78"/>
        <v>0</v>
      </c>
      <c r="AX351" s="58">
        <f t="shared" si="79"/>
        <v>0</v>
      </c>
      <c r="AY351" s="58">
        <f t="shared" si="86"/>
        <v>0</v>
      </c>
      <c r="AZ351" s="62">
        <f t="shared" si="80"/>
        <v>0</v>
      </c>
      <c r="BA351" s="63">
        <f t="shared" si="81"/>
        <v>0</v>
      </c>
      <c r="BB351" s="63">
        <f t="shared" si="82"/>
        <v>0</v>
      </c>
    </row>
    <row r="352" spans="3:54" s="17" customFormat="1" x14ac:dyDescent="0.25">
      <c r="C352" s="215"/>
      <c r="D352" s="216"/>
      <c r="E352" s="88"/>
      <c r="F352" s="217"/>
      <c r="G352" s="234"/>
      <c r="H352" s="218"/>
      <c r="I352" s="76"/>
      <c r="J352" s="77"/>
      <c r="K352" s="76"/>
      <c r="L352" s="78"/>
      <c r="M352" s="78"/>
      <c r="N352" s="76" t="s">
        <v>39</v>
      </c>
      <c r="O352" s="110"/>
      <c r="P352" s="152"/>
      <c r="Q352" s="111" t="str">
        <f>IFERROR(MIN(VLOOKUP(ROUNDDOWN(P352,0),'Aide calcul'!$B$2:$C$282,2,FALSE),O352+1),"")</f>
        <v/>
      </c>
      <c r="R352" s="112" t="str">
        <f t="shared" si="83"/>
        <v/>
      </c>
      <c r="S352" s="152"/>
      <c r="T352" s="152"/>
      <c r="U352" s="152"/>
      <c r="V352" s="152"/>
      <c r="W352" s="152"/>
      <c r="X352" s="152"/>
      <c r="Y352" s="152"/>
      <c r="Z352" s="76"/>
      <c r="AA352" s="76"/>
      <c r="AB352" s="113" t="str">
        <f>IF(C352="3111. Logements",ROUND(VLOOKUP(C352,'Informations générales'!$C$66:$E$70,3,FALSE)*(AL352/$AM$28)/12,0)*12,IF(C352="3112. Logements",ROUND(VLOOKUP(C352,'Informations générales'!$C$66:$E$70,3,FALSE)*(AL352/$AN$28)/12,0)*12,IF(C352="3113. Logements",ROUND(VLOOKUP(C352,'Informations générales'!$C$66:$E$70,3,FALSE)*(AL352/$AO$28)/12,0)*12,IF(C352="3114. Logements",ROUND(VLOOKUP(C352,'Informations générales'!$C$66:$E$70,3,FALSE)*(AL352/$AP$28)/12,0)*12,IF(C352="3115. Logements",ROUND(VLOOKUP(C352,'Informations générales'!$C$66:$E$70,3,FALSE)*(AL352/$AQ$28)/12,0)*12,"")))))</f>
        <v/>
      </c>
      <c r="AC352" s="114"/>
      <c r="AD352" s="113">
        <f t="shared" si="84"/>
        <v>0</v>
      </c>
      <c r="AE352" s="114"/>
      <c r="AF352" s="203" t="str">
        <f>IF(C352="3111. Logements",ROUND(VLOOKUP(C352,'Informations générales'!$C$66:$E$70,3,FALSE)*(AL352/$AM$28)/12,0)*12,IF(C352="3112. Logements",ROUND(VLOOKUP(C352,'Informations générales'!$C$66:$E$70,3,FALSE)*(AL352/$AN$28)/12,0)*12,IF(C352="3113. Logements",ROUND(VLOOKUP(C352,'Informations générales'!$C$66:$E$70,3,FALSE)*(AL352/$AO$28)/12,0)*12,IF(C352="3114. Logements",ROUND(VLOOKUP(C352,'Informations générales'!$C$66:$E$70,3,FALSE)*(AL352/$AP$28)/12,0)*12,IF(C352="3115. Logements",ROUND(VLOOKUP(C352,'Informations générales'!$C$66:$E$70,3,FALSE)*(AL352/$AQ$28)/12,0)*12,"")))))</f>
        <v/>
      </c>
      <c r="AG352" s="202"/>
      <c r="AH352" s="113" t="str">
        <f>IF(C352="3111. Logements",ROUND(VLOOKUP(C352,'Informations générales'!$C$66:$H$70,5,FALSE)*(AL352/$AM$28)/12,0)*12,IF(C352="3112. Logements",ROUND(VLOOKUP(C352,'Informations générales'!$C$66:$H$70,5,FALSE)*(AL352/$AN$28)/12,0)*12,IF(C352="3113. Logements",ROUND(VLOOKUP(C352,'Informations générales'!$C$66:$H$70,5,FALSE)*(AL352/$AO$28)/12,0)*12,IF(C352="3114. Logements",ROUND(VLOOKUP(C352,'Informations générales'!$C$66:$H$70,5,FALSE)*(AL352/$AP$28)/12,0)*12,IF(C352="3115. Logements",ROUND(VLOOKUP(C352,'Informations générales'!$C$66:$H$70,5,FALSE)*(AL352/$AQ$28)/12,0)*12,"")))))</f>
        <v/>
      </c>
      <c r="AI352" s="114"/>
      <c r="AJ352" s="114"/>
      <c r="AK352" s="76"/>
      <c r="AL352" s="58">
        <f t="shared" si="85"/>
        <v>0</v>
      </c>
      <c r="AM352" s="58"/>
      <c r="AN352" s="58"/>
      <c r="AO352" s="58"/>
      <c r="AP352" s="58"/>
      <c r="AQ352" s="58"/>
      <c r="AR352" s="58">
        <f t="shared" si="73"/>
        <v>0</v>
      </c>
      <c r="AS352" s="58">
        <f t="shared" si="74"/>
        <v>0</v>
      </c>
      <c r="AT352" s="58">
        <f t="shared" si="75"/>
        <v>0</v>
      </c>
      <c r="AU352" s="58">
        <f t="shared" si="76"/>
        <v>0</v>
      </c>
      <c r="AV352" s="58">
        <f t="shared" si="77"/>
        <v>0</v>
      </c>
      <c r="AW352" s="58">
        <f t="shared" si="78"/>
        <v>0</v>
      </c>
      <c r="AX352" s="58">
        <f t="shared" si="79"/>
        <v>0</v>
      </c>
      <c r="AY352" s="58">
        <f t="shared" si="86"/>
        <v>0</v>
      </c>
      <c r="AZ352" s="62">
        <f t="shared" si="80"/>
        <v>0</v>
      </c>
      <c r="BA352" s="63">
        <f t="shared" si="81"/>
        <v>0</v>
      </c>
      <c r="BB352" s="63">
        <f t="shared" si="82"/>
        <v>0</v>
      </c>
    </row>
    <row r="353" spans="3:54" s="17" customFormat="1" x14ac:dyDescent="0.25">
      <c r="C353" s="215"/>
      <c r="D353" s="216"/>
      <c r="E353" s="88"/>
      <c r="F353" s="217"/>
      <c r="G353" s="234"/>
      <c r="H353" s="218"/>
      <c r="I353" s="76"/>
      <c r="J353" s="77"/>
      <c r="K353" s="76"/>
      <c r="L353" s="78"/>
      <c r="M353" s="78"/>
      <c r="N353" s="76" t="s">
        <v>39</v>
      </c>
      <c r="O353" s="110"/>
      <c r="P353" s="152"/>
      <c r="Q353" s="111" t="str">
        <f>IFERROR(MIN(VLOOKUP(ROUNDDOWN(P353,0),'Aide calcul'!$B$2:$C$282,2,FALSE),O353+1),"")</f>
        <v/>
      </c>
      <c r="R353" s="112" t="str">
        <f t="shared" si="83"/>
        <v/>
      </c>
      <c r="S353" s="152"/>
      <c r="T353" s="152"/>
      <c r="U353" s="152"/>
      <c r="V353" s="152"/>
      <c r="W353" s="152"/>
      <c r="X353" s="152"/>
      <c r="Y353" s="152"/>
      <c r="Z353" s="76"/>
      <c r="AA353" s="76"/>
      <c r="AB353" s="113" t="str">
        <f>IF(C353="3111. Logements",ROUND(VLOOKUP(C353,'Informations générales'!$C$66:$E$70,3,FALSE)*(AL353/$AM$28)/12,0)*12,IF(C353="3112. Logements",ROUND(VLOOKUP(C353,'Informations générales'!$C$66:$E$70,3,FALSE)*(AL353/$AN$28)/12,0)*12,IF(C353="3113. Logements",ROUND(VLOOKUP(C353,'Informations générales'!$C$66:$E$70,3,FALSE)*(AL353/$AO$28)/12,0)*12,IF(C353="3114. Logements",ROUND(VLOOKUP(C353,'Informations générales'!$C$66:$E$70,3,FALSE)*(AL353/$AP$28)/12,0)*12,IF(C353="3115. Logements",ROUND(VLOOKUP(C353,'Informations générales'!$C$66:$E$70,3,FALSE)*(AL353/$AQ$28)/12,0)*12,"")))))</f>
        <v/>
      </c>
      <c r="AC353" s="114"/>
      <c r="AD353" s="113">
        <f t="shared" si="84"/>
        <v>0</v>
      </c>
      <c r="AE353" s="114"/>
      <c r="AF353" s="203" t="str">
        <f>IF(C353="3111. Logements",ROUND(VLOOKUP(C353,'Informations générales'!$C$66:$E$70,3,FALSE)*(AL353/$AM$28)/12,0)*12,IF(C353="3112. Logements",ROUND(VLOOKUP(C353,'Informations générales'!$C$66:$E$70,3,FALSE)*(AL353/$AN$28)/12,0)*12,IF(C353="3113. Logements",ROUND(VLOOKUP(C353,'Informations générales'!$C$66:$E$70,3,FALSE)*(AL353/$AO$28)/12,0)*12,IF(C353="3114. Logements",ROUND(VLOOKUP(C353,'Informations générales'!$C$66:$E$70,3,FALSE)*(AL353/$AP$28)/12,0)*12,IF(C353="3115. Logements",ROUND(VLOOKUP(C353,'Informations générales'!$C$66:$E$70,3,FALSE)*(AL353/$AQ$28)/12,0)*12,"")))))</f>
        <v/>
      </c>
      <c r="AG353" s="202"/>
      <c r="AH353" s="113" t="str">
        <f>IF(C353="3111. Logements",ROUND(VLOOKUP(C353,'Informations générales'!$C$66:$H$70,5,FALSE)*(AL353/$AM$28)/12,0)*12,IF(C353="3112. Logements",ROUND(VLOOKUP(C353,'Informations générales'!$C$66:$H$70,5,FALSE)*(AL353/$AN$28)/12,0)*12,IF(C353="3113. Logements",ROUND(VLOOKUP(C353,'Informations générales'!$C$66:$H$70,5,FALSE)*(AL353/$AO$28)/12,0)*12,IF(C353="3114. Logements",ROUND(VLOOKUP(C353,'Informations générales'!$C$66:$H$70,5,FALSE)*(AL353/$AP$28)/12,0)*12,IF(C353="3115. Logements",ROUND(VLOOKUP(C353,'Informations générales'!$C$66:$H$70,5,FALSE)*(AL353/$AQ$28)/12,0)*12,"")))))</f>
        <v/>
      </c>
      <c r="AI353" s="114"/>
      <c r="AJ353" s="114"/>
      <c r="AK353" s="76"/>
      <c r="AL353" s="58">
        <f t="shared" si="85"/>
        <v>0</v>
      </c>
      <c r="AM353" s="58"/>
      <c r="AN353" s="58"/>
      <c r="AO353" s="58"/>
      <c r="AP353" s="58"/>
      <c r="AQ353" s="58"/>
      <c r="AR353" s="58">
        <f t="shared" si="73"/>
        <v>0</v>
      </c>
      <c r="AS353" s="58">
        <f t="shared" si="74"/>
        <v>0</v>
      </c>
      <c r="AT353" s="58">
        <f t="shared" si="75"/>
        <v>0</v>
      </c>
      <c r="AU353" s="58">
        <f t="shared" si="76"/>
        <v>0</v>
      </c>
      <c r="AV353" s="58">
        <f t="shared" si="77"/>
        <v>0</v>
      </c>
      <c r="AW353" s="58">
        <f t="shared" si="78"/>
        <v>0</v>
      </c>
      <c r="AX353" s="58">
        <f t="shared" si="79"/>
        <v>0</v>
      </c>
      <c r="AY353" s="58">
        <f t="shared" si="86"/>
        <v>0</v>
      </c>
      <c r="AZ353" s="62">
        <f t="shared" si="80"/>
        <v>0</v>
      </c>
      <c r="BA353" s="63">
        <f t="shared" si="81"/>
        <v>0</v>
      </c>
      <c r="BB353" s="63">
        <f t="shared" si="82"/>
        <v>0</v>
      </c>
    </row>
    <row r="354" spans="3:54" s="17" customFormat="1" x14ac:dyDescent="0.25">
      <c r="C354" s="215"/>
      <c r="D354" s="216"/>
      <c r="E354" s="88"/>
      <c r="F354" s="217"/>
      <c r="G354" s="234"/>
      <c r="H354" s="218"/>
      <c r="I354" s="76"/>
      <c r="J354" s="77"/>
      <c r="K354" s="76"/>
      <c r="L354" s="78"/>
      <c r="M354" s="78"/>
      <c r="N354" s="76" t="s">
        <v>39</v>
      </c>
      <c r="O354" s="110"/>
      <c r="P354" s="152"/>
      <c r="Q354" s="111" t="str">
        <f>IFERROR(MIN(VLOOKUP(ROUNDDOWN(P354,0),'Aide calcul'!$B$2:$C$282,2,FALSE),O354+1),"")</f>
        <v/>
      </c>
      <c r="R354" s="112" t="str">
        <f t="shared" si="83"/>
        <v/>
      </c>
      <c r="S354" s="152"/>
      <c r="T354" s="152"/>
      <c r="U354" s="152"/>
      <c r="V354" s="152"/>
      <c r="W354" s="152"/>
      <c r="X354" s="152"/>
      <c r="Y354" s="152"/>
      <c r="Z354" s="76"/>
      <c r="AA354" s="76"/>
      <c r="AB354" s="113" t="str">
        <f>IF(C354="3111. Logements",ROUND(VLOOKUP(C354,'Informations générales'!$C$66:$E$70,3,FALSE)*(AL354/$AM$28)/12,0)*12,IF(C354="3112. Logements",ROUND(VLOOKUP(C354,'Informations générales'!$C$66:$E$70,3,FALSE)*(AL354/$AN$28)/12,0)*12,IF(C354="3113. Logements",ROUND(VLOOKUP(C354,'Informations générales'!$C$66:$E$70,3,FALSE)*(AL354/$AO$28)/12,0)*12,IF(C354="3114. Logements",ROUND(VLOOKUP(C354,'Informations générales'!$C$66:$E$70,3,FALSE)*(AL354/$AP$28)/12,0)*12,IF(C354="3115. Logements",ROUND(VLOOKUP(C354,'Informations générales'!$C$66:$E$70,3,FALSE)*(AL354/$AQ$28)/12,0)*12,"")))))</f>
        <v/>
      </c>
      <c r="AC354" s="114"/>
      <c r="AD354" s="113">
        <f t="shared" si="84"/>
        <v>0</v>
      </c>
      <c r="AE354" s="114"/>
      <c r="AF354" s="203" t="str">
        <f>IF(C354="3111. Logements",ROUND(VLOOKUP(C354,'Informations générales'!$C$66:$E$70,3,FALSE)*(AL354/$AM$28)/12,0)*12,IF(C354="3112. Logements",ROUND(VLOOKUP(C354,'Informations générales'!$C$66:$E$70,3,FALSE)*(AL354/$AN$28)/12,0)*12,IF(C354="3113. Logements",ROUND(VLOOKUP(C354,'Informations générales'!$C$66:$E$70,3,FALSE)*(AL354/$AO$28)/12,0)*12,IF(C354="3114. Logements",ROUND(VLOOKUP(C354,'Informations générales'!$C$66:$E$70,3,FALSE)*(AL354/$AP$28)/12,0)*12,IF(C354="3115. Logements",ROUND(VLOOKUP(C354,'Informations générales'!$C$66:$E$70,3,FALSE)*(AL354/$AQ$28)/12,0)*12,"")))))</f>
        <v/>
      </c>
      <c r="AG354" s="202"/>
      <c r="AH354" s="113" t="str">
        <f>IF(C354="3111. Logements",ROUND(VLOOKUP(C354,'Informations générales'!$C$66:$H$70,5,FALSE)*(AL354/$AM$28)/12,0)*12,IF(C354="3112. Logements",ROUND(VLOOKUP(C354,'Informations générales'!$C$66:$H$70,5,FALSE)*(AL354/$AN$28)/12,0)*12,IF(C354="3113. Logements",ROUND(VLOOKUP(C354,'Informations générales'!$C$66:$H$70,5,FALSE)*(AL354/$AO$28)/12,0)*12,IF(C354="3114. Logements",ROUND(VLOOKUP(C354,'Informations générales'!$C$66:$H$70,5,FALSE)*(AL354/$AP$28)/12,0)*12,IF(C354="3115. Logements",ROUND(VLOOKUP(C354,'Informations générales'!$C$66:$H$70,5,FALSE)*(AL354/$AQ$28)/12,0)*12,"")))))</f>
        <v/>
      </c>
      <c r="AI354" s="114"/>
      <c r="AJ354" s="114"/>
      <c r="AK354" s="76"/>
      <c r="AL354" s="58">
        <f t="shared" si="85"/>
        <v>0</v>
      </c>
      <c r="AM354" s="58"/>
      <c r="AN354" s="58"/>
      <c r="AO354" s="58"/>
      <c r="AP354" s="58"/>
      <c r="AQ354" s="58"/>
      <c r="AR354" s="58">
        <f t="shared" si="73"/>
        <v>0</v>
      </c>
      <c r="AS354" s="58">
        <f t="shared" si="74"/>
        <v>0</v>
      </c>
      <c r="AT354" s="58">
        <f t="shared" si="75"/>
        <v>0</v>
      </c>
      <c r="AU354" s="58">
        <f t="shared" si="76"/>
        <v>0</v>
      </c>
      <c r="AV354" s="58">
        <f t="shared" si="77"/>
        <v>0</v>
      </c>
      <c r="AW354" s="58">
        <f t="shared" si="78"/>
        <v>0</v>
      </c>
      <c r="AX354" s="58">
        <f t="shared" si="79"/>
        <v>0</v>
      </c>
      <c r="AY354" s="58">
        <f t="shared" si="86"/>
        <v>0</v>
      </c>
      <c r="AZ354" s="62">
        <f t="shared" si="80"/>
        <v>0</v>
      </c>
      <c r="BA354" s="63">
        <f t="shared" si="81"/>
        <v>0</v>
      </c>
      <c r="BB354" s="63">
        <f t="shared" si="82"/>
        <v>0</v>
      </c>
    </row>
    <row r="355" spans="3:54" s="17" customFormat="1" x14ac:dyDescent="0.25">
      <c r="C355" s="215"/>
      <c r="D355" s="216"/>
      <c r="E355" s="88"/>
      <c r="F355" s="217"/>
      <c r="G355" s="234"/>
      <c r="H355" s="218"/>
      <c r="I355" s="76"/>
      <c r="J355" s="77"/>
      <c r="K355" s="76"/>
      <c r="L355" s="78"/>
      <c r="M355" s="78"/>
      <c r="N355" s="76" t="s">
        <v>39</v>
      </c>
      <c r="O355" s="110"/>
      <c r="P355" s="152"/>
      <c r="Q355" s="111" t="str">
        <f>IFERROR(MIN(VLOOKUP(ROUNDDOWN(P355,0),'Aide calcul'!$B$2:$C$282,2,FALSE),O355+1),"")</f>
        <v/>
      </c>
      <c r="R355" s="112" t="str">
        <f t="shared" si="83"/>
        <v/>
      </c>
      <c r="S355" s="152"/>
      <c r="T355" s="152"/>
      <c r="U355" s="152"/>
      <c r="V355" s="152"/>
      <c r="W355" s="152"/>
      <c r="X355" s="152"/>
      <c r="Y355" s="152"/>
      <c r="Z355" s="76"/>
      <c r="AA355" s="76"/>
      <c r="AB355" s="113" t="str">
        <f>IF(C355="3111. Logements",ROUND(VLOOKUP(C355,'Informations générales'!$C$66:$E$70,3,FALSE)*(AL355/$AM$28)/12,0)*12,IF(C355="3112. Logements",ROUND(VLOOKUP(C355,'Informations générales'!$C$66:$E$70,3,FALSE)*(AL355/$AN$28)/12,0)*12,IF(C355="3113. Logements",ROUND(VLOOKUP(C355,'Informations générales'!$C$66:$E$70,3,FALSE)*(AL355/$AO$28)/12,0)*12,IF(C355="3114. Logements",ROUND(VLOOKUP(C355,'Informations générales'!$C$66:$E$70,3,FALSE)*(AL355/$AP$28)/12,0)*12,IF(C355="3115. Logements",ROUND(VLOOKUP(C355,'Informations générales'!$C$66:$E$70,3,FALSE)*(AL355/$AQ$28)/12,0)*12,"")))))</f>
        <v/>
      </c>
      <c r="AC355" s="114"/>
      <c r="AD355" s="113">
        <f t="shared" si="84"/>
        <v>0</v>
      </c>
      <c r="AE355" s="114"/>
      <c r="AF355" s="203" t="str">
        <f>IF(C355="3111. Logements",ROUND(VLOOKUP(C355,'Informations générales'!$C$66:$E$70,3,FALSE)*(AL355/$AM$28)/12,0)*12,IF(C355="3112. Logements",ROUND(VLOOKUP(C355,'Informations générales'!$C$66:$E$70,3,FALSE)*(AL355/$AN$28)/12,0)*12,IF(C355="3113. Logements",ROUND(VLOOKUP(C355,'Informations générales'!$C$66:$E$70,3,FALSE)*(AL355/$AO$28)/12,0)*12,IF(C355="3114. Logements",ROUND(VLOOKUP(C355,'Informations générales'!$C$66:$E$70,3,FALSE)*(AL355/$AP$28)/12,0)*12,IF(C355="3115. Logements",ROUND(VLOOKUP(C355,'Informations générales'!$C$66:$E$70,3,FALSE)*(AL355/$AQ$28)/12,0)*12,"")))))</f>
        <v/>
      </c>
      <c r="AG355" s="202"/>
      <c r="AH355" s="113" t="str">
        <f>IF(C355="3111. Logements",ROUND(VLOOKUP(C355,'Informations générales'!$C$66:$H$70,5,FALSE)*(AL355/$AM$28)/12,0)*12,IF(C355="3112. Logements",ROUND(VLOOKUP(C355,'Informations générales'!$C$66:$H$70,5,FALSE)*(AL355/$AN$28)/12,0)*12,IF(C355="3113. Logements",ROUND(VLOOKUP(C355,'Informations générales'!$C$66:$H$70,5,FALSE)*(AL355/$AO$28)/12,0)*12,IF(C355="3114. Logements",ROUND(VLOOKUP(C355,'Informations générales'!$C$66:$H$70,5,FALSE)*(AL355/$AP$28)/12,0)*12,IF(C355="3115. Logements",ROUND(VLOOKUP(C355,'Informations générales'!$C$66:$H$70,5,FALSE)*(AL355/$AQ$28)/12,0)*12,"")))))</f>
        <v/>
      </c>
      <c r="AI355" s="114"/>
      <c r="AJ355" s="114"/>
      <c r="AK355" s="76"/>
      <c r="AL355" s="58">
        <f t="shared" si="85"/>
        <v>0</v>
      </c>
      <c r="AM355" s="58"/>
      <c r="AN355" s="58"/>
      <c r="AO355" s="58"/>
      <c r="AP355" s="58"/>
      <c r="AQ355" s="58"/>
      <c r="AR355" s="58">
        <f t="shared" si="73"/>
        <v>0</v>
      </c>
      <c r="AS355" s="58">
        <f t="shared" si="74"/>
        <v>0</v>
      </c>
      <c r="AT355" s="58">
        <f t="shared" si="75"/>
        <v>0</v>
      </c>
      <c r="AU355" s="58">
        <f t="shared" si="76"/>
        <v>0</v>
      </c>
      <c r="AV355" s="58">
        <f t="shared" si="77"/>
        <v>0</v>
      </c>
      <c r="AW355" s="58">
        <f t="shared" si="78"/>
        <v>0</v>
      </c>
      <c r="AX355" s="58">
        <f t="shared" si="79"/>
        <v>0</v>
      </c>
      <c r="AY355" s="58">
        <f t="shared" si="86"/>
        <v>0</v>
      </c>
      <c r="AZ355" s="62">
        <f t="shared" si="80"/>
        <v>0</v>
      </c>
      <c r="BA355" s="63">
        <f t="shared" si="81"/>
        <v>0</v>
      </c>
      <c r="BB355" s="63">
        <f t="shared" si="82"/>
        <v>0</v>
      </c>
    </row>
    <row r="356" spans="3:54" s="17" customFormat="1" x14ac:dyDescent="0.25">
      <c r="C356" s="215"/>
      <c r="D356" s="216"/>
      <c r="E356" s="88"/>
      <c r="F356" s="217"/>
      <c r="G356" s="234"/>
      <c r="H356" s="218"/>
      <c r="I356" s="76"/>
      <c r="J356" s="77"/>
      <c r="K356" s="76"/>
      <c r="L356" s="78"/>
      <c r="M356" s="78"/>
      <c r="N356" s="76" t="s">
        <v>39</v>
      </c>
      <c r="O356" s="110"/>
      <c r="P356" s="152"/>
      <c r="Q356" s="111" t="str">
        <f>IFERROR(MIN(VLOOKUP(ROUNDDOWN(P356,0),'Aide calcul'!$B$2:$C$282,2,FALSE),O356+1),"")</f>
        <v/>
      </c>
      <c r="R356" s="112" t="str">
        <f t="shared" si="83"/>
        <v/>
      </c>
      <c r="S356" s="152"/>
      <c r="T356" s="152"/>
      <c r="U356" s="152"/>
      <c r="V356" s="152"/>
      <c r="W356" s="152"/>
      <c r="X356" s="152"/>
      <c r="Y356" s="152"/>
      <c r="Z356" s="76"/>
      <c r="AA356" s="76"/>
      <c r="AB356" s="113" t="str">
        <f>IF(C356="3111. Logements",ROUND(VLOOKUP(C356,'Informations générales'!$C$66:$E$70,3,FALSE)*(AL356/$AM$28)/12,0)*12,IF(C356="3112. Logements",ROUND(VLOOKUP(C356,'Informations générales'!$C$66:$E$70,3,FALSE)*(AL356/$AN$28)/12,0)*12,IF(C356="3113. Logements",ROUND(VLOOKUP(C356,'Informations générales'!$C$66:$E$70,3,FALSE)*(AL356/$AO$28)/12,0)*12,IF(C356="3114. Logements",ROUND(VLOOKUP(C356,'Informations générales'!$C$66:$E$70,3,FALSE)*(AL356/$AP$28)/12,0)*12,IF(C356="3115. Logements",ROUND(VLOOKUP(C356,'Informations générales'!$C$66:$E$70,3,FALSE)*(AL356/$AQ$28)/12,0)*12,"")))))</f>
        <v/>
      </c>
      <c r="AC356" s="114"/>
      <c r="AD356" s="113">
        <f t="shared" si="84"/>
        <v>0</v>
      </c>
      <c r="AE356" s="114"/>
      <c r="AF356" s="203" t="str">
        <f>IF(C356="3111. Logements",ROUND(VLOOKUP(C356,'Informations générales'!$C$66:$E$70,3,FALSE)*(AL356/$AM$28)/12,0)*12,IF(C356="3112. Logements",ROUND(VLOOKUP(C356,'Informations générales'!$C$66:$E$70,3,FALSE)*(AL356/$AN$28)/12,0)*12,IF(C356="3113. Logements",ROUND(VLOOKUP(C356,'Informations générales'!$C$66:$E$70,3,FALSE)*(AL356/$AO$28)/12,0)*12,IF(C356="3114. Logements",ROUND(VLOOKUP(C356,'Informations générales'!$C$66:$E$70,3,FALSE)*(AL356/$AP$28)/12,0)*12,IF(C356="3115. Logements",ROUND(VLOOKUP(C356,'Informations générales'!$C$66:$E$70,3,FALSE)*(AL356/$AQ$28)/12,0)*12,"")))))</f>
        <v/>
      </c>
      <c r="AG356" s="202"/>
      <c r="AH356" s="113" t="str">
        <f>IF(C356="3111. Logements",ROUND(VLOOKUP(C356,'Informations générales'!$C$66:$H$70,5,FALSE)*(AL356/$AM$28)/12,0)*12,IF(C356="3112. Logements",ROUND(VLOOKUP(C356,'Informations générales'!$C$66:$H$70,5,FALSE)*(AL356/$AN$28)/12,0)*12,IF(C356="3113. Logements",ROUND(VLOOKUP(C356,'Informations générales'!$C$66:$H$70,5,FALSE)*(AL356/$AO$28)/12,0)*12,IF(C356="3114. Logements",ROUND(VLOOKUP(C356,'Informations générales'!$C$66:$H$70,5,FALSE)*(AL356/$AP$28)/12,0)*12,IF(C356="3115. Logements",ROUND(VLOOKUP(C356,'Informations générales'!$C$66:$H$70,5,FALSE)*(AL356/$AQ$28)/12,0)*12,"")))))</f>
        <v/>
      </c>
      <c r="AI356" s="114"/>
      <c r="AJ356" s="114"/>
      <c r="AK356" s="76"/>
      <c r="AL356" s="58">
        <f t="shared" si="85"/>
        <v>0</v>
      </c>
      <c r="AM356" s="58"/>
      <c r="AN356" s="58"/>
      <c r="AO356" s="58"/>
      <c r="AP356" s="58"/>
      <c r="AQ356" s="58"/>
      <c r="AR356" s="58">
        <f t="shared" si="73"/>
        <v>0</v>
      </c>
      <c r="AS356" s="58">
        <f t="shared" si="74"/>
        <v>0</v>
      </c>
      <c r="AT356" s="58">
        <f t="shared" si="75"/>
        <v>0</v>
      </c>
      <c r="AU356" s="58">
        <f t="shared" si="76"/>
        <v>0</v>
      </c>
      <c r="AV356" s="58">
        <f t="shared" si="77"/>
        <v>0</v>
      </c>
      <c r="AW356" s="58">
        <f t="shared" si="78"/>
        <v>0</v>
      </c>
      <c r="AX356" s="58">
        <f t="shared" si="79"/>
        <v>0</v>
      </c>
      <c r="AY356" s="58">
        <f t="shared" si="86"/>
        <v>0</v>
      </c>
      <c r="AZ356" s="62">
        <f t="shared" si="80"/>
        <v>0</v>
      </c>
      <c r="BA356" s="63">
        <f t="shared" si="81"/>
        <v>0</v>
      </c>
      <c r="BB356" s="63">
        <f t="shared" si="82"/>
        <v>0</v>
      </c>
    </row>
    <row r="357" spans="3:54" s="17" customFormat="1" x14ac:dyDescent="0.25">
      <c r="C357" s="215"/>
      <c r="D357" s="216"/>
      <c r="E357" s="88"/>
      <c r="F357" s="217"/>
      <c r="G357" s="234"/>
      <c r="H357" s="218"/>
      <c r="I357" s="76"/>
      <c r="J357" s="77"/>
      <c r="K357" s="76"/>
      <c r="L357" s="78"/>
      <c r="M357" s="78"/>
      <c r="N357" s="76" t="s">
        <v>39</v>
      </c>
      <c r="O357" s="110"/>
      <c r="P357" s="152"/>
      <c r="Q357" s="111" t="str">
        <f>IFERROR(MIN(VLOOKUP(ROUNDDOWN(P357,0),'Aide calcul'!$B$2:$C$282,2,FALSE),O357+1),"")</f>
        <v/>
      </c>
      <c r="R357" s="112" t="str">
        <f t="shared" si="83"/>
        <v/>
      </c>
      <c r="S357" s="152"/>
      <c r="T357" s="152"/>
      <c r="U357" s="152"/>
      <c r="V357" s="152"/>
      <c r="W357" s="152"/>
      <c r="X357" s="152"/>
      <c r="Y357" s="152"/>
      <c r="Z357" s="76"/>
      <c r="AA357" s="76"/>
      <c r="AB357" s="113" t="str">
        <f>IF(C357="3111. Logements",ROUND(VLOOKUP(C357,'Informations générales'!$C$66:$E$70,3,FALSE)*(AL357/$AM$28)/12,0)*12,IF(C357="3112. Logements",ROUND(VLOOKUP(C357,'Informations générales'!$C$66:$E$70,3,FALSE)*(AL357/$AN$28)/12,0)*12,IF(C357="3113. Logements",ROUND(VLOOKUP(C357,'Informations générales'!$C$66:$E$70,3,FALSE)*(AL357/$AO$28)/12,0)*12,IF(C357="3114. Logements",ROUND(VLOOKUP(C357,'Informations générales'!$C$66:$E$70,3,FALSE)*(AL357/$AP$28)/12,0)*12,IF(C357="3115. Logements",ROUND(VLOOKUP(C357,'Informations générales'!$C$66:$E$70,3,FALSE)*(AL357/$AQ$28)/12,0)*12,"")))))</f>
        <v/>
      </c>
      <c r="AC357" s="114"/>
      <c r="AD357" s="113">
        <f t="shared" si="84"/>
        <v>0</v>
      </c>
      <c r="AE357" s="114"/>
      <c r="AF357" s="203" t="str">
        <f>IF(C357="3111. Logements",ROUND(VLOOKUP(C357,'Informations générales'!$C$66:$E$70,3,FALSE)*(AL357/$AM$28)/12,0)*12,IF(C357="3112. Logements",ROUND(VLOOKUP(C357,'Informations générales'!$C$66:$E$70,3,FALSE)*(AL357/$AN$28)/12,0)*12,IF(C357="3113. Logements",ROUND(VLOOKUP(C357,'Informations générales'!$C$66:$E$70,3,FALSE)*(AL357/$AO$28)/12,0)*12,IF(C357="3114. Logements",ROUND(VLOOKUP(C357,'Informations générales'!$C$66:$E$70,3,FALSE)*(AL357/$AP$28)/12,0)*12,IF(C357="3115. Logements",ROUND(VLOOKUP(C357,'Informations générales'!$C$66:$E$70,3,FALSE)*(AL357/$AQ$28)/12,0)*12,"")))))</f>
        <v/>
      </c>
      <c r="AG357" s="202"/>
      <c r="AH357" s="113" t="str">
        <f>IF(C357="3111. Logements",ROUND(VLOOKUP(C357,'Informations générales'!$C$66:$H$70,5,FALSE)*(AL357/$AM$28)/12,0)*12,IF(C357="3112. Logements",ROUND(VLOOKUP(C357,'Informations générales'!$C$66:$H$70,5,FALSE)*(AL357/$AN$28)/12,0)*12,IF(C357="3113. Logements",ROUND(VLOOKUP(C357,'Informations générales'!$C$66:$H$70,5,FALSE)*(AL357/$AO$28)/12,0)*12,IF(C357="3114. Logements",ROUND(VLOOKUP(C357,'Informations générales'!$C$66:$H$70,5,FALSE)*(AL357/$AP$28)/12,0)*12,IF(C357="3115. Logements",ROUND(VLOOKUP(C357,'Informations générales'!$C$66:$H$70,5,FALSE)*(AL357/$AQ$28)/12,0)*12,"")))))</f>
        <v/>
      </c>
      <c r="AI357" s="114"/>
      <c r="AJ357" s="114"/>
      <c r="AK357" s="76"/>
      <c r="AL357" s="58">
        <f t="shared" si="85"/>
        <v>0</v>
      </c>
      <c r="AM357" s="58"/>
      <c r="AN357" s="58"/>
      <c r="AO357" s="58"/>
      <c r="AP357" s="58"/>
      <c r="AQ357" s="58"/>
      <c r="AR357" s="58">
        <f t="shared" si="73"/>
        <v>0</v>
      </c>
      <c r="AS357" s="58">
        <f t="shared" si="74"/>
        <v>0</v>
      </c>
      <c r="AT357" s="58">
        <f t="shared" si="75"/>
        <v>0</v>
      </c>
      <c r="AU357" s="58">
        <f t="shared" si="76"/>
        <v>0</v>
      </c>
      <c r="AV357" s="58">
        <f t="shared" si="77"/>
        <v>0</v>
      </c>
      <c r="AW357" s="58">
        <f t="shared" si="78"/>
        <v>0</v>
      </c>
      <c r="AX357" s="58">
        <f t="shared" si="79"/>
        <v>0</v>
      </c>
      <c r="AY357" s="58">
        <f t="shared" si="86"/>
        <v>0</v>
      </c>
      <c r="AZ357" s="62">
        <f t="shared" si="80"/>
        <v>0</v>
      </c>
      <c r="BA357" s="63">
        <f t="shared" si="81"/>
        <v>0</v>
      </c>
      <c r="BB357" s="63">
        <f t="shared" si="82"/>
        <v>0</v>
      </c>
    </row>
    <row r="358" spans="3:54" s="17" customFormat="1" x14ac:dyDescent="0.25">
      <c r="C358" s="215"/>
      <c r="D358" s="216"/>
      <c r="E358" s="88"/>
      <c r="F358" s="217"/>
      <c r="G358" s="234"/>
      <c r="H358" s="218"/>
      <c r="I358" s="76"/>
      <c r="J358" s="77"/>
      <c r="K358" s="76"/>
      <c r="L358" s="78"/>
      <c r="M358" s="78"/>
      <c r="N358" s="76" t="s">
        <v>39</v>
      </c>
      <c r="O358" s="110"/>
      <c r="P358" s="152"/>
      <c r="Q358" s="111" t="str">
        <f>IFERROR(MIN(VLOOKUP(ROUNDDOWN(P358,0),'Aide calcul'!$B$2:$C$282,2,FALSE),O358+1),"")</f>
        <v/>
      </c>
      <c r="R358" s="112" t="str">
        <f t="shared" si="83"/>
        <v/>
      </c>
      <c r="S358" s="152"/>
      <c r="T358" s="152"/>
      <c r="U358" s="152"/>
      <c r="V358" s="152"/>
      <c r="W358" s="152"/>
      <c r="X358" s="152"/>
      <c r="Y358" s="152"/>
      <c r="Z358" s="76"/>
      <c r="AA358" s="76"/>
      <c r="AB358" s="113" t="str">
        <f>IF(C358="3111. Logements",ROUND(VLOOKUP(C358,'Informations générales'!$C$66:$E$70,3,FALSE)*(AL358/$AM$28)/12,0)*12,IF(C358="3112. Logements",ROUND(VLOOKUP(C358,'Informations générales'!$C$66:$E$70,3,FALSE)*(AL358/$AN$28)/12,0)*12,IF(C358="3113. Logements",ROUND(VLOOKUP(C358,'Informations générales'!$C$66:$E$70,3,FALSE)*(AL358/$AO$28)/12,0)*12,IF(C358="3114. Logements",ROUND(VLOOKUP(C358,'Informations générales'!$C$66:$E$70,3,FALSE)*(AL358/$AP$28)/12,0)*12,IF(C358="3115. Logements",ROUND(VLOOKUP(C358,'Informations générales'!$C$66:$E$70,3,FALSE)*(AL358/$AQ$28)/12,0)*12,"")))))</f>
        <v/>
      </c>
      <c r="AC358" s="114"/>
      <c r="AD358" s="113">
        <f t="shared" si="84"/>
        <v>0</v>
      </c>
      <c r="AE358" s="114"/>
      <c r="AF358" s="203" t="str">
        <f>IF(C358="3111. Logements",ROUND(VLOOKUP(C358,'Informations générales'!$C$66:$E$70,3,FALSE)*(AL358/$AM$28)/12,0)*12,IF(C358="3112. Logements",ROUND(VLOOKUP(C358,'Informations générales'!$C$66:$E$70,3,FALSE)*(AL358/$AN$28)/12,0)*12,IF(C358="3113. Logements",ROUND(VLOOKUP(C358,'Informations générales'!$C$66:$E$70,3,FALSE)*(AL358/$AO$28)/12,0)*12,IF(C358="3114. Logements",ROUND(VLOOKUP(C358,'Informations générales'!$C$66:$E$70,3,FALSE)*(AL358/$AP$28)/12,0)*12,IF(C358="3115. Logements",ROUND(VLOOKUP(C358,'Informations générales'!$C$66:$E$70,3,FALSE)*(AL358/$AQ$28)/12,0)*12,"")))))</f>
        <v/>
      </c>
      <c r="AG358" s="202"/>
      <c r="AH358" s="113" t="str">
        <f>IF(C358="3111. Logements",ROUND(VLOOKUP(C358,'Informations générales'!$C$66:$H$70,5,FALSE)*(AL358/$AM$28)/12,0)*12,IF(C358="3112. Logements",ROUND(VLOOKUP(C358,'Informations générales'!$C$66:$H$70,5,FALSE)*(AL358/$AN$28)/12,0)*12,IF(C358="3113. Logements",ROUND(VLOOKUP(C358,'Informations générales'!$C$66:$H$70,5,FALSE)*(AL358/$AO$28)/12,0)*12,IF(C358="3114. Logements",ROUND(VLOOKUP(C358,'Informations générales'!$C$66:$H$70,5,FALSE)*(AL358/$AP$28)/12,0)*12,IF(C358="3115. Logements",ROUND(VLOOKUP(C358,'Informations générales'!$C$66:$H$70,5,FALSE)*(AL358/$AQ$28)/12,0)*12,"")))))</f>
        <v/>
      </c>
      <c r="AI358" s="114"/>
      <c r="AJ358" s="114"/>
      <c r="AK358" s="76"/>
      <c r="AL358" s="58">
        <f t="shared" si="85"/>
        <v>0</v>
      </c>
      <c r="AM358" s="58"/>
      <c r="AN358" s="58"/>
      <c r="AO358" s="58"/>
      <c r="AP358" s="58"/>
      <c r="AQ358" s="58"/>
      <c r="AR358" s="58">
        <f t="shared" si="73"/>
        <v>0</v>
      </c>
      <c r="AS358" s="58">
        <f t="shared" si="74"/>
        <v>0</v>
      </c>
      <c r="AT358" s="58">
        <f t="shared" si="75"/>
        <v>0</v>
      </c>
      <c r="AU358" s="58">
        <f t="shared" si="76"/>
        <v>0</v>
      </c>
      <c r="AV358" s="58">
        <f t="shared" si="77"/>
        <v>0</v>
      </c>
      <c r="AW358" s="58">
        <f t="shared" si="78"/>
        <v>0</v>
      </c>
      <c r="AX358" s="58">
        <f t="shared" si="79"/>
        <v>0</v>
      </c>
      <c r="AY358" s="58">
        <f t="shared" si="86"/>
        <v>0</v>
      </c>
      <c r="AZ358" s="62">
        <f t="shared" si="80"/>
        <v>0</v>
      </c>
      <c r="BA358" s="63">
        <f t="shared" si="81"/>
        <v>0</v>
      </c>
      <c r="BB358" s="63">
        <f t="shared" si="82"/>
        <v>0</v>
      </c>
    </row>
    <row r="359" spans="3:54" s="17" customFormat="1" x14ac:dyDescent="0.25">
      <c r="C359" s="215"/>
      <c r="D359" s="216"/>
      <c r="E359" s="88"/>
      <c r="F359" s="217"/>
      <c r="G359" s="234"/>
      <c r="H359" s="218"/>
      <c r="I359" s="76"/>
      <c r="J359" s="77"/>
      <c r="K359" s="76"/>
      <c r="L359" s="78"/>
      <c r="M359" s="78"/>
      <c r="N359" s="76" t="s">
        <v>39</v>
      </c>
      <c r="O359" s="110"/>
      <c r="P359" s="152"/>
      <c r="Q359" s="111" t="str">
        <f>IFERROR(MIN(VLOOKUP(ROUNDDOWN(P359,0),'Aide calcul'!$B$2:$C$282,2,FALSE),O359+1),"")</f>
        <v/>
      </c>
      <c r="R359" s="112" t="str">
        <f t="shared" si="83"/>
        <v/>
      </c>
      <c r="S359" s="152"/>
      <c r="T359" s="152"/>
      <c r="U359" s="152"/>
      <c r="V359" s="152"/>
      <c r="W359" s="152"/>
      <c r="X359" s="152"/>
      <c r="Y359" s="152"/>
      <c r="Z359" s="76"/>
      <c r="AA359" s="76"/>
      <c r="AB359" s="113" t="str">
        <f>IF(C359="3111. Logements",ROUND(VLOOKUP(C359,'Informations générales'!$C$66:$E$70,3,FALSE)*(AL359/$AM$28)/12,0)*12,IF(C359="3112. Logements",ROUND(VLOOKUP(C359,'Informations générales'!$C$66:$E$70,3,FALSE)*(AL359/$AN$28)/12,0)*12,IF(C359="3113. Logements",ROUND(VLOOKUP(C359,'Informations générales'!$C$66:$E$70,3,FALSE)*(AL359/$AO$28)/12,0)*12,IF(C359="3114. Logements",ROUND(VLOOKUP(C359,'Informations générales'!$C$66:$E$70,3,FALSE)*(AL359/$AP$28)/12,0)*12,IF(C359="3115. Logements",ROUND(VLOOKUP(C359,'Informations générales'!$C$66:$E$70,3,FALSE)*(AL359/$AQ$28)/12,0)*12,"")))))</f>
        <v/>
      </c>
      <c r="AC359" s="114"/>
      <c r="AD359" s="113">
        <f t="shared" si="84"/>
        <v>0</v>
      </c>
      <c r="AE359" s="114"/>
      <c r="AF359" s="203" t="str">
        <f>IF(C359="3111. Logements",ROUND(VLOOKUP(C359,'Informations générales'!$C$66:$E$70,3,FALSE)*(AL359/$AM$28)/12,0)*12,IF(C359="3112. Logements",ROUND(VLOOKUP(C359,'Informations générales'!$C$66:$E$70,3,FALSE)*(AL359/$AN$28)/12,0)*12,IF(C359="3113. Logements",ROUND(VLOOKUP(C359,'Informations générales'!$C$66:$E$70,3,FALSE)*(AL359/$AO$28)/12,0)*12,IF(C359="3114. Logements",ROUND(VLOOKUP(C359,'Informations générales'!$C$66:$E$70,3,FALSE)*(AL359/$AP$28)/12,0)*12,IF(C359="3115. Logements",ROUND(VLOOKUP(C359,'Informations générales'!$C$66:$E$70,3,FALSE)*(AL359/$AQ$28)/12,0)*12,"")))))</f>
        <v/>
      </c>
      <c r="AG359" s="202"/>
      <c r="AH359" s="113" t="str">
        <f>IF(C359="3111. Logements",ROUND(VLOOKUP(C359,'Informations générales'!$C$66:$H$70,5,FALSE)*(AL359/$AM$28)/12,0)*12,IF(C359="3112. Logements",ROUND(VLOOKUP(C359,'Informations générales'!$C$66:$H$70,5,FALSE)*(AL359/$AN$28)/12,0)*12,IF(C359="3113. Logements",ROUND(VLOOKUP(C359,'Informations générales'!$C$66:$H$70,5,FALSE)*(AL359/$AO$28)/12,0)*12,IF(C359="3114. Logements",ROUND(VLOOKUP(C359,'Informations générales'!$C$66:$H$70,5,FALSE)*(AL359/$AP$28)/12,0)*12,IF(C359="3115. Logements",ROUND(VLOOKUP(C359,'Informations générales'!$C$66:$H$70,5,FALSE)*(AL359/$AQ$28)/12,0)*12,"")))))</f>
        <v/>
      </c>
      <c r="AI359" s="114"/>
      <c r="AJ359" s="114"/>
      <c r="AK359" s="76"/>
      <c r="AL359" s="58">
        <f t="shared" si="85"/>
        <v>0</v>
      </c>
      <c r="AM359" s="58"/>
      <c r="AN359" s="58"/>
      <c r="AO359" s="58"/>
      <c r="AP359" s="58"/>
      <c r="AQ359" s="58"/>
      <c r="AR359" s="58">
        <f t="shared" si="73"/>
        <v>0</v>
      </c>
      <c r="AS359" s="58">
        <f t="shared" si="74"/>
        <v>0</v>
      </c>
      <c r="AT359" s="58">
        <f t="shared" si="75"/>
        <v>0</v>
      </c>
      <c r="AU359" s="58">
        <f t="shared" si="76"/>
        <v>0</v>
      </c>
      <c r="AV359" s="58">
        <f t="shared" si="77"/>
        <v>0</v>
      </c>
      <c r="AW359" s="58">
        <f t="shared" si="78"/>
        <v>0</v>
      </c>
      <c r="AX359" s="58">
        <f t="shared" si="79"/>
        <v>0</v>
      </c>
      <c r="AY359" s="58">
        <f t="shared" si="86"/>
        <v>0</v>
      </c>
      <c r="AZ359" s="62">
        <f t="shared" si="80"/>
        <v>0</v>
      </c>
      <c r="BA359" s="63">
        <f t="shared" si="81"/>
        <v>0</v>
      </c>
      <c r="BB359" s="63">
        <f t="shared" si="82"/>
        <v>0</v>
      </c>
    </row>
    <row r="360" spans="3:54" s="17" customFormat="1" x14ac:dyDescent="0.25">
      <c r="C360" s="215"/>
      <c r="D360" s="216"/>
      <c r="E360" s="88"/>
      <c r="F360" s="217"/>
      <c r="G360" s="234"/>
      <c r="H360" s="218"/>
      <c r="I360" s="76"/>
      <c r="J360" s="77"/>
      <c r="K360" s="76"/>
      <c r="L360" s="78"/>
      <c r="M360" s="78"/>
      <c r="N360" s="76" t="s">
        <v>39</v>
      </c>
      <c r="O360" s="110"/>
      <c r="P360" s="152"/>
      <c r="Q360" s="111" t="str">
        <f>IFERROR(MIN(VLOOKUP(ROUNDDOWN(P360,0),'Aide calcul'!$B$2:$C$282,2,FALSE),O360+1),"")</f>
        <v/>
      </c>
      <c r="R360" s="112" t="str">
        <f t="shared" si="83"/>
        <v/>
      </c>
      <c r="S360" s="152"/>
      <c r="T360" s="152"/>
      <c r="U360" s="152"/>
      <c r="V360" s="152"/>
      <c r="W360" s="152"/>
      <c r="X360" s="152"/>
      <c r="Y360" s="152"/>
      <c r="Z360" s="76"/>
      <c r="AA360" s="76"/>
      <c r="AB360" s="113" t="str">
        <f>IF(C360="3111. Logements",ROUND(VLOOKUP(C360,'Informations générales'!$C$66:$E$70,3,FALSE)*(AL360/$AM$28)/12,0)*12,IF(C360="3112. Logements",ROUND(VLOOKUP(C360,'Informations générales'!$C$66:$E$70,3,FALSE)*(AL360/$AN$28)/12,0)*12,IF(C360="3113. Logements",ROUND(VLOOKUP(C360,'Informations générales'!$C$66:$E$70,3,FALSE)*(AL360/$AO$28)/12,0)*12,IF(C360="3114. Logements",ROUND(VLOOKUP(C360,'Informations générales'!$C$66:$E$70,3,FALSE)*(AL360/$AP$28)/12,0)*12,IF(C360="3115. Logements",ROUND(VLOOKUP(C360,'Informations générales'!$C$66:$E$70,3,FALSE)*(AL360/$AQ$28)/12,0)*12,"")))))</f>
        <v/>
      </c>
      <c r="AC360" s="114"/>
      <c r="AD360" s="113">
        <f t="shared" si="84"/>
        <v>0</v>
      </c>
      <c r="AE360" s="114"/>
      <c r="AF360" s="203" t="str">
        <f>IF(C360="3111. Logements",ROUND(VLOOKUP(C360,'Informations générales'!$C$66:$E$70,3,FALSE)*(AL360/$AM$28)/12,0)*12,IF(C360="3112. Logements",ROUND(VLOOKUP(C360,'Informations générales'!$C$66:$E$70,3,FALSE)*(AL360/$AN$28)/12,0)*12,IF(C360="3113. Logements",ROUND(VLOOKUP(C360,'Informations générales'!$C$66:$E$70,3,FALSE)*(AL360/$AO$28)/12,0)*12,IF(C360="3114. Logements",ROUND(VLOOKUP(C360,'Informations générales'!$C$66:$E$70,3,FALSE)*(AL360/$AP$28)/12,0)*12,IF(C360="3115. Logements",ROUND(VLOOKUP(C360,'Informations générales'!$C$66:$E$70,3,FALSE)*(AL360/$AQ$28)/12,0)*12,"")))))</f>
        <v/>
      </c>
      <c r="AG360" s="202"/>
      <c r="AH360" s="113" t="str">
        <f>IF(C360="3111. Logements",ROUND(VLOOKUP(C360,'Informations générales'!$C$66:$H$70,5,FALSE)*(AL360/$AM$28)/12,0)*12,IF(C360="3112. Logements",ROUND(VLOOKUP(C360,'Informations générales'!$C$66:$H$70,5,FALSE)*(AL360/$AN$28)/12,0)*12,IF(C360="3113. Logements",ROUND(VLOOKUP(C360,'Informations générales'!$C$66:$H$70,5,FALSE)*(AL360/$AO$28)/12,0)*12,IF(C360="3114. Logements",ROUND(VLOOKUP(C360,'Informations générales'!$C$66:$H$70,5,FALSE)*(AL360/$AP$28)/12,0)*12,IF(C360="3115. Logements",ROUND(VLOOKUP(C360,'Informations générales'!$C$66:$H$70,5,FALSE)*(AL360/$AQ$28)/12,0)*12,"")))))</f>
        <v/>
      </c>
      <c r="AI360" s="114"/>
      <c r="AJ360" s="114"/>
      <c r="AK360" s="76"/>
      <c r="AL360" s="58">
        <f t="shared" si="85"/>
        <v>0</v>
      </c>
      <c r="AM360" s="58"/>
      <c r="AN360" s="58"/>
      <c r="AO360" s="58"/>
      <c r="AP360" s="58"/>
      <c r="AQ360" s="58"/>
      <c r="AR360" s="58">
        <f t="shared" si="73"/>
        <v>0</v>
      </c>
      <c r="AS360" s="58">
        <f t="shared" si="74"/>
        <v>0</v>
      </c>
      <c r="AT360" s="58">
        <f t="shared" si="75"/>
        <v>0</v>
      </c>
      <c r="AU360" s="58">
        <f t="shared" si="76"/>
        <v>0</v>
      </c>
      <c r="AV360" s="58">
        <f t="shared" si="77"/>
        <v>0</v>
      </c>
      <c r="AW360" s="58">
        <f t="shared" si="78"/>
        <v>0</v>
      </c>
      <c r="AX360" s="58">
        <f t="shared" si="79"/>
        <v>0</v>
      </c>
      <c r="AY360" s="58">
        <f t="shared" si="86"/>
        <v>0</v>
      </c>
      <c r="AZ360" s="62">
        <f t="shared" si="80"/>
        <v>0</v>
      </c>
      <c r="BA360" s="63">
        <f t="shared" si="81"/>
        <v>0</v>
      </c>
      <c r="BB360" s="63">
        <f t="shared" si="82"/>
        <v>0</v>
      </c>
    </row>
    <row r="361" spans="3:54" s="17" customFormat="1" x14ac:dyDescent="0.25">
      <c r="C361" s="215"/>
      <c r="D361" s="216"/>
      <c r="E361" s="88"/>
      <c r="F361" s="217"/>
      <c r="G361" s="234"/>
      <c r="H361" s="218"/>
      <c r="I361" s="76"/>
      <c r="J361" s="77"/>
      <c r="K361" s="76"/>
      <c r="L361" s="78"/>
      <c r="M361" s="78"/>
      <c r="N361" s="76" t="s">
        <v>39</v>
      </c>
      <c r="O361" s="110"/>
      <c r="P361" s="152"/>
      <c r="Q361" s="111" t="str">
        <f>IFERROR(MIN(VLOOKUP(ROUNDDOWN(P361,0),'Aide calcul'!$B$2:$C$282,2,FALSE),O361+1),"")</f>
        <v/>
      </c>
      <c r="R361" s="112" t="str">
        <f t="shared" si="83"/>
        <v/>
      </c>
      <c r="S361" s="152"/>
      <c r="T361" s="152"/>
      <c r="U361" s="152"/>
      <c r="V361" s="152"/>
      <c r="W361" s="152"/>
      <c r="X361" s="152"/>
      <c r="Y361" s="152"/>
      <c r="Z361" s="76"/>
      <c r="AA361" s="76"/>
      <c r="AB361" s="113" t="str">
        <f>IF(C361="3111. Logements",ROUND(VLOOKUP(C361,'Informations générales'!$C$66:$E$70,3,FALSE)*(AL361/$AM$28)/12,0)*12,IF(C361="3112. Logements",ROUND(VLOOKUP(C361,'Informations générales'!$C$66:$E$70,3,FALSE)*(AL361/$AN$28)/12,0)*12,IF(C361="3113. Logements",ROUND(VLOOKUP(C361,'Informations générales'!$C$66:$E$70,3,FALSE)*(AL361/$AO$28)/12,0)*12,IF(C361="3114. Logements",ROUND(VLOOKUP(C361,'Informations générales'!$C$66:$E$70,3,FALSE)*(AL361/$AP$28)/12,0)*12,IF(C361="3115. Logements",ROUND(VLOOKUP(C361,'Informations générales'!$C$66:$E$70,3,FALSE)*(AL361/$AQ$28)/12,0)*12,"")))))</f>
        <v/>
      </c>
      <c r="AC361" s="114"/>
      <c r="AD361" s="113">
        <f t="shared" si="84"/>
        <v>0</v>
      </c>
      <c r="AE361" s="114"/>
      <c r="AF361" s="203" t="str">
        <f>IF(C361="3111. Logements",ROUND(VLOOKUP(C361,'Informations générales'!$C$66:$E$70,3,FALSE)*(AL361/$AM$28)/12,0)*12,IF(C361="3112. Logements",ROUND(VLOOKUP(C361,'Informations générales'!$C$66:$E$70,3,FALSE)*(AL361/$AN$28)/12,0)*12,IF(C361="3113. Logements",ROUND(VLOOKUP(C361,'Informations générales'!$C$66:$E$70,3,FALSE)*(AL361/$AO$28)/12,0)*12,IF(C361="3114. Logements",ROUND(VLOOKUP(C361,'Informations générales'!$C$66:$E$70,3,FALSE)*(AL361/$AP$28)/12,0)*12,IF(C361="3115. Logements",ROUND(VLOOKUP(C361,'Informations générales'!$C$66:$E$70,3,FALSE)*(AL361/$AQ$28)/12,0)*12,"")))))</f>
        <v/>
      </c>
      <c r="AG361" s="202"/>
      <c r="AH361" s="113" t="str">
        <f>IF(C361="3111. Logements",ROUND(VLOOKUP(C361,'Informations générales'!$C$66:$H$70,5,FALSE)*(AL361/$AM$28)/12,0)*12,IF(C361="3112. Logements",ROUND(VLOOKUP(C361,'Informations générales'!$C$66:$H$70,5,FALSE)*(AL361/$AN$28)/12,0)*12,IF(C361="3113. Logements",ROUND(VLOOKUP(C361,'Informations générales'!$C$66:$H$70,5,FALSE)*(AL361/$AO$28)/12,0)*12,IF(C361="3114. Logements",ROUND(VLOOKUP(C361,'Informations générales'!$C$66:$H$70,5,FALSE)*(AL361/$AP$28)/12,0)*12,IF(C361="3115. Logements",ROUND(VLOOKUP(C361,'Informations générales'!$C$66:$H$70,5,FALSE)*(AL361/$AQ$28)/12,0)*12,"")))))</f>
        <v/>
      </c>
      <c r="AI361" s="114"/>
      <c r="AJ361" s="114"/>
      <c r="AK361" s="76"/>
      <c r="AL361" s="58">
        <f t="shared" si="85"/>
        <v>0</v>
      </c>
      <c r="AM361" s="58"/>
      <c r="AN361" s="58"/>
      <c r="AO361" s="58"/>
      <c r="AP361" s="58"/>
      <c r="AQ361" s="58"/>
      <c r="AR361" s="58">
        <f t="shared" si="73"/>
        <v>0</v>
      </c>
      <c r="AS361" s="58">
        <f t="shared" si="74"/>
        <v>0</v>
      </c>
      <c r="AT361" s="58">
        <f t="shared" si="75"/>
        <v>0</v>
      </c>
      <c r="AU361" s="58">
        <f t="shared" si="76"/>
        <v>0</v>
      </c>
      <c r="AV361" s="58">
        <f t="shared" si="77"/>
        <v>0</v>
      </c>
      <c r="AW361" s="58">
        <f t="shared" si="78"/>
        <v>0</v>
      </c>
      <c r="AX361" s="58">
        <f t="shared" si="79"/>
        <v>0</v>
      </c>
      <c r="AY361" s="58">
        <f t="shared" si="86"/>
        <v>0</v>
      </c>
      <c r="AZ361" s="62">
        <f t="shared" si="80"/>
        <v>0</v>
      </c>
      <c r="BA361" s="63">
        <f t="shared" si="81"/>
        <v>0</v>
      </c>
      <c r="BB361" s="63">
        <f t="shared" si="82"/>
        <v>0</v>
      </c>
    </row>
    <row r="362" spans="3:54" s="17" customFormat="1" x14ac:dyDescent="0.25">
      <c r="C362" s="215"/>
      <c r="D362" s="216"/>
      <c r="E362" s="88"/>
      <c r="F362" s="217"/>
      <c r="G362" s="234"/>
      <c r="H362" s="218"/>
      <c r="I362" s="76"/>
      <c r="J362" s="77"/>
      <c r="K362" s="76"/>
      <c r="L362" s="78"/>
      <c r="M362" s="78"/>
      <c r="N362" s="76" t="s">
        <v>39</v>
      </c>
      <c r="O362" s="110"/>
      <c r="P362" s="152"/>
      <c r="Q362" s="111" t="str">
        <f>IFERROR(MIN(VLOOKUP(ROUNDDOWN(P362,0),'Aide calcul'!$B$2:$C$282,2,FALSE),O362+1),"")</f>
        <v/>
      </c>
      <c r="R362" s="112" t="str">
        <f t="shared" si="83"/>
        <v/>
      </c>
      <c r="S362" s="152"/>
      <c r="T362" s="152"/>
      <c r="U362" s="152"/>
      <c r="V362" s="152"/>
      <c r="W362" s="152"/>
      <c r="X362" s="152"/>
      <c r="Y362" s="152"/>
      <c r="Z362" s="76"/>
      <c r="AA362" s="76"/>
      <c r="AB362" s="113" t="str">
        <f>IF(C362="3111. Logements",ROUND(VLOOKUP(C362,'Informations générales'!$C$66:$E$70,3,FALSE)*(AL362/$AM$28)/12,0)*12,IF(C362="3112. Logements",ROUND(VLOOKUP(C362,'Informations générales'!$C$66:$E$70,3,FALSE)*(AL362/$AN$28)/12,0)*12,IF(C362="3113. Logements",ROUND(VLOOKUP(C362,'Informations générales'!$C$66:$E$70,3,FALSE)*(AL362/$AO$28)/12,0)*12,IF(C362="3114. Logements",ROUND(VLOOKUP(C362,'Informations générales'!$C$66:$E$70,3,FALSE)*(AL362/$AP$28)/12,0)*12,IF(C362="3115. Logements",ROUND(VLOOKUP(C362,'Informations générales'!$C$66:$E$70,3,FALSE)*(AL362/$AQ$28)/12,0)*12,"")))))</f>
        <v/>
      </c>
      <c r="AC362" s="114"/>
      <c r="AD362" s="113">
        <f t="shared" si="84"/>
        <v>0</v>
      </c>
      <c r="AE362" s="114"/>
      <c r="AF362" s="203" t="str">
        <f>IF(C362="3111. Logements",ROUND(VLOOKUP(C362,'Informations générales'!$C$66:$E$70,3,FALSE)*(AL362/$AM$28)/12,0)*12,IF(C362="3112. Logements",ROUND(VLOOKUP(C362,'Informations générales'!$C$66:$E$70,3,FALSE)*(AL362/$AN$28)/12,0)*12,IF(C362="3113. Logements",ROUND(VLOOKUP(C362,'Informations générales'!$C$66:$E$70,3,FALSE)*(AL362/$AO$28)/12,0)*12,IF(C362="3114. Logements",ROUND(VLOOKUP(C362,'Informations générales'!$C$66:$E$70,3,FALSE)*(AL362/$AP$28)/12,0)*12,IF(C362="3115. Logements",ROUND(VLOOKUP(C362,'Informations générales'!$C$66:$E$70,3,FALSE)*(AL362/$AQ$28)/12,0)*12,"")))))</f>
        <v/>
      </c>
      <c r="AG362" s="202"/>
      <c r="AH362" s="113" t="str">
        <f>IF(C362="3111. Logements",ROUND(VLOOKUP(C362,'Informations générales'!$C$66:$H$70,5,FALSE)*(AL362/$AM$28)/12,0)*12,IF(C362="3112. Logements",ROUND(VLOOKUP(C362,'Informations générales'!$C$66:$H$70,5,FALSE)*(AL362/$AN$28)/12,0)*12,IF(C362="3113. Logements",ROUND(VLOOKUP(C362,'Informations générales'!$C$66:$H$70,5,FALSE)*(AL362/$AO$28)/12,0)*12,IF(C362="3114. Logements",ROUND(VLOOKUP(C362,'Informations générales'!$C$66:$H$70,5,FALSE)*(AL362/$AP$28)/12,0)*12,IF(C362="3115. Logements",ROUND(VLOOKUP(C362,'Informations générales'!$C$66:$H$70,5,FALSE)*(AL362/$AQ$28)/12,0)*12,"")))))</f>
        <v/>
      </c>
      <c r="AI362" s="114"/>
      <c r="AJ362" s="114"/>
      <c r="AK362" s="76"/>
      <c r="AL362" s="58">
        <f t="shared" si="85"/>
        <v>0</v>
      </c>
      <c r="AM362" s="58"/>
      <c r="AN362" s="58"/>
      <c r="AO362" s="58"/>
      <c r="AP362" s="58"/>
      <c r="AQ362" s="58"/>
      <c r="AR362" s="58">
        <f t="shared" si="73"/>
        <v>0</v>
      </c>
      <c r="AS362" s="58">
        <f t="shared" si="74"/>
        <v>0</v>
      </c>
      <c r="AT362" s="58">
        <f t="shared" si="75"/>
        <v>0</v>
      </c>
      <c r="AU362" s="58">
        <f t="shared" si="76"/>
        <v>0</v>
      </c>
      <c r="AV362" s="58">
        <f t="shared" si="77"/>
        <v>0</v>
      </c>
      <c r="AW362" s="58">
        <f t="shared" si="78"/>
        <v>0</v>
      </c>
      <c r="AX362" s="58">
        <f t="shared" si="79"/>
        <v>0</v>
      </c>
      <c r="AY362" s="58">
        <f t="shared" si="86"/>
        <v>0</v>
      </c>
      <c r="AZ362" s="62">
        <f t="shared" si="80"/>
        <v>0</v>
      </c>
      <c r="BA362" s="63">
        <f t="shared" si="81"/>
        <v>0</v>
      </c>
      <c r="BB362" s="63">
        <f t="shared" si="82"/>
        <v>0</v>
      </c>
    </row>
    <row r="363" spans="3:54" s="17" customFormat="1" x14ac:dyDescent="0.25">
      <c r="C363" s="215"/>
      <c r="D363" s="216"/>
      <c r="E363" s="88"/>
      <c r="F363" s="217"/>
      <c r="G363" s="234"/>
      <c r="H363" s="218"/>
      <c r="I363" s="76"/>
      <c r="J363" s="77"/>
      <c r="K363" s="76"/>
      <c r="L363" s="78"/>
      <c r="M363" s="78"/>
      <c r="N363" s="76" t="s">
        <v>39</v>
      </c>
      <c r="O363" s="110"/>
      <c r="P363" s="152"/>
      <c r="Q363" s="111" t="str">
        <f>IFERROR(MIN(VLOOKUP(ROUNDDOWN(P363,0),'Aide calcul'!$B$2:$C$282,2,FALSE),O363+1),"")</f>
        <v/>
      </c>
      <c r="R363" s="112" t="str">
        <f t="shared" si="83"/>
        <v/>
      </c>
      <c r="S363" s="152"/>
      <c r="T363" s="152"/>
      <c r="U363" s="152"/>
      <c r="V363" s="152"/>
      <c r="W363" s="152"/>
      <c r="X363" s="152"/>
      <c r="Y363" s="152"/>
      <c r="Z363" s="76"/>
      <c r="AA363" s="76"/>
      <c r="AB363" s="113" t="str">
        <f>IF(C363="3111. Logements",ROUND(VLOOKUP(C363,'Informations générales'!$C$66:$E$70,3,FALSE)*(AL363/$AM$28)/12,0)*12,IF(C363="3112. Logements",ROUND(VLOOKUP(C363,'Informations générales'!$C$66:$E$70,3,FALSE)*(AL363/$AN$28)/12,0)*12,IF(C363="3113. Logements",ROUND(VLOOKUP(C363,'Informations générales'!$C$66:$E$70,3,FALSE)*(AL363/$AO$28)/12,0)*12,IF(C363="3114. Logements",ROUND(VLOOKUP(C363,'Informations générales'!$C$66:$E$70,3,FALSE)*(AL363/$AP$28)/12,0)*12,IF(C363="3115. Logements",ROUND(VLOOKUP(C363,'Informations générales'!$C$66:$E$70,3,FALSE)*(AL363/$AQ$28)/12,0)*12,"")))))</f>
        <v/>
      </c>
      <c r="AC363" s="114"/>
      <c r="AD363" s="113">
        <f t="shared" si="84"/>
        <v>0</v>
      </c>
      <c r="AE363" s="114"/>
      <c r="AF363" s="203" t="str">
        <f>IF(C363="3111. Logements",ROUND(VLOOKUP(C363,'Informations générales'!$C$66:$E$70,3,FALSE)*(AL363/$AM$28)/12,0)*12,IF(C363="3112. Logements",ROUND(VLOOKUP(C363,'Informations générales'!$C$66:$E$70,3,FALSE)*(AL363/$AN$28)/12,0)*12,IF(C363="3113. Logements",ROUND(VLOOKUP(C363,'Informations générales'!$C$66:$E$70,3,FALSE)*(AL363/$AO$28)/12,0)*12,IF(C363="3114. Logements",ROUND(VLOOKUP(C363,'Informations générales'!$C$66:$E$70,3,FALSE)*(AL363/$AP$28)/12,0)*12,IF(C363="3115. Logements",ROUND(VLOOKUP(C363,'Informations générales'!$C$66:$E$70,3,FALSE)*(AL363/$AQ$28)/12,0)*12,"")))))</f>
        <v/>
      </c>
      <c r="AG363" s="202"/>
      <c r="AH363" s="113" t="str">
        <f>IF(C363="3111. Logements",ROUND(VLOOKUP(C363,'Informations générales'!$C$66:$H$70,5,FALSE)*(AL363/$AM$28)/12,0)*12,IF(C363="3112. Logements",ROUND(VLOOKUP(C363,'Informations générales'!$C$66:$H$70,5,FALSE)*(AL363/$AN$28)/12,0)*12,IF(C363="3113. Logements",ROUND(VLOOKUP(C363,'Informations générales'!$C$66:$H$70,5,FALSE)*(AL363/$AO$28)/12,0)*12,IF(C363="3114. Logements",ROUND(VLOOKUP(C363,'Informations générales'!$C$66:$H$70,5,FALSE)*(AL363/$AP$28)/12,0)*12,IF(C363="3115. Logements",ROUND(VLOOKUP(C363,'Informations générales'!$C$66:$H$70,5,FALSE)*(AL363/$AQ$28)/12,0)*12,"")))))</f>
        <v/>
      </c>
      <c r="AI363" s="114"/>
      <c r="AJ363" s="114"/>
      <c r="AK363" s="76"/>
      <c r="AL363" s="58">
        <f t="shared" si="85"/>
        <v>0</v>
      </c>
      <c r="AM363" s="58"/>
      <c r="AN363" s="58"/>
      <c r="AO363" s="58"/>
      <c r="AP363" s="58"/>
      <c r="AQ363" s="58"/>
      <c r="AR363" s="58">
        <f t="shared" si="73"/>
        <v>0</v>
      </c>
      <c r="AS363" s="58">
        <f t="shared" si="74"/>
        <v>0</v>
      </c>
      <c r="AT363" s="58">
        <f t="shared" si="75"/>
        <v>0</v>
      </c>
      <c r="AU363" s="58">
        <f t="shared" si="76"/>
        <v>0</v>
      </c>
      <c r="AV363" s="58">
        <f t="shared" si="77"/>
        <v>0</v>
      </c>
      <c r="AW363" s="58">
        <f t="shared" si="78"/>
        <v>0</v>
      </c>
      <c r="AX363" s="58">
        <f t="shared" si="79"/>
        <v>0</v>
      </c>
      <c r="AY363" s="58">
        <f t="shared" si="86"/>
        <v>0</v>
      </c>
      <c r="AZ363" s="62">
        <f t="shared" si="80"/>
        <v>0</v>
      </c>
      <c r="BA363" s="63">
        <f t="shared" si="81"/>
        <v>0</v>
      </c>
      <c r="BB363" s="63">
        <f t="shared" si="82"/>
        <v>0</v>
      </c>
    </row>
    <row r="364" spans="3:54" s="17" customFormat="1" x14ac:dyDescent="0.25">
      <c r="C364" s="215"/>
      <c r="D364" s="216"/>
      <c r="E364" s="88"/>
      <c r="F364" s="217"/>
      <c r="G364" s="234"/>
      <c r="H364" s="218"/>
      <c r="I364" s="76"/>
      <c r="J364" s="77"/>
      <c r="K364" s="76"/>
      <c r="L364" s="78"/>
      <c r="M364" s="78"/>
      <c r="N364" s="76" t="s">
        <v>39</v>
      </c>
      <c r="O364" s="110"/>
      <c r="P364" s="152"/>
      <c r="Q364" s="111" t="str">
        <f>IFERROR(MIN(VLOOKUP(ROUNDDOWN(P364,0),'Aide calcul'!$B$2:$C$282,2,FALSE),O364+1),"")</f>
        <v/>
      </c>
      <c r="R364" s="112" t="str">
        <f t="shared" si="83"/>
        <v/>
      </c>
      <c r="S364" s="152"/>
      <c r="T364" s="152"/>
      <c r="U364" s="152"/>
      <c r="V364" s="152"/>
      <c r="W364" s="152"/>
      <c r="X364" s="152"/>
      <c r="Y364" s="152"/>
      <c r="Z364" s="76"/>
      <c r="AA364" s="76"/>
      <c r="AB364" s="113" t="str">
        <f>IF(C364="3111. Logements",ROUND(VLOOKUP(C364,'Informations générales'!$C$66:$E$70,3,FALSE)*(AL364/$AM$28)/12,0)*12,IF(C364="3112. Logements",ROUND(VLOOKUP(C364,'Informations générales'!$C$66:$E$70,3,FALSE)*(AL364/$AN$28)/12,0)*12,IF(C364="3113. Logements",ROUND(VLOOKUP(C364,'Informations générales'!$C$66:$E$70,3,FALSE)*(AL364/$AO$28)/12,0)*12,IF(C364="3114. Logements",ROUND(VLOOKUP(C364,'Informations générales'!$C$66:$E$70,3,FALSE)*(AL364/$AP$28)/12,0)*12,IF(C364="3115. Logements",ROUND(VLOOKUP(C364,'Informations générales'!$C$66:$E$70,3,FALSE)*(AL364/$AQ$28)/12,0)*12,"")))))</f>
        <v/>
      </c>
      <c r="AC364" s="114"/>
      <c r="AD364" s="113">
        <f t="shared" si="84"/>
        <v>0</v>
      </c>
      <c r="AE364" s="114"/>
      <c r="AF364" s="203" t="str">
        <f>IF(C364="3111. Logements",ROUND(VLOOKUP(C364,'Informations générales'!$C$66:$E$70,3,FALSE)*(AL364/$AM$28)/12,0)*12,IF(C364="3112. Logements",ROUND(VLOOKUP(C364,'Informations générales'!$C$66:$E$70,3,FALSE)*(AL364/$AN$28)/12,0)*12,IF(C364="3113. Logements",ROUND(VLOOKUP(C364,'Informations générales'!$C$66:$E$70,3,FALSE)*(AL364/$AO$28)/12,0)*12,IF(C364="3114. Logements",ROUND(VLOOKUP(C364,'Informations générales'!$C$66:$E$70,3,FALSE)*(AL364/$AP$28)/12,0)*12,IF(C364="3115. Logements",ROUND(VLOOKUP(C364,'Informations générales'!$C$66:$E$70,3,FALSE)*(AL364/$AQ$28)/12,0)*12,"")))))</f>
        <v/>
      </c>
      <c r="AG364" s="202"/>
      <c r="AH364" s="113" t="str">
        <f>IF(C364="3111. Logements",ROUND(VLOOKUP(C364,'Informations générales'!$C$66:$H$70,5,FALSE)*(AL364/$AM$28)/12,0)*12,IF(C364="3112. Logements",ROUND(VLOOKUP(C364,'Informations générales'!$C$66:$H$70,5,FALSE)*(AL364/$AN$28)/12,0)*12,IF(C364="3113. Logements",ROUND(VLOOKUP(C364,'Informations générales'!$C$66:$H$70,5,FALSE)*(AL364/$AO$28)/12,0)*12,IF(C364="3114. Logements",ROUND(VLOOKUP(C364,'Informations générales'!$C$66:$H$70,5,FALSE)*(AL364/$AP$28)/12,0)*12,IF(C364="3115. Logements",ROUND(VLOOKUP(C364,'Informations générales'!$C$66:$H$70,5,FALSE)*(AL364/$AQ$28)/12,0)*12,"")))))</f>
        <v/>
      </c>
      <c r="AI364" s="114"/>
      <c r="AJ364" s="114"/>
      <c r="AK364" s="76"/>
      <c r="AL364" s="58">
        <f t="shared" si="85"/>
        <v>0</v>
      </c>
      <c r="AM364" s="58"/>
      <c r="AN364" s="58"/>
      <c r="AO364" s="58"/>
      <c r="AP364" s="58"/>
      <c r="AQ364" s="58"/>
      <c r="AR364" s="58">
        <f t="shared" si="73"/>
        <v>0</v>
      </c>
      <c r="AS364" s="58">
        <f t="shared" si="74"/>
        <v>0</v>
      </c>
      <c r="AT364" s="58">
        <f t="shared" si="75"/>
        <v>0</v>
      </c>
      <c r="AU364" s="58">
        <f t="shared" si="76"/>
        <v>0</v>
      </c>
      <c r="AV364" s="58">
        <f t="shared" si="77"/>
        <v>0</v>
      </c>
      <c r="AW364" s="58">
        <f t="shared" si="78"/>
        <v>0</v>
      </c>
      <c r="AX364" s="58">
        <f t="shared" si="79"/>
        <v>0</v>
      </c>
      <c r="AY364" s="58">
        <f t="shared" si="86"/>
        <v>0</v>
      </c>
      <c r="AZ364" s="62">
        <f t="shared" si="80"/>
        <v>0</v>
      </c>
      <c r="BA364" s="63">
        <f t="shared" si="81"/>
        <v>0</v>
      </c>
      <c r="BB364" s="63">
        <f t="shared" si="82"/>
        <v>0</v>
      </c>
    </row>
    <row r="365" spans="3:54" s="17" customFormat="1" x14ac:dyDescent="0.25">
      <c r="C365" s="215"/>
      <c r="D365" s="216"/>
      <c r="E365" s="88"/>
      <c r="F365" s="217"/>
      <c r="G365" s="234"/>
      <c r="H365" s="218"/>
      <c r="I365" s="76"/>
      <c r="J365" s="77"/>
      <c r="K365" s="76"/>
      <c r="L365" s="78"/>
      <c r="M365" s="78"/>
      <c r="N365" s="76" t="s">
        <v>39</v>
      </c>
      <c r="O365" s="110"/>
      <c r="P365" s="152"/>
      <c r="Q365" s="111" t="str">
        <f>IFERROR(MIN(VLOOKUP(ROUNDDOWN(P365,0),'Aide calcul'!$B$2:$C$282,2,FALSE),O365+1),"")</f>
        <v/>
      </c>
      <c r="R365" s="112" t="str">
        <f t="shared" si="83"/>
        <v/>
      </c>
      <c r="S365" s="152"/>
      <c r="T365" s="152"/>
      <c r="U365" s="152"/>
      <c r="V365" s="152"/>
      <c r="W365" s="152"/>
      <c r="X365" s="152"/>
      <c r="Y365" s="152"/>
      <c r="Z365" s="76"/>
      <c r="AA365" s="76"/>
      <c r="AB365" s="113" t="str">
        <f>IF(C365="3111. Logements",ROUND(VLOOKUP(C365,'Informations générales'!$C$66:$E$70,3,FALSE)*(AL365/$AM$28)/12,0)*12,IF(C365="3112. Logements",ROUND(VLOOKUP(C365,'Informations générales'!$C$66:$E$70,3,FALSE)*(AL365/$AN$28)/12,0)*12,IF(C365="3113. Logements",ROUND(VLOOKUP(C365,'Informations générales'!$C$66:$E$70,3,FALSE)*(AL365/$AO$28)/12,0)*12,IF(C365="3114. Logements",ROUND(VLOOKUP(C365,'Informations générales'!$C$66:$E$70,3,FALSE)*(AL365/$AP$28)/12,0)*12,IF(C365="3115. Logements",ROUND(VLOOKUP(C365,'Informations générales'!$C$66:$E$70,3,FALSE)*(AL365/$AQ$28)/12,0)*12,"")))))</f>
        <v/>
      </c>
      <c r="AC365" s="114"/>
      <c r="AD365" s="113">
        <f t="shared" si="84"/>
        <v>0</v>
      </c>
      <c r="AE365" s="114"/>
      <c r="AF365" s="203" t="str">
        <f>IF(C365="3111. Logements",ROUND(VLOOKUP(C365,'Informations générales'!$C$66:$E$70,3,FALSE)*(AL365/$AM$28)/12,0)*12,IF(C365="3112. Logements",ROUND(VLOOKUP(C365,'Informations générales'!$C$66:$E$70,3,FALSE)*(AL365/$AN$28)/12,0)*12,IF(C365="3113. Logements",ROUND(VLOOKUP(C365,'Informations générales'!$C$66:$E$70,3,FALSE)*(AL365/$AO$28)/12,0)*12,IF(C365="3114. Logements",ROUND(VLOOKUP(C365,'Informations générales'!$C$66:$E$70,3,FALSE)*(AL365/$AP$28)/12,0)*12,IF(C365="3115. Logements",ROUND(VLOOKUP(C365,'Informations générales'!$C$66:$E$70,3,FALSE)*(AL365/$AQ$28)/12,0)*12,"")))))</f>
        <v/>
      </c>
      <c r="AG365" s="202"/>
      <c r="AH365" s="113" t="str">
        <f>IF(C365="3111. Logements",ROUND(VLOOKUP(C365,'Informations générales'!$C$66:$H$70,5,FALSE)*(AL365/$AM$28)/12,0)*12,IF(C365="3112. Logements",ROUND(VLOOKUP(C365,'Informations générales'!$C$66:$H$70,5,FALSE)*(AL365/$AN$28)/12,0)*12,IF(C365="3113. Logements",ROUND(VLOOKUP(C365,'Informations générales'!$C$66:$H$70,5,FALSE)*(AL365/$AO$28)/12,0)*12,IF(C365="3114. Logements",ROUND(VLOOKUP(C365,'Informations générales'!$C$66:$H$70,5,FALSE)*(AL365/$AP$28)/12,0)*12,IF(C365="3115. Logements",ROUND(VLOOKUP(C365,'Informations générales'!$C$66:$H$70,5,FALSE)*(AL365/$AQ$28)/12,0)*12,"")))))</f>
        <v/>
      </c>
      <c r="AI365" s="114"/>
      <c r="AJ365" s="114"/>
      <c r="AK365" s="76"/>
      <c r="AL365" s="58">
        <f t="shared" si="85"/>
        <v>0</v>
      </c>
      <c r="AM365" s="58"/>
      <c r="AN365" s="58"/>
      <c r="AO365" s="58"/>
      <c r="AP365" s="58"/>
      <c r="AQ365" s="58"/>
      <c r="AR365" s="58">
        <f t="shared" si="73"/>
        <v>0</v>
      </c>
      <c r="AS365" s="58">
        <f t="shared" si="74"/>
        <v>0</v>
      </c>
      <c r="AT365" s="58">
        <f t="shared" si="75"/>
        <v>0</v>
      </c>
      <c r="AU365" s="58">
        <f t="shared" si="76"/>
        <v>0</v>
      </c>
      <c r="AV365" s="58">
        <f t="shared" si="77"/>
        <v>0</v>
      </c>
      <c r="AW365" s="58">
        <f t="shared" si="78"/>
        <v>0</v>
      </c>
      <c r="AX365" s="58">
        <f t="shared" si="79"/>
        <v>0</v>
      </c>
      <c r="AY365" s="58">
        <f t="shared" si="86"/>
        <v>0</v>
      </c>
      <c r="AZ365" s="62">
        <f t="shared" si="80"/>
        <v>0</v>
      </c>
      <c r="BA365" s="63">
        <f t="shared" si="81"/>
        <v>0</v>
      </c>
      <c r="BB365" s="63">
        <f t="shared" si="82"/>
        <v>0</v>
      </c>
    </row>
    <row r="366" spans="3:54" s="17" customFormat="1" x14ac:dyDescent="0.25">
      <c r="C366" s="215"/>
      <c r="D366" s="216"/>
      <c r="E366" s="88"/>
      <c r="F366" s="217"/>
      <c r="G366" s="234"/>
      <c r="H366" s="218"/>
      <c r="I366" s="76"/>
      <c r="J366" s="77"/>
      <c r="K366" s="76"/>
      <c r="L366" s="78"/>
      <c r="M366" s="78"/>
      <c r="N366" s="76" t="s">
        <v>39</v>
      </c>
      <c r="O366" s="110"/>
      <c r="P366" s="152"/>
      <c r="Q366" s="111" t="str">
        <f>IFERROR(MIN(VLOOKUP(ROUNDDOWN(P366,0),'Aide calcul'!$B$2:$C$282,2,FALSE),O366+1),"")</f>
        <v/>
      </c>
      <c r="R366" s="112" t="str">
        <f t="shared" si="83"/>
        <v/>
      </c>
      <c r="S366" s="152"/>
      <c r="T366" s="152"/>
      <c r="U366" s="152"/>
      <c r="V366" s="152"/>
      <c r="W366" s="152"/>
      <c r="X366" s="152"/>
      <c r="Y366" s="152"/>
      <c r="Z366" s="76"/>
      <c r="AA366" s="76"/>
      <c r="AB366" s="113" t="str">
        <f>IF(C366="3111. Logements",ROUND(VLOOKUP(C366,'Informations générales'!$C$66:$E$70,3,FALSE)*(AL366/$AM$28)/12,0)*12,IF(C366="3112. Logements",ROUND(VLOOKUP(C366,'Informations générales'!$C$66:$E$70,3,FALSE)*(AL366/$AN$28)/12,0)*12,IF(C366="3113. Logements",ROUND(VLOOKUP(C366,'Informations générales'!$C$66:$E$70,3,FALSE)*(AL366/$AO$28)/12,0)*12,IF(C366="3114. Logements",ROUND(VLOOKUP(C366,'Informations générales'!$C$66:$E$70,3,FALSE)*(AL366/$AP$28)/12,0)*12,IF(C366="3115. Logements",ROUND(VLOOKUP(C366,'Informations générales'!$C$66:$E$70,3,FALSE)*(AL366/$AQ$28)/12,0)*12,"")))))</f>
        <v/>
      </c>
      <c r="AC366" s="114"/>
      <c r="AD366" s="113">
        <f t="shared" si="84"/>
        <v>0</v>
      </c>
      <c r="AE366" s="114"/>
      <c r="AF366" s="203" t="str">
        <f>IF(C366="3111. Logements",ROUND(VLOOKUP(C366,'Informations générales'!$C$66:$E$70,3,FALSE)*(AL366/$AM$28)/12,0)*12,IF(C366="3112. Logements",ROUND(VLOOKUP(C366,'Informations générales'!$C$66:$E$70,3,FALSE)*(AL366/$AN$28)/12,0)*12,IF(C366="3113. Logements",ROUND(VLOOKUP(C366,'Informations générales'!$C$66:$E$70,3,FALSE)*(AL366/$AO$28)/12,0)*12,IF(C366="3114. Logements",ROUND(VLOOKUP(C366,'Informations générales'!$C$66:$E$70,3,FALSE)*(AL366/$AP$28)/12,0)*12,IF(C366="3115. Logements",ROUND(VLOOKUP(C366,'Informations générales'!$C$66:$E$70,3,FALSE)*(AL366/$AQ$28)/12,0)*12,"")))))</f>
        <v/>
      </c>
      <c r="AG366" s="202"/>
      <c r="AH366" s="113" t="str">
        <f>IF(C366="3111. Logements",ROUND(VLOOKUP(C366,'Informations générales'!$C$66:$H$70,5,FALSE)*(AL366/$AM$28)/12,0)*12,IF(C366="3112. Logements",ROUND(VLOOKUP(C366,'Informations générales'!$C$66:$H$70,5,FALSE)*(AL366/$AN$28)/12,0)*12,IF(C366="3113. Logements",ROUND(VLOOKUP(C366,'Informations générales'!$C$66:$H$70,5,FALSE)*(AL366/$AO$28)/12,0)*12,IF(C366="3114. Logements",ROUND(VLOOKUP(C366,'Informations générales'!$C$66:$H$70,5,FALSE)*(AL366/$AP$28)/12,0)*12,IF(C366="3115. Logements",ROUND(VLOOKUP(C366,'Informations générales'!$C$66:$H$70,5,FALSE)*(AL366/$AQ$28)/12,0)*12,"")))))</f>
        <v/>
      </c>
      <c r="AI366" s="114"/>
      <c r="AJ366" s="114"/>
      <c r="AK366" s="76"/>
      <c r="AL366" s="58">
        <f t="shared" si="85"/>
        <v>0</v>
      </c>
      <c r="AM366" s="58"/>
      <c r="AN366" s="58"/>
      <c r="AO366" s="58"/>
      <c r="AP366" s="58"/>
      <c r="AQ366" s="58"/>
      <c r="AR366" s="58">
        <f t="shared" si="73"/>
        <v>0</v>
      </c>
      <c r="AS366" s="58">
        <f t="shared" si="74"/>
        <v>0</v>
      </c>
      <c r="AT366" s="58">
        <f t="shared" si="75"/>
        <v>0</v>
      </c>
      <c r="AU366" s="58">
        <f t="shared" si="76"/>
        <v>0</v>
      </c>
      <c r="AV366" s="58">
        <f t="shared" si="77"/>
        <v>0</v>
      </c>
      <c r="AW366" s="58">
        <f t="shared" si="78"/>
        <v>0</v>
      </c>
      <c r="AX366" s="58">
        <f t="shared" si="79"/>
        <v>0</v>
      </c>
      <c r="AY366" s="58">
        <f t="shared" si="86"/>
        <v>0</v>
      </c>
      <c r="AZ366" s="62">
        <f t="shared" si="80"/>
        <v>0</v>
      </c>
      <c r="BA366" s="63">
        <f t="shared" si="81"/>
        <v>0</v>
      </c>
      <c r="BB366" s="63">
        <f t="shared" si="82"/>
        <v>0</v>
      </c>
    </row>
    <row r="367" spans="3:54" s="17" customFormat="1" x14ac:dyDescent="0.25">
      <c r="C367" s="215"/>
      <c r="D367" s="216"/>
      <c r="E367" s="88"/>
      <c r="F367" s="217"/>
      <c r="G367" s="234"/>
      <c r="H367" s="218"/>
      <c r="I367" s="76"/>
      <c r="J367" s="77"/>
      <c r="K367" s="76"/>
      <c r="L367" s="78"/>
      <c r="M367" s="78"/>
      <c r="N367" s="76" t="s">
        <v>39</v>
      </c>
      <c r="O367" s="110"/>
      <c r="P367" s="152"/>
      <c r="Q367" s="111" t="str">
        <f>IFERROR(MIN(VLOOKUP(ROUNDDOWN(P367,0),'Aide calcul'!$B$2:$C$282,2,FALSE),O367+1),"")</f>
        <v/>
      </c>
      <c r="R367" s="112" t="str">
        <f t="shared" si="83"/>
        <v/>
      </c>
      <c r="S367" s="152"/>
      <c r="T367" s="152"/>
      <c r="U367" s="152"/>
      <c r="V367" s="152"/>
      <c r="W367" s="152"/>
      <c r="X367" s="152"/>
      <c r="Y367" s="152"/>
      <c r="Z367" s="76"/>
      <c r="AA367" s="76"/>
      <c r="AB367" s="113" t="str">
        <f>IF(C367="3111. Logements",ROUND(VLOOKUP(C367,'Informations générales'!$C$66:$E$70,3,FALSE)*(AL367/$AM$28)/12,0)*12,IF(C367="3112. Logements",ROUND(VLOOKUP(C367,'Informations générales'!$C$66:$E$70,3,FALSE)*(AL367/$AN$28)/12,0)*12,IF(C367="3113. Logements",ROUND(VLOOKUP(C367,'Informations générales'!$C$66:$E$70,3,FALSE)*(AL367/$AO$28)/12,0)*12,IF(C367="3114. Logements",ROUND(VLOOKUP(C367,'Informations générales'!$C$66:$E$70,3,FALSE)*(AL367/$AP$28)/12,0)*12,IF(C367="3115. Logements",ROUND(VLOOKUP(C367,'Informations générales'!$C$66:$E$70,3,FALSE)*(AL367/$AQ$28)/12,0)*12,"")))))</f>
        <v/>
      </c>
      <c r="AC367" s="114"/>
      <c r="AD367" s="113">
        <f t="shared" si="84"/>
        <v>0</v>
      </c>
      <c r="AE367" s="114"/>
      <c r="AF367" s="203" t="str">
        <f>IF(C367="3111. Logements",ROUND(VLOOKUP(C367,'Informations générales'!$C$66:$E$70,3,FALSE)*(AL367/$AM$28)/12,0)*12,IF(C367="3112. Logements",ROUND(VLOOKUP(C367,'Informations générales'!$C$66:$E$70,3,FALSE)*(AL367/$AN$28)/12,0)*12,IF(C367="3113. Logements",ROUND(VLOOKUP(C367,'Informations générales'!$C$66:$E$70,3,FALSE)*(AL367/$AO$28)/12,0)*12,IF(C367="3114. Logements",ROUND(VLOOKUP(C367,'Informations générales'!$C$66:$E$70,3,FALSE)*(AL367/$AP$28)/12,0)*12,IF(C367="3115. Logements",ROUND(VLOOKUP(C367,'Informations générales'!$C$66:$E$70,3,FALSE)*(AL367/$AQ$28)/12,0)*12,"")))))</f>
        <v/>
      </c>
      <c r="AG367" s="202"/>
      <c r="AH367" s="113" t="str">
        <f>IF(C367="3111. Logements",ROUND(VLOOKUP(C367,'Informations générales'!$C$66:$H$70,5,FALSE)*(AL367/$AM$28)/12,0)*12,IF(C367="3112. Logements",ROUND(VLOOKUP(C367,'Informations générales'!$C$66:$H$70,5,FALSE)*(AL367/$AN$28)/12,0)*12,IF(C367="3113. Logements",ROUND(VLOOKUP(C367,'Informations générales'!$C$66:$H$70,5,FALSE)*(AL367/$AO$28)/12,0)*12,IF(C367="3114. Logements",ROUND(VLOOKUP(C367,'Informations générales'!$C$66:$H$70,5,FALSE)*(AL367/$AP$28)/12,0)*12,IF(C367="3115. Logements",ROUND(VLOOKUP(C367,'Informations générales'!$C$66:$H$70,5,FALSE)*(AL367/$AQ$28)/12,0)*12,"")))))</f>
        <v/>
      </c>
      <c r="AI367" s="114"/>
      <c r="AJ367" s="114"/>
      <c r="AK367" s="76"/>
      <c r="AL367" s="58">
        <f t="shared" si="85"/>
        <v>0</v>
      </c>
      <c r="AM367" s="58"/>
      <c r="AN367" s="58"/>
      <c r="AO367" s="58"/>
      <c r="AP367" s="58"/>
      <c r="AQ367" s="58"/>
      <c r="AR367" s="58">
        <f t="shared" si="73"/>
        <v>0</v>
      </c>
      <c r="AS367" s="58">
        <f t="shared" si="74"/>
        <v>0</v>
      </c>
      <c r="AT367" s="58">
        <f t="shared" si="75"/>
        <v>0</v>
      </c>
      <c r="AU367" s="58">
        <f t="shared" si="76"/>
        <v>0</v>
      </c>
      <c r="AV367" s="58">
        <f t="shared" si="77"/>
        <v>0</v>
      </c>
      <c r="AW367" s="58">
        <f t="shared" si="78"/>
        <v>0</v>
      </c>
      <c r="AX367" s="58">
        <f t="shared" si="79"/>
        <v>0</v>
      </c>
      <c r="AY367" s="58">
        <f t="shared" si="86"/>
        <v>0</v>
      </c>
      <c r="AZ367" s="62">
        <f t="shared" si="80"/>
        <v>0</v>
      </c>
      <c r="BA367" s="63">
        <f t="shared" si="81"/>
        <v>0</v>
      </c>
      <c r="BB367" s="63">
        <f t="shared" si="82"/>
        <v>0</v>
      </c>
    </row>
    <row r="368" spans="3:54" s="17" customFormat="1" x14ac:dyDescent="0.25">
      <c r="C368" s="215"/>
      <c r="D368" s="216"/>
      <c r="E368" s="88"/>
      <c r="F368" s="217"/>
      <c r="G368" s="234"/>
      <c r="H368" s="218"/>
      <c r="I368" s="76"/>
      <c r="J368" s="77"/>
      <c r="K368" s="76"/>
      <c r="L368" s="78"/>
      <c r="M368" s="78"/>
      <c r="N368" s="76" t="s">
        <v>39</v>
      </c>
      <c r="O368" s="110"/>
      <c r="P368" s="152"/>
      <c r="Q368" s="111" t="str">
        <f>IFERROR(MIN(VLOOKUP(ROUNDDOWN(P368,0),'Aide calcul'!$B$2:$C$282,2,FALSE),O368+1),"")</f>
        <v/>
      </c>
      <c r="R368" s="112" t="str">
        <f t="shared" si="83"/>
        <v/>
      </c>
      <c r="S368" s="152"/>
      <c r="T368" s="152"/>
      <c r="U368" s="152"/>
      <c r="V368" s="152"/>
      <c r="W368" s="152"/>
      <c r="X368" s="152"/>
      <c r="Y368" s="152"/>
      <c r="Z368" s="76"/>
      <c r="AA368" s="76"/>
      <c r="AB368" s="113" t="str">
        <f>IF(C368="3111. Logements",ROUND(VLOOKUP(C368,'Informations générales'!$C$66:$E$70,3,FALSE)*(AL368/$AM$28)/12,0)*12,IF(C368="3112. Logements",ROUND(VLOOKUP(C368,'Informations générales'!$C$66:$E$70,3,FALSE)*(AL368/$AN$28)/12,0)*12,IF(C368="3113. Logements",ROUND(VLOOKUP(C368,'Informations générales'!$C$66:$E$70,3,FALSE)*(AL368/$AO$28)/12,0)*12,IF(C368="3114. Logements",ROUND(VLOOKUP(C368,'Informations générales'!$C$66:$E$70,3,FALSE)*(AL368/$AP$28)/12,0)*12,IF(C368="3115. Logements",ROUND(VLOOKUP(C368,'Informations générales'!$C$66:$E$70,3,FALSE)*(AL368/$AQ$28)/12,0)*12,"")))))</f>
        <v/>
      </c>
      <c r="AC368" s="114"/>
      <c r="AD368" s="113">
        <f t="shared" si="84"/>
        <v>0</v>
      </c>
      <c r="AE368" s="114"/>
      <c r="AF368" s="203" t="str">
        <f>IF(C368="3111. Logements",ROUND(VLOOKUP(C368,'Informations générales'!$C$66:$E$70,3,FALSE)*(AL368/$AM$28)/12,0)*12,IF(C368="3112. Logements",ROUND(VLOOKUP(C368,'Informations générales'!$C$66:$E$70,3,FALSE)*(AL368/$AN$28)/12,0)*12,IF(C368="3113. Logements",ROUND(VLOOKUP(C368,'Informations générales'!$C$66:$E$70,3,FALSE)*(AL368/$AO$28)/12,0)*12,IF(C368="3114. Logements",ROUND(VLOOKUP(C368,'Informations générales'!$C$66:$E$70,3,FALSE)*(AL368/$AP$28)/12,0)*12,IF(C368="3115. Logements",ROUND(VLOOKUP(C368,'Informations générales'!$C$66:$E$70,3,FALSE)*(AL368/$AQ$28)/12,0)*12,"")))))</f>
        <v/>
      </c>
      <c r="AG368" s="202"/>
      <c r="AH368" s="113" t="str">
        <f>IF(C368="3111. Logements",ROUND(VLOOKUP(C368,'Informations générales'!$C$66:$H$70,5,FALSE)*(AL368/$AM$28)/12,0)*12,IF(C368="3112. Logements",ROUND(VLOOKUP(C368,'Informations générales'!$C$66:$H$70,5,FALSE)*(AL368/$AN$28)/12,0)*12,IF(C368="3113. Logements",ROUND(VLOOKUP(C368,'Informations générales'!$C$66:$H$70,5,FALSE)*(AL368/$AO$28)/12,0)*12,IF(C368="3114. Logements",ROUND(VLOOKUP(C368,'Informations générales'!$C$66:$H$70,5,FALSE)*(AL368/$AP$28)/12,0)*12,IF(C368="3115. Logements",ROUND(VLOOKUP(C368,'Informations générales'!$C$66:$H$70,5,FALSE)*(AL368/$AQ$28)/12,0)*12,"")))))</f>
        <v/>
      </c>
      <c r="AI368" s="114"/>
      <c r="AJ368" s="114"/>
      <c r="AK368" s="76"/>
      <c r="AL368" s="58">
        <f t="shared" si="85"/>
        <v>0</v>
      </c>
      <c r="AM368" s="58"/>
      <c r="AN368" s="58"/>
      <c r="AO368" s="58"/>
      <c r="AP368" s="58"/>
      <c r="AQ368" s="58"/>
      <c r="AR368" s="58">
        <f t="shared" si="73"/>
        <v>0</v>
      </c>
      <c r="AS368" s="58">
        <f t="shared" si="74"/>
        <v>0</v>
      </c>
      <c r="AT368" s="58">
        <f t="shared" si="75"/>
        <v>0</v>
      </c>
      <c r="AU368" s="58">
        <f t="shared" si="76"/>
        <v>0</v>
      </c>
      <c r="AV368" s="58">
        <f t="shared" si="77"/>
        <v>0</v>
      </c>
      <c r="AW368" s="58">
        <f t="shared" si="78"/>
        <v>0</v>
      </c>
      <c r="AX368" s="58">
        <f t="shared" si="79"/>
        <v>0</v>
      </c>
      <c r="AY368" s="58">
        <f t="shared" si="86"/>
        <v>0</v>
      </c>
      <c r="AZ368" s="62">
        <f t="shared" si="80"/>
        <v>0</v>
      </c>
      <c r="BA368" s="63">
        <f t="shared" si="81"/>
        <v>0</v>
      </c>
      <c r="BB368" s="63">
        <f t="shared" si="82"/>
        <v>0</v>
      </c>
    </row>
    <row r="369" spans="3:54" s="17" customFormat="1" x14ac:dyDescent="0.25">
      <c r="C369" s="215"/>
      <c r="D369" s="216"/>
      <c r="E369" s="88"/>
      <c r="F369" s="217"/>
      <c r="G369" s="234"/>
      <c r="H369" s="218"/>
      <c r="I369" s="76"/>
      <c r="J369" s="77"/>
      <c r="K369" s="76"/>
      <c r="L369" s="78"/>
      <c r="M369" s="78"/>
      <c r="N369" s="76" t="s">
        <v>39</v>
      </c>
      <c r="O369" s="110"/>
      <c r="P369" s="152"/>
      <c r="Q369" s="111" t="str">
        <f>IFERROR(MIN(VLOOKUP(ROUNDDOWN(P369,0),'Aide calcul'!$B$2:$C$282,2,FALSE),O369+1),"")</f>
        <v/>
      </c>
      <c r="R369" s="112" t="str">
        <f t="shared" si="83"/>
        <v/>
      </c>
      <c r="S369" s="152"/>
      <c r="T369" s="152"/>
      <c r="U369" s="152"/>
      <c r="V369" s="152"/>
      <c r="W369" s="152"/>
      <c r="X369" s="152"/>
      <c r="Y369" s="152"/>
      <c r="Z369" s="76"/>
      <c r="AA369" s="76"/>
      <c r="AB369" s="113" t="str">
        <f>IF(C369="3111. Logements",ROUND(VLOOKUP(C369,'Informations générales'!$C$66:$E$70,3,FALSE)*(AL369/$AM$28)/12,0)*12,IF(C369="3112. Logements",ROUND(VLOOKUP(C369,'Informations générales'!$C$66:$E$70,3,FALSE)*(AL369/$AN$28)/12,0)*12,IF(C369="3113. Logements",ROUND(VLOOKUP(C369,'Informations générales'!$C$66:$E$70,3,FALSE)*(AL369/$AO$28)/12,0)*12,IF(C369="3114. Logements",ROUND(VLOOKUP(C369,'Informations générales'!$C$66:$E$70,3,FALSE)*(AL369/$AP$28)/12,0)*12,IF(C369="3115. Logements",ROUND(VLOOKUP(C369,'Informations générales'!$C$66:$E$70,3,FALSE)*(AL369/$AQ$28)/12,0)*12,"")))))</f>
        <v/>
      </c>
      <c r="AC369" s="114"/>
      <c r="AD369" s="113">
        <f t="shared" si="84"/>
        <v>0</v>
      </c>
      <c r="AE369" s="114"/>
      <c r="AF369" s="203" t="str">
        <f>IF(C369="3111. Logements",ROUND(VLOOKUP(C369,'Informations générales'!$C$66:$E$70,3,FALSE)*(AL369/$AM$28)/12,0)*12,IF(C369="3112. Logements",ROUND(VLOOKUP(C369,'Informations générales'!$C$66:$E$70,3,FALSE)*(AL369/$AN$28)/12,0)*12,IF(C369="3113. Logements",ROUND(VLOOKUP(C369,'Informations générales'!$C$66:$E$70,3,FALSE)*(AL369/$AO$28)/12,0)*12,IF(C369="3114. Logements",ROUND(VLOOKUP(C369,'Informations générales'!$C$66:$E$70,3,FALSE)*(AL369/$AP$28)/12,0)*12,IF(C369="3115. Logements",ROUND(VLOOKUP(C369,'Informations générales'!$C$66:$E$70,3,FALSE)*(AL369/$AQ$28)/12,0)*12,"")))))</f>
        <v/>
      </c>
      <c r="AG369" s="202"/>
      <c r="AH369" s="113" t="str">
        <f>IF(C369="3111. Logements",ROUND(VLOOKUP(C369,'Informations générales'!$C$66:$H$70,5,FALSE)*(AL369/$AM$28)/12,0)*12,IF(C369="3112. Logements",ROUND(VLOOKUP(C369,'Informations générales'!$C$66:$H$70,5,FALSE)*(AL369/$AN$28)/12,0)*12,IF(C369="3113. Logements",ROUND(VLOOKUP(C369,'Informations générales'!$C$66:$H$70,5,FALSE)*(AL369/$AO$28)/12,0)*12,IF(C369="3114. Logements",ROUND(VLOOKUP(C369,'Informations générales'!$C$66:$H$70,5,FALSE)*(AL369/$AP$28)/12,0)*12,IF(C369="3115. Logements",ROUND(VLOOKUP(C369,'Informations générales'!$C$66:$H$70,5,FALSE)*(AL369/$AQ$28)/12,0)*12,"")))))</f>
        <v/>
      </c>
      <c r="AI369" s="114"/>
      <c r="AJ369" s="114"/>
      <c r="AK369" s="76"/>
      <c r="AL369" s="58">
        <f t="shared" si="85"/>
        <v>0</v>
      </c>
      <c r="AM369" s="58"/>
      <c r="AN369" s="58"/>
      <c r="AO369" s="58"/>
      <c r="AP369" s="58"/>
      <c r="AQ369" s="58"/>
      <c r="AR369" s="58">
        <f t="shared" si="73"/>
        <v>0</v>
      </c>
      <c r="AS369" s="58">
        <f t="shared" si="74"/>
        <v>0</v>
      </c>
      <c r="AT369" s="58">
        <f t="shared" si="75"/>
        <v>0</v>
      </c>
      <c r="AU369" s="58">
        <f t="shared" si="76"/>
        <v>0</v>
      </c>
      <c r="AV369" s="58">
        <f t="shared" si="77"/>
        <v>0</v>
      </c>
      <c r="AW369" s="58">
        <f t="shared" si="78"/>
        <v>0</v>
      </c>
      <c r="AX369" s="58">
        <f t="shared" si="79"/>
        <v>0</v>
      </c>
      <c r="AY369" s="58">
        <f t="shared" si="86"/>
        <v>0</v>
      </c>
      <c r="AZ369" s="62">
        <f t="shared" si="80"/>
        <v>0</v>
      </c>
      <c r="BA369" s="63">
        <f t="shared" si="81"/>
        <v>0</v>
      </c>
      <c r="BB369" s="63">
        <f t="shared" si="82"/>
        <v>0</v>
      </c>
    </row>
    <row r="370" spans="3:54" s="17" customFormat="1" x14ac:dyDescent="0.25">
      <c r="C370" s="215"/>
      <c r="D370" s="216"/>
      <c r="E370" s="88"/>
      <c r="F370" s="217"/>
      <c r="G370" s="234"/>
      <c r="H370" s="218"/>
      <c r="I370" s="76"/>
      <c r="J370" s="77"/>
      <c r="K370" s="76"/>
      <c r="L370" s="78"/>
      <c r="M370" s="78"/>
      <c r="N370" s="76" t="s">
        <v>39</v>
      </c>
      <c r="O370" s="110"/>
      <c r="P370" s="152"/>
      <c r="Q370" s="111" t="str">
        <f>IFERROR(MIN(VLOOKUP(ROUNDDOWN(P370,0),'Aide calcul'!$B$2:$C$282,2,FALSE),O370+1),"")</f>
        <v/>
      </c>
      <c r="R370" s="112" t="str">
        <f t="shared" si="83"/>
        <v/>
      </c>
      <c r="S370" s="152"/>
      <c r="T370" s="152"/>
      <c r="U370" s="152"/>
      <c r="V370" s="152"/>
      <c r="W370" s="152"/>
      <c r="X370" s="152"/>
      <c r="Y370" s="152"/>
      <c r="Z370" s="76"/>
      <c r="AA370" s="76"/>
      <c r="AB370" s="113" t="str">
        <f>IF(C370="3111. Logements",ROUND(VLOOKUP(C370,'Informations générales'!$C$66:$E$70,3,FALSE)*(AL370/$AM$28)/12,0)*12,IF(C370="3112. Logements",ROUND(VLOOKUP(C370,'Informations générales'!$C$66:$E$70,3,FALSE)*(AL370/$AN$28)/12,0)*12,IF(C370="3113. Logements",ROUND(VLOOKUP(C370,'Informations générales'!$C$66:$E$70,3,FALSE)*(AL370/$AO$28)/12,0)*12,IF(C370="3114. Logements",ROUND(VLOOKUP(C370,'Informations générales'!$C$66:$E$70,3,FALSE)*(AL370/$AP$28)/12,0)*12,IF(C370="3115. Logements",ROUND(VLOOKUP(C370,'Informations générales'!$C$66:$E$70,3,FALSE)*(AL370/$AQ$28)/12,0)*12,"")))))</f>
        <v/>
      </c>
      <c r="AC370" s="114"/>
      <c r="AD370" s="113">
        <f t="shared" si="84"/>
        <v>0</v>
      </c>
      <c r="AE370" s="114"/>
      <c r="AF370" s="203" t="str">
        <f>IF(C370="3111. Logements",ROUND(VLOOKUP(C370,'Informations générales'!$C$66:$E$70,3,FALSE)*(AL370/$AM$28)/12,0)*12,IF(C370="3112. Logements",ROUND(VLOOKUP(C370,'Informations générales'!$C$66:$E$70,3,FALSE)*(AL370/$AN$28)/12,0)*12,IF(C370="3113. Logements",ROUND(VLOOKUP(C370,'Informations générales'!$C$66:$E$70,3,FALSE)*(AL370/$AO$28)/12,0)*12,IF(C370="3114. Logements",ROUND(VLOOKUP(C370,'Informations générales'!$C$66:$E$70,3,FALSE)*(AL370/$AP$28)/12,0)*12,IF(C370="3115. Logements",ROUND(VLOOKUP(C370,'Informations générales'!$C$66:$E$70,3,FALSE)*(AL370/$AQ$28)/12,0)*12,"")))))</f>
        <v/>
      </c>
      <c r="AG370" s="202"/>
      <c r="AH370" s="113" t="str">
        <f>IF(C370="3111. Logements",ROUND(VLOOKUP(C370,'Informations générales'!$C$66:$H$70,5,FALSE)*(AL370/$AM$28)/12,0)*12,IF(C370="3112. Logements",ROUND(VLOOKUP(C370,'Informations générales'!$C$66:$H$70,5,FALSE)*(AL370/$AN$28)/12,0)*12,IF(C370="3113. Logements",ROUND(VLOOKUP(C370,'Informations générales'!$C$66:$H$70,5,FALSE)*(AL370/$AO$28)/12,0)*12,IF(C370="3114. Logements",ROUND(VLOOKUP(C370,'Informations générales'!$C$66:$H$70,5,FALSE)*(AL370/$AP$28)/12,0)*12,IF(C370="3115. Logements",ROUND(VLOOKUP(C370,'Informations générales'!$C$66:$H$70,5,FALSE)*(AL370/$AQ$28)/12,0)*12,"")))))</f>
        <v/>
      </c>
      <c r="AI370" s="114"/>
      <c r="AJ370" s="114"/>
      <c r="AK370" s="76"/>
      <c r="AL370" s="58">
        <f t="shared" si="85"/>
        <v>0</v>
      </c>
      <c r="AM370" s="58"/>
      <c r="AN370" s="58"/>
      <c r="AO370" s="58"/>
      <c r="AP370" s="58"/>
      <c r="AQ370" s="58"/>
      <c r="AR370" s="58">
        <f t="shared" si="73"/>
        <v>0</v>
      </c>
      <c r="AS370" s="58">
        <f t="shared" si="74"/>
        <v>0</v>
      </c>
      <c r="AT370" s="58">
        <f t="shared" si="75"/>
        <v>0</v>
      </c>
      <c r="AU370" s="58">
        <f t="shared" si="76"/>
        <v>0</v>
      </c>
      <c r="AV370" s="58">
        <f t="shared" si="77"/>
        <v>0</v>
      </c>
      <c r="AW370" s="58">
        <f t="shared" si="78"/>
        <v>0</v>
      </c>
      <c r="AX370" s="58">
        <f t="shared" si="79"/>
        <v>0</v>
      </c>
      <c r="AY370" s="58">
        <f t="shared" si="86"/>
        <v>0</v>
      </c>
      <c r="AZ370" s="62">
        <f t="shared" si="80"/>
        <v>0</v>
      </c>
      <c r="BA370" s="63">
        <f t="shared" si="81"/>
        <v>0</v>
      </c>
      <c r="BB370" s="63">
        <f t="shared" si="82"/>
        <v>0</v>
      </c>
    </row>
    <row r="371" spans="3:54" s="17" customFormat="1" x14ac:dyDescent="0.25">
      <c r="C371" s="215"/>
      <c r="D371" s="216"/>
      <c r="E371" s="88"/>
      <c r="F371" s="217"/>
      <c r="G371" s="234"/>
      <c r="H371" s="218"/>
      <c r="I371" s="76"/>
      <c r="J371" s="77"/>
      <c r="K371" s="76"/>
      <c r="L371" s="78"/>
      <c r="M371" s="78"/>
      <c r="N371" s="76" t="s">
        <v>39</v>
      </c>
      <c r="O371" s="110"/>
      <c r="P371" s="152"/>
      <c r="Q371" s="111" t="str">
        <f>IFERROR(MIN(VLOOKUP(ROUNDDOWN(P371,0),'Aide calcul'!$B$2:$C$282,2,FALSE),O371+1),"")</f>
        <v/>
      </c>
      <c r="R371" s="112" t="str">
        <f t="shared" si="83"/>
        <v/>
      </c>
      <c r="S371" s="152"/>
      <c r="T371" s="152"/>
      <c r="U371" s="152"/>
      <c r="V371" s="152"/>
      <c r="W371" s="152"/>
      <c r="X371" s="152"/>
      <c r="Y371" s="152"/>
      <c r="Z371" s="76"/>
      <c r="AA371" s="76"/>
      <c r="AB371" s="113" t="str">
        <f>IF(C371="3111. Logements",ROUND(VLOOKUP(C371,'Informations générales'!$C$66:$E$70,3,FALSE)*(AL371/$AM$28)/12,0)*12,IF(C371="3112. Logements",ROUND(VLOOKUP(C371,'Informations générales'!$C$66:$E$70,3,FALSE)*(AL371/$AN$28)/12,0)*12,IF(C371="3113. Logements",ROUND(VLOOKUP(C371,'Informations générales'!$C$66:$E$70,3,FALSE)*(AL371/$AO$28)/12,0)*12,IF(C371="3114. Logements",ROUND(VLOOKUP(C371,'Informations générales'!$C$66:$E$70,3,FALSE)*(AL371/$AP$28)/12,0)*12,IF(C371="3115. Logements",ROUND(VLOOKUP(C371,'Informations générales'!$C$66:$E$70,3,FALSE)*(AL371/$AQ$28)/12,0)*12,"")))))</f>
        <v/>
      </c>
      <c r="AC371" s="114"/>
      <c r="AD371" s="113">
        <f t="shared" si="84"/>
        <v>0</v>
      </c>
      <c r="AE371" s="114"/>
      <c r="AF371" s="203" t="str">
        <f>IF(C371="3111. Logements",ROUND(VLOOKUP(C371,'Informations générales'!$C$66:$E$70,3,FALSE)*(AL371/$AM$28)/12,0)*12,IF(C371="3112. Logements",ROUND(VLOOKUP(C371,'Informations générales'!$C$66:$E$70,3,FALSE)*(AL371/$AN$28)/12,0)*12,IF(C371="3113. Logements",ROUND(VLOOKUP(C371,'Informations générales'!$C$66:$E$70,3,FALSE)*(AL371/$AO$28)/12,0)*12,IF(C371="3114. Logements",ROUND(VLOOKUP(C371,'Informations générales'!$C$66:$E$70,3,FALSE)*(AL371/$AP$28)/12,0)*12,IF(C371="3115. Logements",ROUND(VLOOKUP(C371,'Informations générales'!$C$66:$E$70,3,FALSE)*(AL371/$AQ$28)/12,0)*12,"")))))</f>
        <v/>
      </c>
      <c r="AG371" s="202"/>
      <c r="AH371" s="113" t="str">
        <f>IF(C371="3111. Logements",ROUND(VLOOKUP(C371,'Informations générales'!$C$66:$H$70,5,FALSE)*(AL371/$AM$28)/12,0)*12,IF(C371="3112. Logements",ROUND(VLOOKUP(C371,'Informations générales'!$C$66:$H$70,5,FALSE)*(AL371/$AN$28)/12,0)*12,IF(C371="3113. Logements",ROUND(VLOOKUP(C371,'Informations générales'!$C$66:$H$70,5,FALSE)*(AL371/$AO$28)/12,0)*12,IF(C371="3114. Logements",ROUND(VLOOKUP(C371,'Informations générales'!$C$66:$H$70,5,FALSE)*(AL371/$AP$28)/12,0)*12,IF(C371="3115. Logements",ROUND(VLOOKUP(C371,'Informations générales'!$C$66:$H$70,5,FALSE)*(AL371/$AQ$28)/12,0)*12,"")))))</f>
        <v/>
      </c>
      <c r="AI371" s="114"/>
      <c r="AJ371" s="114"/>
      <c r="AK371" s="76"/>
      <c r="AL371" s="58">
        <f t="shared" si="85"/>
        <v>0</v>
      </c>
      <c r="AM371" s="58"/>
      <c r="AN371" s="58"/>
      <c r="AO371" s="58"/>
      <c r="AP371" s="58"/>
      <c r="AQ371" s="58"/>
      <c r="AR371" s="58">
        <f t="shared" si="73"/>
        <v>0</v>
      </c>
      <c r="AS371" s="58">
        <f t="shared" si="74"/>
        <v>0</v>
      </c>
      <c r="AT371" s="58">
        <f t="shared" si="75"/>
        <v>0</v>
      </c>
      <c r="AU371" s="58">
        <f t="shared" si="76"/>
        <v>0</v>
      </c>
      <c r="AV371" s="58">
        <f t="shared" si="77"/>
        <v>0</v>
      </c>
      <c r="AW371" s="58">
        <f t="shared" si="78"/>
        <v>0</v>
      </c>
      <c r="AX371" s="58">
        <f t="shared" si="79"/>
        <v>0</v>
      </c>
      <c r="AY371" s="58">
        <f t="shared" si="86"/>
        <v>0</v>
      </c>
      <c r="AZ371" s="62">
        <f t="shared" si="80"/>
        <v>0</v>
      </c>
      <c r="BA371" s="63">
        <f t="shared" si="81"/>
        <v>0</v>
      </c>
      <c r="BB371" s="63">
        <f t="shared" si="82"/>
        <v>0</v>
      </c>
    </row>
    <row r="372" spans="3:54" s="17" customFormat="1" x14ac:dyDescent="0.25">
      <c r="C372" s="215"/>
      <c r="D372" s="216"/>
      <c r="E372" s="88"/>
      <c r="F372" s="217"/>
      <c r="G372" s="234"/>
      <c r="H372" s="218"/>
      <c r="I372" s="76"/>
      <c r="J372" s="77"/>
      <c r="K372" s="76"/>
      <c r="L372" s="78"/>
      <c r="M372" s="78"/>
      <c r="N372" s="76" t="s">
        <v>39</v>
      </c>
      <c r="O372" s="110"/>
      <c r="P372" s="152"/>
      <c r="Q372" s="111" t="str">
        <f>IFERROR(MIN(VLOOKUP(ROUNDDOWN(P372,0),'Aide calcul'!$B$2:$C$282,2,FALSE),O372+1),"")</f>
        <v/>
      </c>
      <c r="R372" s="112" t="str">
        <f t="shared" si="83"/>
        <v/>
      </c>
      <c r="S372" s="152"/>
      <c r="T372" s="152"/>
      <c r="U372" s="152"/>
      <c r="V372" s="152"/>
      <c r="W372" s="152"/>
      <c r="X372" s="152"/>
      <c r="Y372" s="152"/>
      <c r="Z372" s="76"/>
      <c r="AA372" s="76"/>
      <c r="AB372" s="113" t="str">
        <f>IF(C372="3111. Logements",ROUND(VLOOKUP(C372,'Informations générales'!$C$66:$E$70,3,FALSE)*(AL372/$AM$28)/12,0)*12,IF(C372="3112. Logements",ROUND(VLOOKUP(C372,'Informations générales'!$C$66:$E$70,3,FALSE)*(AL372/$AN$28)/12,0)*12,IF(C372="3113. Logements",ROUND(VLOOKUP(C372,'Informations générales'!$C$66:$E$70,3,FALSE)*(AL372/$AO$28)/12,0)*12,IF(C372="3114. Logements",ROUND(VLOOKUP(C372,'Informations générales'!$C$66:$E$70,3,FALSE)*(AL372/$AP$28)/12,0)*12,IF(C372="3115. Logements",ROUND(VLOOKUP(C372,'Informations générales'!$C$66:$E$70,3,FALSE)*(AL372/$AQ$28)/12,0)*12,"")))))</f>
        <v/>
      </c>
      <c r="AC372" s="114"/>
      <c r="AD372" s="113">
        <f t="shared" si="84"/>
        <v>0</v>
      </c>
      <c r="AE372" s="114"/>
      <c r="AF372" s="203" t="str">
        <f>IF(C372="3111. Logements",ROUND(VLOOKUP(C372,'Informations générales'!$C$66:$E$70,3,FALSE)*(AL372/$AM$28)/12,0)*12,IF(C372="3112. Logements",ROUND(VLOOKUP(C372,'Informations générales'!$C$66:$E$70,3,FALSE)*(AL372/$AN$28)/12,0)*12,IF(C372="3113. Logements",ROUND(VLOOKUP(C372,'Informations générales'!$C$66:$E$70,3,FALSE)*(AL372/$AO$28)/12,0)*12,IF(C372="3114. Logements",ROUND(VLOOKUP(C372,'Informations générales'!$C$66:$E$70,3,FALSE)*(AL372/$AP$28)/12,0)*12,IF(C372="3115. Logements",ROUND(VLOOKUP(C372,'Informations générales'!$C$66:$E$70,3,FALSE)*(AL372/$AQ$28)/12,0)*12,"")))))</f>
        <v/>
      </c>
      <c r="AG372" s="202"/>
      <c r="AH372" s="113" t="str">
        <f>IF(C372="3111. Logements",ROUND(VLOOKUP(C372,'Informations générales'!$C$66:$H$70,5,FALSE)*(AL372/$AM$28)/12,0)*12,IF(C372="3112. Logements",ROUND(VLOOKUP(C372,'Informations générales'!$C$66:$H$70,5,FALSE)*(AL372/$AN$28)/12,0)*12,IF(C372="3113. Logements",ROUND(VLOOKUP(C372,'Informations générales'!$C$66:$H$70,5,FALSE)*(AL372/$AO$28)/12,0)*12,IF(C372="3114. Logements",ROUND(VLOOKUP(C372,'Informations générales'!$C$66:$H$70,5,FALSE)*(AL372/$AP$28)/12,0)*12,IF(C372="3115. Logements",ROUND(VLOOKUP(C372,'Informations générales'!$C$66:$H$70,5,FALSE)*(AL372/$AQ$28)/12,0)*12,"")))))</f>
        <v/>
      </c>
      <c r="AI372" s="114"/>
      <c r="AJ372" s="114"/>
      <c r="AK372" s="76"/>
      <c r="AL372" s="58">
        <f t="shared" si="85"/>
        <v>0</v>
      </c>
      <c r="AM372" s="58"/>
      <c r="AN372" s="58"/>
      <c r="AO372" s="58"/>
      <c r="AP372" s="58"/>
      <c r="AQ372" s="58"/>
      <c r="AR372" s="58">
        <f t="shared" si="73"/>
        <v>0</v>
      </c>
      <c r="AS372" s="58">
        <f t="shared" si="74"/>
        <v>0</v>
      </c>
      <c r="AT372" s="58">
        <f t="shared" si="75"/>
        <v>0</v>
      </c>
      <c r="AU372" s="58">
        <f t="shared" si="76"/>
        <v>0</v>
      </c>
      <c r="AV372" s="58">
        <f t="shared" si="77"/>
        <v>0</v>
      </c>
      <c r="AW372" s="58">
        <f t="shared" si="78"/>
        <v>0</v>
      </c>
      <c r="AX372" s="58">
        <f t="shared" si="79"/>
        <v>0</v>
      </c>
      <c r="AY372" s="58">
        <f t="shared" si="86"/>
        <v>0</v>
      </c>
      <c r="AZ372" s="62">
        <f t="shared" si="80"/>
        <v>0</v>
      </c>
      <c r="BA372" s="63">
        <f t="shared" si="81"/>
        <v>0</v>
      </c>
      <c r="BB372" s="63">
        <f t="shared" si="82"/>
        <v>0</v>
      </c>
    </row>
    <row r="373" spans="3:54" s="17" customFormat="1" x14ac:dyDescent="0.25">
      <c r="C373" s="215"/>
      <c r="D373" s="216"/>
      <c r="E373" s="88"/>
      <c r="F373" s="217"/>
      <c r="G373" s="234"/>
      <c r="H373" s="218"/>
      <c r="I373" s="76"/>
      <c r="J373" s="77"/>
      <c r="K373" s="76"/>
      <c r="L373" s="78"/>
      <c r="M373" s="78"/>
      <c r="N373" s="76" t="s">
        <v>39</v>
      </c>
      <c r="O373" s="110"/>
      <c r="P373" s="152"/>
      <c r="Q373" s="111" t="str">
        <f>IFERROR(MIN(VLOOKUP(ROUNDDOWN(P373,0),'Aide calcul'!$B$2:$C$282,2,FALSE),O373+1),"")</f>
        <v/>
      </c>
      <c r="R373" s="112" t="str">
        <f t="shared" si="83"/>
        <v/>
      </c>
      <c r="S373" s="152"/>
      <c r="T373" s="152"/>
      <c r="U373" s="152"/>
      <c r="V373" s="152"/>
      <c r="W373" s="152"/>
      <c r="X373" s="152"/>
      <c r="Y373" s="152"/>
      <c r="Z373" s="76"/>
      <c r="AA373" s="76"/>
      <c r="AB373" s="113" t="str">
        <f>IF(C373="3111. Logements",ROUND(VLOOKUP(C373,'Informations générales'!$C$66:$E$70,3,FALSE)*(AL373/$AM$28)/12,0)*12,IF(C373="3112. Logements",ROUND(VLOOKUP(C373,'Informations générales'!$C$66:$E$70,3,FALSE)*(AL373/$AN$28)/12,0)*12,IF(C373="3113. Logements",ROUND(VLOOKUP(C373,'Informations générales'!$C$66:$E$70,3,FALSE)*(AL373/$AO$28)/12,0)*12,IF(C373="3114. Logements",ROUND(VLOOKUP(C373,'Informations générales'!$C$66:$E$70,3,FALSE)*(AL373/$AP$28)/12,0)*12,IF(C373="3115. Logements",ROUND(VLOOKUP(C373,'Informations générales'!$C$66:$E$70,3,FALSE)*(AL373/$AQ$28)/12,0)*12,"")))))</f>
        <v/>
      </c>
      <c r="AC373" s="114"/>
      <c r="AD373" s="113">
        <f t="shared" si="84"/>
        <v>0</v>
      </c>
      <c r="AE373" s="114"/>
      <c r="AF373" s="203" t="str">
        <f>IF(C373="3111. Logements",ROUND(VLOOKUP(C373,'Informations générales'!$C$66:$E$70,3,FALSE)*(AL373/$AM$28)/12,0)*12,IF(C373="3112. Logements",ROUND(VLOOKUP(C373,'Informations générales'!$C$66:$E$70,3,FALSE)*(AL373/$AN$28)/12,0)*12,IF(C373="3113. Logements",ROUND(VLOOKUP(C373,'Informations générales'!$C$66:$E$70,3,FALSE)*(AL373/$AO$28)/12,0)*12,IF(C373="3114. Logements",ROUND(VLOOKUP(C373,'Informations générales'!$C$66:$E$70,3,FALSE)*(AL373/$AP$28)/12,0)*12,IF(C373="3115. Logements",ROUND(VLOOKUP(C373,'Informations générales'!$C$66:$E$70,3,FALSE)*(AL373/$AQ$28)/12,0)*12,"")))))</f>
        <v/>
      </c>
      <c r="AG373" s="202"/>
      <c r="AH373" s="113" t="str">
        <f>IF(C373="3111. Logements",ROUND(VLOOKUP(C373,'Informations générales'!$C$66:$H$70,5,FALSE)*(AL373/$AM$28)/12,0)*12,IF(C373="3112. Logements",ROUND(VLOOKUP(C373,'Informations générales'!$C$66:$H$70,5,FALSE)*(AL373/$AN$28)/12,0)*12,IF(C373="3113. Logements",ROUND(VLOOKUP(C373,'Informations générales'!$C$66:$H$70,5,FALSE)*(AL373/$AO$28)/12,0)*12,IF(C373="3114. Logements",ROUND(VLOOKUP(C373,'Informations générales'!$C$66:$H$70,5,FALSE)*(AL373/$AP$28)/12,0)*12,IF(C373="3115. Logements",ROUND(VLOOKUP(C373,'Informations générales'!$C$66:$H$70,5,FALSE)*(AL373/$AQ$28)/12,0)*12,"")))))</f>
        <v/>
      </c>
      <c r="AI373" s="114"/>
      <c r="AJ373" s="114"/>
      <c r="AK373" s="76"/>
      <c r="AL373" s="58">
        <f t="shared" si="85"/>
        <v>0</v>
      </c>
      <c r="AM373" s="58"/>
      <c r="AN373" s="58"/>
      <c r="AO373" s="58"/>
      <c r="AP373" s="58"/>
      <c r="AQ373" s="58"/>
      <c r="AR373" s="58">
        <f t="shared" si="73"/>
        <v>0</v>
      </c>
      <c r="AS373" s="58">
        <f t="shared" si="74"/>
        <v>0</v>
      </c>
      <c r="AT373" s="58">
        <f t="shared" si="75"/>
        <v>0</v>
      </c>
      <c r="AU373" s="58">
        <f t="shared" si="76"/>
        <v>0</v>
      </c>
      <c r="AV373" s="58">
        <f t="shared" si="77"/>
        <v>0</v>
      </c>
      <c r="AW373" s="58">
        <f t="shared" si="78"/>
        <v>0</v>
      </c>
      <c r="AX373" s="58">
        <f t="shared" si="79"/>
        <v>0</v>
      </c>
      <c r="AY373" s="58">
        <f t="shared" si="86"/>
        <v>0</v>
      </c>
      <c r="AZ373" s="62">
        <f t="shared" si="80"/>
        <v>0</v>
      </c>
      <c r="BA373" s="63">
        <f t="shared" si="81"/>
        <v>0</v>
      </c>
      <c r="BB373" s="63">
        <f t="shared" si="82"/>
        <v>0</v>
      </c>
    </row>
    <row r="374" spans="3:54" s="17" customFormat="1" x14ac:dyDescent="0.25">
      <c r="C374" s="215"/>
      <c r="D374" s="216"/>
      <c r="E374" s="88"/>
      <c r="F374" s="217"/>
      <c r="G374" s="234"/>
      <c r="H374" s="218"/>
      <c r="I374" s="76"/>
      <c r="J374" s="77"/>
      <c r="K374" s="76"/>
      <c r="L374" s="78"/>
      <c r="M374" s="78"/>
      <c r="N374" s="76" t="s">
        <v>39</v>
      </c>
      <c r="O374" s="110"/>
      <c r="P374" s="152"/>
      <c r="Q374" s="111" t="str">
        <f>IFERROR(MIN(VLOOKUP(ROUNDDOWN(P374,0),'Aide calcul'!$B$2:$C$282,2,FALSE),O374+1),"")</f>
        <v/>
      </c>
      <c r="R374" s="112" t="str">
        <f t="shared" si="83"/>
        <v/>
      </c>
      <c r="S374" s="152"/>
      <c r="T374" s="152"/>
      <c r="U374" s="152"/>
      <c r="V374" s="152"/>
      <c r="W374" s="152"/>
      <c r="X374" s="152"/>
      <c r="Y374" s="152"/>
      <c r="Z374" s="76"/>
      <c r="AA374" s="76"/>
      <c r="AB374" s="113" t="str">
        <f>IF(C374="3111. Logements",ROUND(VLOOKUP(C374,'Informations générales'!$C$66:$E$70,3,FALSE)*(AL374/$AM$28)/12,0)*12,IF(C374="3112. Logements",ROUND(VLOOKUP(C374,'Informations générales'!$C$66:$E$70,3,FALSE)*(AL374/$AN$28)/12,0)*12,IF(C374="3113. Logements",ROUND(VLOOKUP(C374,'Informations générales'!$C$66:$E$70,3,FALSE)*(AL374/$AO$28)/12,0)*12,IF(C374="3114. Logements",ROUND(VLOOKUP(C374,'Informations générales'!$C$66:$E$70,3,FALSE)*(AL374/$AP$28)/12,0)*12,IF(C374="3115. Logements",ROUND(VLOOKUP(C374,'Informations générales'!$C$66:$E$70,3,FALSE)*(AL374/$AQ$28)/12,0)*12,"")))))</f>
        <v/>
      </c>
      <c r="AC374" s="114"/>
      <c r="AD374" s="113">
        <f t="shared" si="84"/>
        <v>0</v>
      </c>
      <c r="AE374" s="114"/>
      <c r="AF374" s="203" t="str">
        <f>IF(C374="3111. Logements",ROUND(VLOOKUP(C374,'Informations générales'!$C$66:$E$70,3,FALSE)*(AL374/$AM$28)/12,0)*12,IF(C374="3112. Logements",ROUND(VLOOKUP(C374,'Informations générales'!$C$66:$E$70,3,FALSE)*(AL374/$AN$28)/12,0)*12,IF(C374="3113. Logements",ROUND(VLOOKUP(C374,'Informations générales'!$C$66:$E$70,3,FALSE)*(AL374/$AO$28)/12,0)*12,IF(C374="3114. Logements",ROUND(VLOOKUP(C374,'Informations générales'!$C$66:$E$70,3,FALSE)*(AL374/$AP$28)/12,0)*12,IF(C374="3115. Logements",ROUND(VLOOKUP(C374,'Informations générales'!$C$66:$E$70,3,FALSE)*(AL374/$AQ$28)/12,0)*12,"")))))</f>
        <v/>
      </c>
      <c r="AG374" s="202"/>
      <c r="AH374" s="113" t="str">
        <f>IF(C374="3111. Logements",ROUND(VLOOKUP(C374,'Informations générales'!$C$66:$H$70,5,FALSE)*(AL374/$AM$28)/12,0)*12,IF(C374="3112. Logements",ROUND(VLOOKUP(C374,'Informations générales'!$C$66:$H$70,5,FALSE)*(AL374/$AN$28)/12,0)*12,IF(C374="3113. Logements",ROUND(VLOOKUP(C374,'Informations générales'!$C$66:$H$70,5,FALSE)*(AL374/$AO$28)/12,0)*12,IF(C374="3114. Logements",ROUND(VLOOKUP(C374,'Informations générales'!$C$66:$H$70,5,FALSE)*(AL374/$AP$28)/12,0)*12,IF(C374="3115. Logements",ROUND(VLOOKUP(C374,'Informations générales'!$C$66:$H$70,5,FALSE)*(AL374/$AQ$28)/12,0)*12,"")))))</f>
        <v/>
      </c>
      <c r="AI374" s="114"/>
      <c r="AJ374" s="114"/>
      <c r="AK374" s="76"/>
      <c r="AL374" s="58">
        <f t="shared" si="85"/>
        <v>0</v>
      </c>
      <c r="AM374" s="58"/>
      <c r="AN374" s="58"/>
      <c r="AO374" s="58"/>
      <c r="AP374" s="58"/>
      <c r="AQ374" s="58"/>
      <c r="AR374" s="58">
        <f t="shared" si="73"/>
        <v>0</v>
      </c>
      <c r="AS374" s="58">
        <f t="shared" si="74"/>
        <v>0</v>
      </c>
      <c r="AT374" s="58">
        <f t="shared" si="75"/>
        <v>0</v>
      </c>
      <c r="AU374" s="58">
        <f t="shared" si="76"/>
        <v>0</v>
      </c>
      <c r="AV374" s="58">
        <f t="shared" si="77"/>
        <v>0</v>
      </c>
      <c r="AW374" s="58">
        <f t="shared" si="78"/>
        <v>0</v>
      </c>
      <c r="AX374" s="58">
        <f t="shared" si="79"/>
        <v>0</v>
      </c>
      <c r="AY374" s="58">
        <f t="shared" si="86"/>
        <v>0</v>
      </c>
      <c r="AZ374" s="62">
        <f t="shared" si="80"/>
        <v>0</v>
      </c>
      <c r="BA374" s="63">
        <f t="shared" si="81"/>
        <v>0</v>
      </c>
      <c r="BB374" s="63">
        <f t="shared" si="82"/>
        <v>0</v>
      </c>
    </row>
    <row r="375" spans="3:54" s="17" customFormat="1" x14ac:dyDescent="0.25">
      <c r="C375" s="215"/>
      <c r="D375" s="216"/>
      <c r="E375" s="88"/>
      <c r="F375" s="217"/>
      <c r="G375" s="234"/>
      <c r="H375" s="218"/>
      <c r="I375" s="76"/>
      <c r="J375" s="77"/>
      <c r="K375" s="76"/>
      <c r="L375" s="78"/>
      <c r="M375" s="78"/>
      <c r="N375" s="76" t="s">
        <v>39</v>
      </c>
      <c r="O375" s="110"/>
      <c r="P375" s="152"/>
      <c r="Q375" s="111" t="str">
        <f>IFERROR(MIN(VLOOKUP(ROUNDDOWN(P375,0),'Aide calcul'!$B$2:$C$282,2,FALSE),O375+1),"")</f>
        <v/>
      </c>
      <c r="R375" s="112" t="str">
        <f t="shared" si="83"/>
        <v/>
      </c>
      <c r="S375" s="152"/>
      <c r="T375" s="152"/>
      <c r="U375" s="152"/>
      <c r="V375" s="152"/>
      <c r="W375" s="152"/>
      <c r="X375" s="152"/>
      <c r="Y375" s="152"/>
      <c r="Z375" s="76"/>
      <c r="AA375" s="76"/>
      <c r="AB375" s="113" t="str">
        <f>IF(C375="3111. Logements",ROUND(VLOOKUP(C375,'Informations générales'!$C$66:$E$70,3,FALSE)*(AL375/$AM$28)/12,0)*12,IF(C375="3112. Logements",ROUND(VLOOKUP(C375,'Informations générales'!$C$66:$E$70,3,FALSE)*(AL375/$AN$28)/12,0)*12,IF(C375="3113. Logements",ROUND(VLOOKUP(C375,'Informations générales'!$C$66:$E$70,3,FALSE)*(AL375/$AO$28)/12,0)*12,IF(C375="3114. Logements",ROUND(VLOOKUP(C375,'Informations générales'!$C$66:$E$70,3,FALSE)*(AL375/$AP$28)/12,0)*12,IF(C375="3115. Logements",ROUND(VLOOKUP(C375,'Informations générales'!$C$66:$E$70,3,FALSE)*(AL375/$AQ$28)/12,0)*12,"")))))</f>
        <v/>
      </c>
      <c r="AC375" s="114"/>
      <c r="AD375" s="113">
        <f t="shared" si="84"/>
        <v>0</v>
      </c>
      <c r="AE375" s="114"/>
      <c r="AF375" s="203" t="str">
        <f>IF(C375="3111. Logements",ROUND(VLOOKUP(C375,'Informations générales'!$C$66:$E$70,3,FALSE)*(AL375/$AM$28)/12,0)*12,IF(C375="3112. Logements",ROUND(VLOOKUP(C375,'Informations générales'!$C$66:$E$70,3,FALSE)*(AL375/$AN$28)/12,0)*12,IF(C375="3113. Logements",ROUND(VLOOKUP(C375,'Informations générales'!$C$66:$E$70,3,FALSE)*(AL375/$AO$28)/12,0)*12,IF(C375="3114. Logements",ROUND(VLOOKUP(C375,'Informations générales'!$C$66:$E$70,3,FALSE)*(AL375/$AP$28)/12,0)*12,IF(C375="3115. Logements",ROUND(VLOOKUP(C375,'Informations générales'!$C$66:$E$70,3,FALSE)*(AL375/$AQ$28)/12,0)*12,"")))))</f>
        <v/>
      </c>
      <c r="AG375" s="202"/>
      <c r="AH375" s="113" t="str">
        <f>IF(C375="3111. Logements",ROUND(VLOOKUP(C375,'Informations générales'!$C$66:$H$70,5,FALSE)*(AL375/$AM$28)/12,0)*12,IF(C375="3112. Logements",ROUND(VLOOKUP(C375,'Informations générales'!$C$66:$H$70,5,FALSE)*(AL375/$AN$28)/12,0)*12,IF(C375="3113. Logements",ROUND(VLOOKUP(C375,'Informations générales'!$C$66:$H$70,5,FALSE)*(AL375/$AO$28)/12,0)*12,IF(C375="3114. Logements",ROUND(VLOOKUP(C375,'Informations générales'!$C$66:$H$70,5,FALSE)*(AL375/$AP$28)/12,0)*12,IF(C375="3115. Logements",ROUND(VLOOKUP(C375,'Informations générales'!$C$66:$H$70,5,FALSE)*(AL375/$AQ$28)/12,0)*12,"")))))</f>
        <v/>
      </c>
      <c r="AI375" s="114"/>
      <c r="AJ375" s="114"/>
      <c r="AK375" s="76"/>
      <c r="AL375" s="58">
        <f t="shared" si="85"/>
        <v>0</v>
      </c>
      <c r="AM375" s="58"/>
      <c r="AN375" s="58"/>
      <c r="AO375" s="58"/>
      <c r="AP375" s="58"/>
      <c r="AQ375" s="58"/>
      <c r="AR375" s="58">
        <f t="shared" si="73"/>
        <v>0</v>
      </c>
      <c r="AS375" s="58">
        <f t="shared" si="74"/>
        <v>0</v>
      </c>
      <c r="AT375" s="58">
        <f t="shared" si="75"/>
        <v>0</v>
      </c>
      <c r="AU375" s="58">
        <f t="shared" si="76"/>
        <v>0</v>
      </c>
      <c r="AV375" s="58">
        <f t="shared" si="77"/>
        <v>0</v>
      </c>
      <c r="AW375" s="58">
        <f t="shared" si="78"/>
        <v>0</v>
      </c>
      <c r="AX375" s="58">
        <f t="shared" si="79"/>
        <v>0</v>
      </c>
      <c r="AY375" s="58">
        <f t="shared" si="86"/>
        <v>0</v>
      </c>
      <c r="AZ375" s="62">
        <f t="shared" si="80"/>
        <v>0</v>
      </c>
      <c r="BA375" s="63">
        <f t="shared" si="81"/>
        <v>0</v>
      </c>
      <c r="BB375" s="63">
        <f t="shared" si="82"/>
        <v>0</v>
      </c>
    </row>
    <row r="376" spans="3:54" s="17" customFormat="1" x14ac:dyDescent="0.25">
      <c r="C376" s="215"/>
      <c r="D376" s="216"/>
      <c r="E376" s="88"/>
      <c r="F376" s="217"/>
      <c r="G376" s="234"/>
      <c r="H376" s="218"/>
      <c r="I376" s="76"/>
      <c r="J376" s="77"/>
      <c r="K376" s="76"/>
      <c r="L376" s="78"/>
      <c r="M376" s="78"/>
      <c r="N376" s="76" t="s">
        <v>39</v>
      </c>
      <c r="O376" s="110"/>
      <c r="P376" s="152"/>
      <c r="Q376" s="111" t="str">
        <f>IFERROR(MIN(VLOOKUP(ROUNDDOWN(P376,0),'Aide calcul'!$B$2:$C$282,2,FALSE),O376+1),"")</f>
        <v/>
      </c>
      <c r="R376" s="112" t="str">
        <f t="shared" si="83"/>
        <v/>
      </c>
      <c r="S376" s="152"/>
      <c r="T376" s="152"/>
      <c r="U376" s="152"/>
      <c r="V376" s="152"/>
      <c r="W376" s="152"/>
      <c r="X376" s="152"/>
      <c r="Y376" s="152"/>
      <c r="Z376" s="76"/>
      <c r="AA376" s="76"/>
      <c r="AB376" s="113" t="str">
        <f>IF(C376="3111. Logements",ROUND(VLOOKUP(C376,'Informations générales'!$C$66:$E$70,3,FALSE)*(AL376/$AM$28)/12,0)*12,IF(C376="3112. Logements",ROUND(VLOOKUP(C376,'Informations générales'!$C$66:$E$70,3,FALSE)*(AL376/$AN$28)/12,0)*12,IF(C376="3113. Logements",ROUND(VLOOKUP(C376,'Informations générales'!$C$66:$E$70,3,FALSE)*(AL376/$AO$28)/12,0)*12,IF(C376="3114. Logements",ROUND(VLOOKUP(C376,'Informations générales'!$C$66:$E$70,3,FALSE)*(AL376/$AP$28)/12,0)*12,IF(C376="3115. Logements",ROUND(VLOOKUP(C376,'Informations générales'!$C$66:$E$70,3,FALSE)*(AL376/$AQ$28)/12,0)*12,"")))))</f>
        <v/>
      </c>
      <c r="AC376" s="114"/>
      <c r="AD376" s="113">
        <f t="shared" si="84"/>
        <v>0</v>
      </c>
      <c r="AE376" s="114"/>
      <c r="AF376" s="203" t="str">
        <f>IF(C376="3111. Logements",ROUND(VLOOKUP(C376,'Informations générales'!$C$66:$E$70,3,FALSE)*(AL376/$AM$28)/12,0)*12,IF(C376="3112. Logements",ROUND(VLOOKUP(C376,'Informations générales'!$C$66:$E$70,3,FALSE)*(AL376/$AN$28)/12,0)*12,IF(C376="3113. Logements",ROUND(VLOOKUP(C376,'Informations générales'!$C$66:$E$70,3,FALSE)*(AL376/$AO$28)/12,0)*12,IF(C376="3114. Logements",ROUND(VLOOKUP(C376,'Informations générales'!$C$66:$E$70,3,FALSE)*(AL376/$AP$28)/12,0)*12,IF(C376="3115. Logements",ROUND(VLOOKUP(C376,'Informations générales'!$C$66:$E$70,3,FALSE)*(AL376/$AQ$28)/12,0)*12,"")))))</f>
        <v/>
      </c>
      <c r="AG376" s="202"/>
      <c r="AH376" s="113" t="str">
        <f>IF(C376="3111. Logements",ROUND(VLOOKUP(C376,'Informations générales'!$C$66:$H$70,5,FALSE)*(AL376/$AM$28)/12,0)*12,IF(C376="3112. Logements",ROUND(VLOOKUP(C376,'Informations générales'!$C$66:$H$70,5,FALSE)*(AL376/$AN$28)/12,0)*12,IF(C376="3113. Logements",ROUND(VLOOKUP(C376,'Informations générales'!$C$66:$H$70,5,FALSE)*(AL376/$AO$28)/12,0)*12,IF(C376="3114. Logements",ROUND(VLOOKUP(C376,'Informations générales'!$C$66:$H$70,5,FALSE)*(AL376/$AP$28)/12,0)*12,IF(C376="3115. Logements",ROUND(VLOOKUP(C376,'Informations générales'!$C$66:$H$70,5,FALSE)*(AL376/$AQ$28)/12,0)*12,"")))))</f>
        <v/>
      </c>
      <c r="AI376" s="114"/>
      <c r="AJ376" s="114"/>
      <c r="AK376" s="76"/>
      <c r="AL376" s="58">
        <f t="shared" si="85"/>
        <v>0</v>
      </c>
      <c r="AM376" s="58"/>
      <c r="AN376" s="58"/>
      <c r="AO376" s="58"/>
      <c r="AP376" s="58"/>
      <c r="AQ376" s="58"/>
      <c r="AR376" s="58">
        <f t="shared" si="73"/>
        <v>0</v>
      </c>
      <c r="AS376" s="58">
        <f t="shared" si="74"/>
        <v>0</v>
      </c>
      <c r="AT376" s="58">
        <f t="shared" si="75"/>
        <v>0</v>
      </c>
      <c r="AU376" s="58">
        <f t="shared" si="76"/>
        <v>0</v>
      </c>
      <c r="AV376" s="58">
        <f t="shared" si="77"/>
        <v>0</v>
      </c>
      <c r="AW376" s="58">
        <f t="shared" si="78"/>
        <v>0</v>
      </c>
      <c r="AX376" s="58">
        <f t="shared" si="79"/>
        <v>0</v>
      </c>
      <c r="AY376" s="58">
        <f t="shared" si="86"/>
        <v>0</v>
      </c>
      <c r="AZ376" s="62">
        <f t="shared" si="80"/>
        <v>0</v>
      </c>
      <c r="BA376" s="63">
        <f t="shared" si="81"/>
        <v>0</v>
      </c>
      <c r="BB376" s="63">
        <f t="shared" si="82"/>
        <v>0</v>
      </c>
    </row>
    <row r="377" spans="3:54" s="17" customFormat="1" x14ac:dyDescent="0.25">
      <c r="C377" s="215"/>
      <c r="D377" s="216"/>
      <c r="E377" s="88"/>
      <c r="F377" s="217"/>
      <c r="G377" s="234"/>
      <c r="H377" s="218"/>
      <c r="I377" s="76"/>
      <c r="J377" s="77"/>
      <c r="K377" s="76"/>
      <c r="L377" s="78"/>
      <c r="M377" s="78"/>
      <c r="N377" s="76" t="s">
        <v>39</v>
      </c>
      <c r="O377" s="110"/>
      <c r="P377" s="152"/>
      <c r="Q377" s="111" t="str">
        <f>IFERROR(MIN(VLOOKUP(ROUNDDOWN(P377,0),'Aide calcul'!$B$2:$C$282,2,FALSE),O377+1),"")</f>
        <v/>
      </c>
      <c r="R377" s="112" t="str">
        <f t="shared" si="83"/>
        <v/>
      </c>
      <c r="S377" s="152"/>
      <c r="T377" s="152"/>
      <c r="U377" s="152"/>
      <c r="V377" s="152"/>
      <c r="W377" s="152"/>
      <c r="X377" s="152"/>
      <c r="Y377" s="152"/>
      <c r="Z377" s="76"/>
      <c r="AA377" s="76"/>
      <c r="AB377" s="113" t="str">
        <f>IF(C377="3111. Logements",ROUND(VLOOKUP(C377,'Informations générales'!$C$66:$E$70,3,FALSE)*(AL377/$AM$28)/12,0)*12,IF(C377="3112. Logements",ROUND(VLOOKUP(C377,'Informations générales'!$C$66:$E$70,3,FALSE)*(AL377/$AN$28)/12,0)*12,IF(C377="3113. Logements",ROUND(VLOOKUP(C377,'Informations générales'!$C$66:$E$70,3,FALSE)*(AL377/$AO$28)/12,0)*12,IF(C377="3114. Logements",ROUND(VLOOKUP(C377,'Informations générales'!$C$66:$E$70,3,FALSE)*(AL377/$AP$28)/12,0)*12,IF(C377="3115. Logements",ROUND(VLOOKUP(C377,'Informations générales'!$C$66:$E$70,3,FALSE)*(AL377/$AQ$28)/12,0)*12,"")))))</f>
        <v/>
      </c>
      <c r="AC377" s="114"/>
      <c r="AD377" s="113">
        <f t="shared" si="84"/>
        <v>0</v>
      </c>
      <c r="AE377" s="114"/>
      <c r="AF377" s="203" t="str">
        <f>IF(C377="3111. Logements",ROUND(VLOOKUP(C377,'Informations générales'!$C$66:$E$70,3,FALSE)*(AL377/$AM$28)/12,0)*12,IF(C377="3112. Logements",ROUND(VLOOKUP(C377,'Informations générales'!$C$66:$E$70,3,FALSE)*(AL377/$AN$28)/12,0)*12,IF(C377="3113. Logements",ROUND(VLOOKUP(C377,'Informations générales'!$C$66:$E$70,3,FALSE)*(AL377/$AO$28)/12,0)*12,IF(C377="3114. Logements",ROUND(VLOOKUP(C377,'Informations générales'!$C$66:$E$70,3,FALSE)*(AL377/$AP$28)/12,0)*12,IF(C377="3115. Logements",ROUND(VLOOKUP(C377,'Informations générales'!$C$66:$E$70,3,FALSE)*(AL377/$AQ$28)/12,0)*12,"")))))</f>
        <v/>
      </c>
      <c r="AG377" s="202"/>
      <c r="AH377" s="113" t="str">
        <f>IF(C377="3111. Logements",ROUND(VLOOKUP(C377,'Informations générales'!$C$66:$H$70,5,FALSE)*(AL377/$AM$28)/12,0)*12,IF(C377="3112. Logements",ROUND(VLOOKUP(C377,'Informations générales'!$C$66:$H$70,5,FALSE)*(AL377/$AN$28)/12,0)*12,IF(C377="3113. Logements",ROUND(VLOOKUP(C377,'Informations générales'!$C$66:$H$70,5,FALSE)*(AL377/$AO$28)/12,0)*12,IF(C377="3114. Logements",ROUND(VLOOKUP(C377,'Informations générales'!$C$66:$H$70,5,FALSE)*(AL377/$AP$28)/12,0)*12,IF(C377="3115. Logements",ROUND(VLOOKUP(C377,'Informations générales'!$C$66:$H$70,5,FALSE)*(AL377/$AQ$28)/12,0)*12,"")))))</f>
        <v/>
      </c>
      <c r="AI377" s="114"/>
      <c r="AJ377" s="114"/>
      <c r="AK377" s="76"/>
      <c r="AL377" s="58">
        <f t="shared" si="85"/>
        <v>0</v>
      </c>
      <c r="AM377" s="58"/>
      <c r="AN377" s="58"/>
      <c r="AO377" s="58"/>
      <c r="AP377" s="58"/>
      <c r="AQ377" s="58"/>
      <c r="AR377" s="58">
        <f t="shared" si="73"/>
        <v>0</v>
      </c>
      <c r="AS377" s="58">
        <f t="shared" si="74"/>
        <v>0</v>
      </c>
      <c r="AT377" s="58">
        <f t="shared" si="75"/>
        <v>0</v>
      </c>
      <c r="AU377" s="58">
        <f t="shared" si="76"/>
        <v>0</v>
      </c>
      <c r="AV377" s="58">
        <f t="shared" si="77"/>
        <v>0</v>
      </c>
      <c r="AW377" s="58">
        <f t="shared" si="78"/>
        <v>0</v>
      </c>
      <c r="AX377" s="58">
        <f t="shared" si="79"/>
        <v>0</v>
      </c>
      <c r="AY377" s="58">
        <f t="shared" si="86"/>
        <v>0</v>
      </c>
      <c r="AZ377" s="62">
        <f t="shared" si="80"/>
        <v>0</v>
      </c>
      <c r="BA377" s="63">
        <f t="shared" si="81"/>
        <v>0</v>
      </c>
      <c r="BB377" s="63">
        <f t="shared" si="82"/>
        <v>0</v>
      </c>
    </row>
    <row r="378" spans="3:54" s="17" customFormat="1" x14ac:dyDescent="0.25">
      <c r="C378" s="215"/>
      <c r="D378" s="216"/>
      <c r="E378" s="88"/>
      <c r="F378" s="217"/>
      <c r="G378" s="234"/>
      <c r="H378" s="218"/>
      <c r="I378" s="76"/>
      <c r="J378" s="77"/>
      <c r="K378" s="76"/>
      <c r="L378" s="78"/>
      <c r="M378" s="78"/>
      <c r="N378" s="76" t="s">
        <v>39</v>
      </c>
      <c r="O378" s="110"/>
      <c r="P378" s="152"/>
      <c r="Q378" s="111" t="str">
        <f>IFERROR(MIN(VLOOKUP(ROUNDDOWN(P378,0),'Aide calcul'!$B$2:$C$282,2,FALSE),O378+1),"")</f>
        <v/>
      </c>
      <c r="R378" s="112" t="str">
        <f t="shared" si="83"/>
        <v/>
      </c>
      <c r="S378" s="152"/>
      <c r="T378" s="152"/>
      <c r="U378" s="152"/>
      <c r="V378" s="152"/>
      <c r="W378" s="152"/>
      <c r="X378" s="152"/>
      <c r="Y378" s="152"/>
      <c r="Z378" s="76"/>
      <c r="AA378" s="76"/>
      <c r="AB378" s="113" t="str">
        <f>IF(C378="3111. Logements",ROUND(VLOOKUP(C378,'Informations générales'!$C$66:$E$70,3,FALSE)*(AL378/$AM$28)/12,0)*12,IF(C378="3112. Logements",ROUND(VLOOKUP(C378,'Informations générales'!$C$66:$E$70,3,FALSE)*(AL378/$AN$28)/12,0)*12,IF(C378="3113. Logements",ROUND(VLOOKUP(C378,'Informations générales'!$C$66:$E$70,3,FALSE)*(AL378/$AO$28)/12,0)*12,IF(C378="3114. Logements",ROUND(VLOOKUP(C378,'Informations générales'!$C$66:$E$70,3,FALSE)*(AL378/$AP$28)/12,0)*12,IF(C378="3115. Logements",ROUND(VLOOKUP(C378,'Informations générales'!$C$66:$E$70,3,FALSE)*(AL378/$AQ$28)/12,0)*12,"")))))</f>
        <v/>
      </c>
      <c r="AC378" s="114"/>
      <c r="AD378" s="113">
        <f t="shared" si="84"/>
        <v>0</v>
      </c>
      <c r="AE378" s="114"/>
      <c r="AF378" s="203" t="str">
        <f>IF(C378="3111. Logements",ROUND(VLOOKUP(C378,'Informations générales'!$C$66:$E$70,3,FALSE)*(AL378/$AM$28)/12,0)*12,IF(C378="3112. Logements",ROUND(VLOOKUP(C378,'Informations générales'!$C$66:$E$70,3,FALSE)*(AL378/$AN$28)/12,0)*12,IF(C378="3113. Logements",ROUND(VLOOKUP(C378,'Informations générales'!$C$66:$E$70,3,FALSE)*(AL378/$AO$28)/12,0)*12,IF(C378="3114. Logements",ROUND(VLOOKUP(C378,'Informations générales'!$C$66:$E$70,3,FALSE)*(AL378/$AP$28)/12,0)*12,IF(C378="3115. Logements",ROUND(VLOOKUP(C378,'Informations générales'!$C$66:$E$70,3,FALSE)*(AL378/$AQ$28)/12,0)*12,"")))))</f>
        <v/>
      </c>
      <c r="AG378" s="202"/>
      <c r="AH378" s="113" t="str">
        <f>IF(C378="3111. Logements",ROUND(VLOOKUP(C378,'Informations générales'!$C$66:$H$70,5,FALSE)*(AL378/$AM$28)/12,0)*12,IF(C378="3112. Logements",ROUND(VLOOKUP(C378,'Informations générales'!$C$66:$H$70,5,FALSE)*(AL378/$AN$28)/12,0)*12,IF(C378="3113. Logements",ROUND(VLOOKUP(C378,'Informations générales'!$C$66:$H$70,5,FALSE)*(AL378/$AO$28)/12,0)*12,IF(C378="3114. Logements",ROUND(VLOOKUP(C378,'Informations générales'!$C$66:$H$70,5,FALSE)*(AL378/$AP$28)/12,0)*12,IF(C378="3115. Logements",ROUND(VLOOKUP(C378,'Informations générales'!$C$66:$H$70,5,FALSE)*(AL378/$AQ$28)/12,0)*12,"")))))</f>
        <v/>
      </c>
      <c r="AI378" s="114"/>
      <c r="AJ378" s="114"/>
      <c r="AK378" s="76"/>
      <c r="AL378" s="58">
        <f t="shared" si="85"/>
        <v>0</v>
      </c>
      <c r="AM378" s="58"/>
      <c r="AN378" s="58"/>
      <c r="AO378" s="58"/>
      <c r="AP378" s="58"/>
      <c r="AQ378" s="58"/>
      <c r="AR378" s="58">
        <f t="shared" si="73"/>
        <v>0</v>
      </c>
      <c r="AS378" s="58">
        <f t="shared" si="74"/>
        <v>0</v>
      </c>
      <c r="AT378" s="58">
        <f t="shared" si="75"/>
        <v>0</v>
      </c>
      <c r="AU378" s="58">
        <f t="shared" si="76"/>
        <v>0</v>
      </c>
      <c r="AV378" s="58">
        <f t="shared" si="77"/>
        <v>0</v>
      </c>
      <c r="AW378" s="58">
        <f t="shared" si="78"/>
        <v>0</v>
      </c>
      <c r="AX378" s="58">
        <f t="shared" si="79"/>
        <v>0</v>
      </c>
      <c r="AY378" s="58">
        <f t="shared" si="86"/>
        <v>0</v>
      </c>
      <c r="AZ378" s="62">
        <f t="shared" si="80"/>
        <v>0</v>
      </c>
      <c r="BA378" s="63">
        <f t="shared" si="81"/>
        <v>0</v>
      </c>
      <c r="BB378" s="63">
        <f t="shared" si="82"/>
        <v>0</v>
      </c>
    </row>
    <row r="379" spans="3:54" s="17" customFormat="1" x14ac:dyDescent="0.25">
      <c r="C379" s="215"/>
      <c r="D379" s="216"/>
      <c r="E379" s="88"/>
      <c r="F379" s="217"/>
      <c r="G379" s="234"/>
      <c r="H379" s="218"/>
      <c r="I379" s="76"/>
      <c r="J379" s="77"/>
      <c r="K379" s="76"/>
      <c r="L379" s="78"/>
      <c r="M379" s="78"/>
      <c r="N379" s="76" t="s">
        <v>39</v>
      </c>
      <c r="O379" s="110"/>
      <c r="P379" s="152"/>
      <c r="Q379" s="111" t="str">
        <f>IFERROR(MIN(VLOOKUP(ROUNDDOWN(P379,0),'Aide calcul'!$B$2:$C$282,2,FALSE),O379+1),"")</f>
        <v/>
      </c>
      <c r="R379" s="112" t="str">
        <f t="shared" si="83"/>
        <v/>
      </c>
      <c r="S379" s="152"/>
      <c r="T379" s="152"/>
      <c r="U379" s="152"/>
      <c r="V379" s="152"/>
      <c r="W379" s="152"/>
      <c r="X379" s="152"/>
      <c r="Y379" s="152"/>
      <c r="Z379" s="76"/>
      <c r="AA379" s="76"/>
      <c r="AB379" s="113" t="str">
        <f>IF(C379="3111. Logements",ROUND(VLOOKUP(C379,'Informations générales'!$C$66:$E$70,3,FALSE)*(AL379/$AM$28)/12,0)*12,IF(C379="3112. Logements",ROUND(VLOOKUP(C379,'Informations générales'!$C$66:$E$70,3,FALSE)*(AL379/$AN$28)/12,0)*12,IF(C379="3113. Logements",ROUND(VLOOKUP(C379,'Informations générales'!$C$66:$E$70,3,FALSE)*(AL379/$AO$28)/12,0)*12,IF(C379="3114. Logements",ROUND(VLOOKUP(C379,'Informations générales'!$C$66:$E$70,3,FALSE)*(AL379/$AP$28)/12,0)*12,IF(C379="3115. Logements",ROUND(VLOOKUP(C379,'Informations générales'!$C$66:$E$70,3,FALSE)*(AL379/$AQ$28)/12,0)*12,"")))))</f>
        <v/>
      </c>
      <c r="AC379" s="114"/>
      <c r="AD379" s="113">
        <f t="shared" si="84"/>
        <v>0</v>
      </c>
      <c r="AE379" s="114"/>
      <c r="AF379" s="203" t="str">
        <f>IF(C379="3111. Logements",ROUND(VLOOKUP(C379,'Informations générales'!$C$66:$E$70,3,FALSE)*(AL379/$AM$28)/12,0)*12,IF(C379="3112. Logements",ROUND(VLOOKUP(C379,'Informations générales'!$C$66:$E$70,3,FALSE)*(AL379/$AN$28)/12,0)*12,IF(C379="3113. Logements",ROUND(VLOOKUP(C379,'Informations générales'!$C$66:$E$70,3,FALSE)*(AL379/$AO$28)/12,0)*12,IF(C379="3114. Logements",ROUND(VLOOKUP(C379,'Informations générales'!$C$66:$E$70,3,FALSE)*(AL379/$AP$28)/12,0)*12,IF(C379="3115. Logements",ROUND(VLOOKUP(C379,'Informations générales'!$C$66:$E$70,3,FALSE)*(AL379/$AQ$28)/12,0)*12,"")))))</f>
        <v/>
      </c>
      <c r="AG379" s="202"/>
      <c r="AH379" s="113" t="str">
        <f>IF(C379="3111. Logements",ROUND(VLOOKUP(C379,'Informations générales'!$C$66:$H$70,5,FALSE)*(AL379/$AM$28)/12,0)*12,IF(C379="3112. Logements",ROUND(VLOOKUP(C379,'Informations générales'!$C$66:$H$70,5,FALSE)*(AL379/$AN$28)/12,0)*12,IF(C379="3113. Logements",ROUND(VLOOKUP(C379,'Informations générales'!$C$66:$H$70,5,FALSE)*(AL379/$AO$28)/12,0)*12,IF(C379="3114. Logements",ROUND(VLOOKUP(C379,'Informations générales'!$C$66:$H$70,5,FALSE)*(AL379/$AP$28)/12,0)*12,IF(C379="3115. Logements",ROUND(VLOOKUP(C379,'Informations générales'!$C$66:$H$70,5,FALSE)*(AL379/$AQ$28)/12,0)*12,"")))))</f>
        <v/>
      </c>
      <c r="AI379" s="114"/>
      <c r="AJ379" s="114"/>
      <c r="AK379" s="76"/>
      <c r="AL379" s="58">
        <f t="shared" si="85"/>
        <v>0</v>
      </c>
      <c r="AM379" s="58"/>
      <c r="AN379" s="58"/>
      <c r="AO379" s="58"/>
      <c r="AP379" s="58"/>
      <c r="AQ379" s="58"/>
      <c r="AR379" s="58">
        <f t="shared" si="73"/>
        <v>0</v>
      </c>
      <c r="AS379" s="58">
        <f t="shared" si="74"/>
        <v>0</v>
      </c>
      <c r="AT379" s="58">
        <f t="shared" si="75"/>
        <v>0</v>
      </c>
      <c r="AU379" s="58">
        <f t="shared" si="76"/>
        <v>0</v>
      </c>
      <c r="AV379" s="58">
        <f t="shared" si="77"/>
        <v>0</v>
      </c>
      <c r="AW379" s="58">
        <f t="shared" si="78"/>
        <v>0</v>
      </c>
      <c r="AX379" s="58">
        <f t="shared" si="79"/>
        <v>0</v>
      </c>
      <c r="AY379" s="58">
        <f t="shared" si="86"/>
        <v>0</v>
      </c>
      <c r="AZ379" s="62">
        <f t="shared" si="80"/>
        <v>0</v>
      </c>
      <c r="BA379" s="63">
        <f t="shared" si="81"/>
        <v>0</v>
      </c>
      <c r="BB379" s="63">
        <f t="shared" si="82"/>
        <v>0</v>
      </c>
    </row>
    <row r="380" spans="3:54" s="17" customFormat="1" x14ac:dyDescent="0.25">
      <c r="C380" s="215"/>
      <c r="D380" s="216"/>
      <c r="E380" s="88"/>
      <c r="F380" s="217"/>
      <c r="G380" s="234"/>
      <c r="H380" s="218"/>
      <c r="I380" s="76"/>
      <c r="J380" s="77"/>
      <c r="K380" s="76"/>
      <c r="L380" s="78"/>
      <c r="M380" s="78"/>
      <c r="N380" s="76" t="s">
        <v>39</v>
      </c>
      <c r="O380" s="110"/>
      <c r="P380" s="152"/>
      <c r="Q380" s="111" t="str">
        <f>IFERROR(MIN(VLOOKUP(ROUNDDOWN(P380,0),'Aide calcul'!$B$2:$C$282,2,FALSE),O380+1),"")</f>
        <v/>
      </c>
      <c r="R380" s="112" t="str">
        <f t="shared" si="83"/>
        <v/>
      </c>
      <c r="S380" s="152"/>
      <c r="T380" s="152"/>
      <c r="U380" s="152"/>
      <c r="V380" s="152"/>
      <c r="W380" s="152"/>
      <c r="X380" s="152"/>
      <c r="Y380" s="152"/>
      <c r="Z380" s="76"/>
      <c r="AA380" s="76"/>
      <c r="AB380" s="113" t="str">
        <f>IF(C380="3111. Logements",ROUND(VLOOKUP(C380,'Informations générales'!$C$66:$E$70,3,FALSE)*(AL380/$AM$28)/12,0)*12,IF(C380="3112. Logements",ROUND(VLOOKUP(C380,'Informations générales'!$C$66:$E$70,3,FALSE)*(AL380/$AN$28)/12,0)*12,IF(C380="3113. Logements",ROUND(VLOOKUP(C380,'Informations générales'!$C$66:$E$70,3,FALSE)*(AL380/$AO$28)/12,0)*12,IF(C380="3114. Logements",ROUND(VLOOKUP(C380,'Informations générales'!$C$66:$E$70,3,FALSE)*(AL380/$AP$28)/12,0)*12,IF(C380="3115. Logements",ROUND(VLOOKUP(C380,'Informations générales'!$C$66:$E$70,3,FALSE)*(AL380/$AQ$28)/12,0)*12,"")))))</f>
        <v/>
      </c>
      <c r="AC380" s="114"/>
      <c r="AD380" s="113">
        <f t="shared" si="84"/>
        <v>0</v>
      </c>
      <c r="AE380" s="114"/>
      <c r="AF380" s="203" t="str">
        <f>IF(C380="3111. Logements",ROUND(VLOOKUP(C380,'Informations générales'!$C$66:$E$70,3,FALSE)*(AL380/$AM$28)/12,0)*12,IF(C380="3112. Logements",ROUND(VLOOKUP(C380,'Informations générales'!$C$66:$E$70,3,FALSE)*(AL380/$AN$28)/12,0)*12,IF(C380="3113. Logements",ROUND(VLOOKUP(C380,'Informations générales'!$C$66:$E$70,3,FALSE)*(AL380/$AO$28)/12,0)*12,IF(C380="3114. Logements",ROUND(VLOOKUP(C380,'Informations générales'!$C$66:$E$70,3,FALSE)*(AL380/$AP$28)/12,0)*12,IF(C380="3115. Logements",ROUND(VLOOKUP(C380,'Informations générales'!$C$66:$E$70,3,FALSE)*(AL380/$AQ$28)/12,0)*12,"")))))</f>
        <v/>
      </c>
      <c r="AG380" s="202"/>
      <c r="AH380" s="113" t="str">
        <f>IF(C380="3111. Logements",ROUND(VLOOKUP(C380,'Informations générales'!$C$66:$H$70,5,FALSE)*(AL380/$AM$28)/12,0)*12,IF(C380="3112. Logements",ROUND(VLOOKUP(C380,'Informations générales'!$C$66:$H$70,5,FALSE)*(AL380/$AN$28)/12,0)*12,IF(C380="3113. Logements",ROUND(VLOOKUP(C380,'Informations générales'!$C$66:$H$70,5,FALSE)*(AL380/$AO$28)/12,0)*12,IF(C380="3114. Logements",ROUND(VLOOKUP(C380,'Informations générales'!$C$66:$H$70,5,FALSE)*(AL380/$AP$28)/12,0)*12,IF(C380="3115. Logements",ROUND(VLOOKUP(C380,'Informations générales'!$C$66:$H$70,5,FALSE)*(AL380/$AQ$28)/12,0)*12,"")))))</f>
        <v/>
      </c>
      <c r="AI380" s="114"/>
      <c r="AJ380" s="114"/>
      <c r="AK380" s="76"/>
      <c r="AL380" s="58">
        <f t="shared" si="85"/>
        <v>0</v>
      </c>
      <c r="AM380" s="58"/>
      <c r="AN380" s="58"/>
      <c r="AO380" s="58"/>
      <c r="AP380" s="58"/>
      <c r="AQ380" s="58"/>
      <c r="AR380" s="58">
        <f t="shared" si="73"/>
        <v>0</v>
      </c>
      <c r="AS380" s="58">
        <f t="shared" si="74"/>
        <v>0</v>
      </c>
      <c r="AT380" s="58">
        <f t="shared" si="75"/>
        <v>0</v>
      </c>
      <c r="AU380" s="58">
        <f t="shared" si="76"/>
        <v>0</v>
      </c>
      <c r="AV380" s="58">
        <f t="shared" si="77"/>
        <v>0</v>
      </c>
      <c r="AW380" s="58">
        <f t="shared" si="78"/>
        <v>0</v>
      </c>
      <c r="AX380" s="58">
        <f t="shared" si="79"/>
        <v>0</v>
      </c>
      <c r="AY380" s="58">
        <f t="shared" si="86"/>
        <v>0</v>
      </c>
      <c r="AZ380" s="62">
        <f t="shared" si="80"/>
        <v>0</v>
      </c>
      <c r="BA380" s="63">
        <f t="shared" si="81"/>
        <v>0</v>
      </c>
      <c r="BB380" s="63">
        <f t="shared" si="82"/>
        <v>0</v>
      </c>
    </row>
    <row r="381" spans="3:54" s="17" customFormat="1" x14ac:dyDescent="0.25">
      <c r="C381" s="215"/>
      <c r="D381" s="216"/>
      <c r="E381" s="88"/>
      <c r="F381" s="217"/>
      <c r="G381" s="234"/>
      <c r="H381" s="218"/>
      <c r="I381" s="76"/>
      <c r="J381" s="77"/>
      <c r="K381" s="76"/>
      <c r="L381" s="78"/>
      <c r="M381" s="78"/>
      <c r="N381" s="76" t="s">
        <v>39</v>
      </c>
      <c r="O381" s="110"/>
      <c r="P381" s="152"/>
      <c r="Q381" s="111" t="str">
        <f>IFERROR(MIN(VLOOKUP(ROUNDDOWN(P381,0),'Aide calcul'!$B$2:$C$282,2,FALSE),O381+1),"")</f>
        <v/>
      </c>
      <c r="R381" s="112" t="str">
        <f t="shared" si="83"/>
        <v/>
      </c>
      <c r="S381" s="152"/>
      <c r="T381" s="152"/>
      <c r="U381" s="152"/>
      <c r="V381" s="152"/>
      <c r="W381" s="152"/>
      <c r="X381" s="152"/>
      <c r="Y381" s="152"/>
      <c r="Z381" s="76"/>
      <c r="AA381" s="76"/>
      <c r="AB381" s="113" t="str">
        <f>IF(C381="3111. Logements",ROUND(VLOOKUP(C381,'Informations générales'!$C$66:$E$70,3,FALSE)*(AL381/$AM$28)/12,0)*12,IF(C381="3112. Logements",ROUND(VLOOKUP(C381,'Informations générales'!$C$66:$E$70,3,FALSE)*(AL381/$AN$28)/12,0)*12,IF(C381="3113. Logements",ROUND(VLOOKUP(C381,'Informations générales'!$C$66:$E$70,3,FALSE)*(AL381/$AO$28)/12,0)*12,IF(C381="3114. Logements",ROUND(VLOOKUP(C381,'Informations générales'!$C$66:$E$70,3,FALSE)*(AL381/$AP$28)/12,0)*12,IF(C381="3115. Logements",ROUND(VLOOKUP(C381,'Informations générales'!$C$66:$E$70,3,FALSE)*(AL381/$AQ$28)/12,0)*12,"")))))</f>
        <v/>
      </c>
      <c r="AC381" s="114"/>
      <c r="AD381" s="113">
        <f t="shared" si="84"/>
        <v>0</v>
      </c>
      <c r="AE381" s="114"/>
      <c r="AF381" s="203" t="str">
        <f>IF(C381="3111. Logements",ROUND(VLOOKUP(C381,'Informations générales'!$C$66:$E$70,3,FALSE)*(AL381/$AM$28)/12,0)*12,IF(C381="3112. Logements",ROUND(VLOOKUP(C381,'Informations générales'!$C$66:$E$70,3,FALSE)*(AL381/$AN$28)/12,0)*12,IF(C381="3113. Logements",ROUND(VLOOKUP(C381,'Informations générales'!$C$66:$E$70,3,FALSE)*(AL381/$AO$28)/12,0)*12,IF(C381="3114. Logements",ROUND(VLOOKUP(C381,'Informations générales'!$C$66:$E$70,3,FALSE)*(AL381/$AP$28)/12,0)*12,IF(C381="3115. Logements",ROUND(VLOOKUP(C381,'Informations générales'!$C$66:$E$70,3,FALSE)*(AL381/$AQ$28)/12,0)*12,"")))))</f>
        <v/>
      </c>
      <c r="AG381" s="202"/>
      <c r="AH381" s="113" t="str">
        <f>IF(C381="3111. Logements",ROUND(VLOOKUP(C381,'Informations générales'!$C$66:$H$70,5,FALSE)*(AL381/$AM$28)/12,0)*12,IF(C381="3112. Logements",ROUND(VLOOKUP(C381,'Informations générales'!$C$66:$H$70,5,FALSE)*(AL381/$AN$28)/12,0)*12,IF(C381="3113. Logements",ROUND(VLOOKUP(C381,'Informations générales'!$C$66:$H$70,5,FALSE)*(AL381/$AO$28)/12,0)*12,IF(C381="3114. Logements",ROUND(VLOOKUP(C381,'Informations générales'!$C$66:$H$70,5,FALSE)*(AL381/$AP$28)/12,0)*12,IF(C381="3115. Logements",ROUND(VLOOKUP(C381,'Informations générales'!$C$66:$H$70,5,FALSE)*(AL381/$AQ$28)/12,0)*12,"")))))</f>
        <v/>
      </c>
      <c r="AI381" s="114"/>
      <c r="AJ381" s="114"/>
      <c r="AK381" s="76"/>
      <c r="AL381" s="58">
        <f t="shared" si="85"/>
        <v>0</v>
      </c>
      <c r="AM381" s="58"/>
      <c r="AN381" s="58"/>
      <c r="AO381" s="58"/>
      <c r="AP381" s="58"/>
      <c r="AQ381" s="58"/>
      <c r="AR381" s="58">
        <f t="shared" si="73"/>
        <v>0</v>
      </c>
      <c r="AS381" s="58">
        <f t="shared" si="74"/>
        <v>0</v>
      </c>
      <c r="AT381" s="58">
        <f t="shared" si="75"/>
        <v>0</v>
      </c>
      <c r="AU381" s="58">
        <f t="shared" si="76"/>
        <v>0</v>
      </c>
      <c r="AV381" s="58">
        <f t="shared" si="77"/>
        <v>0</v>
      </c>
      <c r="AW381" s="58">
        <f t="shared" si="78"/>
        <v>0</v>
      </c>
      <c r="AX381" s="58">
        <f t="shared" si="79"/>
        <v>0</v>
      </c>
      <c r="AY381" s="58">
        <f t="shared" si="86"/>
        <v>0</v>
      </c>
      <c r="AZ381" s="62">
        <f t="shared" si="80"/>
        <v>0</v>
      </c>
      <c r="BA381" s="63">
        <f t="shared" si="81"/>
        <v>0</v>
      </c>
      <c r="BB381" s="63">
        <f t="shared" si="82"/>
        <v>0</v>
      </c>
    </row>
    <row r="382" spans="3:54" s="17" customFormat="1" x14ac:dyDescent="0.25">
      <c r="C382" s="215"/>
      <c r="D382" s="216"/>
      <c r="E382" s="88"/>
      <c r="F382" s="217"/>
      <c r="G382" s="234"/>
      <c r="H382" s="218"/>
      <c r="I382" s="76"/>
      <c r="J382" s="77"/>
      <c r="K382" s="76"/>
      <c r="L382" s="78"/>
      <c r="M382" s="78"/>
      <c r="N382" s="76" t="s">
        <v>39</v>
      </c>
      <c r="O382" s="110"/>
      <c r="P382" s="152"/>
      <c r="Q382" s="111" t="str">
        <f>IFERROR(MIN(VLOOKUP(ROUNDDOWN(P382,0),'Aide calcul'!$B$2:$C$282,2,FALSE),O382+1),"")</f>
        <v/>
      </c>
      <c r="R382" s="112" t="str">
        <f t="shared" si="83"/>
        <v/>
      </c>
      <c r="S382" s="152"/>
      <c r="T382" s="152"/>
      <c r="U382" s="152"/>
      <c r="V382" s="152"/>
      <c r="W382" s="152"/>
      <c r="X382" s="152"/>
      <c r="Y382" s="152"/>
      <c r="Z382" s="76"/>
      <c r="AA382" s="76"/>
      <c r="AB382" s="113" t="str">
        <f>IF(C382="3111. Logements",ROUND(VLOOKUP(C382,'Informations générales'!$C$66:$E$70,3,FALSE)*(AL382/$AM$28)/12,0)*12,IF(C382="3112. Logements",ROUND(VLOOKUP(C382,'Informations générales'!$C$66:$E$70,3,FALSE)*(AL382/$AN$28)/12,0)*12,IF(C382="3113. Logements",ROUND(VLOOKUP(C382,'Informations générales'!$C$66:$E$70,3,FALSE)*(AL382/$AO$28)/12,0)*12,IF(C382="3114. Logements",ROUND(VLOOKUP(C382,'Informations générales'!$C$66:$E$70,3,FALSE)*(AL382/$AP$28)/12,0)*12,IF(C382="3115. Logements",ROUND(VLOOKUP(C382,'Informations générales'!$C$66:$E$70,3,FALSE)*(AL382/$AQ$28)/12,0)*12,"")))))</f>
        <v/>
      </c>
      <c r="AC382" s="114"/>
      <c r="AD382" s="113">
        <f t="shared" si="84"/>
        <v>0</v>
      </c>
      <c r="AE382" s="114"/>
      <c r="AF382" s="203" t="str">
        <f>IF(C382="3111. Logements",ROUND(VLOOKUP(C382,'Informations générales'!$C$66:$E$70,3,FALSE)*(AL382/$AM$28)/12,0)*12,IF(C382="3112. Logements",ROUND(VLOOKUP(C382,'Informations générales'!$C$66:$E$70,3,FALSE)*(AL382/$AN$28)/12,0)*12,IF(C382="3113. Logements",ROUND(VLOOKUP(C382,'Informations générales'!$C$66:$E$70,3,FALSE)*(AL382/$AO$28)/12,0)*12,IF(C382="3114. Logements",ROUND(VLOOKUP(C382,'Informations générales'!$C$66:$E$70,3,FALSE)*(AL382/$AP$28)/12,0)*12,IF(C382="3115. Logements",ROUND(VLOOKUP(C382,'Informations générales'!$C$66:$E$70,3,FALSE)*(AL382/$AQ$28)/12,0)*12,"")))))</f>
        <v/>
      </c>
      <c r="AG382" s="202"/>
      <c r="AH382" s="113" t="str">
        <f>IF(C382="3111. Logements",ROUND(VLOOKUP(C382,'Informations générales'!$C$66:$H$70,5,FALSE)*(AL382/$AM$28)/12,0)*12,IF(C382="3112. Logements",ROUND(VLOOKUP(C382,'Informations générales'!$C$66:$H$70,5,FALSE)*(AL382/$AN$28)/12,0)*12,IF(C382="3113. Logements",ROUND(VLOOKUP(C382,'Informations générales'!$C$66:$H$70,5,FALSE)*(AL382/$AO$28)/12,0)*12,IF(C382="3114. Logements",ROUND(VLOOKUP(C382,'Informations générales'!$C$66:$H$70,5,FALSE)*(AL382/$AP$28)/12,0)*12,IF(C382="3115. Logements",ROUND(VLOOKUP(C382,'Informations générales'!$C$66:$H$70,5,FALSE)*(AL382/$AQ$28)/12,0)*12,"")))))</f>
        <v/>
      </c>
      <c r="AI382" s="114"/>
      <c r="AJ382" s="114"/>
      <c r="AK382" s="76"/>
      <c r="AL382" s="58">
        <f t="shared" si="85"/>
        <v>0</v>
      </c>
      <c r="AM382" s="58"/>
      <c r="AN382" s="58"/>
      <c r="AO382" s="58"/>
      <c r="AP382" s="58"/>
      <c r="AQ382" s="58"/>
      <c r="AR382" s="58">
        <f t="shared" si="73"/>
        <v>0</v>
      </c>
      <c r="AS382" s="58">
        <f t="shared" si="74"/>
        <v>0</v>
      </c>
      <c r="AT382" s="58">
        <f t="shared" si="75"/>
        <v>0</v>
      </c>
      <c r="AU382" s="58">
        <f t="shared" si="76"/>
        <v>0</v>
      </c>
      <c r="AV382" s="58">
        <f t="shared" si="77"/>
        <v>0</v>
      </c>
      <c r="AW382" s="58">
        <f t="shared" si="78"/>
        <v>0</v>
      </c>
      <c r="AX382" s="58">
        <f t="shared" si="79"/>
        <v>0</v>
      </c>
      <c r="AY382" s="58">
        <f t="shared" si="86"/>
        <v>0</v>
      </c>
      <c r="AZ382" s="62">
        <f t="shared" si="80"/>
        <v>0</v>
      </c>
      <c r="BA382" s="63">
        <f t="shared" si="81"/>
        <v>0</v>
      </c>
      <c r="BB382" s="63">
        <f t="shared" si="82"/>
        <v>0</v>
      </c>
    </row>
    <row r="383" spans="3:54" s="17" customFormat="1" x14ac:dyDescent="0.25">
      <c r="C383" s="215"/>
      <c r="D383" s="216"/>
      <c r="E383" s="88"/>
      <c r="F383" s="217"/>
      <c r="G383" s="234"/>
      <c r="H383" s="218"/>
      <c r="I383" s="76"/>
      <c r="J383" s="77"/>
      <c r="K383" s="76"/>
      <c r="L383" s="78"/>
      <c r="M383" s="78"/>
      <c r="N383" s="76" t="s">
        <v>39</v>
      </c>
      <c r="O383" s="110"/>
      <c r="P383" s="152"/>
      <c r="Q383" s="111" t="str">
        <f>IFERROR(MIN(VLOOKUP(ROUNDDOWN(P383,0),'Aide calcul'!$B$2:$C$282,2,FALSE),O383+1),"")</f>
        <v/>
      </c>
      <c r="R383" s="112" t="str">
        <f t="shared" si="83"/>
        <v/>
      </c>
      <c r="S383" s="152"/>
      <c r="T383" s="152"/>
      <c r="U383" s="152"/>
      <c r="V383" s="152"/>
      <c r="W383" s="152"/>
      <c r="X383" s="152"/>
      <c r="Y383" s="152"/>
      <c r="Z383" s="76"/>
      <c r="AA383" s="76"/>
      <c r="AB383" s="113" t="str">
        <f>IF(C383="3111. Logements",ROUND(VLOOKUP(C383,'Informations générales'!$C$66:$E$70,3,FALSE)*(AL383/$AM$28)/12,0)*12,IF(C383="3112. Logements",ROUND(VLOOKUP(C383,'Informations générales'!$C$66:$E$70,3,FALSE)*(AL383/$AN$28)/12,0)*12,IF(C383="3113. Logements",ROUND(VLOOKUP(C383,'Informations générales'!$C$66:$E$70,3,FALSE)*(AL383/$AO$28)/12,0)*12,IF(C383="3114. Logements",ROUND(VLOOKUP(C383,'Informations générales'!$C$66:$E$70,3,FALSE)*(AL383/$AP$28)/12,0)*12,IF(C383="3115. Logements",ROUND(VLOOKUP(C383,'Informations générales'!$C$66:$E$70,3,FALSE)*(AL383/$AQ$28)/12,0)*12,"")))))</f>
        <v/>
      </c>
      <c r="AC383" s="114"/>
      <c r="AD383" s="113">
        <f t="shared" si="84"/>
        <v>0</v>
      </c>
      <c r="AE383" s="114"/>
      <c r="AF383" s="203" t="str">
        <f>IF(C383="3111. Logements",ROUND(VLOOKUP(C383,'Informations générales'!$C$66:$E$70,3,FALSE)*(AL383/$AM$28)/12,0)*12,IF(C383="3112. Logements",ROUND(VLOOKUP(C383,'Informations générales'!$C$66:$E$70,3,FALSE)*(AL383/$AN$28)/12,0)*12,IF(C383="3113. Logements",ROUND(VLOOKUP(C383,'Informations générales'!$C$66:$E$70,3,FALSE)*(AL383/$AO$28)/12,0)*12,IF(C383="3114. Logements",ROUND(VLOOKUP(C383,'Informations générales'!$C$66:$E$70,3,FALSE)*(AL383/$AP$28)/12,0)*12,IF(C383="3115. Logements",ROUND(VLOOKUP(C383,'Informations générales'!$C$66:$E$70,3,FALSE)*(AL383/$AQ$28)/12,0)*12,"")))))</f>
        <v/>
      </c>
      <c r="AG383" s="202"/>
      <c r="AH383" s="113" t="str">
        <f>IF(C383="3111. Logements",ROUND(VLOOKUP(C383,'Informations générales'!$C$66:$H$70,5,FALSE)*(AL383/$AM$28)/12,0)*12,IF(C383="3112. Logements",ROUND(VLOOKUP(C383,'Informations générales'!$C$66:$H$70,5,FALSE)*(AL383/$AN$28)/12,0)*12,IF(C383="3113. Logements",ROUND(VLOOKUP(C383,'Informations générales'!$C$66:$H$70,5,FALSE)*(AL383/$AO$28)/12,0)*12,IF(C383="3114. Logements",ROUND(VLOOKUP(C383,'Informations générales'!$C$66:$H$70,5,FALSE)*(AL383/$AP$28)/12,0)*12,IF(C383="3115. Logements",ROUND(VLOOKUP(C383,'Informations générales'!$C$66:$H$70,5,FALSE)*(AL383/$AQ$28)/12,0)*12,"")))))</f>
        <v/>
      </c>
      <c r="AI383" s="114"/>
      <c r="AJ383" s="114"/>
      <c r="AK383" s="76"/>
      <c r="AL383" s="58">
        <f t="shared" si="85"/>
        <v>0</v>
      </c>
      <c r="AM383" s="58"/>
      <c r="AN383" s="58"/>
      <c r="AO383" s="58"/>
      <c r="AP383" s="58"/>
      <c r="AQ383" s="58"/>
      <c r="AR383" s="58">
        <f t="shared" si="73"/>
        <v>0</v>
      </c>
      <c r="AS383" s="58">
        <f t="shared" si="74"/>
        <v>0</v>
      </c>
      <c r="AT383" s="58">
        <f t="shared" si="75"/>
        <v>0</v>
      </c>
      <c r="AU383" s="58">
        <f t="shared" si="76"/>
        <v>0</v>
      </c>
      <c r="AV383" s="58">
        <f t="shared" si="77"/>
        <v>0</v>
      </c>
      <c r="AW383" s="58">
        <f t="shared" si="78"/>
        <v>0</v>
      </c>
      <c r="AX383" s="58">
        <f t="shared" si="79"/>
        <v>0</v>
      </c>
      <c r="AY383" s="58">
        <f t="shared" si="86"/>
        <v>0</v>
      </c>
      <c r="AZ383" s="62">
        <f t="shared" si="80"/>
        <v>0</v>
      </c>
      <c r="BA383" s="63">
        <f t="shared" si="81"/>
        <v>0</v>
      </c>
      <c r="BB383" s="63">
        <f t="shared" si="82"/>
        <v>0</v>
      </c>
    </row>
    <row r="384" spans="3:54" s="17" customFormat="1" x14ac:dyDescent="0.25">
      <c r="C384" s="215"/>
      <c r="D384" s="216"/>
      <c r="E384" s="88"/>
      <c r="F384" s="217"/>
      <c r="G384" s="234"/>
      <c r="H384" s="218"/>
      <c r="I384" s="76"/>
      <c r="J384" s="77"/>
      <c r="K384" s="76"/>
      <c r="L384" s="78"/>
      <c r="M384" s="78"/>
      <c r="N384" s="76" t="s">
        <v>39</v>
      </c>
      <c r="O384" s="110"/>
      <c r="P384" s="152"/>
      <c r="Q384" s="111" t="str">
        <f>IFERROR(MIN(VLOOKUP(ROUNDDOWN(P384,0),'Aide calcul'!$B$2:$C$282,2,FALSE),O384+1),"")</f>
        <v/>
      </c>
      <c r="R384" s="112" t="str">
        <f t="shared" si="83"/>
        <v/>
      </c>
      <c r="S384" s="152"/>
      <c r="T384" s="152"/>
      <c r="U384" s="152"/>
      <c r="V384" s="152"/>
      <c r="W384" s="152"/>
      <c r="X384" s="152"/>
      <c r="Y384" s="152"/>
      <c r="Z384" s="76"/>
      <c r="AA384" s="76"/>
      <c r="AB384" s="113" t="str">
        <f>IF(C384="3111. Logements",ROUND(VLOOKUP(C384,'Informations générales'!$C$66:$E$70,3,FALSE)*(AL384/$AM$28)/12,0)*12,IF(C384="3112. Logements",ROUND(VLOOKUP(C384,'Informations générales'!$C$66:$E$70,3,FALSE)*(AL384/$AN$28)/12,0)*12,IF(C384="3113. Logements",ROUND(VLOOKUP(C384,'Informations générales'!$C$66:$E$70,3,FALSE)*(AL384/$AO$28)/12,0)*12,IF(C384="3114. Logements",ROUND(VLOOKUP(C384,'Informations générales'!$C$66:$E$70,3,FALSE)*(AL384/$AP$28)/12,0)*12,IF(C384="3115. Logements",ROUND(VLOOKUP(C384,'Informations générales'!$C$66:$E$70,3,FALSE)*(AL384/$AQ$28)/12,0)*12,"")))))</f>
        <v/>
      </c>
      <c r="AC384" s="114"/>
      <c r="AD384" s="113">
        <f t="shared" si="84"/>
        <v>0</v>
      </c>
      <c r="AE384" s="114"/>
      <c r="AF384" s="203" t="str">
        <f>IF(C384="3111. Logements",ROUND(VLOOKUP(C384,'Informations générales'!$C$66:$E$70,3,FALSE)*(AL384/$AM$28)/12,0)*12,IF(C384="3112. Logements",ROUND(VLOOKUP(C384,'Informations générales'!$C$66:$E$70,3,FALSE)*(AL384/$AN$28)/12,0)*12,IF(C384="3113. Logements",ROUND(VLOOKUP(C384,'Informations générales'!$C$66:$E$70,3,FALSE)*(AL384/$AO$28)/12,0)*12,IF(C384="3114. Logements",ROUND(VLOOKUP(C384,'Informations générales'!$C$66:$E$70,3,FALSE)*(AL384/$AP$28)/12,0)*12,IF(C384="3115. Logements",ROUND(VLOOKUP(C384,'Informations générales'!$C$66:$E$70,3,FALSE)*(AL384/$AQ$28)/12,0)*12,"")))))</f>
        <v/>
      </c>
      <c r="AG384" s="202"/>
      <c r="AH384" s="113" t="str">
        <f>IF(C384="3111. Logements",ROUND(VLOOKUP(C384,'Informations générales'!$C$66:$H$70,5,FALSE)*(AL384/$AM$28)/12,0)*12,IF(C384="3112. Logements",ROUND(VLOOKUP(C384,'Informations générales'!$C$66:$H$70,5,FALSE)*(AL384/$AN$28)/12,0)*12,IF(C384="3113. Logements",ROUND(VLOOKUP(C384,'Informations générales'!$C$66:$H$70,5,FALSE)*(AL384/$AO$28)/12,0)*12,IF(C384="3114. Logements",ROUND(VLOOKUP(C384,'Informations générales'!$C$66:$H$70,5,FALSE)*(AL384/$AP$28)/12,0)*12,IF(C384="3115. Logements",ROUND(VLOOKUP(C384,'Informations générales'!$C$66:$H$70,5,FALSE)*(AL384/$AQ$28)/12,0)*12,"")))))</f>
        <v/>
      </c>
      <c r="AI384" s="114"/>
      <c r="AJ384" s="114"/>
      <c r="AK384" s="76"/>
      <c r="AL384" s="58">
        <f t="shared" si="85"/>
        <v>0</v>
      </c>
      <c r="AM384" s="58"/>
      <c r="AN384" s="58"/>
      <c r="AO384" s="58"/>
      <c r="AP384" s="58"/>
      <c r="AQ384" s="58"/>
      <c r="AR384" s="58">
        <f t="shared" si="73"/>
        <v>0</v>
      </c>
      <c r="AS384" s="58">
        <f t="shared" si="74"/>
        <v>0</v>
      </c>
      <c r="AT384" s="58">
        <f t="shared" si="75"/>
        <v>0</v>
      </c>
      <c r="AU384" s="58">
        <f t="shared" si="76"/>
        <v>0</v>
      </c>
      <c r="AV384" s="58">
        <f t="shared" si="77"/>
        <v>0</v>
      </c>
      <c r="AW384" s="58">
        <f t="shared" si="78"/>
        <v>0</v>
      </c>
      <c r="AX384" s="58">
        <f t="shared" si="79"/>
        <v>0</v>
      </c>
      <c r="AY384" s="58">
        <f t="shared" si="86"/>
        <v>0</v>
      </c>
      <c r="AZ384" s="62">
        <f t="shared" si="80"/>
        <v>0</v>
      </c>
      <c r="BA384" s="63">
        <f t="shared" si="81"/>
        <v>0</v>
      </c>
      <c r="BB384" s="63">
        <f t="shared" si="82"/>
        <v>0</v>
      </c>
    </row>
    <row r="385" spans="3:54" s="17" customFormat="1" x14ac:dyDescent="0.25">
      <c r="C385" s="215"/>
      <c r="D385" s="216"/>
      <c r="E385" s="88"/>
      <c r="F385" s="217"/>
      <c r="G385" s="234"/>
      <c r="H385" s="218"/>
      <c r="I385" s="76"/>
      <c r="J385" s="77"/>
      <c r="K385" s="76"/>
      <c r="L385" s="78"/>
      <c r="M385" s="78"/>
      <c r="N385" s="76" t="s">
        <v>39</v>
      </c>
      <c r="O385" s="110"/>
      <c r="P385" s="152"/>
      <c r="Q385" s="111" t="str">
        <f>IFERROR(MIN(VLOOKUP(ROUNDDOWN(P385,0),'Aide calcul'!$B$2:$C$282,2,FALSE),O385+1),"")</f>
        <v/>
      </c>
      <c r="R385" s="112" t="str">
        <f t="shared" si="83"/>
        <v/>
      </c>
      <c r="S385" s="152"/>
      <c r="T385" s="152"/>
      <c r="U385" s="152"/>
      <c r="V385" s="152"/>
      <c r="W385" s="152"/>
      <c r="X385" s="152"/>
      <c r="Y385" s="152"/>
      <c r="Z385" s="76"/>
      <c r="AA385" s="76"/>
      <c r="AB385" s="113" t="str">
        <f>IF(C385="3111. Logements",ROUND(VLOOKUP(C385,'Informations générales'!$C$66:$E$70,3,FALSE)*(AL385/$AM$28)/12,0)*12,IF(C385="3112. Logements",ROUND(VLOOKUP(C385,'Informations générales'!$C$66:$E$70,3,FALSE)*(AL385/$AN$28)/12,0)*12,IF(C385="3113. Logements",ROUND(VLOOKUP(C385,'Informations générales'!$C$66:$E$70,3,FALSE)*(AL385/$AO$28)/12,0)*12,IF(C385="3114. Logements",ROUND(VLOOKUP(C385,'Informations générales'!$C$66:$E$70,3,FALSE)*(AL385/$AP$28)/12,0)*12,IF(C385="3115. Logements",ROUND(VLOOKUP(C385,'Informations générales'!$C$66:$E$70,3,FALSE)*(AL385/$AQ$28)/12,0)*12,"")))))</f>
        <v/>
      </c>
      <c r="AC385" s="114"/>
      <c r="AD385" s="113">
        <f t="shared" si="84"/>
        <v>0</v>
      </c>
      <c r="AE385" s="114"/>
      <c r="AF385" s="203" t="str">
        <f>IF(C385="3111. Logements",ROUND(VLOOKUP(C385,'Informations générales'!$C$66:$E$70,3,FALSE)*(AL385/$AM$28)/12,0)*12,IF(C385="3112. Logements",ROUND(VLOOKUP(C385,'Informations générales'!$C$66:$E$70,3,FALSE)*(AL385/$AN$28)/12,0)*12,IF(C385="3113. Logements",ROUND(VLOOKUP(C385,'Informations générales'!$C$66:$E$70,3,FALSE)*(AL385/$AO$28)/12,0)*12,IF(C385="3114. Logements",ROUND(VLOOKUP(C385,'Informations générales'!$C$66:$E$70,3,FALSE)*(AL385/$AP$28)/12,0)*12,IF(C385="3115. Logements",ROUND(VLOOKUP(C385,'Informations générales'!$C$66:$E$70,3,FALSE)*(AL385/$AQ$28)/12,0)*12,"")))))</f>
        <v/>
      </c>
      <c r="AG385" s="202"/>
      <c r="AH385" s="113" t="str">
        <f>IF(C385="3111. Logements",ROUND(VLOOKUP(C385,'Informations générales'!$C$66:$H$70,5,FALSE)*(AL385/$AM$28)/12,0)*12,IF(C385="3112. Logements",ROUND(VLOOKUP(C385,'Informations générales'!$C$66:$H$70,5,FALSE)*(AL385/$AN$28)/12,0)*12,IF(C385="3113. Logements",ROUND(VLOOKUP(C385,'Informations générales'!$C$66:$H$70,5,FALSE)*(AL385/$AO$28)/12,0)*12,IF(C385="3114. Logements",ROUND(VLOOKUP(C385,'Informations générales'!$C$66:$H$70,5,FALSE)*(AL385/$AP$28)/12,0)*12,IF(C385="3115. Logements",ROUND(VLOOKUP(C385,'Informations générales'!$C$66:$H$70,5,FALSE)*(AL385/$AQ$28)/12,0)*12,"")))))</f>
        <v/>
      </c>
      <c r="AI385" s="114"/>
      <c r="AJ385" s="114"/>
      <c r="AK385" s="76"/>
      <c r="AL385" s="58">
        <f t="shared" si="85"/>
        <v>0</v>
      </c>
      <c r="AM385" s="58"/>
      <c r="AN385" s="58"/>
      <c r="AO385" s="58"/>
      <c r="AP385" s="58"/>
      <c r="AQ385" s="58"/>
      <c r="AR385" s="58">
        <f t="shared" si="73"/>
        <v>0</v>
      </c>
      <c r="AS385" s="58">
        <f t="shared" si="74"/>
        <v>0</v>
      </c>
      <c r="AT385" s="58">
        <f t="shared" si="75"/>
        <v>0</v>
      </c>
      <c r="AU385" s="58">
        <f t="shared" si="76"/>
        <v>0</v>
      </c>
      <c r="AV385" s="58">
        <f t="shared" si="77"/>
        <v>0</v>
      </c>
      <c r="AW385" s="58">
        <f t="shared" si="78"/>
        <v>0</v>
      </c>
      <c r="AX385" s="58">
        <f t="shared" si="79"/>
        <v>0</v>
      </c>
      <c r="AY385" s="58">
        <f t="shared" si="86"/>
        <v>0</v>
      </c>
      <c r="AZ385" s="62">
        <f t="shared" si="80"/>
        <v>0</v>
      </c>
      <c r="BA385" s="63">
        <f t="shared" si="81"/>
        <v>0</v>
      </c>
      <c r="BB385" s="63">
        <f t="shared" si="82"/>
        <v>0</v>
      </c>
    </row>
    <row r="386" spans="3:54" s="17" customFormat="1" x14ac:dyDescent="0.25">
      <c r="C386" s="215"/>
      <c r="D386" s="216"/>
      <c r="E386" s="88"/>
      <c r="F386" s="217"/>
      <c r="G386" s="234"/>
      <c r="H386" s="218"/>
      <c r="I386" s="76"/>
      <c r="J386" s="77"/>
      <c r="K386" s="76"/>
      <c r="L386" s="78"/>
      <c r="M386" s="78"/>
      <c r="N386" s="76" t="s">
        <v>39</v>
      </c>
      <c r="O386" s="110"/>
      <c r="P386" s="152"/>
      <c r="Q386" s="111" t="str">
        <f>IFERROR(MIN(VLOOKUP(ROUNDDOWN(P386,0),'Aide calcul'!$B$2:$C$282,2,FALSE),O386+1),"")</f>
        <v/>
      </c>
      <c r="R386" s="112" t="str">
        <f t="shared" si="83"/>
        <v/>
      </c>
      <c r="S386" s="152"/>
      <c r="T386" s="152"/>
      <c r="U386" s="152"/>
      <c r="V386" s="152"/>
      <c r="W386" s="152"/>
      <c r="X386" s="152"/>
      <c r="Y386" s="152"/>
      <c r="Z386" s="76"/>
      <c r="AA386" s="76"/>
      <c r="AB386" s="113" t="str">
        <f>IF(C386="3111. Logements",ROUND(VLOOKUP(C386,'Informations générales'!$C$66:$E$70,3,FALSE)*(AL386/$AM$28)/12,0)*12,IF(C386="3112. Logements",ROUND(VLOOKUP(C386,'Informations générales'!$C$66:$E$70,3,FALSE)*(AL386/$AN$28)/12,0)*12,IF(C386="3113. Logements",ROUND(VLOOKUP(C386,'Informations générales'!$C$66:$E$70,3,FALSE)*(AL386/$AO$28)/12,0)*12,IF(C386="3114. Logements",ROUND(VLOOKUP(C386,'Informations générales'!$C$66:$E$70,3,FALSE)*(AL386/$AP$28)/12,0)*12,IF(C386="3115. Logements",ROUND(VLOOKUP(C386,'Informations générales'!$C$66:$E$70,3,FALSE)*(AL386/$AQ$28)/12,0)*12,"")))))</f>
        <v/>
      </c>
      <c r="AC386" s="114"/>
      <c r="AD386" s="113">
        <f t="shared" si="84"/>
        <v>0</v>
      </c>
      <c r="AE386" s="114"/>
      <c r="AF386" s="203" t="str">
        <f>IF(C386="3111. Logements",ROUND(VLOOKUP(C386,'Informations générales'!$C$66:$E$70,3,FALSE)*(AL386/$AM$28)/12,0)*12,IF(C386="3112. Logements",ROUND(VLOOKUP(C386,'Informations générales'!$C$66:$E$70,3,FALSE)*(AL386/$AN$28)/12,0)*12,IF(C386="3113. Logements",ROUND(VLOOKUP(C386,'Informations générales'!$C$66:$E$70,3,FALSE)*(AL386/$AO$28)/12,0)*12,IF(C386="3114. Logements",ROUND(VLOOKUP(C386,'Informations générales'!$C$66:$E$70,3,FALSE)*(AL386/$AP$28)/12,0)*12,IF(C386="3115. Logements",ROUND(VLOOKUP(C386,'Informations générales'!$C$66:$E$70,3,FALSE)*(AL386/$AQ$28)/12,0)*12,"")))))</f>
        <v/>
      </c>
      <c r="AG386" s="202"/>
      <c r="AH386" s="113" t="str">
        <f>IF(C386="3111. Logements",ROUND(VLOOKUP(C386,'Informations générales'!$C$66:$H$70,5,FALSE)*(AL386/$AM$28)/12,0)*12,IF(C386="3112. Logements",ROUND(VLOOKUP(C386,'Informations générales'!$C$66:$H$70,5,FALSE)*(AL386/$AN$28)/12,0)*12,IF(C386="3113. Logements",ROUND(VLOOKUP(C386,'Informations générales'!$C$66:$H$70,5,FALSE)*(AL386/$AO$28)/12,0)*12,IF(C386="3114. Logements",ROUND(VLOOKUP(C386,'Informations générales'!$C$66:$H$70,5,FALSE)*(AL386/$AP$28)/12,0)*12,IF(C386="3115. Logements",ROUND(VLOOKUP(C386,'Informations générales'!$C$66:$H$70,5,FALSE)*(AL386/$AQ$28)/12,0)*12,"")))))</f>
        <v/>
      </c>
      <c r="AI386" s="114"/>
      <c r="AJ386" s="114"/>
      <c r="AK386" s="76"/>
      <c r="AL386" s="58">
        <f t="shared" si="85"/>
        <v>0</v>
      </c>
      <c r="AM386" s="58"/>
      <c r="AN386" s="58"/>
      <c r="AO386" s="58"/>
      <c r="AP386" s="58"/>
      <c r="AQ386" s="58"/>
      <c r="AR386" s="58">
        <f t="shared" si="73"/>
        <v>0</v>
      </c>
      <c r="AS386" s="58">
        <f t="shared" si="74"/>
        <v>0</v>
      </c>
      <c r="AT386" s="58">
        <f t="shared" si="75"/>
        <v>0</v>
      </c>
      <c r="AU386" s="58">
        <f t="shared" si="76"/>
        <v>0</v>
      </c>
      <c r="AV386" s="58">
        <f t="shared" si="77"/>
        <v>0</v>
      </c>
      <c r="AW386" s="58">
        <f t="shared" si="78"/>
        <v>0</v>
      </c>
      <c r="AX386" s="58">
        <f t="shared" si="79"/>
        <v>0</v>
      </c>
      <c r="AY386" s="58">
        <f t="shared" si="86"/>
        <v>0</v>
      </c>
      <c r="AZ386" s="62">
        <f t="shared" si="80"/>
        <v>0</v>
      </c>
      <c r="BA386" s="63">
        <f t="shared" si="81"/>
        <v>0</v>
      </c>
      <c r="BB386" s="63">
        <f t="shared" si="82"/>
        <v>0</v>
      </c>
    </row>
    <row r="387" spans="3:54" s="17" customFormat="1" x14ac:dyDescent="0.25">
      <c r="C387" s="215"/>
      <c r="D387" s="216"/>
      <c r="E387" s="88"/>
      <c r="F387" s="217"/>
      <c r="G387" s="234"/>
      <c r="H387" s="218"/>
      <c r="I387" s="76"/>
      <c r="J387" s="77"/>
      <c r="K387" s="76"/>
      <c r="L387" s="78"/>
      <c r="M387" s="78"/>
      <c r="N387" s="76" t="s">
        <v>39</v>
      </c>
      <c r="O387" s="110"/>
      <c r="P387" s="152"/>
      <c r="Q387" s="111" t="str">
        <f>IFERROR(MIN(VLOOKUP(ROUNDDOWN(P387,0),'Aide calcul'!$B$2:$C$282,2,FALSE),O387+1),"")</f>
        <v/>
      </c>
      <c r="R387" s="112" t="str">
        <f t="shared" si="83"/>
        <v/>
      </c>
      <c r="S387" s="152"/>
      <c r="T387" s="152"/>
      <c r="U387" s="152"/>
      <c r="V387" s="152"/>
      <c r="W387" s="152"/>
      <c r="X387" s="152"/>
      <c r="Y387" s="152"/>
      <c r="Z387" s="76"/>
      <c r="AA387" s="76"/>
      <c r="AB387" s="113" t="str">
        <f>IF(C387="3111. Logements",ROUND(VLOOKUP(C387,'Informations générales'!$C$66:$E$70,3,FALSE)*(AL387/$AM$28)/12,0)*12,IF(C387="3112. Logements",ROUND(VLOOKUP(C387,'Informations générales'!$C$66:$E$70,3,FALSE)*(AL387/$AN$28)/12,0)*12,IF(C387="3113. Logements",ROUND(VLOOKUP(C387,'Informations générales'!$C$66:$E$70,3,FALSE)*(AL387/$AO$28)/12,0)*12,IF(C387="3114. Logements",ROUND(VLOOKUP(C387,'Informations générales'!$C$66:$E$70,3,FALSE)*(AL387/$AP$28)/12,0)*12,IF(C387="3115. Logements",ROUND(VLOOKUP(C387,'Informations générales'!$C$66:$E$70,3,FALSE)*(AL387/$AQ$28)/12,0)*12,"")))))</f>
        <v/>
      </c>
      <c r="AC387" s="114"/>
      <c r="AD387" s="113">
        <f t="shared" si="84"/>
        <v>0</v>
      </c>
      <c r="AE387" s="114"/>
      <c r="AF387" s="203" t="str">
        <f>IF(C387="3111. Logements",ROUND(VLOOKUP(C387,'Informations générales'!$C$66:$E$70,3,FALSE)*(AL387/$AM$28)/12,0)*12,IF(C387="3112. Logements",ROUND(VLOOKUP(C387,'Informations générales'!$C$66:$E$70,3,FALSE)*(AL387/$AN$28)/12,0)*12,IF(C387="3113. Logements",ROUND(VLOOKUP(C387,'Informations générales'!$C$66:$E$70,3,FALSE)*(AL387/$AO$28)/12,0)*12,IF(C387="3114. Logements",ROUND(VLOOKUP(C387,'Informations générales'!$C$66:$E$70,3,FALSE)*(AL387/$AP$28)/12,0)*12,IF(C387="3115. Logements",ROUND(VLOOKUP(C387,'Informations générales'!$C$66:$E$70,3,FALSE)*(AL387/$AQ$28)/12,0)*12,"")))))</f>
        <v/>
      </c>
      <c r="AG387" s="202"/>
      <c r="AH387" s="113" t="str">
        <f>IF(C387="3111. Logements",ROUND(VLOOKUP(C387,'Informations générales'!$C$66:$H$70,5,FALSE)*(AL387/$AM$28)/12,0)*12,IF(C387="3112. Logements",ROUND(VLOOKUP(C387,'Informations générales'!$C$66:$H$70,5,FALSE)*(AL387/$AN$28)/12,0)*12,IF(C387="3113. Logements",ROUND(VLOOKUP(C387,'Informations générales'!$C$66:$H$70,5,FALSE)*(AL387/$AO$28)/12,0)*12,IF(C387="3114. Logements",ROUND(VLOOKUP(C387,'Informations générales'!$C$66:$H$70,5,FALSE)*(AL387/$AP$28)/12,0)*12,IF(C387="3115. Logements",ROUND(VLOOKUP(C387,'Informations générales'!$C$66:$H$70,5,FALSE)*(AL387/$AQ$28)/12,0)*12,"")))))</f>
        <v/>
      </c>
      <c r="AI387" s="114"/>
      <c r="AJ387" s="114"/>
      <c r="AK387" s="76"/>
      <c r="AL387" s="58">
        <f t="shared" si="85"/>
        <v>0</v>
      </c>
      <c r="AM387" s="58"/>
      <c r="AN387" s="58"/>
      <c r="AO387" s="58"/>
      <c r="AP387" s="58"/>
      <c r="AQ387" s="58"/>
      <c r="AR387" s="58">
        <f t="shared" si="73"/>
        <v>0</v>
      </c>
      <c r="AS387" s="58">
        <f t="shared" si="74"/>
        <v>0</v>
      </c>
      <c r="AT387" s="58">
        <f t="shared" si="75"/>
        <v>0</v>
      </c>
      <c r="AU387" s="58">
        <f t="shared" si="76"/>
        <v>0</v>
      </c>
      <c r="AV387" s="58">
        <f t="shared" si="77"/>
        <v>0</v>
      </c>
      <c r="AW387" s="58">
        <f t="shared" si="78"/>
        <v>0</v>
      </c>
      <c r="AX387" s="58">
        <f t="shared" si="79"/>
        <v>0</v>
      </c>
      <c r="AY387" s="58">
        <f t="shared" si="86"/>
        <v>0</v>
      </c>
      <c r="AZ387" s="62">
        <f t="shared" si="80"/>
        <v>0</v>
      </c>
      <c r="BA387" s="63">
        <f t="shared" si="81"/>
        <v>0</v>
      </c>
      <c r="BB387" s="63">
        <f t="shared" si="82"/>
        <v>0</v>
      </c>
    </row>
    <row r="388" spans="3:54" s="17" customFormat="1" x14ac:dyDescent="0.25">
      <c r="C388" s="215"/>
      <c r="D388" s="216"/>
      <c r="E388" s="88"/>
      <c r="F388" s="217"/>
      <c r="G388" s="234"/>
      <c r="H388" s="218"/>
      <c r="I388" s="76"/>
      <c r="J388" s="77"/>
      <c r="K388" s="76"/>
      <c r="L388" s="78"/>
      <c r="M388" s="78"/>
      <c r="N388" s="76" t="s">
        <v>39</v>
      </c>
      <c r="O388" s="110"/>
      <c r="P388" s="152"/>
      <c r="Q388" s="111" t="str">
        <f>IFERROR(MIN(VLOOKUP(ROUNDDOWN(P388,0),'Aide calcul'!$B$2:$C$282,2,FALSE),O388+1),"")</f>
        <v/>
      </c>
      <c r="R388" s="112" t="str">
        <f t="shared" si="83"/>
        <v/>
      </c>
      <c r="S388" s="152"/>
      <c r="T388" s="152"/>
      <c r="U388" s="152"/>
      <c r="V388" s="152"/>
      <c r="W388" s="152"/>
      <c r="X388" s="152"/>
      <c r="Y388" s="152"/>
      <c r="Z388" s="76"/>
      <c r="AA388" s="76"/>
      <c r="AB388" s="113" t="str">
        <f>IF(C388="3111. Logements",ROUND(VLOOKUP(C388,'Informations générales'!$C$66:$E$70,3,FALSE)*(AL388/$AM$28)/12,0)*12,IF(C388="3112. Logements",ROUND(VLOOKUP(C388,'Informations générales'!$C$66:$E$70,3,FALSE)*(AL388/$AN$28)/12,0)*12,IF(C388="3113. Logements",ROUND(VLOOKUP(C388,'Informations générales'!$C$66:$E$70,3,FALSE)*(AL388/$AO$28)/12,0)*12,IF(C388="3114. Logements",ROUND(VLOOKUP(C388,'Informations générales'!$C$66:$E$70,3,FALSE)*(AL388/$AP$28)/12,0)*12,IF(C388="3115. Logements",ROUND(VLOOKUP(C388,'Informations générales'!$C$66:$E$70,3,FALSE)*(AL388/$AQ$28)/12,0)*12,"")))))</f>
        <v/>
      </c>
      <c r="AC388" s="114"/>
      <c r="AD388" s="113">
        <f t="shared" si="84"/>
        <v>0</v>
      </c>
      <c r="AE388" s="114"/>
      <c r="AF388" s="203" t="str">
        <f>IF(C388="3111. Logements",ROUND(VLOOKUP(C388,'Informations générales'!$C$66:$E$70,3,FALSE)*(AL388/$AM$28)/12,0)*12,IF(C388="3112. Logements",ROUND(VLOOKUP(C388,'Informations générales'!$C$66:$E$70,3,FALSE)*(AL388/$AN$28)/12,0)*12,IF(C388="3113. Logements",ROUND(VLOOKUP(C388,'Informations générales'!$C$66:$E$70,3,FALSE)*(AL388/$AO$28)/12,0)*12,IF(C388="3114. Logements",ROUND(VLOOKUP(C388,'Informations générales'!$C$66:$E$70,3,FALSE)*(AL388/$AP$28)/12,0)*12,IF(C388="3115. Logements",ROUND(VLOOKUP(C388,'Informations générales'!$C$66:$E$70,3,FALSE)*(AL388/$AQ$28)/12,0)*12,"")))))</f>
        <v/>
      </c>
      <c r="AG388" s="202"/>
      <c r="AH388" s="113" t="str">
        <f>IF(C388="3111. Logements",ROUND(VLOOKUP(C388,'Informations générales'!$C$66:$H$70,5,FALSE)*(AL388/$AM$28)/12,0)*12,IF(C388="3112. Logements",ROUND(VLOOKUP(C388,'Informations générales'!$C$66:$H$70,5,FALSE)*(AL388/$AN$28)/12,0)*12,IF(C388="3113. Logements",ROUND(VLOOKUP(C388,'Informations générales'!$C$66:$H$70,5,FALSE)*(AL388/$AO$28)/12,0)*12,IF(C388="3114. Logements",ROUND(VLOOKUP(C388,'Informations générales'!$C$66:$H$70,5,FALSE)*(AL388/$AP$28)/12,0)*12,IF(C388="3115. Logements",ROUND(VLOOKUP(C388,'Informations générales'!$C$66:$H$70,5,FALSE)*(AL388/$AQ$28)/12,0)*12,"")))))</f>
        <v/>
      </c>
      <c r="AI388" s="114"/>
      <c r="AJ388" s="114"/>
      <c r="AK388" s="76"/>
      <c r="AL388" s="58">
        <f t="shared" si="85"/>
        <v>0</v>
      </c>
      <c r="AM388" s="58"/>
      <c r="AN388" s="58"/>
      <c r="AO388" s="58"/>
      <c r="AP388" s="58"/>
      <c r="AQ388" s="58"/>
      <c r="AR388" s="58">
        <f t="shared" si="73"/>
        <v>0</v>
      </c>
      <c r="AS388" s="58">
        <f t="shared" si="74"/>
        <v>0</v>
      </c>
      <c r="AT388" s="58">
        <f t="shared" si="75"/>
        <v>0</v>
      </c>
      <c r="AU388" s="58">
        <f t="shared" si="76"/>
        <v>0</v>
      </c>
      <c r="AV388" s="58">
        <f t="shared" si="77"/>
        <v>0</v>
      </c>
      <c r="AW388" s="58">
        <f t="shared" si="78"/>
        <v>0</v>
      </c>
      <c r="AX388" s="58">
        <f t="shared" si="79"/>
        <v>0</v>
      </c>
      <c r="AY388" s="58">
        <f t="shared" si="86"/>
        <v>0</v>
      </c>
      <c r="AZ388" s="62">
        <f t="shared" si="80"/>
        <v>0</v>
      </c>
      <c r="BA388" s="63">
        <f t="shared" si="81"/>
        <v>0</v>
      </c>
      <c r="BB388" s="63">
        <f t="shared" si="82"/>
        <v>0</v>
      </c>
    </row>
    <row r="389" spans="3:54" s="17" customFormat="1" x14ac:dyDescent="0.25">
      <c r="C389" s="215"/>
      <c r="D389" s="216"/>
      <c r="E389" s="88"/>
      <c r="F389" s="217"/>
      <c r="G389" s="234"/>
      <c r="H389" s="218"/>
      <c r="I389" s="76"/>
      <c r="J389" s="77"/>
      <c r="K389" s="76"/>
      <c r="L389" s="78"/>
      <c r="M389" s="78"/>
      <c r="N389" s="76" t="s">
        <v>39</v>
      </c>
      <c r="O389" s="110"/>
      <c r="P389" s="152"/>
      <c r="Q389" s="111" t="str">
        <f>IFERROR(MIN(VLOOKUP(ROUNDDOWN(P389,0),'Aide calcul'!$B$2:$C$282,2,FALSE),O389+1),"")</f>
        <v/>
      </c>
      <c r="R389" s="112" t="str">
        <f t="shared" si="83"/>
        <v/>
      </c>
      <c r="S389" s="152"/>
      <c r="T389" s="152"/>
      <c r="U389" s="152"/>
      <c r="V389" s="152"/>
      <c r="W389" s="152"/>
      <c r="X389" s="152"/>
      <c r="Y389" s="152"/>
      <c r="Z389" s="76"/>
      <c r="AA389" s="76"/>
      <c r="AB389" s="113" t="str">
        <f>IF(C389="3111. Logements",ROUND(VLOOKUP(C389,'Informations générales'!$C$66:$E$70,3,FALSE)*(AL389/$AM$28)/12,0)*12,IF(C389="3112. Logements",ROUND(VLOOKUP(C389,'Informations générales'!$C$66:$E$70,3,FALSE)*(AL389/$AN$28)/12,0)*12,IF(C389="3113. Logements",ROUND(VLOOKUP(C389,'Informations générales'!$C$66:$E$70,3,FALSE)*(AL389/$AO$28)/12,0)*12,IF(C389="3114. Logements",ROUND(VLOOKUP(C389,'Informations générales'!$C$66:$E$70,3,FALSE)*(AL389/$AP$28)/12,0)*12,IF(C389="3115. Logements",ROUND(VLOOKUP(C389,'Informations générales'!$C$66:$E$70,3,FALSE)*(AL389/$AQ$28)/12,0)*12,"")))))</f>
        <v/>
      </c>
      <c r="AC389" s="114"/>
      <c r="AD389" s="113">
        <f t="shared" si="84"/>
        <v>0</v>
      </c>
      <c r="AE389" s="114"/>
      <c r="AF389" s="203" t="str">
        <f>IF(C389="3111. Logements",ROUND(VLOOKUP(C389,'Informations générales'!$C$66:$E$70,3,FALSE)*(AL389/$AM$28)/12,0)*12,IF(C389="3112. Logements",ROUND(VLOOKUP(C389,'Informations générales'!$C$66:$E$70,3,FALSE)*(AL389/$AN$28)/12,0)*12,IF(C389="3113. Logements",ROUND(VLOOKUP(C389,'Informations générales'!$C$66:$E$70,3,FALSE)*(AL389/$AO$28)/12,0)*12,IF(C389="3114. Logements",ROUND(VLOOKUP(C389,'Informations générales'!$C$66:$E$70,3,FALSE)*(AL389/$AP$28)/12,0)*12,IF(C389="3115. Logements",ROUND(VLOOKUP(C389,'Informations générales'!$C$66:$E$70,3,FALSE)*(AL389/$AQ$28)/12,0)*12,"")))))</f>
        <v/>
      </c>
      <c r="AG389" s="202"/>
      <c r="AH389" s="113" t="str">
        <f>IF(C389="3111. Logements",ROUND(VLOOKUP(C389,'Informations générales'!$C$66:$H$70,5,FALSE)*(AL389/$AM$28)/12,0)*12,IF(C389="3112. Logements",ROUND(VLOOKUP(C389,'Informations générales'!$C$66:$H$70,5,FALSE)*(AL389/$AN$28)/12,0)*12,IF(C389="3113. Logements",ROUND(VLOOKUP(C389,'Informations générales'!$C$66:$H$70,5,FALSE)*(AL389/$AO$28)/12,0)*12,IF(C389="3114. Logements",ROUND(VLOOKUP(C389,'Informations générales'!$C$66:$H$70,5,FALSE)*(AL389/$AP$28)/12,0)*12,IF(C389="3115. Logements",ROUND(VLOOKUP(C389,'Informations générales'!$C$66:$H$70,5,FALSE)*(AL389/$AQ$28)/12,0)*12,"")))))</f>
        <v/>
      </c>
      <c r="AI389" s="114"/>
      <c r="AJ389" s="114"/>
      <c r="AK389" s="76"/>
      <c r="AL389" s="58">
        <f t="shared" si="85"/>
        <v>0</v>
      </c>
      <c r="AM389" s="58"/>
      <c r="AN389" s="58"/>
      <c r="AO389" s="58"/>
      <c r="AP389" s="58"/>
      <c r="AQ389" s="58"/>
      <c r="AR389" s="58">
        <f t="shared" si="73"/>
        <v>0</v>
      </c>
      <c r="AS389" s="58">
        <f t="shared" si="74"/>
        <v>0</v>
      </c>
      <c r="AT389" s="58">
        <f t="shared" si="75"/>
        <v>0</v>
      </c>
      <c r="AU389" s="58">
        <f t="shared" si="76"/>
        <v>0</v>
      </c>
      <c r="AV389" s="58">
        <f t="shared" si="77"/>
        <v>0</v>
      </c>
      <c r="AW389" s="58">
        <f t="shared" si="78"/>
        <v>0</v>
      </c>
      <c r="AX389" s="58">
        <f t="shared" si="79"/>
        <v>0</v>
      </c>
      <c r="AY389" s="58">
        <f t="shared" si="86"/>
        <v>0</v>
      </c>
      <c r="AZ389" s="62">
        <f t="shared" si="80"/>
        <v>0</v>
      </c>
      <c r="BA389" s="63">
        <f t="shared" si="81"/>
        <v>0</v>
      </c>
      <c r="BB389" s="63">
        <f t="shared" si="82"/>
        <v>0</v>
      </c>
    </row>
    <row r="390" spans="3:54" s="17" customFormat="1" x14ac:dyDescent="0.25">
      <c r="C390" s="215"/>
      <c r="D390" s="216"/>
      <c r="E390" s="88"/>
      <c r="F390" s="217"/>
      <c r="G390" s="234"/>
      <c r="H390" s="218"/>
      <c r="I390" s="76"/>
      <c r="J390" s="77"/>
      <c r="K390" s="76"/>
      <c r="L390" s="78"/>
      <c r="M390" s="78"/>
      <c r="N390" s="76" t="s">
        <v>39</v>
      </c>
      <c r="O390" s="110"/>
      <c r="P390" s="152"/>
      <c r="Q390" s="111" t="str">
        <f>IFERROR(MIN(VLOOKUP(ROUNDDOWN(P390,0),'Aide calcul'!$B$2:$C$282,2,FALSE),O390+1),"")</f>
        <v/>
      </c>
      <c r="R390" s="112" t="str">
        <f t="shared" si="83"/>
        <v/>
      </c>
      <c r="S390" s="152"/>
      <c r="T390" s="152"/>
      <c r="U390" s="152"/>
      <c r="V390" s="152"/>
      <c r="W390" s="152"/>
      <c r="X390" s="152"/>
      <c r="Y390" s="152"/>
      <c r="Z390" s="76"/>
      <c r="AA390" s="76"/>
      <c r="AB390" s="113" t="str">
        <f>IF(C390="3111. Logements",ROUND(VLOOKUP(C390,'Informations générales'!$C$66:$E$70,3,FALSE)*(AL390/$AM$28)/12,0)*12,IF(C390="3112. Logements",ROUND(VLOOKUP(C390,'Informations générales'!$C$66:$E$70,3,FALSE)*(AL390/$AN$28)/12,0)*12,IF(C390="3113. Logements",ROUND(VLOOKUP(C390,'Informations générales'!$C$66:$E$70,3,FALSE)*(AL390/$AO$28)/12,0)*12,IF(C390="3114. Logements",ROUND(VLOOKUP(C390,'Informations générales'!$C$66:$E$70,3,FALSE)*(AL390/$AP$28)/12,0)*12,IF(C390="3115. Logements",ROUND(VLOOKUP(C390,'Informations générales'!$C$66:$E$70,3,FALSE)*(AL390/$AQ$28)/12,0)*12,"")))))</f>
        <v/>
      </c>
      <c r="AC390" s="114"/>
      <c r="AD390" s="113">
        <f t="shared" si="84"/>
        <v>0</v>
      </c>
      <c r="AE390" s="114"/>
      <c r="AF390" s="203" t="str">
        <f>IF(C390="3111. Logements",ROUND(VLOOKUP(C390,'Informations générales'!$C$66:$E$70,3,FALSE)*(AL390/$AM$28)/12,0)*12,IF(C390="3112. Logements",ROUND(VLOOKUP(C390,'Informations générales'!$C$66:$E$70,3,FALSE)*(AL390/$AN$28)/12,0)*12,IF(C390="3113. Logements",ROUND(VLOOKUP(C390,'Informations générales'!$C$66:$E$70,3,FALSE)*(AL390/$AO$28)/12,0)*12,IF(C390="3114. Logements",ROUND(VLOOKUP(C390,'Informations générales'!$C$66:$E$70,3,FALSE)*(AL390/$AP$28)/12,0)*12,IF(C390="3115. Logements",ROUND(VLOOKUP(C390,'Informations générales'!$C$66:$E$70,3,FALSE)*(AL390/$AQ$28)/12,0)*12,"")))))</f>
        <v/>
      </c>
      <c r="AG390" s="202"/>
      <c r="AH390" s="113" t="str">
        <f>IF(C390="3111. Logements",ROUND(VLOOKUP(C390,'Informations générales'!$C$66:$H$70,5,FALSE)*(AL390/$AM$28)/12,0)*12,IF(C390="3112. Logements",ROUND(VLOOKUP(C390,'Informations générales'!$C$66:$H$70,5,FALSE)*(AL390/$AN$28)/12,0)*12,IF(C390="3113. Logements",ROUND(VLOOKUP(C390,'Informations générales'!$C$66:$H$70,5,FALSE)*(AL390/$AO$28)/12,0)*12,IF(C390="3114. Logements",ROUND(VLOOKUP(C390,'Informations générales'!$C$66:$H$70,5,FALSE)*(AL390/$AP$28)/12,0)*12,IF(C390="3115. Logements",ROUND(VLOOKUP(C390,'Informations générales'!$C$66:$H$70,5,FALSE)*(AL390/$AQ$28)/12,0)*12,"")))))</f>
        <v/>
      </c>
      <c r="AI390" s="114"/>
      <c r="AJ390" s="114"/>
      <c r="AK390" s="76"/>
      <c r="AL390" s="58">
        <f t="shared" si="85"/>
        <v>0</v>
      </c>
      <c r="AM390" s="58"/>
      <c r="AN390" s="58"/>
      <c r="AO390" s="58"/>
      <c r="AP390" s="58"/>
      <c r="AQ390" s="58"/>
      <c r="AR390" s="58">
        <f t="shared" si="73"/>
        <v>0</v>
      </c>
      <c r="AS390" s="58">
        <f t="shared" si="74"/>
        <v>0</v>
      </c>
      <c r="AT390" s="58">
        <f t="shared" si="75"/>
        <v>0</v>
      </c>
      <c r="AU390" s="58">
        <f t="shared" si="76"/>
        <v>0</v>
      </c>
      <c r="AV390" s="58">
        <f t="shared" si="77"/>
        <v>0</v>
      </c>
      <c r="AW390" s="58">
        <f t="shared" si="78"/>
        <v>0</v>
      </c>
      <c r="AX390" s="58">
        <f t="shared" si="79"/>
        <v>0</v>
      </c>
      <c r="AY390" s="58">
        <f t="shared" si="86"/>
        <v>0</v>
      </c>
      <c r="AZ390" s="62">
        <f t="shared" si="80"/>
        <v>0</v>
      </c>
      <c r="BA390" s="63">
        <f t="shared" si="81"/>
        <v>0</v>
      </c>
      <c r="BB390" s="63">
        <f t="shared" si="82"/>
        <v>0</v>
      </c>
    </row>
    <row r="391" spans="3:54" s="17" customFormat="1" x14ac:dyDescent="0.25">
      <c r="C391" s="215"/>
      <c r="D391" s="216"/>
      <c r="E391" s="88"/>
      <c r="F391" s="217"/>
      <c r="G391" s="234"/>
      <c r="H391" s="218"/>
      <c r="I391" s="76"/>
      <c r="J391" s="77"/>
      <c r="K391" s="76"/>
      <c r="L391" s="78"/>
      <c r="M391" s="78"/>
      <c r="N391" s="76" t="s">
        <v>39</v>
      </c>
      <c r="O391" s="110"/>
      <c r="P391" s="152"/>
      <c r="Q391" s="111" t="str">
        <f>IFERROR(MIN(VLOOKUP(ROUNDDOWN(P391,0),'Aide calcul'!$B$2:$C$282,2,FALSE),O391+1),"")</f>
        <v/>
      </c>
      <c r="R391" s="112" t="str">
        <f t="shared" si="83"/>
        <v/>
      </c>
      <c r="S391" s="152"/>
      <c r="T391" s="152"/>
      <c r="U391" s="152"/>
      <c r="V391" s="152"/>
      <c r="W391" s="152"/>
      <c r="X391" s="152"/>
      <c r="Y391" s="152"/>
      <c r="Z391" s="76"/>
      <c r="AA391" s="76"/>
      <c r="AB391" s="113" t="str">
        <f>IF(C391="3111. Logements",ROUND(VLOOKUP(C391,'Informations générales'!$C$66:$E$70,3,FALSE)*(AL391/$AM$28)/12,0)*12,IF(C391="3112. Logements",ROUND(VLOOKUP(C391,'Informations générales'!$C$66:$E$70,3,FALSE)*(AL391/$AN$28)/12,0)*12,IF(C391="3113. Logements",ROUND(VLOOKUP(C391,'Informations générales'!$C$66:$E$70,3,FALSE)*(AL391/$AO$28)/12,0)*12,IF(C391="3114. Logements",ROUND(VLOOKUP(C391,'Informations générales'!$C$66:$E$70,3,FALSE)*(AL391/$AP$28)/12,0)*12,IF(C391="3115. Logements",ROUND(VLOOKUP(C391,'Informations générales'!$C$66:$E$70,3,FALSE)*(AL391/$AQ$28)/12,0)*12,"")))))</f>
        <v/>
      </c>
      <c r="AC391" s="114"/>
      <c r="AD391" s="113">
        <f t="shared" si="84"/>
        <v>0</v>
      </c>
      <c r="AE391" s="114"/>
      <c r="AF391" s="203" t="str">
        <f>IF(C391="3111. Logements",ROUND(VLOOKUP(C391,'Informations générales'!$C$66:$E$70,3,FALSE)*(AL391/$AM$28)/12,0)*12,IF(C391="3112. Logements",ROUND(VLOOKUP(C391,'Informations générales'!$C$66:$E$70,3,FALSE)*(AL391/$AN$28)/12,0)*12,IF(C391="3113. Logements",ROUND(VLOOKUP(C391,'Informations générales'!$C$66:$E$70,3,FALSE)*(AL391/$AO$28)/12,0)*12,IF(C391="3114. Logements",ROUND(VLOOKUP(C391,'Informations générales'!$C$66:$E$70,3,FALSE)*(AL391/$AP$28)/12,0)*12,IF(C391="3115. Logements",ROUND(VLOOKUP(C391,'Informations générales'!$C$66:$E$70,3,FALSE)*(AL391/$AQ$28)/12,0)*12,"")))))</f>
        <v/>
      </c>
      <c r="AG391" s="202"/>
      <c r="AH391" s="113" t="str">
        <f>IF(C391="3111. Logements",ROUND(VLOOKUP(C391,'Informations générales'!$C$66:$H$70,5,FALSE)*(AL391/$AM$28)/12,0)*12,IF(C391="3112. Logements",ROUND(VLOOKUP(C391,'Informations générales'!$C$66:$H$70,5,FALSE)*(AL391/$AN$28)/12,0)*12,IF(C391="3113. Logements",ROUND(VLOOKUP(C391,'Informations générales'!$C$66:$H$70,5,FALSE)*(AL391/$AO$28)/12,0)*12,IF(C391="3114. Logements",ROUND(VLOOKUP(C391,'Informations générales'!$C$66:$H$70,5,FALSE)*(AL391/$AP$28)/12,0)*12,IF(C391="3115. Logements",ROUND(VLOOKUP(C391,'Informations générales'!$C$66:$H$70,5,FALSE)*(AL391/$AQ$28)/12,0)*12,"")))))</f>
        <v/>
      </c>
      <c r="AI391" s="114"/>
      <c r="AJ391" s="114"/>
      <c r="AK391" s="76"/>
      <c r="AL391" s="58">
        <f t="shared" si="85"/>
        <v>0</v>
      </c>
      <c r="AM391" s="58"/>
      <c r="AN391" s="58"/>
      <c r="AO391" s="58"/>
      <c r="AP391" s="58"/>
      <c r="AQ391" s="58"/>
      <c r="AR391" s="58">
        <f t="shared" si="73"/>
        <v>0</v>
      </c>
      <c r="AS391" s="58">
        <f t="shared" si="74"/>
        <v>0</v>
      </c>
      <c r="AT391" s="58">
        <f t="shared" si="75"/>
        <v>0</v>
      </c>
      <c r="AU391" s="58">
        <f t="shared" si="76"/>
        <v>0</v>
      </c>
      <c r="AV391" s="58">
        <f t="shared" si="77"/>
        <v>0</v>
      </c>
      <c r="AW391" s="58">
        <f t="shared" si="78"/>
        <v>0</v>
      </c>
      <c r="AX391" s="58">
        <f t="shared" si="79"/>
        <v>0</v>
      </c>
      <c r="AY391" s="58">
        <f t="shared" si="86"/>
        <v>0</v>
      </c>
      <c r="AZ391" s="62">
        <f t="shared" si="80"/>
        <v>0</v>
      </c>
      <c r="BA391" s="63">
        <f t="shared" si="81"/>
        <v>0</v>
      </c>
      <c r="BB391" s="63">
        <f t="shared" si="82"/>
        <v>0</v>
      </c>
    </row>
    <row r="392" spans="3:54" s="17" customFormat="1" x14ac:dyDescent="0.25">
      <c r="C392" s="215"/>
      <c r="D392" s="216"/>
      <c r="E392" s="88"/>
      <c r="F392" s="217"/>
      <c r="G392" s="234"/>
      <c r="H392" s="218"/>
      <c r="I392" s="76"/>
      <c r="J392" s="77"/>
      <c r="K392" s="76"/>
      <c r="L392" s="78"/>
      <c r="M392" s="78"/>
      <c r="N392" s="76" t="s">
        <v>39</v>
      </c>
      <c r="O392" s="110"/>
      <c r="P392" s="152"/>
      <c r="Q392" s="111" t="str">
        <f>IFERROR(MIN(VLOOKUP(ROUNDDOWN(P392,0),'Aide calcul'!$B$2:$C$282,2,FALSE),O392+1),"")</f>
        <v/>
      </c>
      <c r="R392" s="112" t="str">
        <f t="shared" si="83"/>
        <v/>
      </c>
      <c r="S392" s="152"/>
      <c r="T392" s="152"/>
      <c r="U392" s="152"/>
      <c r="V392" s="152"/>
      <c r="W392" s="152"/>
      <c r="X392" s="152"/>
      <c r="Y392" s="152"/>
      <c r="Z392" s="76"/>
      <c r="AA392" s="76"/>
      <c r="AB392" s="113" t="str">
        <f>IF(C392="3111. Logements",ROUND(VLOOKUP(C392,'Informations générales'!$C$66:$E$70,3,FALSE)*(AL392/$AM$28)/12,0)*12,IF(C392="3112. Logements",ROUND(VLOOKUP(C392,'Informations générales'!$C$66:$E$70,3,FALSE)*(AL392/$AN$28)/12,0)*12,IF(C392="3113. Logements",ROUND(VLOOKUP(C392,'Informations générales'!$C$66:$E$70,3,FALSE)*(AL392/$AO$28)/12,0)*12,IF(C392="3114. Logements",ROUND(VLOOKUP(C392,'Informations générales'!$C$66:$E$70,3,FALSE)*(AL392/$AP$28)/12,0)*12,IF(C392="3115. Logements",ROUND(VLOOKUP(C392,'Informations générales'!$C$66:$E$70,3,FALSE)*(AL392/$AQ$28)/12,0)*12,"")))))</f>
        <v/>
      </c>
      <c r="AC392" s="114"/>
      <c r="AD392" s="113">
        <f t="shared" si="84"/>
        <v>0</v>
      </c>
      <c r="AE392" s="114"/>
      <c r="AF392" s="203" t="str">
        <f>IF(C392="3111. Logements",ROUND(VLOOKUP(C392,'Informations générales'!$C$66:$E$70,3,FALSE)*(AL392/$AM$28)/12,0)*12,IF(C392="3112. Logements",ROUND(VLOOKUP(C392,'Informations générales'!$C$66:$E$70,3,FALSE)*(AL392/$AN$28)/12,0)*12,IF(C392="3113. Logements",ROUND(VLOOKUP(C392,'Informations générales'!$C$66:$E$70,3,FALSE)*(AL392/$AO$28)/12,0)*12,IF(C392="3114. Logements",ROUND(VLOOKUP(C392,'Informations générales'!$C$66:$E$70,3,FALSE)*(AL392/$AP$28)/12,0)*12,IF(C392="3115. Logements",ROUND(VLOOKUP(C392,'Informations générales'!$C$66:$E$70,3,FALSE)*(AL392/$AQ$28)/12,0)*12,"")))))</f>
        <v/>
      </c>
      <c r="AG392" s="202"/>
      <c r="AH392" s="113" t="str">
        <f>IF(C392="3111. Logements",ROUND(VLOOKUP(C392,'Informations générales'!$C$66:$H$70,5,FALSE)*(AL392/$AM$28)/12,0)*12,IF(C392="3112. Logements",ROUND(VLOOKUP(C392,'Informations générales'!$C$66:$H$70,5,FALSE)*(AL392/$AN$28)/12,0)*12,IF(C392="3113. Logements",ROUND(VLOOKUP(C392,'Informations générales'!$C$66:$H$70,5,FALSE)*(AL392/$AO$28)/12,0)*12,IF(C392="3114. Logements",ROUND(VLOOKUP(C392,'Informations générales'!$C$66:$H$70,5,FALSE)*(AL392/$AP$28)/12,0)*12,IF(C392="3115. Logements",ROUND(VLOOKUP(C392,'Informations générales'!$C$66:$H$70,5,FALSE)*(AL392/$AQ$28)/12,0)*12,"")))))</f>
        <v/>
      </c>
      <c r="AI392" s="114"/>
      <c r="AJ392" s="114"/>
      <c r="AK392" s="76"/>
      <c r="AL392" s="58">
        <f t="shared" si="85"/>
        <v>0</v>
      </c>
      <c r="AM392" s="58"/>
      <c r="AN392" s="58"/>
      <c r="AO392" s="58"/>
      <c r="AP392" s="58"/>
      <c r="AQ392" s="58"/>
      <c r="AR392" s="58">
        <f t="shared" si="73"/>
        <v>0</v>
      </c>
      <c r="AS392" s="58">
        <f t="shared" si="74"/>
        <v>0</v>
      </c>
      <c r="AT392" s="58">
        <f t="shared" si="75"/>
        <v>0</v>
      </c>
      <c r="AU392" s="58">
        <f t="shared" si="76"/>
        <v>0</v>
      </c>
      <c r="AV392" s="58">
        <f t="shared" si="77"/>
        <v>0</v>
      </c>
      <c r="AW392" s="58">
        <f t="shared" si="78"/>
        <v>0</v>
      </c>
      <c r="AX392" s="58">
        <f t="shared" si="79"/>
        <v>0</v>
      </c>
      <c r="AY392" s="58">
        <f t="shared" si="86"/>
        <v>0</v>
      </c>
      <c r="AZ392" s="62">
        <f t="shared" si="80"/>
        <v>0</v>
      </c>
      <c r="BA392" s="63">
        <f t="shared" si="81"/>
        <v>0</v>
      </c>
      <c r="BB392" s="63">
        <f t="shared" si="82"/>
        <v>0</v>
      </c>
    </row>
    <row r="393" spans="3:54" s="17" customFormat="1" x14ac:dyDescent="0.25">
      <c r="C393" s="215"/>
      <c r="D393" s="216"/>
      <c r="E393" s="88"/>
      <c r="F393" s="217"/>
      <c r="G393" s="234"/>
      <c r="H393" s="218"/>
      <c r="I393" s="76"/>
      <c r="J393" s="77"/>
      <c r="K393" s="76"/>
      <c r="L393" s="78"/>
      <c r="M393" s="78"/>
      <c r="N393" s="76" t="s">
        <v>39</v>
      </c>
      <c r="O393" s="110"/>
      <c r="P393" s="152"/>
      <c r="Q393" s="111" t="str">
        <f>IFERROR(MIN(VLOOKUP(ROUNDDOWN(P393,0),'Aide calcul'!$B$2:$C$282,2,FALSE),O393+1),"")</f>
        <v/>
      </c>
      <c r="R393" s="112" t="str">
        <f t="shared" si="83"/>
        <v/>
      </c>
      <c r="S393" s="152"/>
      <c r="T393" s="152"/>
      <c r="U393" s="152"/>
      <c r="V393" s="152"/>
      <c r="W393" s="152"/>
      <c r="X393" s="152"/>
      <c r="Y393" s="152"/>
      <c r="Z393" s="76"/>
      <c r="AA393" s="76"/>
      <c r="AB393" s="113" t="str">
        <f>IF(C393="3111. Logements",ROUND(VLOOKUP(C393,'Informations générales'!$C$66:$E$70,3,FALSE)*(AL393/$AM$28)/12,0)*12,IF(C393="3112. Logements",ROUND(VLOOKUP(C393,'Informations générales'!$C$66:$E$70,3,FALSE)*(AL393/$AN$28)/12,0)*12,IF(C393="3113. Logements",ROUND(VLOOKUP(C393,'Informations générales'!$C$66:$E$70,3,FALSE)*(AL393/$AO$28)/12,0)*12,IF(C393="3114. Logements",ROUND(VLOOKUP(C393,'Informations générales'!$C$66:$E$70,3,FALSE)*(AL393/$AP$28)/12,0)*12,IF(C393="3115. Logements",ROUND(VLOOKUP(C393,'Informations générales'!$C$66:$E$70,3,FALSE)*(AL393/$AQ$28)/12,0)*12,"")))))</f>
        <v/>
      </c>
      <c r="AC393" s="114"/>
      <c r="AD393" s="113">
        <f t="shared" si="84"/>
        <v>0</v>
      </c>
      <c r="AE393" s="114"/>
      <c r="AF393" s="203" t="str">
        <f>IF(C393="3111. Logements",ROUND(VLOOKUP(C393,'Informations générales'!$C$66:$E$70,3,FALSE)*(AL393/$AM$28)/12,0)*12,IF(C393="3112. Logements",ROUND(VLOOKUP(C393,'Informations générales'!$C$66:$E$70,3,FALSE)*(AL393/$AN$28)/12,0)*12,IF(C393="3113. Logements",ROUND(VLOOKUP(C393,'Informations générales'!$C$66:$E$70,3,FALSE)*(AL393/$AO$28)/12,0)*12,IF(C393="3114. Logements",ROUND(VLOOKUP(C393,'Informations générales'!$C$66:$E$70,3,FALSE)*(AL393/$AP$28)/12,0)*12,IF(C393="3115. Logements",ROUND(VLOOKUP(C393,'Informations générales'!$C$66:$E$70,3,FALSE)*(AL393/$AQ$28)/12,0)*12,"")))))</f>
        <v/>
      </c>
      <c r="AG393" s="202"/>
      <c r="AH393" s="113" t="str">
        <f>IF(C393="3111. Logements",ROUND(VLOOKUP(C393,'Informations générales'!$C$66:$H$70,5,FALSE)*(AL393/$AM$28)/12,0)*12,IF(C393="3112. Logements",ROUND(VLOOKUP(C393,'Informations générales'!$C$66:$H$70,5,FALSE)*(AL393/$AN$28)/12,0)*12,IF(C393="3113. Logements",ROUND(VLOOKUP(C393,'Informations générales'!$C$66:$H$70,5,FALSE)*(AL393/$AO$28)/12,0)*12,IF(C393="3114. Logements",ROUND(VLOOKUP(C393,'Informations générales'!$C$66:$H$70,5,FALSE)*(AL393/$AP$28)/12,0)*12,IF(C393="3115. Logements",ROUND(VLOOKUP(C393,'Informations générales'!$C$66:$H$70,5,FALSE)*(AL393/$AQ$28)/12,0)*12,"")))))</f>
        <v/>
      </c>
      <c r="AI393" s="114"/>
      <c r="AJ393" s="114"/>
      <c r="AK393" s="76"/>
      <c r="AL393" s="58">
        <f t="shared" si="85"/>
        <v>0</v>
      </c>
      <c r="AM393" s="58"/>
      <c r="AN393" s="58"/>
      <c r="AO393" s="58"/>
      <c r="AP393" s="58"/>
      <c r="AQ393" s="58"/>
      <c r="AR393" s="58">
        <f t="shared" si="73"/>
        <v>0</v>
      </c>
      <c r="AS393" s="58">
        <f t="shared" si="74"/>
        <v>0</v>
      </c>
      <c r="AT393" s="58">
        <f t="shared" si="75"/>
        <v>0</v>
      </c>
      <c r="AU393" s="58">
        <f t="shared" si="76"/>
        <v>0</v>
      </c>
      <c r="AV393" s="58">
        <f t="shared" si="77"/>
        <v>0</v>
      </c>
      <c r="AW393" s="58">
        <f t="shared" si="78"/>
        <v>0</v>
      </c>
      <c r="AX393" s="58">
        <f t="shared" si="79"/>
        <v>0</v>
      </c>
      <c r="AY393" s="58">
        <f t="shared" si="86"/>
        <v>0</v>
      </c>
      <c r="AZ393" s="62">
        <f t="shared" si="80"/>
        <v>0</v>
      </c>
      <c r="BA393" s="63">
        <f t="shared" si="81"/>
        <v>0</v>
      </c>
      <c r="BB393" s="63">
        <f t="shared" si="82"/>
        <v>0</v>
      </c>
    </row>
    <row r="394" spans="3:54" s="17" customFormat="1" x14ac:dyDescent="0.25">
      <c r="C394" s="215"/>
      <c r="D394" s="216"/>
      <c r="E394" s="88"/>
      <c r="F394" s="217"/>
      <c r="G394" s="234"/>
      <c r="H394" s="218"/>
      <c r="I394" s="76"/>
      <c r="J394" s="77"/>
      <c r="K394" s="76"/>
      <c r="L394" s="78"/>
      <c r="M394" s="78"/>
      <c r="N394" s="76" t="s">
        <v>39</v>
      </c>
      <c r="O394" s="110"/>
      <c r="P394" s="152"/>
      <c r="Q394" s="111" t="str">
        <f>IFERROR(MIN(VLOOKUP(ROUNDDOWN(P394,0),'Aide calcul'!$B$2:$C$282,2,FALSE),O394+1),"")</f>
        <v/>
      </c>
      <c r="R394" s="112" t="str">
        <f t="shared" si="83"/>
        <v/>
      </c>
      <c r="S394" s="152"/>
      <c r="T394" s="152"/>
      <c r="U394" s="152"/>
      <c r="V394" s="152"/>
      <c r="W394" s="152"/>
      <c r="X394" s="152"/>
      <c r="Y394" s="152"/>
      <c r="Z394" s="76"/>
      <c r="AA394" s="76"/>
      <c r="AB394" s="113" t="str">
        <f>IF(C394="3111. Logements",ROUND(VLOOKUP(C394,'Informations générales'!$C$66:$E$70,3,FALSE)*(AL394/$AM$28)/12,0)*12,IF(C394="3112. Logements",ROUND(VLOOKUP(C394,'Informations générales'!$C$66:$E$70,3,FALSE)*(AL394/$AN$28)/12,0)*12,IF(C394="3113. Logements",ROUND(VLOOKUP(C394,'Informations générales'!$C$66:$E$70,3,FALSE)*(AL394/$AO$28)/12,0)*12,IF(C394="3114. Logements",ROUND(VLOOKUP(C394,'Informations générales'!$C$66:$E$70,3,FALSE)*(AL394/$AP$28)/12,0)*12,IF(C394="3115. Logements",ROUND(VLOOKUP(C394,'Informations générales'!$C$66:$E$70,3,FALSE)*(AL394/$AQ$28)/12,0)*12,"")))))</f>
        <v/>
      </c>
      <c r="AC394" s="114"/>
      <c r="AD394" s="113">
        <f t="shared" si="84"/>
        <v>0</v>
      </c>
      <c r="AE394" s="114"/>
      <c r="AF394" s="203" t="str">
        <f>IF(C394="3111. Logements",ROUND(VLOOKUP(C394,'Informations générales'!$C$66:$E$70,3,FALSE)*(AL394/$AM$28)/12,0)*12,IF(C394="3112. Logements",ROUND(VLOOKUP(C394,'Informations générales'!$C$66:$E$70,3,FALSE)*(AL394/$AN$28)/12,0)*12,IF(C394="3113. Logements",ROUND(VLOOKUP(C394,'Informations générales'!$C$66:$E$70,3,FALSE)*(AL394/$AO$28)/12,0)*12,IF(C394="3114. Logements",ROUND(VLOOKUP(C394,'Informations générales'!$C$66:$E$70,3,FALSE)*(AL394/$AP$28)/12,0)*12,IF(C394="3115. Logements",ROUND(VLOOKUP(C394,'Informations générales'!$C$66:$E$70,3,FALSE)*(AL394/$AQ$28)/12,0)*12,"")))))</f>
        <v/>
      </c>
      <c r="AG394" s="202"/>
      <c r="AH394" s="113" t="str">
        <f>IF(C394="3111. Logements",ROUND(VLOOKUP(C394,'Informations générales'!$C$66:$H$70,5,FALSE)*(AL394/$AM$28)/12,0)*12,IF(C394="3112. Logements",ROUND(VLOOKUP(C394,'Informations générales'!$C$66:$H$70,5,FALSE)*(AL394/$AN$28)/12,0)*12,IF(C394="3113. Logements",ROUND(VLOOKUP(C394,'Informations générales'!$C$66:$H$70,5,FALSE)*(AL394/$AO$28)/12,0)*12,IF(C394="3114. Logements",ROUND(VLOOKUP(C394,'Informations générales'!$C$66:$H$70,5,FALSE)*(AL394/$AP$28)/12,0)*12,IF(C394="3115. Logements",ROUND(VLOOKUP(C394,'Informations générales'!$C$66:$H$70,5,FALSE)*(AL394/$AQ$28)/12,0)*12,"")))))</f>
        <v/>
      </c>
      <c r="AI394" s="114"/>
      <c r="AJ394" s="114"/>
      <c r="AK394" s="76"/>
      <c r="AL394" s="58">
        <f t="shared" si="85"/>
        <v>0</v>
      </c>
      <c r="AM394" s="58"/>
      <c r="AN394" s="58"/>
      <c r="AO394" s="58"/>
      <c r="AP394" s="58"/>
      <c r="AQ394" s="58"/>
      <c r="AR394" s="58">
        <f t="shared" si="73"/>
        <v>0</v>
      </c>
      <c r="AS394" s="58">
        <f t="shared" si="74"/>
        <v>0</v>
      </c>
      <c r="AT394" s="58">
        <f t="shared" si="75"/>
        <v>0</v>
      </c>
      <c r="AU394" s="58">
        <f t="shared" si="76"/>
        <v>0</v>
      </c>
      <c r="AV394" s="58">
        <f t="shared" si="77"/>
        <v>0</v>
      </c>
      <c r="AW394" s="58">
        <f t="shared" si="78"/>
        <v>0</v>
      </c>
      <c r="AX394" s="58">
        <f t="shared" si="79"/>
        <v>0</v>
      </c>
      <c r="AY394" s="58">
        <f t="shared" si="86"/>
        <v>0</v>
      </c>
      <c r="AZ394" s="62">
        <f t="shared" si="80"/>
        <v>0</v>
      </c>
      <c r="BA394" s="63">
        <f t="shared" si="81"/>
        <v>0</v>
      </c>
      <c r="BB394" s="63">
        <f t="shared" si="82"/>
        <v>0</v>
      </c>
    </row>
    <row r="395" spans="3:54" s="17" customFormat="1" x14ac:dyDescent="0.25">
      <c r="C395" s="215"/>
      <c r="D395" s="216"/>
      <c r="E395" s="88"/>
      <c r="F395" s="217"/>
      <c r="G395" s="234"/>
      <c r="H395" s="218"/>
      <c r="I395" s="76"/>
      <c r="J395" s="77"/>
      <c r="K395" s="76"/>
      <c r="L395" s="78"/>
      <c r="M395" s="78"/>
      <c r="N395" s="76" t="s">
        <v>39</v>
      </c>
      <c r="O395" s="110"/>
      <c r="P395" s="152"/>
      <c r="Q395" s="111" t="str">
        <f>IFERROR(MIN(VLOOKUP(ROUNDDOWN(P395,0),'Aide calcul'!$B$2:$C$282,2,FALSE),O395+1),"")</f>
        <v/>
      </c>
      <c r="R395" s="112" t="str">
        <f t="shared" si="83"/>
        <v/>
      </c>
      <c r="S395" s="152"/>
      <c r="T395" s="152"/>
      <c r="U395" s="152"/>
      <c r="V395" s="152"/>
      <c r="W395" s="152"/>
      <c r="X395" s="152"/>
      <c r="Y395" s="152"/>
      <c r="Z395" s="76"/>
      <c r="AA395" s="76"/>
      <c r="AB395" s="113" t="str">
        <f>IF(C395="3111. Logements",ROUND(VLOOKUP(C395,'Informations générales'!$C$66:$E$70,3,FALSE)*(AL395/$AM$28)/12,0)*12,IF(C395="3112. Logements",ROUND(VLOOKUP(C395,'Informations générales'!$C$66:$E$70,3,FALSE)*(AL395/$AN$28)/12,0)*12,IF(C395="3113. Logements",ROUND(VLOOKUP(C395,'Informations générales'!$C$66:$E$70,3,FALSE)*(AL395/$AO$28)/12,0)*12,IF(C395="3114. Logements",ROUND(VLOOKUP(C395,'Informations générales'!$C$66:$E$70,3,FALSE)*(AL395/$AP$28)/12,0)*12,IF(C395="3115. Logements",ROUND(VLOOKUP(C395,'Informations générales'!$C$66:$E$70,3,FALSE)*(AL395/$AQ$28)/12,0)*12,"")))))</f>
        <v/>
      </c>
      <c r="AC395" s="114"/>
      <c r="AD395" s="113">
        <f t="shared" si="84"/>
        <v>0</v>
      </c>
      <c r="AE395" s="114"/>
      <c r="AF395" s="203" t="str">
        <f>IF(C395="3111. Logements",ROUND(VLOOKUP(C395,'Informations générales'!$C$66:$E$70,3,FALSE)*(AL395/$AM$28)/12,0)*12,IF(C395="3112. Logements",ROUND(VLOOKUP(C395,'Informations générales'!$C$66:$E$70,3,FALSE)*(AL395/$AN$28)/12,0)*12,IF(C395="3113. Logements",ROUND(VLOOKUP(C395,'Informations générales'!$C$66:$E$70,3,FALSE)*(AL395/$AO$28)/12,0)*12,IF(C395="3114. Logements",ROUND(VLOOKUP(C395,'Informations générales'!$C$66:$E$70,3,FALSE)*(AL395/$AP$28)/12,0)*12,IF(C395="3115. Logements",ROUND(VLOOKUP(C395,'Informations générales'!$C$66:$E$70,3,FALSE)*(AL395/$AQ$28)/12,0)*12,"")))))</f>
        <v/>
      </c>
      <c r="AG395" s="202"/>
      <c r="AH395" s="113" t="str">
        <f>IF(C395="3111. Logements",ROUND(VLOOKUP(C395,'Informations générales'!$C$66:$H$70,5,FALSE)*(AL395/$AM$28)/12,0)*12,IF(C395="3112. Logements",ROUND(VLOOKUP(C395,'Informations générales'!$C$66:$H$70,5,FALSE)*(AL395/$AN$28)/12,0)*12,IF(C395="3113. Logements",ROUND(VLOOKUP(C395,'Informations générales'!$C$66:$H$70,5,FALSE)*(AL395/$AO$28)/12,0)*12,IF(C395="3114. Logements",ROUND(VLOOKUP(C395,'Informations générales'!$C$66:$H$70,5,FALSE)*(AL395/$AP$28)/12,0)*12,IF(C395="3115. Logements",ROUND(VLOOKUP(C395,'Informations générales'!$C$66:$H$70,5,FALSE)*(AL395/$AQ$28)/12,0)*12,"")))))</f>
        <v/>
      </c>
      <c r="AI395" s="114"/>
      <c r="AJ395" s="114"/>
      <c r="AK395" s="76"/>
      <c r="AL395" s="58">
        <f t="shared" si="85"/>
        <v>0</v>
      </c>
      <c r="AM395" s="58"/>
      <c r="AN395" s="58"/>
      <c r="AO395" s="58"/>
      <c r="AP395" s="58"/>
      <c r="AQ395" s="58"/>
      <c r="AR395" s="58">
        <f t="shared" si="73"/>
        <v>0</v>
      </c>
      <c r="AS395" s="58">
        <f t="shared" si="74"/>
        <v>0</v>
      </c>
      <c r="AT395" s="58">
        <f t="shared" si="75"/>
        <v>0</v>
      </c>
      <c r="AU395" s="58">
        <f t="shared" si="76"/>
        <v>0</v>
      </c>
      <c r="AV395" s="58">
        <f t="shared" si="77"/>
        <v>0</v>
      </c>
      <c r="AW395" s="58">
        <f t="shared" si="78"/>
        <v>0</v>
      </c>
      <c r="AX395" s="58">
        <f t="shared" si="79"/>
        <v>0</v>
      </c>
      <c r="AY395" s="58">
        <f t="shared" si="86"/>
        <v>0</v>
      </c>
      <c r="AZ395" s="62">
        <f t="shared" si="80"/>
        <v>0</v>
      </c>
      <c r="BA395" s="63">
        <f t="shared" si="81"/>
        <v>0</v>
      </c>
      <c r="BB395" s="63">
        <f t="shared" si="82"/>
        <v>0</v>
      </c>
    </row>
    <row r="396" spans="3:54" s="17" customFormat="1" x14ac:dyDescent="0.25">
      <c r="C396" s="215"/>
      <c r="D396" s="216"/>
      <c r="E396" s="88"/>
      <c r="F396" s="217"/>
      <c r="G396" s="234"/>
      <c r="H396" s="218"/>
      <c r="I396" s="76"/>
      <c r="J396" s="77"/>
      <c r="K396" s="76"/>
      <c r="L396" s="78"/>
      <c r="M396" s="78"/>
      <c r="N396" s="76" t="s">
        <v>39</v>
      </c>
      <c r="O396" s="110"/>
      <c r="P396" s="152"/>
      <c r="Q396" s="111" t="str">
        <f>IFERROR(MIN(VLOOKUP(ROUNDDOWN(P396,0),'Aide calcul'!$B$2:$C$282,2,FALSE),O396+1),"")</f>
        <v/>
      </c>
      <c r="R396" s="112" t="str">
        <f t="shared" si="83"/>
        <v/>
      </c>
      <c r="S396" s="152"/>
      <c r="T396" s="152"/>
      <c r="U396" s="152"/>
      <c r="V396" s="152"/>
      <c r="W396" s="152"/>
      <c r="X396" s="152"/>
      <c r="Y396" s="152"/>
      <c r="Z396" s="76"/>
      <c r="AA396" s="76"/>
      <c r="AB396" s="113" t="str">
        <f>IF(C396="3111. Logements",ROUND(VLOOKUP(C396,'Informations générales'!$C$66:$E$70,3,FALSE)*(AL396/$AM$28)/12,0)*12,IF(C396="3112. Logements",ROUND(VLOOKUP(C396,'Informations générales'!$C$66:$E$70,3,FALSE)*(AL396/$AN$28)/12,0)*12,IF(C396="3113. Logements",ROUND(VLOOKUP(C396,'Informations générales'!$C$66:$E$70,3,FALSE)*(AL396/$AO$28)/12,0)*12,IF(C396="3114. Logements",ROUND(VLOOKUP(C396,'Informations générales'!$C$66:$E$70,3,FALSE)*(AL396/$AP$28)/12,0)*12,IF(C396="3115. Logements",ROUND(VLOOKUP(C396,'Informations générales'!$C$66:$E$70,3,FALSE)*(AL396/$AQ$28)/12,0)*12,"")))))</f>
        <v/>
      </c>
      <c r="AC396" s="114"/>
      <c r="AD396" s="113">
        <f t="shared" si="84"/>
        <v>0</v>
      </c>
      <c r="AE396" s="114"/>
      <c r="AF396" s="203" t="str">
        <f>IF(C396="3111. Logements",ROUND(VLOOKUP(C396,'Informations générales'!$C$66:$E$70,3,FALSE)*(AL396/$AM$28)/12,0)*12,IF(C396="3112. Logements",ROUND(VLOOKUP(C396,'Informations générales'!$C$66:$E$70,3,FALSE)*(AL396/$AN$28)/12,0)*12,IF(C396="3113. Logements",ROUND(VLOOKUP(C396,'Informations générales'!$C$66:$E$70,3,FALSE)*(AL396/$AO$28)/12,0)*12,IF(C396="3114. Logements",ROUND(VLOOKUP(C396,'Informations générales'!$C$66:$E$70,3,FALSE)*(AL396/$AP$28)/12,0)*12,IF(C396="3115. Logements",ROUND(VLOOKUP(C396,'Informations générales'!$C$66:$E$70,3,FALSE)*(AL396/$AQ$28)/12,0)*12,"")))))</f>
        <v/>
      </c>
      <c r="AG396" s="202"/>
      <c r="AH396" s="113" t="str">
        <f>IF(C396="3111. Logements",ROUND(VLOOKUP(C396,'Informations générales'!$C$66:$H$70,5,FALSE)*(AL396/$AM$28)/12,0)*12,IF(C396="3112. Logements",ROUND(VLOOKUP(C396,'Informations générales'!$C$66:$H$70,5,FALSE)*(AL396/$AN$28)/12,0)*12,IF(C396="3113. Logements",ROUND(VLOOKUP(C396,'Informations générales'!$C$66:$H$70,5,FALSE)*(AL396/$AO$28)/12,0)*12,IF(C396="3114. Logements",ROUND(VLOOKUP(C396,'Informations générales'!$C$66:$H$70,5,FALSE)*(AL396/$AP$28)/12,0)*12,IF(C396="3115. Logements",ROUND(VLOOKUP(C396,'Informations générales'!$C$66:$H$70,5,FALSE)*(AL396/$AQ$28)/12,0)*12,"")))))</f>
        <v/>
      </c>
      <c r="AI396" s="114"/>
      <c r="AJ396" s="114"/>
      <c r="AK396" s="76"/>
      <c r="AL396" s="58">
        <f t="shared" si="85"/>
        <v>0</v>
      </c>
      <c r="AM396" s="58"/>
      <c r="AN396" s="58"/>
      <c r="AO396" s="58"/>
      <c r="AP396" s="58"/>
      <c r="AQ396" s="58"/>
      <c r="AR396" s="58">
        <f t="shared" si="73"/>
        <v>0</v>
      </c>
      <c r="AS396" s="58">
        <f t="shared" si="74"/>
        <v>0</v>
      </c>
      <c r="AT396" s="58">
        <f t="shared" si="75"/>
        <v>0</v>
      </c>
      <c r="AU396" s="58">
        <f t="shared" si="76"/>
        <v>0</v>
      </c>
      <c r="AV396" s="58">
        <f t="shared" si="77"/>
        <v>0</v>
      </c>
      <c r="AW396" s="58">
        <f t="shared" si="78"/>
        <v>0</v>
      </c>
      <c r="AX396" s="58">
        <f t="shared" si="79"/>
        <v>0</v>
      </c>
      <c r="AY396" s="58">
        <f t="shared" si="86"/>
        <v>0</v>
      </c>
      <c r="AZ396" s="62">
        <f t="shared" si="80"/>
        <v>0</v>
      </c>
      <c r="BA396" s="63">
        <f t="shared" si="81"/>
        <v>0</v>
      </c>
      <c r="BB396" s="63">
        <f t="shared" si="82"/>
        <v>0</v>
      </c>
    </row>
    <row r="397" spans="3:54" s="17" customFormat="1" x14ac:dyDescent="0.25">
      <c r="C397" s="215"/>
      <c r="D397" s="216"/>
      <c r="E397" s="88"/>
      <c r="F397" s="217"/>
      <c r="G397" s="234"/>
      <c r="H397" s="218"/>
      <c r="I397" s="76"/>
      <c r="J397" s="77"/>
      <c r="K397" s="76"/>
      <c r="L397" s="78"/>
      <c r="M397" s="78"/>
      <c r="N397" s="76" t="s">
        <v>39</v>
      </c>
      <c r="O397" s="110"/>
      <c r="P397" s="152"/>
      <c r="Q397" s="111" t="str">
        <f>IFERROR(MIN(VLOOKUP(ROUNDDOWN(P397,0),'Aide calcul'!$B$2:$C$282,2,FALSE),O397+1),"")</f>
        <v/>
      </c>
      <c r="R397" s="112" t="str">
        <f t="shared" si="83"/>
        <v/>
      </c>
      <c r="S397" s="152"/>
      <c r="T397" s="152"/>
      <c r="U397" s="152"/>
      <c r="V397" s="152"/>
      <c r="W397" s="152"/>
      <c r="X397" s="152"/>
      <c r="Y397" s="152"/>
      <c r="Z397" s="76"/>
      <c r="AA397" s="76"/>
      <c r="AB397" s="113" t="str">
        <f>IF(C397="3111. Logements",ROUND(VLOOKUP(C397,'Informations générales'!$C$66:$E$70,3,FALSE)*(AL397/$AM$28)/12,0)*12,IF(C397="3112. Logements",ROUND(VLOOKUP(C397,'Informations générales'!$C$66:$E$70,3,FALSE)*(AL397/$AN$28)/12,0)*12,IF(C397="3113. Logements",ROUND(VLOOKUP(C397,'Informations générales'!$C$66:$E$70,3,FALSE)*(AL397/$AO$28)/12,0)*12,IF(C397="3114. Logements",ROUND(VLOOKUP(C397,'Informations générales'!$C$66:$E$70,3,FALSE)*(AL397/$AP$28)/12,0)*12,IF(C397="3115. Logements",ROUND(VLOOKUP(C397,'Informations générales'!$C$66:$E$70,3,FALSE)*(AL397/$AQ$28)/12,0)*12,"")))))</f>
        <v/>
      </c>
      <c r="AC397" s="114"/>
      <c r="AD397" s="113">
        <f t="shared" si="84"/>
        <v>0</v>
      </c>
      <c r="AE397" s="114"/>
      <c r="AF397" s="203" t="str">
        <f>IF(C397="3111. Logements",ROUND(VLOOKUP(C397,'Informations générales'!$C$66:$E$70,3,FALSE)*(AL397/$AM$28)/12,0)*12,IF(C397="3112. Logements",ROUND(VLOOKUP(C397,'Informations générales'!$C$66:$E$70,3,FALSE)*(AL397/$AN$28)/12,0)*12,IF(C397="3113. Logements",ROUND(VLOOKUP(C397,'Informations générales'!$C$66:$E$70,3,FALSE)*(AL397/$AO$28)/12,0)*12,IF(C397="3114. Logements",ROUND(VLOOKUP(C397,'Informations générales'!$C$66:$E$70,3,FALSE)*(AL397/$AP$28)/12,0)*12,IF(C397="3115. Logements",ROUND(VLOOKUP(C397,'Informations générales'!$C$66:$E$70,3,FALSE)*(AL397/$AQ$28)/12,0)*12,"")))))</f>
        <v/>
      </c>
      <c r="AG397" s="202"/>
      <c r="AH397" s="113" t="str">
        <f>IF(C397="3111. Logements",ROUND(VLOOKUP(C397,'Informations générales'!$C$66:$H$70,5,FALSE)*(AL397/$AM$28)/12,0)*12,IF(C397="3112. Logements",ROUND(VLOOKUP(C397,'Informations générales'!$C$66:$H$70,5,FALSE)*(AL397/$AN$28)/12,0)*12,IF(C397="3113. Logements",ROUND(VLOOKUP(C397,'Informations générales'!$C$66:$H$70,5,FALSE)*(AL397/$AO$28)/12,0)*12,IF(C397="3114. Logements",ROUND(VLOOKUP(C397,'Informations générales'!$C$66:$H$70,5,FALSE)*(AL397/$AP$28)/12,0)*12,IF(C397="3115. Logements",ROUND(VLOOKUP(C397,'Informations générales'!$C$66:$H$70,5,FALSE)*(AL397/$AQ$28)/12,0)*12,"")))))</f>
        <v/>
      </c>
      <c r="AI397" s="114"/>
      <c r="AJ397" s="114"/>
      <c r="AK397" s="76"/>
      <c r="AL397" s="58">
        <f t="shared" si="85"/>
        <v>0</v>
      </c>
      <c r="AM397" s="58"/>
      <c r="AN397" s="58"/>
      <c r="AO397" s="58"/>
      <c r="AP397" s="58"/>
      <c r="AQ397" s="58"/>
      <c r="AR397" s="58">
        <f t="shared" si="73"/>
        <v>0</v>
      </c>
      <c r="AS397" s="58">
        <f t="shared" si="74"/>
        <v>0</v>
      </c>
      <c r="AT397" s="58">
        <f t="shared" si="75"/>
        <v>0</v>
      </c>
      <c r="AU397" s="58">
        <f t="shared" si="76"/>
        <v>0</v>
      </c>
      <c r="AV397" s="58">
        <f t="shared" si="77"/>
        <v>0</v>
      </c>
      <c r="AW397" s="58">
        <f t="shared" si="78"/>
        <v>0</v>
      </c>
      <c r="AX397" s="58">
        <f t="shared" si="79"/>
        <v>0</v>
      </c>
      <c r="AY397" s="58">
        <f t="shared" si="86"/>
        <v>0</v>
      </c>
      <c r="AZ397" s="62">
        <f t="shared" si="80"/>
        <v>0</v>
      </c>
      <c r="BA397" s="63">
        <f t="shared" si="81"/>
        <v>0</v>
      </c>
      <c r="BB397" s="63">
        <f t="shared" si="82"/>
        <v>0</v>
      </c>
    </row>
    <row r="398" spans="3:54" s="17" customFormat="1" x14ac:dyDescent="0.25">
      <c r="C398" s="215"/>
      <c r="D398" s="216"/>
      <c r="E398" s="88"/>
      <c r="F398" s="217"/>
      <c r="G398" s="234"/>
      <c r="H398" s="218"/>
      <c r="I398" s="76"/>
      <c r="J398" s="77"/>
      <c r="K398" s="76"/>
      <c r="L398" s="78"/>
      <c r="M398" s="78"/>
      <c r="N398" s="76" t="s">
        <v>39</v>
      </c>
      <c r="O398" s="110"/>
      <c r="P398" s="152"/>
      <c r="Q398" s="111" t="str">
        <f>IFERROR(MIN(VLOOKUP(ROUNDDOWN(P398,0),'Aide calcul'!$B$2:$C$282,2,FALSE),O398+1),"")</f>
        <v/>
      </c>
      <c r="R398" s="112" t="str">
        <f t="shared" si="83"/>
        <v/>
      </c>
      <c r="S398" s="152"/>
      <c r="T398" s="152"/>
      <c r="U398" s="152"/>
      <c r="V398" s="152"/>
      <c r="W398" s="152"/>
      <c r="X398" s="152"/>
      <c r="Y398" s="152"/>
      <c r="Z398" s="76"/>
      <c r="AA398" s="76"/>
      <c r="AB398" s="113" t="str">
        <f>IF(C398="3111. Logements",ROUND(VLOOKUP(C398,'Informations générales'!$C$66:$E$70,3,FALSE)*(AL398/$AM$28)/12,0)*12,IF(C398="3112. Logements",ROUND(VLOOKUP(C398,'Informations générales'!$C$66:$E$70,3,FALSE)*(AL398/$AN$28)/12,0)*12,IF(C398="3113. Logements",ROUND(VLOOKUP(C398,'Informations générales'!$C$66:$E$70,3,FALSE)*(AL398/$AO$28)/12,0)*12,IF(C398="3114. Logements",ROUND(VLOOKUP(C398,'Informations générales'!$C$66:$E$70,3,FALSE)*(AL398/$AP$28)/12,0)*12,IF(C398="3115. Logements",ROUND(VLOOKUP(C398,'Informations générales'!$C$66:$E$70,3,FALSE)*(AL398/$AQ$28)/12,0)*12,"")))))</f>
        <v/>
      </c>
      <c r="AC398" s="114"/>
      <c r="AD398" s="113">
        <f t="shared" si="84"/>
        <v>0</v>
      </c>
      <c r="AE398" s="114"/>
      <c r="AF398" s="203" t="str">
        <f>IF(C398="3111. Logements",ROUND(VLOOKUP(C398,'Informations générales'!$C$66:$E$70,3,FALSE)*(AL398/$AM$28)/12,0)*12,IF(C398="3112. Logements",ROUND(VLOOKUP(C398,'Informations générales'!$C$66:$E$70,3,FALSE)*(AL398/$AN$28)/12,0)*12,IF(C398="3113. Logements",ROUND(VLOOKUP(C398,'Informations générales'!$C$66:$E$70,3,FALSE)*(AL398/$AO$28)/12,0)*12,IF(C398="3114. Logements",ROUND(VLOOKUP(C398,'Informations générales'!$C$66:$E$70,3,FALSE)*(AL398/$AP$28)/12,0)*12,IF(C398="3115. Logements",ROUND(VLOOKUP(C398,'Informations générales'!$C$66:$E$70,3,FALSE)*(AL398/$AQ$28)/12,0)*12,"")))))</f>
        <v/>
      </c>
      <c r="AG398" s="202"/>
      <c r="AH398" s="113" t="str">
        <f>IF(C398="3111. Logements",ROUND(VLOOKUP(C398,'Informations générales'!$C$66:$H$70,5,FALSE)*(AL398/$AM$28)/12,0)*12,IF(C398="3112. Logements",ROUND(VLOOKUP(C398,'Informations générales'!$C$66:$H$70,5,FALSE)*(AL398/$AN$28)/12,0)*12,IF(C398="3113. Logements",ROUND(VLOOKUP(C398,'Informations générales'!$C$66:$H$70,5,FALSE)*(AL398/$AO$28)/12,0)*12,IF(C398="3114. Logements",ROUND(VLOOKUP(C398,'Informations générales'!$C$66:$H$70,5,FALSE)*(AL398/$AP$28)/12,0)*12,IF(C398="3115. Logements",ROUND(VLOOKUP(C398,'Informations générales'!$C$66:$H$70,5,FALSE)*(AL398/$AQ$28)/12,0)*12,"")))))</f>
        <v/>
      </c>
      <c r="AI398" s="114"/>
      <c r="AJ398" s="114"/>
      <c r="AK398" s="76"/>
      <c r="AL398" s="58">
        <f t="shared" si="85"/>
        <v>0</v>
      </c>
      <c r="AM398" s="58"/>
      <c r="AN398" s="58"/>
      <c r="AO398" s="58"/>
      <c r="AP398" s="58"/>
      <c r="AQ398" s="58"/>
      <c r="AR398" s="58">
        <f t="shared" si="73"/>
        <v>0</v>
      </c>
      <c r="AS398" s="58">
        <f t="shared" si="74"/>
        <v>0</v>
      </c>
      <c r="AT398" s="58">
        <f t="shared" si="75"/>
        <v>0</v>
      </c>
      <c r="AU398" s="58">
        <f t="shared" si="76"/>
        <v>0</v>
      </c>
      <c r="AV398" s="58">
        <f t="shared" si="77"/>
        <v>0</v>
      </c>
      <c r="AW398" s="58">
        <f t="shared" si="78"/>
        <v>0</v>
      </c>
      <c r="AX398" s="58">
        <f t="shared" si="79"/>
        <v>0</v>
      </c>
      <c r="AY398" s="58">
        <f t="shared" si="86"/>
        <v>0</v>
      </c>
      <c r="AZ398" s="62">
        <f t="shared" si="80"/>
        <v>0</v>
      </c>
      <c r="BA398" s="63">
        <f t="shared" si="81"/>
        <v>0</v>
      </c>
      <c r="BB398" s="63">
        <f t="shared" si="82"/>
        <v>0</v>
      </c>
    </row>
    <row r="399" spans="3:54" s="17" customFormat="1" x14ac:dyDescent="0.25">
      <c r="C399" s="215"/>
      <c r="D399" s="216"/>
      <c r="E399" s="88"/>
      <c r="F399" s="217"/>
      <c r="G399" s="234"/>
      <c r="H399" s="218"/>
      <c r="I399" s="76"/>
      <c r="J399" s="77"/>
      <c r="K399" s="76"/>
      <c r="L399" s="78"/>
      <c r="M399" s="78"/>
      <c r="N399" s="76" t="s">
        <v>39</v>
      </c>
      <c r="O399" s="110"/>
      <c r="P399" s="152"/>
      <c r="Q399" s="111" t="str">
        <f>IFERROR(MIN(VLOOKUP(ROUNDDOWN(P399,0),'Aide calcul'!$B$2:$C$282,2,FALSE),O399+1),"")</f>
        <v/>
      </c>
      <c r="R399" s="112" t="str">
        <f t="shared" si="83"/>
        <v/>
      </c>
      <c r="S399" s="152"/>
      <c r="T399" s="152"/>
      <c r="U399" s="152"/>
      <c r="V399" s="152"/>
      <c r="W399" s="152"/>
      <c r="X399" s="152"/>
      <c r="Y399" s="152"/>
      <c r="Z399" s="76"/>
      <c r="AA399" s="76"/>
      <c r="AB399" s="113" t="str">
        <f>IF(C399="3111. Logements",ROUND(VLOOKUP(C399,'Informations générales'!$C$66:$E$70,3,FALSE)*(AL399/$AM$28)/12,0)*12,IF(C399="3112. Logements",ROUND(VLOOKUP(C399,'Informations générales'!$C$66:$E$70,3,FALSE)*(AL399/$AN$28)/12,0)*12,IF(C399="3113. Logements",ROUND(VLOOKUP(C399,'Informations générales'!$C$66:$E$70,3,FALSE)*(AL399/$AO$28)/12,0)*12,IF(C399="3114. Logements",ROUND(VLOOKUP(C399,'Informations générales'!$C$66:$E$70,3,FALSE)*(AL399/$AP$28)/12,0)*12,IF(C399="3115. Logements",ROUND(VLOOKUP(C399,'Informations générales'!$C$66:$E$70,3,FALSE)*(AL399/$AQ$28)/12,0)*12,"")))))</f>
        <v/>
      </c>
      <c r="AC399" s="114"/>
      <c r="AD399" s="113">
        <f t="shared" si="84"/>
        <v>0</v>
      </c>
      <c r="AE399" s="114"/>
      <c r="AF399" s="203" t="str">
        <f>IF(C399="3111. Logements",ROUND(VLOOKUP(C399,'Informations générales'!$C$66:$E$70,3,FALSE)*(AL399/$AM$28)/12,0)*12,IF(C399="3112. Logements",ROUND(VLOOKUP(C399,'Informations générales'!$C$66:$E$70,3,FALSE)*(AL399/$AN$28)/12,0)*12,IF(C399="3113. Logements",ROUND(VLOOKUP(C399,'Informations générales'!$C$66:$E$70,3,FALSE)*(AL399/$AO$28)/12,0)*12,IF(C399="3114. Logements",ROUND(VLOOKUP(C399,'Informations générales'!$C$66:$E$70,3,FALSE)*(AL399/$AP$28)/12,0)*12,IF(C399="3115. Logements",ROUND(VLOOKUP(C399,'Informations générales'!$C$66:$E$70,3,FALSE)*(AL399/$AQ$28)/12,0)*12,"")))))</f>
        <v/>
      </c>
      <c r="AG399" s="202"/>
      <c r="AH399" s="113" t="str">
        <f>IF(C399="3111. Logements",ROUND(VLOOKUP(C399,'Informations générales'!$C$66:$H$70,5,FALSE)*(AL399/$AM$28)/12,0)*12,IF(C399="3112. Logements",ROUND(VLOOKUP(C399,'Informations générales'!$C$66:$H$70,5,FALSE)*(AL399/$AN$28)/12,0)*12,IF(C399="3113. Logements",ROUND(VLOOKUP(C399,'Informations générales'!$C$66:$H$70,5,FALSE)*(AL399/$AO$28)/12,0)*12,IF(C399="3114. Logements",ROUND(VLOOKUP(C399,'Informations générales'!$C$66:$H$70,5,FALSE)*(AL399/$AP$28)/12,0)*12,IF(C399="3115. Logements",ROUND(VLOOKUP(C399,'Informations générales'!$C$66:$H$70,5,FALSE)*(AL399/$AQ$28)/12,0)*12,"")))))</f>
        <v/>
      </c>
      <c r="AI399" s="114"/>
      <c r="AJ399" s="114"/>
      <c r="AK399" s="76"/>
      <c r="AL399" s="58">
        <f t="shared" si="85"/>
        <v>0</v>
      </c>
      <c r="AM399" s="58"/>
      <c r="AN399" s="58"/>
      <c r="AO399" s="58"/>
      <c r="AP399" s="58"/>
      <c r="AQ399" s="58"/>
      <c r="AR399" s="58">
        <f t="shared" si="73"/>
        <v>0</v>
      </c>
      <c r="AS399" s="58">
        <f t="shared" si="74"/>
        <v>0</v>
      </c>
      <c r="AT399" s="58">
        <f t="shared" si="75"/>
        <v>0</v>
      </c>
      <c r="AU399" s="58">
        <f t="shared" si="76"/>
        <v>0</v>
      </c>
      <c r="AV399" s="58">
        <f t="shared" si="77"/>
        <v>0</v>
      </c>
      <c r="AW399" s="58">
        <f t="shared" si="78"/>
        <v>0</v>
      </c>
      <c r="AX399" s="58">
        <f t="shared" si="79"/>
        <v>0</v>
      </c>
      <c r="AY399" s="58">
        <f t="shared" si="86"/>
        <v>0</v>
      </c>
      <c r="AZ399" s="62">
        <f t="shared" si="80"/>
        <v>0</v>
      </c>
      <c r="BA399" s="63">
        <f t="shared" si="81"/>
        <v>0</v>
      </c>
      <c r="BB399" s="63">
        <f t="shared" si="82"/>
        <v>0</v>
      </c>
    </row>
    <row r="400" spans="3:54" s="17" customFormat="1" x14ac:dyDescent="0.25">
      <c r="C400" s="215"/>
      <c r="D400" s="216"/>
      <c r="E400" s="88"/>
      <c r="F400" s="217"/>
      <c r="G400" s="234"/>
      <c r="H400" s="218"/>
      <c r="I400" s="76"/>
      <c r="J400" s="77"/>
      <c r="K400" s="76"/>
      <c r="L400" s="78"/>
      <c r="M400" s="78"/>
      <c r="N400" s="76" t="s">
        <v>39</v>
      </c>
      <c r="O400" s="110"/>
      <c r="P400" s="152"/>
      <c r="Q400" s="111" t="str">
        <f>IFERROR(MIN(VLOOKUP(ROUNDDOWN(P400,0),'Aide calcul'!$B$2:$C$282,2,FALSE),O400+1),"")</f>
        <v/>
      </c>
      <c r="R400" s="112" t="str">
        <f t="shared" si="83"/>
        <v/>
      </c>
      <c r="S400" s="152"/>
      <c r="T400" s="152"/>
      <c r="U400" s="152"/>
      <c r="V400" s="152"/>
      <c r="W400" s="152"/>
      <c r="X400" s="152"/>
      <c r="Y400" s="152"/>
      <c r="Z400" s="76"/>
      <c r="AA400" s="76"/>
      <c r="AB400" s="113" t="str">
        <f>IF(C400="3111. Logements",ROUND(VLOOKUP(C400,'Informations générales'!$C$66:$E$70,3,FALSE)*(AL400/$AM$28)/12,0)*12,IF(C400="3112. Logements",ROUND(VLOOKUP(C400,'Informations générales'!$C$66:$E$70,3,FALSE)*(AL400/$AN$28)/12,0)*12,IF(C400="3113. Logements",ROUND(VLOOKUP(C400,'Informations générales'!$C$66:$E$70,3,FALSE)*(AL400/$AO$28)/12,0)*12,IF(C400="3114. Logements",ROUND(VLOOKUP(C400,'Informations générales'!$C$66:$E$70,3,FALSE)*(AL400/$AP$28)/12,0)*12,IF(C400="3115. Logements",ROUND(VLOOKUP(C400,'Informations générales'!$C$66:$E$70,3,FALSE)*(AL400/$AQ$28)/12,0)*12,"")))))</f>
        <v/>
      </c>
      <c r="AC400" s="114"/>
      <c r="AD400" s="113">
        <f t="shared" si="84"/>
        <v>0</v>
      </c>
      <c r="AE400" s="114"/>
      <c r="AF400" s="203" t="str">
        <f>IF(C400="3111. Logements",ROUND(VLOOKUP(C400,'Informations générales'!$C$66:$E$70,3,FALSE)*(AL400/$AM$28)/12,0)*12,IF(C400="3112. Logements",ROUND(VLOOKUP(C400,'Informations générales'!$C$66:$E$70,3,FALSE)*(AL400/$AN$28)/12,0)*12,IF(C400="3113. Logements",ROUND(VLOOKUP(C400,'Informations générales'!$C$66:$E$70,3,FALSE)*(AL400/$AO$28)/12,0)*12,IF(C400="3114. Logements",ROUND(VLOOKUP(C400,'Informations générales'!$C$66:$E$70,3,FALSE)*(AL400/$AP$28)/12,0)*12,IF(C400="3115. Logements",ROUND(VLOOKUP(C400,'Informations générales'!$C$66:$E$70,3,FALSE)*(AL400/$AQ$28)/12,0)*12,"")))))</f>
        <v/>
      </c>
      <c r="AG400" s="202"/>
      <c r="AH400" s="113" t="str">
        <f>IF(C400="3111. Logements",ROUND(VLOOKUP(C400,'Informations générales'!$C$66:$H$70,5,FALSE)*(AL400/$AM$28)/12,0)*12,IF(C400="3112. Logements",ROUND(VLOOKUP(C400,'Informations générales'!$C$66:$H$70,5,FALSE)*(AL400/$AN$28)/12,0)*12,IF(C400="3113. Logements",ROUND(VLOOKUP(C400,'Informations générales'!$C$66:$H$70,5,FALSE)*(AL400/$AO$28)/12,0)*12,IF(C400="3114. Logements",ROUND(VLOOKUP(C400,'Informations générales'!$C$66:$H$70,5,FALSE)*(AL400/$AP$28)/12,0)*12,IF(C400="3115. Logements",ROUND(VLOOKUP(C400,'Informations générales'!$C$66:$H$70,5,FALSE)*(AL400/$AQ$28)/12,0)*12,"")))))</f>
        <v/>
      </c>
      <c r="AI400" s="114"/>
      <c r="AJ400" s="114"/>
      <c r="AK400" s="76"/>
      <c r="AL400" s="58">
        <f t="shared" si="85"/>
        <v>0</v>
      </c>
      <c r="AM400" s="58"/>
      <c r="AN400" s="58"/>
      <c r="AO400" s="58"/>
      <c r="AP400" s="58"/>
      <c r="AQ400" s="58"/>
      <c r="AR400" s="58">
        <f t="shared" si="73"/>
        <v>0</v>
      </c>
      <c r="AS400" s="58">
        <f t="shared" si="74"/>
        <v>0</v>
      </c>
      <c r="AT400" s="58">
        <f t="shared" si="75"/>
        <v>0</v>
      </c>
      <c r="AU400" s="58">
        <f t="shared" si="76"/>
        <v>0</v>
      </c>
      <c r="AV400" s="58">
        <f t="shared" si="77"/>
        <v>0</v>
      </c>
      <c r="AW400" s="58">
        <f t="shared" si="78"/>
        <v>0</v>
      </c>
      <c r="AX400" s="58">
        <f t="shared" si="79"/>
        <v>0</v>
      </c>
      <c r="AY400" s="58">
        <f t="shared" si="86"/>
        <v>0</v>
      </c>
      <c r="AZ400" s="62">
        <f t="shared" si="80"/>
        <v>0</v>
      </c>
      <c r="BA400" s="63">
        <f t="shared" si="81"/>
        <v>0</v>
      </c>
      <c r="BB400" s="63">
        <f t="shared" si="82"/>
        <v>0</v>
      </c>
    </row>
    <row r="401" spans="3:54" s="17" customFormat="1" x14ac:dyDescent="0.25">
      <c r="C401" s="215"/>
      <c r="D401" s="216"/>
      <c r="E401" s="88"/>
      <c r="F401" s="217"/>
      <c r="G401" s="234"/>
      <c r="H401" s="218"/>
      <c r="I401" s="76"/>
      <c r="J401" s="77"/>
      <c r="K401" s="76"/>
      <c r="L401" s="78"/>
      <c r="M401" s="78"/>
      <c r="N401" s="76" t="s">
        <v>39</v>
      </c>
      <c r="O401" s="110"/>
      <c r="P401" s="152"/>
      <c r="Q401" s="111" t="str">
        <f>IFERROR(MIN(VLOOKUP(ROUNDDOWN(P401,0),'Aide calcul'!$B$2:$C$282,2,FALSE),O401+1),"")</f>
        <v/>
      </c>
      <c r="R401" s="112" t="str">
        <f t="shared" si="83"/>
        <v/>
      </c>
      <c r="S401" s="152"/>
      <c r="T401" s="152"/>
      <c r="U401" s="152"/>
      <c r="V401" s="152"/>
      <c r="W401" s="152"/>
      <c r="X401" s="152"/>
      <c r="Y401" s="152"/>
      <c r="Z401" s="76"/>
      <c r="AA401" s="76"/>
      <c r="AB401" s="113" t="str">
        <f>IF(C401="3111. Logements",ROUND(VLOOKUP(C401,'Informations générales'!$C$66:$E$70,3,FALSE)*(AL401/$AM$28)/12,0)*12,IF(C401="3112. Logements",ROUND(VLOOKUP(C401,'Informations générales'!$C$66:$E$70,3,FALSE)*(AL401/$AN$28)/12,0)*12,IF(C401="3113. Logements",ROUND(VLOOKUP(C401,'Informations générales'!$C$66:$E$70,3,FALSE)*(AL401/$AO$28)/12,0)*12,IF(C401="3114. Logements",ROUND(VLOOKUP(C401,'Informations générales'!$C$66:$E$70,3,FALSE)*(AL401/$AP$28)/12,0)*12,IF(C401="3115. Logements",ROUND(VLOOKUP(C401,'Informations générales'!$C$66:$E$70,3,FALSE)*(AL401/$AQ$28)/12,0)*12,"")))))</f>
        <v/>
      </c>
      <c r="AC401" s="114"/>
      <c r="AD401" s="113">
        <f t="shared" si="84"/>
        <v>0</v>
      </c>
      <c r="AE401" s="114"/>
      <c r="AF401" s="203" t="str">
        <f>IF(C401="3111. Logements",ROUND(VLOOKUP(C401,'Informations générales'!$C$66:$E$70,3,FALSE)*(AL401/$AM$28)/12,0)*12,IF(C401="3112. Logements",ROUND(VLOOKUP(C401,'Informations générales'!$C$66:$E$70,3,FALSE)*(AL401/$AN$28)/12,0)*12,IF(C401="3113. Logements",ROUND(VLOOKUP(C401,'Informations générales'!$C$66:$E$70,3,FALSE)*(AL401/$AO$28)/12,0)*12,IF(C401="3114. Logements",ROUND(VLOOKUP(C401,'Informations générales'!$C$66:$E$70,3,FALSE)*(AL401/$AP$28)/12,0)*12,IF(C401="3115. Logements",ROUND(VLOOKUP(C401,'Informations générales'!$C$66:$E$70,3,FALSE)*(AL401/$AQ$28)/12,0)*12,"")))))</f>
        <v/>
      </c>
      <c r="AG401" s="202"/>
      <c r="AH401" s="113" t="str">
        <f>IF(C401="3111. Logements",ROUND(VLOOKUP(C401,'Informations générales'!$C$66:$H$70,5,FALSE)*(AL401/$AM$28)/12,0)*12,IF(C401="3112. Logements",ROUND(VLOOKUP(C401,'Informations générales'!$C$66:$H$70,5,FALSE)*(AL401/$AN$28)/12,0)*12,IF(C401="3113. Logements",ROUND(VLOOKUP(C401,'Informations générales'!$C$66:$H$70,5,FALSE)*(AL401/$AO$28)/12,0)*12,IF(C401="3114. Logements",ROUND(VLOOKUP(C401,'Informations générales'!$C$66:$H$70,5,FALSE)*(AL401/$AP$28)/12,0)*12,IF(C401="3115. Logements",ROUND(VLOOKUP(C401,'Informations générales'!$C$66:$H$70,5,FALSE)*(AL401/$AQ$28)/12,0)*12,"")))))</f>
        <v/>
      </c>
      <c r="AI401" s="114"/>
      <c r="AJ401" s="114"/>
      <c r="AK401" s="76"/>
      <c r="AL401" s="58">
        <f t="shared" si="85"/>
        <v>0</v>
      </c>
      <c r="AM401" s="58"/>
      <c r="AN401" s="58"/>
      <c r="AO401" s="58"/>
      <c r="AP401" s="58"/>
      <c r="AQ401" s="58"/>
      <c r="AR401" s="58">
        <f t="shared" si="73"/>
        <v>0</v>
      </c>
      <c r="AS401" s="58">
        <f t="shared" si="74"/>
        <v>0</v>
      </c>
      <c r="AT401" s="58">
        <f t="shared" si="75"/>
        <v>0</v>
      </c>
      <c r="AU401" s="58">
        <f t="shared" si="76"/>
        <v>0</v>
      </c>
      <c r="AV401" s="58">
        <f t="shared" si="77"/>
        <v>0</v>
      </c>
      <c r="AW401" s="58">
        <f t="shared" si="78"/>
        <v>0</v>
      </c>
      <c r="AX401" s="58">
        <f t="shared" si="79"/>
        <v>0</v>
      </c>
      <c r="AY401" s="58">
        <f t="shared" si="86"/>
        <v>0</v>
      </c>
      <c r="AZ401" s="62">
        <f t="shared" si="80"/>
        <v>0</v>
      </c>
      <c r="BA401" s="63">
        <f t="shared" si="81"/>
        <v>0</v>
      </c>
      <c r="BB401" s="63">
        <f t="shared" si="82"/>
        <v>0</v>
      </c>
    </row>
    <row r="402" spans="3:54" s="17" customFormat="1" x14ac:dyDescent="0.25">
      <c r="C402" s="215"/>
      <c r="D402" s="216"/>
      <c r="E402" s="88"/>
      <c r="F402" s="217"/>
      <c r="G402" s="234"/>
      <c r="H402" s="218"/>
      <c r="I402" s="76"/>
      <c r="J402" s="77"/>
      <c r="K402" s="76"/>
      <c r="L402" s="78"/>
      <c r="M402" s="78"/>
      <c r="N402" s="76" t="s">
        <v>39</v>
      </c>
      <c r="O402" s="110"/>
      <c r="P402" s="152"/>
      <c r="Q402" s="111" t="str">
        <f>IFERROR(MIN(VLOOKUP(ROUNDDOWN(P402,0),'Aide calcul'!$B$2:$C$282,2,FALSE),O402+1),"")</f>
        <v/>
      </c>
      <c r="R402" s="112" t="str">
        <f t="shared" si="83"/>
        <v/>
      </c>
      <c r="S402" s="152"/>
      <c r="T402" s="152"/>
      <c r="U402" s="152"/>
      <c r="V402" s="152"/>
      <c r="W402" s="152"/>
      <c r="X402" s="152"/>
      <c r="Y402" s="152"/>
      <c r="Z402" s="76"/>
      <c r="AA402" s="76"/>
      <c r="AB402" s="113" t="str">
        <f>IF(C402="3111. Logements",ROUND(VLOOKUP(C402,'Informations générales'!$C$66:$E$70,3,FALSE)*(AL402/$AM$28)/12,0)*12,IF(C402="3112. Logements",ROUND(VLOOKUP(C402,'Informations générales'!$C$66:$E$70,3,FALSE)*(AL402/$AN$28)/12,0)*12,IF(C402="3113. Logements",ROUND(VLOOKUP(C402,'Informations générales'!$C$66:$E$70,3,FALSE)*(AL402/$AO$28)/12,0)*12,IF(C402="3114. Logements",ROUND(VLOOKUP(C402,'Informations générales'!$C$66:$E$70,3,FALSE)*(AL402/$AP$28)/12,0)*12,IF(C402="3115. Logements",ROUND(VLOOKUP(C402,'Informations générales'!$C$66:$E$70,3,FALSE)*(AL402/$AQ$28)/12,0)*12,"")))))</f>
        <v/>
      </c>
      <c r="AC402" s="114"/>
      <c r="AD402" s="113">
        <f t="shared" si="84"/>
        <v>0</v>
      </c>
      <c r="AE402" s="114"/>
      <c r="AF402" s="203" t="str">
        <f>IF(C402="3111. Logements",ROUND(VLOOKUP(C402,'Informations générales'!$C$66:$E$70,3,FALSE)*(AL402/$AM$28)/12,0)*12,IF(C402="3112. Logements",ROUND(VLOOKUP(C402,'Informations générales'!$C$66:$E$70,3,FALSE)*(AL402/$AN$28)/12,0)*12,IF(C402="3113. Logements",ROUND(VLOOKUP(C402,'Informations générales'!$C$66:$E$70,3,FALSE)*(AL402/$AO$28)/12,0)*12,IF(C402="3114. Logements",ROUND(VLOOKUP(C402,'Informations générales'!$C$66:$E$70,3,FALSE)*(AL402/$AP$28)/12,0)*12,IF(C402="3115. Logements",ROUND(VLOOKUP(C402,'Informations générales'!$C$66:$E$70,3,FALSE)*(AL402/$AQ$28)/12,0)*12,"")))))</f>
        <v/>
      </c>
      <c r="AG402" s="202"/>
      <c r="AH402" s="113" t="str">
        <f>IF(C402="3111. Logements",ROUND(VLOOKUP(C402,'Informations générales'!$C$66:$H$70,5,FALSE)*(AL402/$AM$28)/12,0)*12,IF(C402="3112. Logements",ROUND(VLOOKUP(C402,'Informations générales'!$C$66:$H$70,5,FALSE)*(AL402/$AN$28)/12,0)*12,IF(C402="3113. Logements",ROUND(VLOOKUP(C402,'Informations générales'!$C$66:$H$70,5,FALSE)*(AL402/$AO$28)/12,0)*12,IF(C402="3114. Logements",ROUND(VLOOKUP(C402,'Informations générales'!$C$66:$H$70,5,FALSE)*(AL402/$AP$28)/12,0)*12,IF(C402="3115. Logements",ROUND(VLOOKUP(C402,'Informations générales'!$C$66:$H$70,5,FALSE)*(AL402/$AQ$28)/12,0)*12,"")))))</f>
        <v/>
      </c>
      <c r="AI402" s="114"/>
      <c r="AJ402" s="114"/>
      <c r="AK402" s="76"/>
      <c r="AL402" s="58">
        <f t="shared" si="85"/>
        <v>0</v>
      </c>
      <c r="AM402" s="58"/>
      <c r="AN402" s="58"/>
      <c r="AO402" s="58"/>
      <c r="AP402" s="58"/>
      <c r="AQ402" s="58"/>
      <c r="AR402" s="58">
        <f t="shared" si="73"/>
        <v>0</v>
      </c>
      <c r="AS402" s="58">
        <f t="shared" si="74"/>
        <v>0</v>
      </c>
      <c r="AT402" s="58">
        <f t="shared" si="75"/>
        <v>0</v>
      </c>
      <c r="AU402" s="58">
        <f t="shared" si="76"/>
        <v>0</v>
      </c>
      <c r="AV402" s="58">
        <f t="shared" si="77"/>
        <v>0</v>
      </c>
      <c r="AW402" s="58">
        <f t="shared" si="78"/>
        <v>0</v>
      </c>
      <c r="AX402" s="58">
        <f t="shared" si="79"/>
        <v>0</v>
      </c>
      <c r="AY402" s="58">
        <f t="shared" si="86"/>
        <v>0</v>
      </c>
      <c r="AZ402" s="62">
        <f t="shared" si="80"/>
        <v>0</v>
      </c>
      <c r="BA402" s="63">
        <f t="shared" si="81"/>
        <v>0</v>
      </c>
      <c r="BB402" s="63">
        <f t="shared" si="82"/>
        <v>0</v>
      </c>
    </row>
    <row r="403" spans="3:54" s="17" customFormat="1" x14ac:dyDescent="0.25">
      <c r="C403" s="215"/>
      <c r="D403" s="216"/>
      <c r="E403" s="88"/>
      <c r="F403" s="217"/>
      <c r="G403" s="234"/>
      <c r="H403" s="218"/>
      <c r="I403" s="76"/>
      <c r="J403" s="77"/>
      <c r="K403" s="76"/>
      <c r="L403" s="78"/>
      <c r="M403" s="78"/>
      <c r="N403" s="76" t="s">
        <v>39</v>
      </c>
      <c r="O403" s="110"/>
      <c r="P403" s="152"/>
      <c r="Q403" s="111" t="str">
        <f>IFERROR(MIN(VLOOKUP(ROUNDDOWN(P403,0),'Aide calcul'!$B$2:$C$282,2,FALSE),O403+1),"")</f>
        <v/>
      </c>
      <c r="R403" s="112" t="str">
        <f t="shared" si="83"/>
        <v/>
      </c>
      <c r="S403" s="152"/>
      <c r="T403" s="152"/>
      <c r="U403" s="152"/>
      <c r="V403" s="152"/>
      <c r="W403" s="152"/>
      <c r="X403" s="152"/>
      <c r="Y403" s="152"/>
      <c r="Z403" s="76"/>
      <c r="AA403" s="76"/>
      <c r="AB403" s="113" t="str">
        <f>IF(C403="3111. Logements",ROUND(VLOOKUP(C403,'Informations générales'!$C$66:$E$70,3,FALSE)*(AL403/$AM$28)/12,0)*12,IF(C403="3112. Logements",ROUND(VLOOKUP(C403,'Informations générales'!$C$66:$E$70,3,FALSE)*(AL403/$AN$28)/12,0)*12,IF(C403="3113. Logements",ROUND(VLOOKUP(C403,'Informations générales'!$C$66:$E$70,3,FALSE)*(AL403/$AO$28)/12,0)*12,IF(C403="3114. Logements",ROUND(VLOOKUP(C403,'Informations générales'!$C$66:$E$70,3,FALSE)*(AL403/$AP$28)/12,0)*12,IF(C403="3115. Logements",ROUND(VLOOKUP(C403,'Informations générales'!$C$66:$E$70,3,FALSE)*(AL403/$AQ$28)/12,0)*12,"")))))</f>
        <v/>
      </c>
      <c r="AC403" s="114"/>
      <c r="AD403" s="113">
        <f t="shared" si="84"/>
        <v>0</v>
      </c>
      <c r="AE403" s="114"/>
      <c r="AF403" s="203" t="str">
        <f>IF(C403="3111. Logements",ROUND(VLOOKUP(C403,'Informations générales'!$C$66:$E$70,3,FALSE)*(AL403/$AM$28)/12,0)*12,IF(C403="3112. Logements",ROUND(VLOOKUP(C403,'Informations générales'!$C$66:$E$70,3,FALSE)*(AL403/$AN$28)/12,0)*12,IF(C403="3113. Logements",ROUND(VLOOKUP(C403,'Informations générales'!$C$66:$E$70,3,FALSE)*(AL403/$AO$28)/12,0)*12,IF(C403="3114. Logements",ROUND(VLOOKUP(C403,'Informations générales'!$C$66:$E$70,3,FALSE)*(AL403/$AP$28)/12,0)*12,IF(C403="3115. Logements",ROUND(VLOOKUP(C403,'Informations générales'!$C$66:$E$70,3,FALSE)*(AL403/$AQ$28)/12,0)*12,"")))))</f>
        <v/>
      </c>
      <c r="AG403" s="202"/>
      <c r="AH403" s="113" t="str">
        <f>IF(C403="3111. Logements",ROUND(VLOOKUP(C403,'Informations générales'!$C$66:$H$70,5,FALSE)*(AL403/$AM$28)/12,0)*12,IF(C403="3112. Logements",ROUND(VLOOKUP(C403,'Informations générales'!$C$66:$H$70,5,FALSE)*(AL403/$AN$28)/12,0)*12,IF(C403="3113. Logements",ROUND(VLOOKUP(C403,'Informations générales'!$C$66:$H$70,5,FALSE)*(AL403/$AO$28)/12,0)*12,IF(C403="3114. Logements",ROUND(VLOOKUP(C403,'Informations générales'!$C$66:$H$70,5,FALSE)*(AL403/$AP$28)/12,0)*12,IF(C403="3115. Logements",ROUND(VLOOKUP(C403,'Informations générales'!$C$66:$H$70,5,FALSE)*(AL403/$AQ$28)/12,0)*12,"")))))</f>
        <v/>
      </c>
      <c r="AI403" s="114"/>
      <c r="AJ403" s="114"/>
      <c r="AK403" s="76"/>
      <c r="AL403" s="58">
        <f t="shared" si="85"/>
        <v>0</v>
      </c>
      <c r="AM403" s="58"/>
      <c r="AN403" s="58"/>
      <c r="AO403" s="58"/>
      <c r="AP403" s="58"/>
      <c r="AQ403" s="58"/>
      <c r="AR403" s="58">
        <f t="shared" si="73"/>
        <v>0</v>
      </c>
      <c r="AS403" s="58">
        <f t="shared" si="74"/>
        <v>0</v>
      </c>
      <c r="AT403" s="58">
        <f t="shared" si="75"/>
        <v>0</v>
      </c>
      <c r="AU403" s="58">
        <f t="shared" si="76"/>
        <v>0</v>
      </c>
      <c r="AV403" s="58">
        <f t="shared" si="77"/>
        <v>0</v>
      </c>
      <c r="AW403" s="58">
        <f t="shared" si="78"/>
        <v>0</v>
      </c>
      <c r="AX403" s="58">
        <f t="shared" si="79"/>
        <v>0</v>
      </c>
      <c r="AY403" s="58">
        <f t="shared" si="86"/>
        <v>0</v>
      </c>
      <c r="AZ403" s="62">
        <f t="shared" si="80"/>
        <v>0</v>
      </c>
      <c r="BA403" s="63">
        <f t="shared" si="81"/>
        <v>0</v>
      </c>
      <c r="BB403" s="63">
        <f t="shared" si="82"/>
        <v>0</v>
      </c>
    </row>
    <row r="404" spans="3:54" s="17" customFormat="1" x14ac:dyDescent="0.25">
      <c r="C404" s="215"/>
      <c r="D404" s="216"/>
      <c r="E404" s="88"/>
      <c r="F404" s="217"/>
      <c r="G404" s="234"/>
      <c r="H404" s="218"/>
      <c r="I404" s="76"/>
      <c r="J404" s="77"/>
      <c r="K404" s="76"/>
      <c r="L404" s="78"/>
      <c r="M404" s="78"/>
      <c r="N404" s="76" t="s">
        <v>39</v>
      </c>
      <c r="O404" s="110"/>
      <c r="P404" s="152"/>
      <c r="Q404" s="111" t="str">
        <f>IFERROR(MIN(VLOOKUP(ROUNDDOWN(P404,0),'Aide calcul'!$B$2:$C$282,2,FALSE),O404+1),"")</f>
        <v/>
      </c>
      <c r="R404" s="112" t="str">
        <f t="shared" si="83"/>
        <v/>
      </c>
      <c r="S404" s="152"/>
      <c r="T404" s="152"/>
      <c r="U404" s="152"/>
      <c r="V404" s="152"/>
      <c r="W404" s="152"/>
      <c r="X404" s="152"/>
      <c r="Y404" s="152"/>
      <c r="Z404" s="76"/>
      <c r="AA404" s="76"/>
      <c r="AB404" s="113" t="str">
        <f>IF(C404="3111. Logements",ROUND(VLOOKUP(C404,'Informations générales'!$C$66:$E$70,3,FALSE)*(AL404/$AM$28)/12,0)*12,IF(C404="3112. Logements",ROUND(VLOOKUP(C404,'Informations générales'!$C$66:$E$70,3,FALSE)*(AL404/$AN$28)/12,0)*12,IF(C404="3113. Logements",ROUND(VLOOKUP(C404,'Informations générales'!$C$66:$E$70,3,FALSE)*(AL404/$AO$28)/12,0)*12,IF(C404="3114. Logements",ROUND(VLOOKUP(C404,'Informations générales'!$C$66:$E$70,3,FALSE)*(AL404/$AP$28)/12,0)*12,IF(C404="3115. Logements",ROUND(VLOOKUP(C404,'Informations générales'!$C$66:$E$70,3,FALSE)*(AL404/$AQ$28)/12,0)*12,"")))))</f>
        <v/>
      </c>
      <c r="AC404" s="114"/>
      <c r="AD404" s="113">
        <f t="shared" si="84"/>
        <v>0</v>
      </c>
      <c r="AE404" s="114"/>
      <c r="AF404" s="203" t="str">
        <f>IF(C404="3111. Logements",ROUND(VLOOKUP(C404,'Informations générales'!$C$66:$E$70,3,FALSE)*(AL404/$AM$28)/12,0)*12,IF(C404="3112. Logements",ROUND(VLOOKUP(C404,'Informations générales'!$C$66:$E$70,3,FALSE)*(AL404/$AN$28)/12,0)*12,IF(C404="3113. Logements",ROUND(VLOOKUP(C404,'Informations générales'!$C$66:$E$70,3,FALSE)*(AL404/$AO$28)/12,0)*12,IF(C404="3114. Logements",ROUND(VLOOKUP(C404,'Informations générales'!$C$66:$E$70,3,FALSE)*(AL404/$AP$28)/12,0)*12,IF(C404="3115. Logements",ROUND(VLOOKUP(C404,'Informations générales'!$C$66:$E$70,3,FALSE)*(AL404/$AQ$28)/12,0)*12,"")))))</f>
        <v/>
      </c>
      <c r="AG404" s="202"/>
      <c r="AH404" s="113" t="str">
        <f>IF(C404="3111. Logements",ROUND(VLOOKUP(C404,'Informations générales'!$C$66:$H$70,5,FALSE)*(AL404/$AM$28)/12,0)*12,IF(C404="3112. Logements",ROUND(VLOOKUP(C404,'Informations générales'!$C$66:$H$70,5,FALSE)*(AL404/$AN$28)/12,0)*12,IF(C404="3113. Logements",ROUND(VLOOKUP(C404,'Informations générales'!$C$66:$H$70,5,FALSE)*(AL404/$AO$28)/12,0)*12,IF(C404="3114. Logements",ROUND(VLOOKUP(C404,'Informations générales'!$C$66:$H$70,5,FALSE)*(AL404/$AP$28)/12,0)*12,IF(C404="3115. Logements",ROUND(VLOOKUP(C404,'Informations générales'!$C$66:$H$70,5,FALSE)*(AL404/$AQ$28)/12,0)*12,"")))))</f>
        <v/>
      </c>
      <c r="AI404" s="114"/>
      <c r="AJ404" s="114"/>
      <c r="AK404" s="76"/>
      <c r="AL404" s="58">
        <f t="shared" si="85"/>
        <v>0</v>
      </c>
      <c r="AM404" s="58"/>
      <c r="AN404" s="58"/>
      <c r="AO404" s="58"/>
      <c r="AP404" s="58"/>
      <c r="AQ404" s="58"/>
      <c r="AR404" s="58">
        <f t="shared" si="73"/>
        <v>0</v>
      </c>
      <c r="AS404" s="58">
        <f t="shared" si="74"/>
        <v>0</v>
      </c>
      <c r="AT404" s="58">
        <f t="shared" si="75"/>
        <v>0</v>
      </c>
      <c r="AU404" s="58">
        <f t="shared" si="76"/>
        <v>0</v>
      </c>
      <c r="AV404" s="58">
        <f t="shared" si="77"/>
        <v>0</v>
      </c>
      <c r="AW404" s="58">
        <f t="shared" si="78"/>
        <v>0</v>
      </c>
      <c r="AX404" s="58">
        <f t="shared" si="79"/>
        <v>0</v>
      </c>
      <c r="AY404" s="58">
        <f t="shared" si="86"/>
        <v>0</v>
      </c>
      <c r="AZ404" s="62">
        <f t="shared" si="80"/>
        <v>0</v>
      </c>
      <c r="BA404" s="63">
        <f t="shared" si="81"/>
        <v>0</v>
      </c>
      <c r="BB404" s="63">
        <f t="shared" si="82"/>
        <v>0</v>
      </c>
    </row>
    <row r="405" spans="3:54" s="17" customFormat="1" x14ac:dyDescent="0.25">
      <c r="C405" s="215"/>
      <c r="D405" s="216"/>
      <c r="E405" s="88"/>
      <c r="F405" s="217"/>
      <c r="G405" s="234"/>
      <c r="H405" s="218"/>
      <c r="I405" s="76"/>
      <c r="J405" s="77"/>
      <c r="K405" s="76"/>
      <c r="L405" s="78"/>
      <c r="M405" s="78"/>
      <c r="N405" s="76" t="s">
        <v>39</v>
      </c>
      <c r="O405" s="110"/>
      <c r="P405" s="152"/>
      <c r="Q405" s="111" t="str">
        <f>IFERROR(MIN(VLOOKUP(ROUNDDOWN(P405,0),'Aide calcul'!$B$2:$C$282,2,FALSE),O405+1),"")</f>
        <v/>
      </c>
      <c r="R405" s="112" t="str">
        <f t="shared" si="83"/>
        <v/>
      </c>
      <c r="S405" s="152"/>
      <c r="T405" s="152"/>
      <c r="U405" s="152"/>
      <c r="V405" s="152"/>
      <c r="W405" s="152"/>
      <c r="X405" s="152"/>
      <c r="Y405" s="152"/>
      <c r="Z405" s="76"/>
      <c r="AA405" s="76"/>
      <c r="AB405" s="113" t="str">
        <f>IF(C405="3111. Logements",ROUND(VLOOKUP(C405,'Informations générales'!$C$66:$E$70,3,FALSE)*(AL405/$AM$28)/12,0)*12,IF(C405="3112. Logements",ROUND(VLOOKUP(C405,'Informations générales'!$C$66:$E$70,3,FALSE)*(AL405/$AN$28)/12,0)*12,IF(C405="3113. Logements",ROUND(VLOOKUP(C405,'Informations générales'!$C$66:$E$70,3,FALSE)*(AL405/$AO$28)/12,0)*12,IF(C405="3114. Logements",ROUND(VLOOKUP(C405,'Informations générales'!$C$66:$E$70,3,FALSE)*(AL405/$AP$28)/12,0)*12,IF(C405="3115. Logements",ROUND(VLOOKUP(C405,'Informations générales'!$C$66:$E$70,3,FALSE)*(AL405/$AQ$28)/12,0)*12,"")))))</f>
        <v/>
      </c>
      <c r="AC405" s="114"/>
      <c r="AD405" s="113">
        <f t="shared" si="84"/>
        <v>0</v>
      </c>
      <c r="AE405" s="114"/>
      <c r="AF405" s="203" t="str">
        <f>IF(C405="3111. Logements",ROUND(VLOOKUP(C405,'Informations générales'!$C$66:$E$70,3,FALSE)*(AL405/$AM$28)/12,0)*12,IF(C405="3112. Logements",ROUND(VLOOKUP(C405,'Informations générales'!$C$66:$E$70,3,FALSE)*(AL405/$AN$28)/12,0)*12,IF(C405="3113. Logements",ROUND(VLOOKUP(C405,'Informations générales'!$C$66:$E$70,3,FALSE)*(AL405/$AO$28)/12,0)*12,IF(C405="3114. Logements",ROUND(VLOOKUP(C405,'Informations générales'!$C$66:$E$70,3,FALSE)*(AL405/$AP$28)/12,0)*12,IF(C405="3115. Logements",ROUND(VLOOKUP(C405,'Informations générales'!$C$66:$E$70,3,FALSE)*(AL405/$AQ$28)/12,0)*12,"")))))</f>
        <v/>
      </c>
      <c r="AG405" s="202"/>
      <c r="AH405" s="113" t="str">
        <f>IF(C405="3111. Logements",ROUND(VLOOKUP(C405,'Informations générales'!$C$66:$H$70,5,FALSE)*(AL405/$AM$28)/12,0)*12,IF(C405="3112. Logements",ROUND(VLOOKUP(C405,'Informations générales'!$C$66:$H$70,5,FALSE)*(AL405/$AN$28)/12,0)*12,IF(C405="3113. Logements",ROUND(VLOOKUP(C405,'Informations générales'!$C$66:$H$70,5,FALSE)*(AL405/$AO$28)/12,0)*12,IF(C405="3114. Logements",ROUND(VLOOKUP(C405,'Informations générales'!$C$66:$H$70,5,FALSE)*(AL405/$AP$28)/12,0)*12,IF(C405="3115. Logements",ROUND(VLOOKUP(C405,'Informations générales'!$C$66:$H$70,5,FALSE)*(AL405/$AQ$28)/12,0)*12,"")))))</f>
        <v/>
      </c>
      <c r="AI405" s="114"/>
      <c r="AJ405" s="114"/>
      <c r="AK405" s="76"/>
      <c r="AL405" s="58">
        <f t="shared" si="85"/>
        <v>0</v>
      </c>
      <c r="AM405" s="58"/>
      <c r="AN405" s="58"/>
      <c r="AO405" s="58"/>
      <c r="AP405" s="58"/>
      <c r="AQ405" s="58"/>
      <c r="AR405" s="58">
        <f t="shared" si="73"/>
        <v>0</v>
      </c>
      <c r="AS405" s="58">
        <f t="shared" si="74"/>
        <v>0</v>
      </c>
      <c r="AT405" s="58">
        <f t="shared" si="75"/>
        <v>0</v>
      </c>
      <c r="AU405" s="58">
        <f t="shared" si="76"/>
        <v>0</v>
      </c>
      <c r="AV405" s="58">
        <f t="shared" si="77"/>
        <v>0</v>
      </c>
      <c r="AW405" s="58">
        <f t="shared" si="78"/>
        <v>0</v>
      </c>
      <c r="AX405" s="58">
        <f t="shared" si="79"/>
        <v>0</v>
      </c>
      <c r="AY405" s="58">
        <f t="shared" si="86"/>
        <v>0</v>
      </c>
      <c r="AZ405" s="62">
        <f t="shared" si="80"/>
        <v>0</v>
      </c>
      <c r="BA405" s="63">
        <f t="shared" si="81"/>
        <v>0</v>
      </c>
      <c r="BB405" s="63">
        <f t="shared" si="82"/>
        <v>0</v>
      </c>
    </row>
    <row r="406" spans="3:54" s="17" customFormat="1" x14ac:dyDescent="0.25">
      <c r="C406" s="215"/>
      <c r="D406" s="216"/>
      <c r="E406" s="88"/>
      <c r="F406" s="217"/>
      <c r="G406" s="234"/>
      <c r="H406" s="218"/>
      <c r="I406" s="76"/>
      <c r="J406" s="77"/>
      <c r="K406" s="76"/>
      <c r="L406" s="78"/>
      <c r="M406" s="78"/>
      <c r="N406" s="76" t="s">
        <v>39</v>
      </c>
      <c r="O406" s="110"/>
      <c r="P406" s="152"/>
      <c r="Q406" s="111" t="str">
        <f>IFERROR(MIN(VLOOKUP(ROUNDDOWN(P406,0),'Aide calcul'!$B$2:$C$282,2,FALSE),O406+1),"")</f>
        <v/>
      </c>
      <c r="R406" s="112" t="str">
        <f t="shared" si="83"/>
        <v/>
      </c>
      <c r="S406" s="152"/>
      <c r="T406" s="152"/>
      <c r="U406" s="152"/>
      <c r="V406" s="152"/>
      <c r="W406" s="152"/>
      <c r="X406" s="152"/>
      <c r="Y406" s="152"/>
      <c r="Z406" s="76"/>
      <c r="AA406" s="76"/>
      <c r="AB406" s="113" t="str">
        <f>IF(C406="3111. Logements",ROUND(VLOOKUP(C406,'Informations générales'!$C$66:$E$70,3,FALSE)*(AL406/$AM$28)/12,0)*12,IF(C406="3112. Logements",ROUND(VLOOKUP(C406,'Informations générales'!$C$66:$E$70,3,FALSE)*(AL406/$AN$28)/12,0)*12,IF(C406="3113. Logements",ROUND(VLOOKUP(C406,'Informations générales'!$C$66:$E$70,3,FALSE)*(AL406/$AO$28)/12,0)*12,IF(C406="3114. Logements",ROUND(VLOOKUP(C406,'Informations générales'!$C$66:$E$70,3,FALSE)*(AL406/$AP$28)/12,0)*12,IF(C406="3115. Logements",ROUND(VLOOKUP(C406,'Informations générales'!$C$66:$E$70,3,FALSE)*(AL406/$AQ$28)/12,0)*12,"")))))</f>
        <v/>
      </c>
      <c r="AC406" s="114"/>
      <c r="AD406" s="113">
        <f t="shared" si="84"/>
        <v>0</v>
      </c>
      <c r="AE406" s="114"/>
      <c r="AF406" s="203" t="str">
        <f>IF(C406="3111. Logements",ROUND(VLOOKUP(C406,'Informations générales'!$C$66:$E$70,3,FALSE)*(AL406/$AM$28)/12,0)*12,IF(C406="3112. Logements",ROUND(VLOOKUP(C406,'Informations générales'!$C$66:$E$70,3,FALSE)*(AL406/$AN$28)/12,0)*12,IF(C406="3113. Logements",ROUND(VLOOKUP(C406,'Informations générales'!$C$66:$E$70,3,FALSE)*(AL406/$AO$28)/12,0)*12,IF(C406="3114. Logements",ROUND(VLOOKUP(C406,'Informations générales'!$C$66:$E$70,3,FALSE)*(AL406/$AP$28)/12,0)*12,IF(C406="3115. Logements",ROUND(VLOOKUP(C406,'Informations générales'!$C$66:$E$70,3,FALSE)*(AL406/$AQ$28)/12,0)*12,"")))))</f>
        <v/>
      </c>
      <c r="AG406" s="202"/>
      <c r="AH406" s="113" t="str">
        <f>IF(C406="3111. Logements",ROUND(VLOOKUP(C406,'Informations générales'!$C$66:$H$70,5,FALSE)*(AL406/$AM$28)/12,0)*12,IF(C406="3112. Logements",ROUND(VLOOKUP(C406,'Informations générales'!$C$66:$H$70,5,FALSE)*(AL406/$AN$28)/12,0)*12,IF(C406="3113. Logements",ROUND(VLOOKUP(C406,'Informations générales'!$C$66:$H$70,5,FALSE)*(AL406/$AO$28)/12,0)*12,IF(C406="3114. Logements",ROUND(VLOOKUP(C406,'Informations générales'!$C$66:$H$70,5,FALSE)*(AL406/$AP$28)/12,0)*12,IF(C406="3115. Logements",ROUND(VLOOKUP(C406,'Informations générales'!$C$66:$H$70,5,FALSE)*(AL406/$AQ$28)/12,0)*12,"")))))</f>
        <v/>
      </c>
      <c r="AI406" s="114"/>
      <c r="AJ406" s="114"/>
      <c r="AK406" s="76"/>
      <c r="AL406" s="58">
        <f t="shared" si="85"/>
        <v>0</v>
      </c>
      <c r="AM406" s="58"/>
      <c r="AN406" s="58"/>
      <c r="AO406" s="58"/>
      <c r="AP406" s="58"/>
      <c r="AQ406" s="58"/>
      <c r="AR406" s="58">
        <f t="shared" si="73"/>
        <v>0</v>
      </c>
      <c r="AS406" s="58">
        <f t="shared" si="74"/>
        <v>0</v>
      </c>
      <c r="AT406" s="58">
        <f t="shared" si="75"/>
        <v>0</v>
      </c>
      <c r="AU406" s="58">
        <f t="shared" si="76"/>
        <v>0</v>
      </c>
      <c r="AV406" s="58">
        <f t="shared" si="77"/>
        <v>0</v>
      </c>
      <c r="AW406" s="58">
        <f t="shared" si="78"/>
        <v>0</v>
      </c>
      <c r="AX406" s="58">
        <f t="shared" si="79"/>
        <v>0</v>
      </c>
      <c r="AY406" s="58">
        <f t="shared" si="86"/>
        <v>0</v>
      </c>
      <c r="AZ406" s="62">
        <f t="shared" si="80"/>
        <v>0</v>
      </c>
      <c r="BA406" s="63">
        <f t="shared" si="81"/>
        <v>0</v>
      </c>
      <c r="BB406" s="63">
        <f t="shared" si="82"/>
        <v>0</v>
      </c>
    </row>
    <row r="407" spans="3:54" s="17" customFormat="1" x14ac:dyDescent="0.25">
      <c r="C407" s="215"/>
      <c r="D407" s="216"/>
      <c r="E407" s="88"/>
      <c r="F407" s="217"/>
      <c r="G407" s="234"/>
      <c r="H407" s="218"/>
      <c r="I407" s="76"/>
      <c r="J407" s="77"/>
      <c r="K407" s="76"/>
      <c r="L407" s="78"/>
      <c r="M407" s="78"/>
      <c r="N407" s="76" t="s">
        <v>39</v>
      </c>
      <c r="O407" s="110"/>
      <c r="P407" s="152"/>
      <c r="Q407" s="111" t="str">
        <f>IFERROR(MIN(VLOOKUP(ROUNDDOWN(P407,0),'Aide calcul'!$B$2:$C$282,2,FALSE),O407+1),"")</f>
        <v/>
      </c>
      <c r="R407" s="112" t="str">
        <f t="shared" si="83"/>
        <v/>
      </c>
      <c r="S407" s="152"/>
      <c r="T407" s="152"/>
      <c r="U407" s="152"/>
      <c r="V407" s="152"/>
      <c r="W407" s="152"/>
      <c r="X407" s="152"/>
      <c r="Y407" s="152"/>
      <c r="Z407" s="76"/>
      <c r="AA407" s="76"/>
      <c r="AB407" s="113" t="str">
        <f>IF(C407="3111. Logements",ROUND(VLOOKUP(C407,'Informations générales'!$C$66:$E$70,3,FALSE)*(AL407/$AM$28)/12,0)*12,IF(C407="3112. Logements",ROUND(VLOOKUP(C407,'Informations générales'!$C$66:$E$70,3,FALSE)*(AL407/$AN$28)/12,0)*12,IF(C407="3113. Logements",ROUND(VLOOKUP(C407,'Informations générales'!$C$66:$E$70,3,FALSE)*(AL407/$AO$28)/12,0)*12,IF(C407="3114. Logements",ROUND(VLOOKUP(C407,'Informations générales'!$C$66:$E$70,3,FALSE)*(AL407/$AP$28)/12,0)*12,IF(C407="3115. Logements",ROUND(VLOOKUP(C407,'Informations générales'!$C$66:$E$70,3,FALSE)*(AL407/$AQ$28)/12,0)*12,"")))))</f>
        <v/>
      </c>
      <c r="AC407" s="114"/>
      <c r="AD407" s="113">
        <f t="shared" si="84"/>
        <v>0</v>
      </c>
      <c r="AE407" s="114"/>
      <c r="AF407" s="203" t="str">
        <f>IF(C407="3111. Logements",ROUND(VLOOKUP(C407,'Informations générales'!$C$66:$E$70,3,FALSE)*(AL407/$AM$28)/12,0)*12,IF(C407="3112. Logements",ROUND(VLOOKUP(C407,'Informations générales'!$C$66:$E$70,3,FALSE)*(AL407/$AN$28)/12,0)*12,IF(C407="3113. Logements",ROUND(VLOOKUP(C407,'Informations générales'!$C$66:$E$70,3,FALSE)*(AL407/$AO$28)/12,0)*12,IF(C407="3114. Logements",ROUND(VLOOKUP(C407,'Informations générales'!$C$66:$E$70,3,FALSE)*(AL407/$AP$28)/12,0)*12,IF(C407="3115. Logements",ROUND(VLOOKUP(C407,'Informations générales'!$C$66:$E$70,3,FALSE)*(AL407/$AQ$28)/12,0)*12,"")))))</f>
        <v/>
      </c>
      <c r="AG407" s="202"/>
      <c r="AH407" s="113" t="str">
        <f>IF(C407="3111. Logements",ROUND(VLOOKUP(C407,'Informations générales'!$C$66:$H$70,5,FALSE)*(AL407/$AM$28)/12,0)*12,IF(C407="3112. Logements",ROUND(VLOOKUP(C407,'Informations générales'!$C$66:$H$70,5,FALSE)*(AL407/$AN$28)/12,0)*12,IF(C407="3113. Logements",ROUND(VLOOKUP(C407,'Informations générales'!$C$66:$H$70,5,FALSE)*(AL407/$AO$28)/12,0)*12,IF(C407="3114. Logements",ROUND(VLOOKUP(C407,'Informations générales'!$C$66:$H$70,5,FALSE)*(AL407/$AP$28)/12,0)*12,IF(C407="3115. Logements",ROUND(VLOOKUP(C407,'Informations générales'!$C$66:$H$70,5,FALSE)*(AL407/$AQ$28)/12,0)*12,"")))))</f>
        <v/>
      </c>
      <c r="AI407" s="114"/>
      <c r="AJ407" s="114"/>
      <c r="AK407" s="76"/>
      <c r="AL407" s="58">
        <f t="shared" si="85"/>
        <v>0</v>
      </c>
      <c r="AM407" s="58"/>
      <c r="AN407" s="58"/>
      <c r="AO407" s="58"/>
      <c r="AP407" s="58"/>
      <c r="AQ407" s="58"/>
      <c r="AR407" s="58">
        <f t="shared" si="73"/>
        <v>0</v>
      </c>
      <c r="AS407" s="58">
        <f t="shared" si="74"/>
        <v>0</v>
      </c>
      <c r="AT407" s="58">
        <f t="shared" si="75"/>
        <v>0</v>
      </c>
      <c r="AU407" s="58">
        <f t="shared" si="76"/>
        <v>0</v>
      </c>
      <c r="AV407" s="58">
        <f t="shared" si="77"/>
        <v>0</v>
      </c>
      <c r="AW407" s="58">
        <f t="shared" si="78"/>
        <v>0</v>
      </c>
      <c r="AX407" s="58">
        <f t="shared" si="79"/>
        <v>0</v>
      </c>
      <c r="AY407" s="58">
        <f t="shared" si="86"/>
        <v>0</v>
      </c>
      <c r="AZ407" s="62">
        <f t="shared" si="80"/>
        <v>0</v>
      </c>
      <c r="BA407" s="63">
        <f t="shared" si="81"/>
        <v>0</v>
      </c>
      <c r="BB407" s="63">
        <f t="shared" si="82"/>
        <v>0</v>
      </c>
    </row>
    <row r="408" spans="3:54" s="17" customFormat="1" x14ac:dyDescent="0.25">
      <c r="C408" s="215"/>
      <c r="D408" s="216"/>
      <c r="E408" s="88"/>
      <c r="F408" s="217"/>
      <c r="G408" s="234"/>
      <c r="H408" s="218"/>
      <c r="I408" s="76"/>
      <c r="J408" s="77"/>
      <c r="K408" s="76"/>
      <c r="L408" s="78"/>
      <c r="M408" s="78"/>
      <c r="N408" s="76" t="s">
        <v>39</v>
      </c>
      <c r="O408" s="110"/>
      <c r="P408" s="152"/>
      <c r="Q408" s="111" t="str">
        <f>IFERROR(MIN(VLOOKUP(ROUNDDOWN(P408,0),'Aide calcul'!$B$2:$C$282,2,FALSE),O408+1),"")</f>
        <v/>
      </c>
      <c r="R408" s="112" t="str">
        <f t="shared" si="83"/>
        <v/>
      </c>
      <c r="S408" s="152"/>
      <c r="T408" s="152"/>
      <c r="U408" s="152"/>
      <c r="V408" s="152"/>
      <c r="W408" s="152"/>
      <c r="X408" s="152"/>
      <c r="Y408" s="152"/>
      <c r="Z408" s="76"/>
      <c r="AA408" s="76"/>
      <c r="AB408" s="113" t="str">
        <f>IF(C408="3111. Logements",ROUND(VLOOKUP(C408,'Informations générales'!$C$66:$E$70,3,FALSE)*(AL408/$AM$28)/12,0)*12,IF(C408="3112. Logements",ROUND(VLOOKUP(C408,'Informations générales'!$C$66:$E$70,3,FALSE)*(AL408/$AN$28)/12,0)*12,IF(C408="3113. Logements",ROUND(VLOOKUP(C408,'Informations générales'!$C$66:$E$70,3,FALSE)*(AL408/$AO$28)/12,0)*12,IF(C408="3114. Logements",ROUND(VLOOKUP(C408,'Informations générales'!$C$66:$E$70,3,FALSE)*(AL408/$AP$28)/12,0)*12,IF(C408="3115. Logements",ROUND(VLOOKUP(C408,'Informations générales'!$C$66:$E$70,3,FALSE)*(AL408/$AQ$28)/12,0)*12,"")))))</f>
        <v/>
      </c>
      <c r="AC408" s="114"/>
      <c r="AD408" s="113">
        <f t="shared" si="84"/>
        <v>0</v>
      </c>
      <c r="AE408" s="114"/>
      <c r="AF408" s="203" t="str">
        <f>IF(C408="3111. Logements",ROUND(VLOOKUP(C408,'Informations générales'!$C$66:$E$70,3,FALSE)*(AL408/$AM$28)/12,0)*12,IF(C408="3112. Logements",ROUND(VLOOKUP(C408,'Informations générales'!$C$66:$E$70,3,FALSE)*(AL408/$AN$28)/12,0)*12,IF(C408="3113. Logements",ROUND(VLOOKUP(C408,'Informations générales'!$C$66:$E$70,3,FALSE)*(AL408/$AO$28)/12,0)*12,IF(C408="3114. Logements",ROUND(VLOOKUP(C408,'Informations générales'!$C$66:$E$70,3,FALSE)*(AL408/$AP$28)/12,0)*12,IF(C408="3115. Logements",ROUND(VLOOKUP(C408,'Informations générales'!$C$66:$E$70,3,FALSE)*(AL408/$AQ$28)/12,0)*12,"")))))</f>
        <v/>
      </c>
      <c r="AG408" s="202"/>
      <c r="AH408" s="113" t="str">
        <f>IF(C408="3111. Logements",ROUND(VLOOKUP(C408,'Informations générales'!$C$66:$H$70,5,FALSE)*(AL408/$AM$28)/12,0)*12,IF(C408="3112. Logements",ROUND(VLOOKUP(C408,'Informations générales'!$C$66:$H$70,5,FALSE)*(AL408/$AN$28)/12,0)*12,IF(C408="3113. Logements",ROUND(VLOOKUP(C408,'Informations générales'!$C$66:$H$70,5,FALSE)*(AL408/$AO$28)/12,0)*12,IF(C408="3114. Logements",ROUND(VLOOKUP(C408,'Informations générales'!$C$66:$H$70,5,FALSE)*(AL408/$AP$28)/12,0)*12,IF(C408="3115. Logements",ROUND(VLOOKUP(C408,'Informations générales'!$C$66:$H$70,5,FALSE)*(AL408/$AQ$28)/12,0)*12,"")))))</f>
        <v/>
      </c>
      <c r="AI408" s="114"/>
      <c r="AJ408" s="114"/>
      <c r="AK408" s="76"/>
      <c r="AL408" s="58">
        <f t="shared" si="85"/>
        <v>0</v>
      </c>
      <c r="AM408" s="58"/>
      <c r="AN408" s="58"/>
      <c r="AO408" s="58"/>
      <c r="AP408" s="58"/>
      <c r="AQ408" s="58"/>
      <c r="AR408" s="58">
        <f t="shared" si="73"/>
        <v>0</v>
      </c>
      <c r="AS408" s="58">
        <f t="shared" si="74"/>
        <v>0</v>
      </c>
      <c r="AT408" s="58">
        <f t="shared" si="75"/>
        <v>0</v>
      </c>
      <c r="AU408" s="58">
        <f t="shared" si="76"/>
        <v>0</v>
      </c>
      <c r="AV408" s="58">
        <f t="shared" si="77"/>
        <v>0</v>
      </c>
      <c r="AW408" s="58">
        <f t="shared" si="78"/>
        <v>0</v>
      </c>
      <c r="AX408" s="58">
        <f t="shared" si="79"/>
        <v>0</v>
      </c>
      <c r="AY408" s="58">
        <f t="shared" si="86"/>
        <v>0</v>
      </c>
      <c r="AZ408" s="62">
        <f t="shared" si="80"/>
        <v>0</v>
      </c>
      <c r="BA408" s="63">
        <f t="shared" si="81"/>
        <v>0</v>
      </c>
      <c r="BB408" s="63">
        <f t="shared" si="82"/>
        <v>0</v>
      </c>
    </row>
    <row r="409" spans="3:54" s="17" customFormat="1" x14ac:dyDescent="0.25">
      <c r="C409" s="215"/>
      <c r="D409" s="216"/>
      <c r="E409" s="88"/>
      <c r="F409" s="217"/>
      <c r="G409" s="234"/>
      <c r="H409" s="218"/>
      <c r="I409" s="76"/>
      <c r="J409" s="77"/>
      <c r="K409" s="76"/>
      <c r="L409" s="78"/>
      <c r="M409" s="78"/>
      <c r="N409" s="76" t="s">
        <v>39</v>
      </c>
      <c r="O409" s="110"/>
      <c r="P409" s="152"/>
      <c r="Q409" s="111" t="str">
        <f>IFERROR(MIN(VLOOKUP(ROUNDDOWN(P409,0),'Aide calcul'!$B$2:$C$282,2,FALSE),O409+1),"")</f>
        <v/>
      </c>
      <c r="R409" s="112" t="str">
        <f t="shared" si="83"/>
        <v/>
      </c>
      <c r="S409" s="152"/>
      <c r="T409" s="152"/>
      <c r="U409" s="152"/>
      <c r="V409" s="152"/>
      <c r="W409" s="152"/>
      <c r="X409" s="152"/>
      <c r="Y409" s="152"/>
      <c r="Z409" s="76"/>
      <c r="AA409" s="76"/>
      <c r="AB409" s="113" t="str">
        <f>IF(C409="3111. Logements",ROUND(VLOOKUP(C409,'Informations générales'!$C$66:$E$70,3,FALSE)*(AL409/$AM$28)/12,0)*12,IF(C409="3112. Logements",ROUND(VLOOKUP(C409,'Informations générales'!$C$66:$E$70,3,FALSE)*(AL409/$AN$28)/12,0)*12,IF(C409="3113. Logements",ROUND(VLOOKUP(C409,'Informations générales'!$C$66:$E$70,3,FALSE)*(AL409/$AO$28)/12,0)*12,IF(C409="3114. Logements",ROUND(VLOOKUP(C409,'Informations générales'!$C$66:$E$70,3,FALSE)*(AL409/$AP$28)/12,0)*12,IF(C409="3115. Logements",ROUND(VLOOKUP(C409,'Informations générales'!$C$66:$E$70,3,FALSE)*(AL409/$AQ$28)/12,0)*12,"")))))</f>
        <v/>
      </c>
      <c r="AC409" s="114"/>
      <c r="AD409" s="113">
        <f t="shared" si="84"/>
        <v>0</v>
      </c>
      <c r="AE409" s="114"/>
      <c r="AF409" s="203" t="str">
        <f>IF(C409="3111. Logements",ROUND(VLOOKUP(C409,'Informations générales'!$C$66:$E$70,3,FALSE)*(AL409/$AM$28)/12,0)*12,IF(C409="3112. Logements",ROUND(VLOOKUP(C409,'Informations générales'!$C$66:$E$70,3,FALSE)*(AL409/$AN$28)/12,0)*12,IF(C409="3113. Logements",ROUND(VLOOKUP(C409,'Informations générales'!$C$66:$E$70,3,FALSE)*(AL409/$AO$28)/12,0)*12,IF(C409="3114. Logements",ROUND(VLOOKUP(C409,'Informations générales'!$C$66:$E$70,3,FALSE)*(AL409/$AP$28)/12,0)*12,IF(C409="3115. Logements",ROUND(VLOOKUP(C409,'Informations générales'!$C$66:$E$70,3,FALSE)*(AL409/$AQ$28)/12,0)*12,"")))))</f>
        <v/>
      </c>
      <c r="AG409" s="202"/>
      <c r="AH409" s="113" t="str">
        <f>IF(C409="3111. Logements",ROUND(VLOOKUP(C409,'Informations générales'!$C$66:$H$70,5,FALSE)*(AL409/$AM$28)/12,0)*12,IF(C409="3112. Logements",ROUND(VLOOKUP(C409,'Informations générales'!$C$66:$H$70,5,FALSE)*(AL409/$AN$28)/12,0)*12,IF(C409="3113. Logements",ROUND(VLOOKUP(C409,'Informations générales'!$C$66:$H$70,5,FALSE)*(AL409/$AO$28)/12,0)*12,IF(C409="3114. Logements",ROUND(VLOOKUP(C409,'Informations générales'!$C$66:$H$70,5,FALSE)*(AL409/$AP$28)/12,0)*12,IF(C409="3115. Logements",ROUND(VLOOKUP(C409,'Informations générales'!$C$66:$H$70,5,FALSE)*(AL409/$AQ$28)/12,0)*12,"")))))</f>
        <v/>
      </c>
      <c r="AI409" s="114"/>
      <c r="AJ409" s="114"/>
      <c r="AK409" s="76"/>
      <c r="AL409" s="58">
        <f t="shared" si="85"/>
        <v>0</v>
      </c>
      <c r="AM409" s="58"/>
      <c r="AN409" s="58"/>
      <c r="AO409" s="58"/>
      <c r="AP409" s="58"/>
      <c r="AQ409" s="58"/>
      <c r="AR409" s="58">
        <f t="shared" si="73"/>
        <v>0</v>
      </c>
      <c r="AS409" s="58">
        <f t="shared" si="74"/>
        <v>0</v>
      </c>
      <c r="AT409" s="58">
        <f t="shared" si="75"/>
        <v>0</v>
      </c>
      <c r="AU409" s="58">
        <f t="shared" si="76"/>
        <v>0</v>
      </c>
      <c r="AV409" s="58">
        <f t="shared" si="77"/>
        <v>0</v>
      </c>
      <c r="AW409" s="58">
        <f t="shared" si="78"/>
        <v>0</v>
      </c>
      <c r="AX409" s="58">
        <f t="shared" si="79"/>
        <v>0</v>
      </c>
      <c r="AY409" s="58">
        <f t="shared" si="86"/>
        <v>0</v>
      </c>
      <c r="AZ409" s="62">
        <f t="shared" si="80"/>
        <v>0</v>
      </c>
      <c r="BA409" s="63">
        <f t="shared" si="81"/>
        <v>0</v>
      </c>
      <c r="BB409" s="63">
        <f t="shared" si="82"/>
        <v>0</v>
      </c>
    </row>
    <row r="410" spans="3:54" s="17" customFormat="1" x14ac:dyDescent="0.25">
      <c r="C410" s="215"/>
      <c r="D410" s="216"/>
      <c r="E410" s="88"/>
      <c r="F410" s="217"/>
      <c r="G410" s="234"/>
      <c r="H410" s="218"/>
      <c r="I410" s="76"/>
      <c r="J410" s="77"/>
      <c r="K410" s="76"/>
      <c r="L410" s="78"/>
      <c r="M410" s="78"/>
      <c r="N410" s="76" t="s">
        <v>39</v>
      </c>
      <c r="O410" s="110"/>
      <c r="P410" s="152"/>
      <c r="Q410" s="111" t="str">
        <f>IFERROR(MIN(VLOOKUP(ROUNDDOWN(P410,0),'Aide calcul'!$B$2:$C$282,2,FALSE),O410+1),"")</f>
        <v/>
      </c>
      <c r="R410" s="112" t="str">
        <f t="shared" si="83"/>
        <v/>
      </c>
      <c r="S410" s="152"/>
      <c r="T410" s="152"/>
      <c r="U410" s="152"/>
      <c r="V410" s="152"/>
      <c r="W410" s="152"/>
      <c r="X410" s="152"/>
      <c r="Y410" s="152"/>
      <c r="Z410" s="76"/>
      <c r="AA410" s="76"/>
      <c r="AB410" s="113" t="str">
        <f>IF(C410="3111. Logements",ROUND(VLOOKUP(C410,'Informations générales'!$C$66:$E$70,3,FALSE)*(AL410/$AM$28)/12,0)*12,IF(C410="3112. Logements",ROUND(VLOOKUP(C410,'Informations générales'!$C$66:$E$70,3,FALSE)*(AL410/$AN$28)/12,0)*12,IF(C410="3113. Logements",ROUND(VLOOKUP(C410,'Informations générales'!$C$66:$E$70,3,FALSE)*(AL410/$AO$28)/12,0)*12,IF(C410="3114. Logements",ROUND(VLOOKUP(C410,'Informations générales'!$C$66:$E$70,3,FALSE)*(AL410/$AP$28)/12,0)*12,IF(C410="3115. Logements",ROUND(VLOOKUP(C410,'Informations générales'!$C$66:$E$70,3,FALSE)*(AL410/$AQ$28)/12,0)*12,"")))))</f>
        <v/>
      </c>
      <c r="AC410" s="114"/>
      <c r="AD410" s="113">
        <f t="shared" si="84"/>
        <v>0</v>
      </c>
      <c r="AE410" s="114"/>
      <c r="AF410" s="203" t="str">
        <f>IF(C410="3111. Logements",ROUND(VLOOKUP(C410,'Informations générales'!$C$66:$E$70,3,FALSE)*(AL410/$AM$28)/12,0)*12,IF(C410="3112. Logements",ROUND(VLOOKUP(C410,'Informations générales'!$C$66:$E$70,3,FALSE)*(AL410/$AN$28)/12,0)*12,IF(C410="3113. Logements",ROUND(VLOOKUP(C410,'Informations générales'!$C$66:$E$70,3,FALSE)*(AL410/$AO$28)/12,0)*12,IF(C410="3114. Logements",ROUND(VLOOKUP(C410,'Informations générales'!$C$66:$E$70,3,FALSE)*(AL410/$AP$28)/12,0)*12,IF(C410="3115. Logements",ROUND(VLOOKUP(C410,'Informations générales'!$C$66:$E$70,3,FALSE)*(AL410/$AQ$28)/12,0)*12,"")))))</f>
        <v/>
      </c>
      <c r="AG410" s="202"/>
      <c r="AH410" s="113" t="str">
        <f>IF(C410="3111. Logements",ROUND(VLOOKUP(C410,'Informations générales'!$C$66:$H$70,5,FALSE)*(AL410/$AM$28)/12,0)*12,IF(C410="3112. Logements",ROUND(VLOOKUP(C410,'Informations générales'!$C$66:$H$70,5,FALSE)*(AL410/$AN$28)/12,0)*12,IF(C410="3113. Logements",ROUND(VLOOKUP(C410,'Informations générales'!$C$66:$H$70,5,FALSE)*(AL410/$AO$28)/12,0)*12,IF(C410="3114. Logements",ROUND(VLOOKUP(C410,'Informations générales'!$C$66:$H$70,5,FALSE)*(AL410/$AP$28)/12,0)*12,IF(C410="3115. Logements",ROUND(VLOOKUP(C410,'Informations générales'!$C$66:$H$70,5,FALSE)*(AL410/$AQ$28)/12,0)*12,"")))))</f>
        <v/>
      </c>
      <c r="AI410" s="114"/>
      <c r="AJ410" s="114"/>
      <c r="AK410" s="76"/>
      <c r="AL410" s="58">
        <f t="shared" si="85"/>
        <v>0</v>
      </c>
      <c r="AM410" s="58"/>
      <c r="AN410" s="58"/>
      <c r="AO410" s="58"/>
      <c r="AP410" s="58"/>
      <c r="AQ410" s="58"/>
      <c r="AR410" s="58">
        <f t="shared" si="73"/>
        <v>0</v>
      </c>
      <c r="AS410" s="58">
        <f t="shared" si="74"/>
        <v>0</v>
      </c>
      <c r="AT410" s="58">
        <f t="shared" si="75"/>
        <v>0</v>
      </c>
      <c r="AU410" s="58">
        <f t="shared" si="76"/>
        <v>0</v>
      </c>
      <c r="AV410" s="58">
        <f t="shared" si="77"/>
        <v>0</v>
      </c>
      <c r="AW410" s="58">
        <f t="shared" si="78"/>
        <v>0</v>
      </c>
      <c r="AX410" s="58">
        <f t="shared" si="79"/>
        <v>0</v>
      </c>
      <c r="AY410" s="58">
        <f t="shared" si="86"/>
        <v>0</v>
      </c>
      <c r="AZ410" s="62">
        <f t="shared" si="80"/>
        <v>0</v>
      </c>
      <c r="BA410" s="63">
        <f t="shared" si="81"/>
        <v>0</v>
      </c>
      <c r="BB410" s="63">
        <f t="shared" si="82"/>
        <v>0</v>
      </c>
    </row>
    <row r="411" spans="3:54" s="17" customFormat="1" x14ac:dyDescent="0.25">
      <c r="C411" s="215"/>
      <c r="D411" s="216"/>
      <c r="E411" s="88"/>
      <c r="F411" s="217"/>
      <c r="G411" s="234"/>
      <c r="H411" s="218"/>
      <c r="I411" s="76"/>
      <c r="J411" s="77"/>
      <c r="K411" s="76"/>
      <c r="L411" s="78"/>
      <c r="M411" s="78"/>
      <c r="N411" s="76" t="s">
        <v>39</v>
      </c>
      <c r="O411" s="110"/>
      <c r="P411" s="152"/>
      <c r="Q411" s="111" t="str">
        <f>IFERROR(MIN(VLOOKUP(ROUNDDOWN(P411,0),'Aide calcul'!$B$2:$C$282,2,FALSE),O411+1),"")</f>
        <v/>
      </c>
      <c r="R411" s="112" t="str">
        <f t="shared" si="83"/>
        <v/>
      </c>
      <c r="S411" s="152"/>
      <c r="T411" s="152"/>
      <c r="U411" s="152"/>
      <c r="V411" s="152"/>
      <c r="W411" s="152"/>
      <c r="X411" s="152"/>
      <c r="Y411" s="152"/>
      <c r="Z411" s="76"/>
      <c r="AA411" s="76"/>
      <c r="AB411" s="113" t="str">
        <f>IF(C411="3111. Logements",ROUND(VLOOKUP(C411,'Informations générales'!$C$66:$E$70,3,FALSE)*(AL411/$AM$28)/12,0)*12,IF(C411="3112. Logements",ROUND(VLOOKUP(C411,'Informations générales'!$C$66:$E$70,3,FALSE)*(AL411/$AN$28)/12,0)*12,IF(C411="3113. Logements",ROUND(VLOOKUP(C411,'Informations générales'!$C$66:$E$70,3,FALSE)*(AL411/$AO$28)/12,0)*12,IF(C411="3114. Logements",ROUND(VLOOKUP(C411,'Informations générales'!$C$66:$E$70,3,FALSE)*(AL411/$AP$28)/12,0)*12,IF(C411="3115. Logements",ROUND(VLOOKUP(C411,'Informations générales'!$C$66:$E$70,3,FALSE)*(AL411/$AQ$28)/12,0)*12,"")))))</f>
        <v/>
      </c>
      <c r="AC411" s="114"/>
      <c r="AD411" s="113">
        <f t="shared" si="84"/>
        <v>0</v>
      </c>
      <c r="AE411" s="114"/>
      <c r="AF411" s="203" t="str">
        <f>IF(C411="3111. Logements",ROUND(VLOOKUP(C411,'Informations générales'!$C$66:$E$70,3,FALSE)*(AL411/$AM$28)/12,0)*12,IF(C411="3112. Logements",ROUND(VLOOKUP(C411,'Informations générales'!$C$66:$E$70,3,FALSE)*(AL411/$AN$28)/12,0)*12,IF(C411="3113. Logements",ROUND(VLOOKUP(C411,'Informations générales'!$C$66:$E$70,3,FALSE)*(AL411/$AO$28)/12,0)*12,IF(C411="3114. Logements",ROUND(VLOOKUP(C411,'Informations générales'!$C$66:$E$70,3,FALSE)*(AL411/$AP$28)/12,0)*12,IF(C411="3115. Logements",ROUND(VLOOKUP(C411,'Informations générales'!$C$66:$E$70,3,FALSE)*(AL411/$AQ$28)/12,0)*12,"")))))</f>
        <v/>
      </c>
      <c r="AG411" s="202"/>
      <c r="AH411" s="113" t="str">
        <f>IF(C411="3111. Logements",ROUND(VLOOKUP(C411,'Informations générales'!$C$66:$H$70,5,FALSE)*(AL411/$AM$28)/12,0)*12,IF(C411="3112. Logements",ROUND(VLOOKUP(C411,'Informations générales'!$C$66:$H$70,5,FALSE)*(AL411/$AN$28)/12,0)*12,IF(C411="3113. Logements",ROUND(VLOOKUP(C411,'Informations générales'!$C$66:$H$70,5,FALSE)*(AL411/$AO$28)/12,0)*12,IF(C411="3114. Logements",ROUND(VLOOKUP(C411,'Informations générales'!$C$66:$H$70,5,FALSE)*(AL411/$AP$28)/12,0)*12,IF(C411="3115. Logements",ROUND(VLOOKUP(C411,'Informations générales'!$C$66:$H$70,5,FALSE)*(AL411/$AQ$28)/12,0)*12,"")))))</f>
        <v/>
      </c>
      <c r="AI411" s="114"/>
      <c r="AJ411" s="114"/>
      <c r="AK411" s="76"/>
      <c r="AL411" s="58">
        <f t="shared" si="85"/>
        <v>0</v>
      </c>
      <c r="AM411" s="58"/>
      <c r="AN411" s="58"/>
      <c r="AO411" s="58"/>
      <c r="AP411" s="58"/>
      <c r="AQ411" s="58"/>
      <c r="AR411" s="58">
        <f t="shared" si="73"/>
        <v>0</v>
      </c>
      <c r="AS411" s="58">
        <f t="shared" si="74"/>
        <v>0</v>
      </c>
      <c r="AT411" s="58">
        <f t="shared" si="75"/>
        <v>0</v>
      </c>
      <c r="AU411" s="58">
        <f t="shared" si="76"/>
        <v>0</v>
      </c>
      <c r="AV411" s="58">
        <f t="shared" si="77"/>
        <v>0</v>
      </c>
      <c r="AW411" s="58">
        <f t="shared" si="78"/>
        <v>0</v>
      </c>
      <c r="AX411" s="58">
        <f t="shared" si="79"/>
        <v>0</v>
      </c>
      <c r="AY411" s="58">
        <f t="shared" si="86"/>
        <v>0</v>
      </c>
      <c r="AZ411" s="62">
        <f t="shared" si="80"/>
        <v>0</v>
      </c>
      <c r="BA411" s="63">
        <f t="shared" si="81"/>
        <v>0</v>
      </c>
      <c r="BB411" s="63">
        <f t="shared" si="82"/>
        <v>0</v>
      </c>
    </row>
    <row r="412" spans="3:54" s="17" customFormat="1" x14ac:dyDescent="0.25">
      <c r="C412" s="215"/>
      <c r="D412" s="216"/>
      <c r="E412" s="88"/>
      <c r="F412" s="217"/>
      <c r="G412" s="234"/>
      <c r="H412" s="218"/>
      <c r="I412" s="76"/>
      <c r="J412" s="77"/>
      <c r="K412" s="76"/>
      <c r="L412" s="78"/>
      <c r="M412" s="78"/>
      <c r="N412" s="76" t="s">
        <v>39</v>
      </c>
      <c r="O412" s="110"/>
      <c r="P412" s="152"/>
      <c r="Q412" s="111" t="str">
        <f>IFERROR(MIN(VLOOKUP(ROUNDDOWN(P412,0),'Aide calcul'!$B$2:$C$282,2,FALSE),O412+1),"")</f>
        <v/>
      </c>
      <c r="R412" s="112" t="str">
        <f t="shared" si="83"/>
        <v/>
      </c>
      <c r="S412" s="152"/>
      <c r="T412" s="152"/>
      <c r="U412" s="152"/>
      <c r="V412" s="152"/>
      <c r="W412" s="152"/>
      <c r="X412" s="152"/>
      <c r="Y412" s="152"/>
      <c r="Z412" s="76"/>
      <c r="AA412" s="76"/>
      <c r="AB412" s="113" t="str">
        <f>IF(C412="3111. Logements",ROUND(VLOOKUP(C412,'Informations générales'!$C$66:$E$70,3,FALSE)*(AL412/$AM$28)/12,0)*12,IF(C412="3112. Logements",ROUND(VLOOKUP(C412,'Informations générales'!$C$66:$E$70,3,FALSE)*(AL412/$AN$28)/12,0)*12,IF(C412="3113. Logements",ROUND(VLOOKUP(C412,'Informations générales'!$C$66:$E$70,3,FALSE)*(AL412/$AO$28)/12,0)*12,IF(C412="3114. Logements",ROUND(VLOOKUP(C412,'Informations générales'!$C$66:$E$70,3,FALSE)*(AL412/$AP$28)/12,0)*12,IF(C412="3115. Logements",ROUND(VLOOKUP(C412,'Informations générales'!$C$66:$E$70,3,FALSE)*(AL412/$AQ$28)/12,0)*12,"")))))</f>
        <v/>
      </c>
      <c r="AC412" s="114"/>
      <c r="AD412" s="113">
        <f t="shared" si="84"/>
        <v>0</v>
      </c>
      <c r="AE412" s="114"/>
      <c r="AF412" s="203" t="str">
        <f>IF(C412="3111. Logements",ROUND(VLOOKUP(C412,'Informations générales'!$C$66:$E$70,3,FALSE)*(AL412/$AM$28)/12,0)*12,IF(C412="3112. Logements",ROUND(VLOOKUP(C412,'Informations générales'!$C$66:$E$70,3,FALSE)*(AL412/$AN$28)/12,0)*12,IF(C412="3113. Logements",ROUND(VLOOKUP(C412,'Informations générales'!$C$66:$E$70,3,FALSE)*(AL412/$AO$28)/12,0)*12,IF(C412="3114. Logements",ROUND(VLOOKUP(C412,'Informations générales'!$C$66:$E$70,3,FALSE)*(AL412/$AP$28)/12,0)*12,IF(C412="3115. Logements",ROUND(VLOOKUP(C412,'Informations générales'!$C$66:$E$70,3,FALSE)*(AL412/$AQ$28)/12,0)*12,"")))))</f>
        <v/>
      </c>
      <c r="AG412" s="202"/>
      <c r="AH412" s="113" t="str">
        <f>IF(C412="3111. Logements",ROUND(VLOOKUP(C412,'Informations générales'!$C$66:$H$70,5,FALSE)*(AL412/$AM$28)/12,0)*12,IF(C412="3112. Logements",ROUND(VLOOKUP(C412,'Informations générales'!$C$66:$H$70,5,FALSE)*(AL412/$AN$28)/12,0)*12,IF(C412="3113. Logements",ROUND(VLOOKUP(C412,'Informations générales'!$C$66:$H$70,5,FALSE)*(AL412/$AO$28)/12,0)*12,IF(C412="3114. Logements",ROUND(VLOOKUP(C412,'Informations générales'!$C$66:$H$70,5,FALSE)*(AL412/$AP$28)/12,0)*12,IF(C412="3115. Logements",ROUND(VLOOKUP(C412,'Informations générales'!$C$66:$H$70,5,FALSE)*(AL412/$AQ$28)/12,0)*12,"")))))</f>
        <v/>
      </c>
      <c r="AI412" s="114"/>
      <c r="AJ412" s="114"/>
      <c r="AK412" s="76"/>
      <c r="AL412" s="58">
        <f t="shared" si="85"/>
        <v>0</v>
      </c>
      <c r="AM412" s="58"/>
      <c r="AN412" s="58"/>
      <c r="AO412" s="58"/>
      <c r="AP412" s="58"/>
      <c r="AQ412" s="58"/>
      <c r="AR412" s="58">
        <f t="shared" ref="AR412:AR475" si="87">S412*$E$13</f>
        <v>0</v>
      </c>
      <c r="AS412" s="58">
        <f t="shared" ref="AS412:AS475" si="88">T412*$E$14</f>
        <v>0</v>
      </c>
      <c r="AT412" s="58">
        <f t="shared" ref="AT412:AT475" si="89">U412*$E$15</f>
        <v>0</v>
      </c>
      <c r="AU412" s="58">
        <f t="shared" ref="AU412:AU475" si="90">V412*$E$16</f>
        <v>0</v>
      </c>
      <c r="AV412" s="58">
        <f t="shared" ref="AV412:AV475" si="91">W412*$E$17</f>
        <v>0</v>
      </c>
      <c r="AW412" s="58">
        <f t="shared" ref="AW412:AW475" si="92">X412*$E$18</f>
        <v>0</v>
      </c>
      <c r="AX412" s="58">
        <f t="shared" ref="AX412:AX475" si="93">Y412*$E$19</f>
        <v>0</v>
      </c>
      <c r="AY412" s="58">
        <f t="shared" si="86"/>
        <v>0</v>
      </c>
      <c r="AZ412" s="62">
        <f t="shared" ref="AZ412:AZ476" si="94">IFERROR(I412*$E$12,0)</f>
        <v>0</v>
      </c>
      <c r="BA412" s="63">
        <f t="shared" ref="BA412:BA475" si="95">IFERROR(VLOOKUP(Z412,$H$12:$I$22,2,FALSE),0)</f>
        <v>0</v>
      </c>
      <c r="BB412" s="63">
        <f t="shared" ref="BB412:BB477" si="96">IFERROR(VLOOKUP(AA412,$L$12:$N$19,3,FALSE),0)</f>
        <v>0</v>
      </c>
    </row>
    <row r="413" spans="3:54" s="17" customFormat="1" x14ac:dyDescent="0.25">
      <c r="C413" s="215"/>
      <c r="D413" s="216"/>
      <c r="E413" s="88"/>
      <c r="F413" s="217"/>
      <c r="G413" s="234"/>
      <c r="H413" s="218"/>
      <c r="I413" s="76"/>
      <c r="J413" s="77"/>
      <c r="K413" s="76"/>
      <c r="L413" s="78"/>
      <c r="M413" s="78"/>
      <c r="N413" s="76" t="s">
        <v>39</v>
      </c>
      <c r="O413" s="110"/>
      <c r="P413" s="152"/>
      <c r="Q413" s="111" t="str">
        <f>IFERROR(MIN(VLOOKUP(ROUNDDOWN(P413,0),'Aide calcul'!$B$2:$C$282,2,FALSE),O413+1),"")</f>
        <v/>
      </c>
      <c r="R413" s="112" t="str">
        <f t="shared" ref="R413:R476" si="97">IFERROR(TRUNC(Q413-0.5),"")</f>
        <v/>
      </c>
      <c r="S413" s="152"/>
      <c r="T413" s="152"/>
      <c r="U413" s="152"/>
      <c r="V413" s="152"/>
      <c r="W413" s="152"/>
      <c r="X413" s="152"/>
      <c r="Y413" s="152"/>
      <c r="Z413" s="76"/>
      <c r="AA413" s="76"/>
      <c r="AB413" s="113" t="str">
        <f>IF(C413="3111. Logements",ROUND(VLOOKUP(C413,'Informations générales'!$C$66:$E$70,3,FALSE)*(AL413/$AM$28)/12,0)*12,IF(C413="3112. Logements",ROUND(VLOOKUP(C413,'Informations générales'!$C$66:$E$70,3,FALSE)*(AL413/$AN$28)/12,0)*12,IF(C413="3113. Logements",ROUND(VLOOKUP(C413,'Informations générales'!$C$66:$E$70,3,FALSE)*(AL413/$AO$28)/12,0)*12,IF(C413="3114. Logements",ROUND(VLOOKUP(C413,'Informations générales'!$C$66:$E$70,3,FALSE)*(AL413/$AP$28)/12,0)*12,IF(C413="3115. Logements",ROUND(VLOOKUP(C413,'Informations générales'!$C$66:$E$70,3,FALSE)*(AL413/$AQ$28)/12,0)*12,"")))))</f>
        <v/>
      </c>
      <c r="AC413" s="114"/>
      <c r="AD413" s="113">
        <f t="shared" ref="AD413:AD476" si="98">MIN(AB413,AC413)</f>
        <v>0</v>
      </c>
      <c r="AE413" s="114"/>
      <c r="AF413" s="203" t="str">
        <f>IF(C413="3111. Logements",ROUND(VLOOKUP(C413,'Informations générales'!$C$66:$E$70,3,FALSE)*(AL413/$AM$28)/12,0)*12,IF(C413="3112. Logements",ROUND(VLOOKUP(C413,'Informations générales'!$C$66:$E$70,3,FALSE)*(AL413/$AN$28)/12,0)*12,IF(C413="3113. Logements",ROUND(VLOOKUP(C413,'Informations générales'!$C$66:$E$70,3,FALSE)*(AL413/$AO$28)/12,0)*12,IF(C413="3114. Logements",ROUND(VLOOKUP(C413,'Informations générales'!$C$66:$E$70,3,FALSE)*(AL413/$AP$28)/12,0)*12,IF(C413="3115. Logements",ROUND(VLOOKUP(C413,'Informations générales'!$C$66:$E$70,3,FALSE)*(AL413/$AQ$28)/12,0)*12,"")))))</f>
        <v/>
      </c>
      <c r="AG413" s="202"/>
      <c r="AH413" s="113" t="str">
        <f>IF(C413="3111. Logements",ROUND(VLOOKUP(C413,'Informations générales'!$C$66:$H$70,5,FALSE)*(AL413/$AM$28)/12,0)*12,IF(C413="3112. Logements",ROUND(VLOOKUP(C413,'Informations générales'!$C$66:$H$70,5,FALSE)*(AL413/$AN$28)/12,0)*12,IF(C413="3113. Logements",ROUND(VLOOKUP(C413,'Informations générales'!$C$66:$H$70,5,FALSE)*(AL413/$AO$28)/12,0)*12,IF(C413="3114. Logements",ROUND(VLOOKUP(C413,'Informations générales'!$C$66:$H$70,5,FALSE)*(AL413/$AP$28)/12,0)*12,IF(C413="3115. Logements",ROUND(VLOOKUP(C413,'Informations générales'!$C$66:$H$70,5,FALSE)*(AL413/$AQ$28)/12,0)*12,"")))))</f>
        <v/>
      </c>
      <c r="AI413" s="114"/>
      <c r="AJ413" s="114"/>
      <c r="AK413" s="76"/>
      <c r="AL413" s="58">
        <f t="shared" ref="AL413:AL476" si="99">AY413*(SUM(1,AZ413,BA413,BB413))</f>
        <v>0</v>
      </c>
      <c r="AM413" s="58"/>
      <c r="AN413" s="58"/>
      <c r="AO413" s="58"/>
      <c r="AP413" s="58"/>
      <c r="AQ413" s="58"/>
      <c r="AR413" s="58">
        <f t="shared" si="87"/>
        <v>0</v>
      </c>
      <c r="AS413" s="58">
        <f t="shared" si="88"/>
        <v>0</v>
      </c>
      <c r="AT413" s="58">
        <f t="shared" si="89"/>
        <v>0</v>
      </c>
      <c r="AU413" s="58">
        <f t="shared" si="90"/>
        <v>0</v>
      </c>
      <c r="AV413" s="58">
        <f t="shared" si="91"/>
        <v>0</v>
      </c>
      <c r="AW413" s="58">
        <f t="shared" si="92"/>
        <v>0</v>
      </c>
      <c r="AX413" s="58">
        <f t="shared" si="93"/>
        <v>0</v>
      </c>
      <c r="AY413" s="58">
        <f t="shared" ref="AY413:AY476" si="100">SUM(AR413:AX413)</f>
        <v>0</v>
      </c>
      <c r="AZ413" s="62">
        <f t="shared" si="94"/>
        <v>0</v>
      </c>
      <c r="BA413" s="63">
        <f t="shared" si="95"/>
        <v>0</v>
      </c>
      <c r="BB413" s="63">
        <f t="shared" si="96"/>
        <v>0</v>
      </c>
    </row>
    <row r="414" spans="3:54" s="17" customFormat="1" x14ac:dyDescent="0.25">
      <c r="C414" s="215"/>
      <c r="D414" s="216"/>
      <c r="E414" s="88"/>
      <c r="F414" s="217"/>
      <c r="G414" s="234"/>
      <c r="H414" s="218"/>
      <c r="I414" s="76"/>
      <c r="J414" s="77"/>
      <c r="K414" s="76"/>
      <c r="L414" s="78"/>
      <c r="M414" s="78"/>
      <c r="N414" s="76" t="s">
        <v>39</v>
      </c>
      <c r="O414" s="110"/>
      <c r="P414" s="152"/>
      <c r="Q414" s="111" t="str">
        <f>IFERROR(MIN(VLOOKUP(ROUNDDOWN(P414,0),'Aide calcul'!$B$2:$C$282,2,FALSE),O414+1),"")</f>
        <v/>
      </c>
      <c r="R414" s="112" t="str">
        <f t="shared" si="97"/>
        <v/>
      </c>
      <c r="S414" s="152"/>
      <c r="T414" s="152"/>
      <c r="U414" s="152"/>
      <c r="V414" s="152"/>
      <c r="W414" s="152"/>
      <c r="X414" s="152"/>
      <c r="Y414" s="152"/>
      <c r="Z414" s="76"/>
      <c r="AA414" s="76"/>
      <c r="AB414" s="113" t="str">
        <f>IF(C414="3111. Logements",ROUND(VLOOKUP(C414,'Informations générales'!$C$66:$E$70,3,FALSE)*(AL414/$AM$28)/12,0)*12,IF(C414="3112. Logements",ROUND(VLOOKUP(C414,'Informations générales'!$C$66:$E$70,3,FALSE)*(AL414/$AN$28)/12,0)*12,IF(C414="3113. Logements",ROUND(VLOOKUP(C414,'Informations générales'!$C$66:$E$70,3,FALSE)*(AL414/$AO$28)/12,0)*12,IF(C414="3114. Logements",ROUND(VLOOKUP(C414,'Informations générales'!$C$66:$E$70,3,FALSE)*(AL414/$AP$28)/12,0)*12,IF(C414="3115. Logements",ROUND(VLOOKUP(C414,'Informations générales'!$C$66:$E$70,3,FALSE)*(AL414/$AQ$28)/12,0)*12,"")))))</f>
        <v/>
      </c>
      <c r="AC414" s="114"/>
      <c r="AD414" s="113">
        <f t="shared" si="98"/>
        <v>0</v>
      </c>
      <c r="AE414" s="114"/>
      <c r="AF414" s="203" t="str">
        <f>IF(C414="3111. Logements",ROUND(VLOOKUP(C414,'Informations générales'!$C$66:$E$70,3,FALSE)*(AL414/$AM$28)/12,0)*12,IF(C414="3112. Logements",ROUND(VLOOKUP(C414,'Informations générales'!$C$66:$E$70,3,FALSE)*(AL414/$AN$28)/12,0)*12,IF(C414="3113. Logements",ROUND(VLOOKUP(C414,'Informations générales'!$C$66:$E$70,3,FALSE)*(AL414/$AO$28)/12,0)*12,IF(C414="3114. Logements",ROUND(VLOOKUP(C414,'Informations générales'!$C$66:$E$70,3,FALSE)*(AL414/$AP$28)/12,0)*12,IF(C414="3115. Logements",ROUND(VLOOKUP(C414,'Informations générales'!$C$66:$E$70,3,FALSE)*(AL414/$AQ$28)/12,0)*12,"")))))</f>
        <v/>
      </c>
      <c r="AG414" s="202"/>
      <c r="AH414" s="113" t="str">
        <f>IF(C414="3111. Logements",ROUND(VLOOKUP(C414,'Informations générales'!$C$66:$H$70,5,FALSE)*(AL414/$AM$28)/12,0)*12,IF(C414="3112. Logements",ROUND(VLOOKUP(C414,'Informations générales'!$C$66:$H$70,5,FALSE)*(AL414/$AN$28)/12,0)*12,IF(C414="3113. Logements",ROUND(VLOOKUP(C414,'Informations générales'!$C$66:$H$70,5,FALSE)*(AL414/$AO$28)/12,0)*12,IF(C414="3114. Logements",ROUND(VLOOKUP(C414,'Informations générales'!$C$66:$H$70,5,FALSE)*(AL414/$AP$28)/12,0)*12,IF(C414="3115. Logements",ROUND(VLOOKUP(C414,'Informations générales'!$C$66:$H$70,5,FALSE)*(AL414/$AQ$28)/12,0)*12,"")))))</f>
        <v/>
      </c>
      <c r="AI414" s="114"/>
      <c r="AJ414" s="114"/>
      <c r="AK414" s="76"/>
      <c r="AL414" s="58">
        <f t="shared" si="99"/>
        <v>0</v>
      </c>
      <c r="AM414" s="58"/>
      <c r="AN414" s="58"/>
      <c r="AO414" s="58"/>
      <c r="AP414" s="58"/>
      <c r="AQ414" s="58"/>
      <c r="AR414" s="58">
        <f t="shared" si="87"/>
        <v>0</v>
      </c>
      <c r="AS414" s="58">
        <f t="shared" si="88"/>
        <v>0</v>
      </c>
      <c r="AT414" s="58">
        <f t="shared" si="89"/>
        <v>0</v>
      </c>
      <c r="AU414" s="58">
        <f t="shared" si="90"/>
        <v>0</v>
      </c>
      <c r="AV414" s="58">
        <f t="shared" si="91"/>
        <v>0</v>
      </c>
      <c r="AW414" s="58">
        <f t="shared" si="92"/>
        <v>0</v>
      </c>
      <c r="AX414" s="58">
        <f t="shared" si="93"/>
        <v>0</v>
      </c>
      <c r="AY414" s="58">
        <f t="shared" si="100"/>
        <v>0</v>
      </c>
      <c r="AZ414" s="62">
        <f t="shared" si="94"/>
        <v>0</v>
      </c>
      <c r="BA414" s="63">
        <f t="shared" si="95"/>
        <v>0</v>
      </c>
      <c r="BB414" s="63">
        <f t="shared" si="96"/>
        <v>0</v>
      </c>
    </row>
    <row r="415" spans="3:54" s="17" customFormat="1" x14ac:dyDescent="0.25">
      <c r="C415" s="215"/>
      <c r="D415" s="216"/>
      <c r="E415" s="88"/>
      <c r="F415" s="217"/>
      <c r="G415" s="234"/>
      <c r="H415" s="218"/>
      <c r="I415" s="76"/>
      <c r="J415" s="77"/>
      <c r="K415" s="76"/>
      <c r="L415" s="78"/>
      <c r="M415" s="78"/>
      <c r="N415" s="76" t="s">
        <v>39</v>
      </c>
      <c r="O415" s="110"/>
      <c r="P415" s="152"/>
      <c r="Q415" s="111" t="str">
        <f>IFERROR(MIN(VLOOKUP(ROUNDDOWN(P415,0),'Aide calcul'!$B$2:$C$282,2,FALSE),O415+1),"")</f>
        <v/>
      </c>
      <c r="R415" s="112" t="str">
        <f t="shared" si="97"/>
        <v/>
      </c>
      <c r="S415" s="152"/>
      <c r="T415" s="152"/>
      <c r="U415" s="152"/>
      <c r="V415" s="152"/>
      <c r="W415" s="152"/>
      <c r="X415" s="152"/>
      <c r="Y415" s="152"/>
      <c r="Z415" s="76"/>
      <c r="AA415" s="76"/>
      <c r="AB415" s="113" t="str">
        <f>IF(C415="3111. Logements",ROUND(VLOOKUP(C415,'Informations générales'!$C$66:$E$70,3,FALSE)*(AL415/$AM$28)/12,0)*12,IF(C415="3112. Logements",ROUND(VLOOKUP(C415,'Informations générales'!$C$66:$E$70,3,FALSE)*(AL415/$AN$28)/12,0)*12,IF(C415="3113. Logements",ROUND(VLOOKUP(C415,'Informations générales'!$C$66:$E$70,3,FALSE)*(AL415/$AO$28)/12,0)*12,IF(C415="3114. Logements",ROUND(VLOOKUP(C415,'Informations générales'!$C$66:$E$70,3,FALSE)*(AL415/$AP$28)/12,0)*12,IF(C415="3115. Logements",ROUND(VLOOKUP(C415,'Informations générales'!$C$66:$E$70,3,FALSE)*(AL415/$AQ$28)/12,0)*12,"")))))</f>
        <v/>
      </c>
      <c r="AC415" s="114"/>
      <c r="AD415" s="113">
        <f t="shared" si="98"/>
        <v>0</v>
      </c>
      <c r="AE415" s="114"/>
      <c r="AF415" s="203" t="str">
        <f>IF(C415="3111. Logements",ROUND(VLOOKUP(C415,'Informations générales'!$C$66:$E$70,3,FALSE)*(AL415/$AM$28)/12,0)*12,IF(C415="3112. Logements",ROUND(VLOOKUP(C415,'Informations générales'!$C$66:$E$70,3,FALSE)*(AL415/$AN$28)/12,0)*12,IF(C415="3113. Logements",ROUND(VLOOKUP(C415,'Informations générales'!$C$66:$E$70,3,FALSE)*(AL415/$AO$28)/12,0)*12,IF(C415="3114. Logements",ROUND(VLOOKUP(C415,'Informations générales'!$C$66:$E$70,3,FALSE)*(AL415/$AP$28)/12,0)*12,IF(C415="3115. Logements",ROUND(VLOOKUP(C415,'Informations générales'!$C$66:$E$70,3,FALSE)*(AL415/$AQ$28)/12,0)*12,"")))))</f>
        <v/>
      </c>
      <c r="AG415" s="202"/>
      <c r="AH415" s="113" t="str">
        <f>IF(C415="3111. Logements",ROUND(VLOOKUP(C415,'Informations générales'!$C$66:$H$70,5,FALSE)*(AL415/$AM$28)/12,0)*12,IF(C415="3112. Logements",ROUND(VLOOKUP(C415,'Informations générales'!$C$66:$H$70,5,FALSE)*(AL415/$AN$28)/12,0)*12,IF(C415="3113. Logements",ROUND(VLOOKUP(C415,'Informations générales'!$C$66:$H$70,5,FALSE)*(AL415/$AO$28)/12,0)*12,IF(C415="3114. Logements",ROUND(VLOOKUP(C415,'Informations générales'!$C$66:$H$70,5,FALSE)*(AL415/$AP$28)/12,0)*12,IF(C415="3115. Logements",ROUND(VLOOKUP(C415,'Informations générales'!$C$66:$H$70,5,FALSE)*(AL415/$AQ$28)/12,0)*12,"")))))</f>
        <v/>
      </c>
      <c r="AI415" s="114"/>
      <c r="AJ415" s="114"/>
      <c r="AK415" s="76"/>
      <c r="AL415" s="58">
        <f t="shared" si="99"/>
        <v>0</v>
      </c>
      <c r="AM415" s="58"/>
      <c r="AN415" s="58"/>
      <c r="AO415" s="58"/>
      <c r="AP415" s="58"/>
      <c r="AQ415" s="58"/>
      <c r="AR415" s="58">
        <f t="shared" si="87"/>
        <v>0</v>
      </c>
      <c r="AS415" s="58">
        <f t="shared" si="88"/>
        <v>0</v>
      </c>
      <c r="AT415" s="58">
        <f t="shared" si="89"/>
        <v>0</v>
      </c>
      <c r="AU415" s="58">
        <f t="shared" si="90"/>
        <v>0</v>
      </c>
      <c r="AV415" s="58">
        <f t="shared" si="91"/>
        <v>0</v>
      </c>
      <c r="AW415" s="58">
        <f t="shared" si="92"/>
        <v>0</v>
      </c>
      <c r="AX415" s="58">
        <f t="shared" si="93"/>
        <v>0</v>
      </c>
      <c r="AY415" s="58">
        <f t="shared" si="100"/>
        <v>0</v>
      </c>
      <c r="AZ415" s="62">
        <f t="shared" si="94"/>
        <v>0</v>
      </c>
      <c r="BA415" s="63">
        <f t="shared" si="95"/>
        <v>0</v>
      </c>
      <c r="BB415" s="63">
        <f t="shared" si="96"/>
        <v>0</v>
      </c>
    </row>
    <row r="416" spans="3:54" s="17" customFormat="1" x14ac:dyDescent="0.25">
      <c r="C416" s="215"/>
      <c r="D416" s="216"/>
      <c r="E416" s="88"/>
      <c r="F416" s="217"/>
      <c r="G416" s="234"/>
      <c r="H416" s="218"/>
      <c r="I416" s="76"/>
      <c r="J416" s="77"/>
      <c r="K416" s="76"/>
      <c r="L416" s="78"/>
      <c r="M416" s="78"/>
      <c r="N416" s="76" t="s">
        <v>39</v>
      </c>
      <c r="O416" s="110"/>
      <c r="P416" s="152"/>
      <c r="Q416" s="111" t="str">
        <f>IFERROR(MIN(VLOOKUP(ROUNDDOWN(P416,0),'Aide calcul'!$B$2:$C$282,2,FALSE),O416+1),"")</f>
        <v/>
      </c>
      <c r="R416" s="112" t="str">
        <f t="shared" si="97"/>
        <v/>
      </c>
      <c r="S416" s="152"/>
      <c r="T416" s="152"/>
      <c r="U416" s="152"/>
      <c r="V416" s="152"/>
      <c r="W416" s="152"/>
      <c r="X416" s="152"/>
      <c r="Y416" s="152"/>
      <c r="Z416" s="76"/>
      <c r="AA416" s="76"/>
      <c r="AB416" s="113" t="str">
        <f>IF(C416="3111. Logements",ROUND(VLOOKUP(C416,'Informations générales'!$C$66:$E$70,3,FALSE)*(AL416/$AM$28)/12,0)*12,IF(C416="3112. Logements",ROUND(VLOOKUP(C416,'Informations générales'!$C$66:$E$70,3,FALSE)*(AL416/$AN$28)/12,0)*12,IF(C416="3113. Logements",ROUND(VLOOKUP(C416,'Informations générales'!$C$66:$E$70,3,FALSE)*(AL416/$AO$28)/12,0)*12,IF(C416="3114. Logements",ROUND(VLOOKUP(C416,'Informations générales'!$C$66:$E$70,3,FALSE)*(AL416/$AP$28)/12,0)*12,IF(C416="3115. Logements",ROUND(VLOOKUP(C416,'Informations générales'!$C$66:$E$70,3,FALSE)*(AL416/$AQ$28)/12,0)*12,"")))))</f>
        <v/>
      </c>
      <c r="AC416" s="114"/>
      <c r="AD416" s="113">
        <f t="shared" si="98"/>
        <v>0</v>
      </c>
      <c r="AE416" s="114"/>
      <c r="AF416" s="203" t="str">
        <f>IF(C416="3111. Logements",ROUND(VLOOKUP(C416,'Informations générales'!$C$66:$E$70,3,FALSE)*(AL416/$AM$28)/12,0)*12,IF(C416="3112. Logements",ROUND(VLOOKUP(C416,'Informations générales'!$C$66:$E$70,3,FALSE)*(AL416/$AN$28)/12,0)*12,IF(C416="3113. Logements",ROUND(VLOOKUP(C416,'Informations générales'!$C$66:$E$70,3,FALSE)*(AL416/$AO$28)/12,0)*12,IF(C416="3114. Logements",ROUND(VLOOKUP(C416,'Informations générales'!$C$66:$E$70,3,FALSE)*(AL416/$AP$28)/12,0)*12,IF(C416="3115. Logements",ROUND(VLOOKUP(C416,'Informations générales'!$C$66:$E$70,3,FALSE)*(AL416/$AQ$28)/12,0)*12,"")))))</f>
        <v/>
      </c>
      <c r="AG416" s="202"/>
      <c r="AH416" s="113" t="str">
        <f>IF(C416="3111. Logements",ROUND(VLOOKUP(C416,'Informations générales'!$C$66:$H$70,5,FALSE)*(AL416/$AM$28)/12,0)*12,IF(C416="3112. Logements",ROUND(VLOOKUP(C416,'Informations générales'!$C$66:$H$70,5,FALSE)*(AL416/$AN$28)/12,0)*12,IF(C416="3113. Logements",ROUND(VLOOKUP(C416,'Informations générales'!$C$66:$H$70,5,FALSE)*(AL416/$AO$28)/12,0)*12,IF(C416="3114. Logements",ROUND(VLOOKUP(C416,'Informations générales'!$C$66:$H$70,5,FALSE)*(AL416/$AP$28)/12,0)*12,IF(C416="3115. Logements",ROUND(VLOOKUP(C416,'Informations générales'!$C$66:$H$70,5,FALSE)*(AL416/$AQ$28)/12,0)*12,"")))))</f>
        <v/>
      </c>
      <c r="AI416" s="114"/>
      <c r="AJ416" s="114"/>
      <c r="AK416" s="76"/>
      <c r="AL416" s="58">
        <f t="shared" si="99"/>
        <v>0</v>
      </c>
      <c r="AM416" s="58"/>
      <c r="AN416" s="58"/>
      <c r="AO416" s="58"/>
      <c r="AP416" s="58"/>
      <c r="AQ416" s="58"/>
      <c r="AR416" s="58">
        <f t="shared" si="87"/>
        <v>0</v>
      </c>
      <c r="AS416" s="58">
        <f t="shared" si="88"/>
        <v>0</v>
      </c>
      <c r="AT416" s="58">
        <f t="shared" si="89"/>
        <v>0</v>
      </c>
      <c r="AU416" s="58">
        <f t="shared" si="90"/>
        <v>0</v>
      </c>
      <c r="AV416" s="58">
        <f t="shared" si="91"/>
        <v>0</v>
      </c>
      <c r="AW416" s="58">
        <f t="shared" si="92"/>
        <v>0</v>
      </c>
      <c r="AX416" s="58">
        <f t="shared" si="93"/>
        <v>0</v>
      </c>
      <c r="AY416" s="58">
        <f t="shared" si="100"/>
        <v>0</v>
      </c>
      <c r="AZ416" s="62">
        <f t="shared" si="94"/>
        <v>0</v>
      </c>
      <c r="BA416" s="63">
        <f t="shared" si="95"/>
        <v>0</v>
      </c>
      <c r="BB416" s="63">
        <f t="shared" si="96"/>
        <v>0</v>
      </c>
    </row>
    <row r="417" spans="3:54" s="17" customFormat="1" x14ac:dyDescent="0.25">
      <c r="C417" s="215"/>
      <c r="D417" s="216"/>
      <c r="E417" s="88"/>
      <c r="F417" s="217"/>
      <c r="G417" s="234"/>
      <c r="H417" s="218"/>
      <c r="I417" s="76"/>
      <c r="J417" s="77"/>
      <c r="K417" s="76"/>
      <c r="L417" s="78"/>
      <c r="M417" s="78"/>
      <c r="N417" s="76" t="s">
        <v>39</v>
      </c>
      <c r="O417" s="110"/>
      <c r="P417" s="152"/>
      <c r="Q417" s="111" t="str">
        <f>IFERROR(MIN(VLOOKUP(ROUNDDOWN(P417,0),'Aide calcul'!$B$2:$C$282,2,FALSE),O417+1),"")</f>
        <v/>
      </c>
      <c r="R417" s="112" t="str">
        <f t="shared" si="97"/>
        <v/>
      </c>
      <c r="S417" s="152"/>
      <c r="T417" s="152"/>
      <c r="U417" s="152"/>
      <c r="V417" s="152"/>
      <c r="W417" s="152"/>
      <c r="X417" s="152"/>
      <c r="Y417" s="152"/>
      <c r="Z417" s="76"/>
      <c r="AA417" s="76"/>
      <c r="AB417" s="113" t="str">
        <f>IF(C417="3111. Logements",ROUND(VLOOKUP(C417,'Informations générales'!$C$66:$E$70,3,FALSE)*(AL417/$AM$28)/12,0)*12,IF(C417="3112. Logements",ROUND(VLOOKUP(C417,'Informations générales'!$C$66:$E$70,3,FALSE)*(AL417/$AN$28)/12,0)*12,IF(C417="3113. Logements",ROUND(VLOOKUP(C417,'Informations générales'!$C$66:$E$70,3,FALSE)*(AL417/$AO$28)/12,0)*12,IF(C417="3114. Logements",ROUND(VLOOKUP(C417,'Informations générales'!$C$66:$E$70,3,FALSE)*(AL417/$AP$28)/12,0)*12,IF(C417="3115. Logements",ROUND(VLOOKUP(C417,'Informations générales'!$C$66:$E$70,3,FALSE)*(AL417/$AQ$28)/12,0)*12,"")))))</f>
        <v/>
      </c>
      <c r="AC417" s="114"/>
      <c r="AD417" s="113">
        <f t="shared" si="98"/>
        <v>0</v>
      </c>
      <c r="AE417" s="114"/>
      <c r="AF417" s="203" t="str">
        <f>IF(C417="3111. Logements",ROUND(VLOOKUP(C417,'Informations générales'!$C$66:$E$70,3,FALSE)*(AL417/$AM$28)/12,0)*12,IF(C417="3112. Logements",ROUND(VLOOKUP(C417,'Informations générales'!$C$66:$E$70,3,FALSE)*(AL417/$AN$28)/12,0)*12,IF(C417="3113. Logements",ROUND(VLOOKUP(C417,'Informations générales'!$C$66:$E$70,3,FALSE)*(AL417/$AO$28)/12,0)*12,IF(C417="3114. Logements",ROUND(VLOOKUP(C417,'Informations générales'!$C$66:$E$70,3,FALSE)*(AL417/$AP$28)/12,0)*12,IF(C417="3115. Logements",ROUND(VLOOKUP(C417,'Informations générales'!$C$66:$E$70,3,FALSE)*(AL417/$AQ$28)/12,0)*12,"")))))</f>
        <v/>
      </c>
      <c r="AG417" s="202"/>
      <c r="AH417" s="113" t="str">
        <f>IF(C417="3111. Logements",ROUND(VLOOKUP(C417,'Informations générales'!$C$66:$H$70,5,FALSE)*(AL417/$AM$28)/12,0)*12,IF(C417="3112. Logements",ROUND(VLOOKUP(C417,'Informations générales'!$C$66:$H$70,5,FALSE)*(AL417/$AN$28)/12,0)*12,IF(C417="3113. Logements",ROUND(VLOOKUP(C417,'Informations générales'!$C$66:$H$70,5,FALSE)*(AL417/$AO$28)/12,0)*12,IF(C417="3114. Logements",ROUND(VLOOKUP(C417,'Informations générales'!$C$66:$H$70,5,FALSE)*(AL417/$AP$28)/12,0)*12,IF(C417="3115. Logements",ROUND(VLOOKUP(C417,'Informations générales'!$C$66:$H$70,5,FALSE)*(AL417/$AQ$28)/12,0)*12,"")))))</f>
        <v/>
      </c>
      <c r="AI417" s="114"/>
      <c r="AJ417" s="114"/>
      <c r="AK417" s="76"/>
      <c r="AL417" s="58">
        <f t="shared" si="99"/>
        <v>0</v>
      </c>
      <c r="AM417" s="58"/>
      <c r="AN417" s="58"/>
      <c r="AO417" s="58"/>
      <c r="AP417" s="58"/>
      <c r="AQ417" s="58"/>
      <c r="AR417" s="58">
        <f t="shared" si="87"/>
        <v>0</v>
      </c>
      <c r="AS417" s="58">
        <f t="shared" si="88"/>
        <v>0</v>
      </c>
      <c r="AT417" s="58">
        <f t="shared" si="89"/>
        <v>0</v>
      </c>
      <c r="AU417" s="58">
        <f t="shared" si="90"/>
        <v>0</v>
      </c>
      <c r="AV417" s="58">
        <f t="shared" si="91"/>
        <v>0</v>
      </c>
      <c r="AW417" s="58">
        <f t="shared" si="92"/>
        <v>0</v>
      </c>
      <c r="AX417" s="58">
        <f t="shared" si="93"/>
        <v>0</v>
      </c>
      <c r="AY417" s="58">
        <f t="shared" si="100"/>
        <v>0</v>
      </c>
      <c r="AZ417" s="62">
        <f t="shared" si="94"/>
        <v>0</v>
      </c>
      <c r="BA417" s="63">
        <f t="shared" si="95"/>
        <v>0</v>
      </c>
      <c r="BB417" s="63">
        <f t="shared" si="96"/>
        <v>0</v>
      </c>
    </row>
    <row r="418" spans="3:54" s="17" customFormat="1" x14ac:dyDescent="0.25">
      <c r="C418" s="215"/>
      <c r="D418" s="216"/>
      <c r="E418" s="88"/>
      <c r="F418" s="217"/>
      <c r="G418" s="234"/>
      <c r="H418" s="218"/>
      <c r="I418" s="76"/>
      <c r="J418" s="77"/>
      <c r="K418" s="76"/>
      <c r="L418" s="78"/>
      <c r="M418" s="78"/>
      <c r="N418" s="76" t="s">
        <v>39</v>
      </c>
      <c r="O418" s="110"/>
      <c r="P418" s="152"/>
      <c r="Q418" s="111" t="str">
        <f>IFERROR(MIN(VLOOKUP(ROUNDDOWN(P418,0),'Aide calcul'!$B$2:$C$282,2,FALSE),O418+1),"")</f>
        <v/>
      </c>
      <c r="R418" s="112" t="str">
        <f t="shared" si="97"/>
        <v/>
      </c>
      <c r="S418" s="152"/>
      <c r="T418" s="152"/>
      <c r="U418" s="152"/>
      <c r="V418" s="152"/>
      <c r="W418" s="152"/>
      <c r="X418" s="152"/>
      <c r="Y418" s="152"/>
      <c r="Z418" s="76"/>
      <c r="AA418" s="76"/>
      <c r="AB418" s="113" t="str">
        <f>IF(C418="3111. Logements",ROUND(VLOOKUP(C418,'Informations générales'!$C$66:$E$70,3,FALSE)*(AL418/$AM$28)/12,0)*12,IF(C418="3112. Logements",ROUND(VLOOKUP(C418,'Informations générales'!$C$66:$E$70,3,FALSE)*(AL418/$AN$28)/12,0)*12,IF(C418="3113. Logements",ROUND(VLOOKUP(C418,'Informations générales'!$C$66:$E$70,3,FALSE)*(AL418/$AO$28)/12,0)*12,IF(C418="3114. Logements",ROUND(VLOOKUP(C418,'Informations générales'!$C$66:$E$70,3,FALSE)*(AL418/$AP$28)/12,0)*12,IF(C418="3115. Logements",ROUND(VLOOKUP(C418,'Informations générales'!$C$66:$E$70,3,FALSE)*(AL418/$AQ$28)/12,0)*12,"")))))</f>
        <v/>
      </c>
      <c r="AC418" s="114"/>
      <c r="AD418" s="113">
        <f t="shared" si="98"/>
        <v>0</v>
      </c>
      <c r="AE418" s="114"/>
      <c r="AF418" s="203" t="str">
        <f>IF(C418="3111. Logements",ROUND(VLOOKUP(C418,'Informations générales'!$C$66:$E$70,3,FALSE)*(AL418/$AM$28)/12,0)*12,IF(C418="3112. Logements",ROUND(VLOOKUP(C418,'Informations générales'!$C$66:$E$70,3,FALSE)*(AL418/$AN$28)/12,0)*12,IF(C418="3113. Logements",ROUND(VLOOKUP(C418,'Informations générales'!$C$66:$E$70,3,FALSE)*(AL418/$AO$28)/12,0)*12,IF(C418="3114. Logements",ROUND(VLOOKUP(C418,'Informations générales'!$C$66:$E$70,3,FALSE)*(AL418/$AP$28)/12,0)*12,IF(C418="3115. Logements",ROUND(VLOOKUP(C418,'Informations générales'!$C$66:$E$70,3,FALSE)*(AL418/$AQ$28)/12,0)*12,"")))))</f>
        <v/>
      </c>
      <c r="AG418" s="202"/>
      <c r="AH418" s="113" t="str">
        <f>IF(C418="3111. Logements",ROUND(VLOOKUP(C418,'Informations générales'!$C$66:$H$70,5,FALSE)*(AL418/$AM$28)/12,0)*12,IF(C418="3112. Logements",ROUND(VLOOKUP(C418,'Informations générales'!$C$66:$H$70,5,FALSE)*(AL418/$AN$28)/12,0)*12,IF(C418="3113. Logements",ROUND(VLOOKUP(C418,'Informations générales'!$C$66:$H$70,5,FALSE)*(AL418/$AO$28)/12,0)*12,IF(C418="3114. Logements",ROUND(VLOOKUP(C418,'Informations générales'!$C$66:$H$70,5,FALSE)*(AL418/$AP$28)/12,0)*12,IF(C418="3115. Logements",ROUND(VLOOKUP(C418,'Informations générales'!$C$66:$H$70,5,FALSE)*(AL418/$AQ$28)/12,0)*12,"")))))</f>
        <v/>
      </c>
      <c r="AI418" s="114"/>
      <c r="AJ418" s="114"/>
      <c r="AK418" s="76"/>
      <c r="AL418" s="58">
        <f t="shared" si="99"/>
        <v>0</v>
      </c>
      <c r="AM418" s="58"/>
      <c r="AN418" s="58"/>
      <c r="AO418" s="58"/>
      <c r="AP418" s="58"/>
      <c r="AQ418" s="58"/>
      <c r="AR418" s="58">
        <f t="shared" si="87"/>
        <v>0</v>
      </c>
      <c r="AS418" s="58">
        <f t="shared" si="88"/>
        <v>0</v>
      </c>
      <c r="AT418" s="58">
        <f t="shared" si="89"/>
        <v>0</v>
      </c>
      <c r="AU418" s="58">
        <f t="shared" si="90"/>
        <v>0</v>
      </c>
      <c r="AV418" s="58">
        <f t="shared" si="91"/>
        <v>0</v>
      </c>
      <c r="AW418" s="58">
        <f t="shared" si="92"/>
        <v>0</v>
      </c>
      <c r="AX418" s="58">
        <f t="shared" si="93"/>
        <v>0</v>
      </c>
      <c r="AY418" s="58">
        <f t="shared" si="100"/>
        <v>0</v>
      </c>
      <c r="AZ418" s="62">
        <f t="shared" si="94"/>
        <v>0</v>
      </c>
      <c r="BA418" s="63">
        <f t="shared" si="95"/>
        <v>0</v>
      </c>
      <c r="BB418" s="63">
        <f t="shared" si="96"/>
        <v>0</v>
      </c>
    </row>
    <row r="419" spans="3:54" s="17" customFormat="1" x14ac:dyDescent="0.25">
      <c r="C419" s="215"/>
      <c r="D419" s="216"/>
      <c r="E419" s="88"/>
      <c r="F419" s="217"/>
      <c r="G419" s="234"/>
      <c r="H419" s="218"/>
      <c r="I419" s="76"/>
      <c r="J419" s="77"/>
      <c r="K419" s="76"/>
      <c r="L419" s="78"/>
      <c r="M419" s="78"/>
      <c r="N419" s="76" t="s">
        <v>39</v>
      </c>
      <c r="O419" s="110"/>
      <c r="P419" s="152"/>
      <c r="Q419" s="111" t="str">
        <f>IFERROR(MIN(VLOOKUP(ROUNDDOWN(P419,0),'Aide calcul'!$B$2:$C$282,2,FALSE),O419+1),"")</f>
        <v/>
      </c>
      <c r="R419" s="112" t="str">
        <f t="shared" si="97"/>
        <v/>
      </c>
      <c r="S419" s="152"/>
      <c r="T419" s="152"/>
      <c r="U419" s="152"/>
      <c r="V419" s="152"/>
      <c r="W419" s="152"/>
      <c r="X419" s="152"/>
      <c r="Y419" s="152"/>
      <c r="Z419" s="76"/>
      <c r="AA419" s="76"/>
      <c r="AB419" s="113" t="str">
        <f>IF(C419="3111. Logements",ROUND(VLOOKUP(C419,'Informations générales'!$C$66:$E$70,3,FALSE)*(AL419/$AM$28)/12,0)*12,IF(C419="3112. Logements",ROUND(VLOOKUP(C419,'Informations générales'!$C$66:$E$70,3,FALSE)*(AL419/$AN$28)/12,0)*12,IF(C419="3113. Logements",ROUND(VLOOKUP(C419,'Informations générales'!$C$66:$E$70,3,FALSE)*(AL419/$AO$28)/12,0)*12,IF(C419="3114. Logements",ROUND(VLOOKUP(C419,'Informations générales'!$C$66:$E$70,3,FALSE)*(AL419/$AP$28)/12,0)*12,IF(C419="3115. Logements",ROUND(VLOOKUP(C419,'Informations générales'!$C$66:$E$70,3,FALSE)*(AL419/$AQ$28)/12,0)*12,"")))))</f>
        <v/>
      </c>
      <c r="AC419" s="114"/>
      <c r="AD419" s="113">
        <f t="shared" si="98"/>
        <v>0</v>
      </c>
      <c r="AE419" s="114"/>
      <c r="AF419" s="203" t="str">
        <f>IF(C419="3111. Logements",ROUND(VLOOKUP(C419,'Informations générales'!$C$66:$E$70,3,FALSE)*(AL419/$AM$28)/12,0)*12,IF(C419="3112. Logements",ROUND(VLOOKUP(C419,'Informations générales'!$C$66:$E$70,3,FALSE)*(AL419/$AN$28)/12,0)*12,IF(C419="3113. Logements",ROUND(VLOOKUP(C419,'Informations générales'!$C$66:$E$70,3,FALSE)*(AL419/$AO$28)/12,0)*12,IF(C419="3114. Logements",ROUND(VLOOKUP(C419,'Informations générales'!$C$66:$E$70,3,FALSE)*(AL419/$AP$28)/12,0)*12,IF(C419="3115. Logements",ROUND(VLOOKUP(C419,'Informations générales'!$C$66:$E$70,3,FALSE)*(AL419/$AQ$28)/12,0)*12,"")))))</f>
        <v/>
      </c>
      <c r="AG419" s="202"/>
      <c r="AH419" s="113" t="str">
        <f>IF(C419="3111. Logements",ROUND(VLOOKUP(C419,'Informations générales'!$C$66:$H$70,5,FALSE)*(AL419/$AM$28)/12,0)*12,IF(C419="3112. Logements",ROUND(VLOOKUP(C419,'Informations générales'!$C$66:$H$70,5,FALSE)*(AL419/$AN$28)/12,0)*12,IF(C419="3113. Logements",ROUND(VLOOKUP(C419,'Informations générales'!$C$66:$H$70,5,FALSE)*(AL419/$AO$28)/12,0)*12,IF(C419="3114. Logements",ROUND(VLOOKUP(C419,'Informations générales'!$C$66:$H$70,5,FALSE)*(AL419/$AP$28)/12,0)*12,IF(C419="3115. Logements",ROUND(VLOOKUP(C419,'Informations générales'!$C$66:$H$70,5,FALSE)*(AL419/$AQ$28)/12,0)*12,"")))))</f>
        <v/>
      </c>
      <c r="AI419" s="114"/>
      <c r="AJ419" s="114"/>
      <c r="AK419" s="76"/>
      <c r="AL419" s="58">
        <f t="shared" si="99"/>
        <v>0</v>
      </c>
      <c r="AM419" s="58"/>
      <c r="AN419" s="58"/>
      <c r="AO419" s="58"/>
      <c r="AP419" s="58"/>
      <c r="AQ419" s="58"/>
      <c r="AR419" s="58">
        <f t="shared" si="87"/>
        <v>0</v>
      </c>
      <c r="AS419" s="58">
        <f t="shared" si="88"/>
        <v>0</v>
      </c>
      <c r="AT419" s="58">
        <f t="shared" si="89"/>
        <v>0</v>
      </c>
      <c r="AU419" s="58">
        <f t="shared" si="90"/>
        <v>0</v>
      </c>
      <c r="AV419" s="58">
        <f t="shared" si="91"/>
        <v>0</v>
      </c>
      <c r="AW419" s="58">
        <f t="shared" si="92"/>
        <v>0</v>
      </c>
      <c r="AX419" s="58">
        <f t="shared" si="93"/>
        <v>0</v>
      </c>
      <c r="AY419" s="58">
        <f t="shared" si="100"/>
        <v>0</v>
      </c>
      <c r="AZ419" s="62">
        <f t="shared" si="94"/>
        <v>0</v>
      </c>
      <c r="BA419" s="63">
        <f t="shared" si="95"/>
        <v>0</v>
      </c>
      <c r="BB419" s="63">
        <f t="shared" si="96"/>
        <v>0</v>
      </c>
    </row>
    <row r="420" spans="3:54" s="17" customFormat="1" x14ac:dyDescent="0.25">
      <c r="C420" s="215"/>
      <c r="D420" s="216"/>
      <c r="E420" s="88"/>
      <c r="F420" s="217"/>
      <c r="G420" s="234"/>
      <c r="H420" s="218"/>
      <c r="I420" s="76"/>
      <c r="J420" s="77"/>
      <c r="K420" s="76"/>
      <c r="L420" s="78"/>
      <c r="M420" s="78"/>
      <c r="N420" s="76" t="s">
        <v>39</v>
      </c>
      <c r="O420" s="110"/>
      <c r="P420" s="152"/>
      <c r="Q420" s="111" t="str">
        <f>IFERROR(MIN(VLOOKUP(ROUNDDOWN(P420,0),'Aide calcul'!$B$2:$C$282,2,FALSE),O420+1),"")</f>
        <v/>
      </c>
      <c r="R420" s="112" t="str">
        <f t="shared" si="97"/>
        <v/>
      </c>
      <c r="S420" s="152"/>
      <c r="T420" s="152"/>
      <c r="U420" s="152"/>
      <c r="V420" s="152"/>
      <c r="W420" s="152"/>
      <c r="X420" s="152"/>
      <c r="Y420" s="152"/>
      <c r="Z420" s="76"/>
      <c r="AA420" s="76"/>
      <c r="AB420" s="113" t="str">
        <f>IF(C420="3111. Logements",ROUND(VLOOKUP(C420,'Informations générales'!$C$66:$E$70,3,FALSE)*(AL420/$AM$28)/12,0)*12,IF(C420="3112. Logements",ROUND(VLOOKUP(C420,'Informations générales'!$C$66:$E$70,3,FALSE)*(AL420/$AN$28)/12,0)*12,IF(C420="3113. Logements",ROUND(VLOOKUP(C420,'Informations générales'!$C$66:$E$70,3,FALSE)*(AL420/$AO$28)/12,0)*12,IF(C420="3114. Logements",ROUND(VLOOKUP(C420,'Informations générales'!$C$66:$E$70,3,FALSE)*(AL420/$AP$28)/12,0)*12,IF(C420="3115. Logements",ROUND(VLOOKUP(C420,'Informations générales'!$C$66:$E$70,3,FALSE)*(AL420/$AQ$28)/12,0)*12,"")))))</f>
        <v/>
      </c>
      <c r="AC420" s="114"/>
      <c r="AD420" s="113">
        <f t="shared" si="98"/>
        <v>0</v>
      </c>
      <c r="AE420" s="114"/>
      <c r="AF420" s="203" t="str">
        <f>IF(C420="3111. Logements",ROUND(VLOOKUP(C420,'Informations générales'!$C$66:$E$70,3,FALSE)*(AL420/$AM$28)/12,0)*12,IF(C420="3112. Logements",ROUND(VLOOKUP(C420,'Informations générales'!$C$66:$E$70,3,FALSE)*(AL420/$AN$28)/12,0)*12,IF(C420="3113. Logements",ROUND(VLOOKUP(C420,'Informations générales'!$C$66:$E$70,3,FALSE)*(AL420/$AO$28)/12,0)*12,IF(C420="3114. Logements",ROUND(VLOOKUP(C420,'Informations générales'!$C$66:$E$70,3,FALSE)*(AL420/$AP$28)/12,0)*12,IF(C420="3115. Logements",ROUND(VLOOKUP(C420,'Informations générales'!$C$66:$E$70,3,FALSE)*(AL420/$AQ$28)/12,0)*12,"")))))</f>
        <v/>
      </c>
      <c r="AG420" s="202"/>
      <c r="AH420" s="113" t="str">
        <f>IF(C420="3111. Logements",ROUND(VLOOKUP(C420,'Informations générales'!$C$66:$H$70,5,FALSE)*(AL420/$AM$28)/12,0)*12,IF(C420="3112. Logements",ROUND(VLOOKUP(C420,'Informations générales'!$C$66:$H$70,5,FALSE)*(AL420/$AN$28)/12,0)*12,IF(C420="3113. Logements",ROUND(VLOOKUP(C420,'Informations générales'!$C$66:$H$70,5,FALSE)*(AL420/$AO$28)/12,0)*12,IF(C420="3114. Logements",ROUND(VLOOKUP(C420,'Informations générales'!$C$66:$H$70,5,FALSE)*(AL420/$AP$28)/12,0)*12,IF(C420="3115. Logements",ROUND(VLOOKUP(C420,'Informations générales'!$C$66:$H$70,5,FALSE)*(AL420/$AQ$28)/12,0)*12,"")))))</f>
        <v/>
      </c>
      <c r="AI420" s="114"/>
      <c r="AJ420" s="114"/>
      <c r="AK420" s="76"/>
      <c r="AL420" s="58">
        <f t="shared" si="99"/>
        <v>0</v>
      </c>
      <c r="AM420" s="58"/>
      <c r="AN420" s="58"/>
      <c r="AO420" s="58"/>
      <c r="AP420" s="58"/>
      <c r="AQ420" s="58"/>
      <c r="AR420" s="58">
        <f t="shared" si="87"/>
        <v>0</v>
      </c>
      <c r="AS420" s="58">
        <f t="shared" si="88"/>
        <v>0</v>
      </c>
      <c r="AT420" s="58">
        <f t="shared" si="89"/>
        <v>0</v>
      </c>
      <c r="AU420" s="58">
        <f t="shared" si="90"/>
        <v>0</v>
      </c>
      <c r="AV420" s="58">
        <f t="shared" si="91"/>
        <v>0</v>
      </c>
      <c r="AW420" s="58">
        <f t="shared" si="92"/>
        <v>0</v>
      </c>
      <c r="AX420" s="58">
        <f t="shared" si="93"/>
        <v>0</v>
      </c>
      <c r="AY420" s="58">
        <f t="shared" si="100"/>
        <v>0</v>
      </c>
      <c r="AZ420" s="62">
        <f t="shared" si="94"/>
        <v>0</v>
      </c>
      <c r="BA420" s="63">
        <f t="shared" si="95"/>
        <v>0</v>
      </c>
      <c r="BB420" s="63">
        <f t="shared" si="96"/>
        <v>0</v>
      </c>
    </row>
    <row r="421" spans="3:54" s="17" customFormat="1" x14ac:dyDescent="0.25">
      <c r="C421" s="215"/>
      <c r="D421" s="216"/>
      <c r="E421" s="88"/>
      <c r="F421" s="217"/>
      <c r="G421" s="234"/>
      <c r="H421" s="218"/>
      <c r="I421" s="76"/>
      <c r="J421" s="77"/>
      <c r="K421" s="76"/>
      <c r="L421" s="78"/>
      <c r="M421" s="78"/>
      <c r="N421" s="76" t="s">
        <v>39</v>
      </c>
      <c r="O421" s="110"/>
      <c r="P421" s="152"/>
      <c r="Q421" s="111" t="str">
        <f>IFERROR(MIN(VLOOKUP(ROUNDDOWN(P421,0),'Aide calcul'!$B$2:$C$282,2,FALSE),O421+1),"")</f>
        <v/>
      </c>
      <c r="R421" s="112" t="str">
        <f t="shared" si="97"/>
        <v/>
      </c>
      <c r="S421" s="152"/>
      <c r="T421" s="152"/>
      <c r="U421" s="152"/>
      <c r="V421" s="152"/>
      <c r="W421" s="152"/>
      <c r="X421" s="152"/>
      <c r="Y421" s="152"/>
      <c r="Z421" s="76"/>
      <c r="AA421" s="76"/>
      <c r="AB421" s="113" t="str">
        <f>IF(C421="3111. Logements",ROUND(VLOOKUP(C421,'Informations générales'!$C$66:$E$70,3,FALSE)*(AL421/$AM$28)/12,0)*12,IF(C421="3112. Logements",ROUND(VLOOKUP(C421,'Informations générales'!$C$66:$E$70,3,FALSE)*(AL421/$AN$28)/12,0)*12,IF(C421="3113. Logements",ROUND(VLOOKUP(C421,'Informations générales'!$C$66:$E$70,3,FALSE)*(AL421/$AO$28)/12,0)*12,IF(C421="3114. Logements",ROUND(VLOOKUP(C421,'Informations générales'!$C$66:$E$70,3,FALSE)*(AL421/$AP$28)/12,0)*12,IF(C421="3115. Logements",ROUND(VLOOKUP(C421,'Informations générales'!$C$66:$E$70,3,FALSE)*(AL421/$AQ$28)/12,0)*12,"")))))</f>
        <v/>
      </c>
      <c r="AC421" s="114"/>
      <c r="AD421" s="113">
        <f t="shared" si="98"/>
        <v>0</v>
      </c>
      <c r="AE421" s="114"/>
      <c r="AF421" s="203" t="str">
        <f>IF(C421="3111. Logements",ROUND(VLOOKUP(C421,'Informations générales'!$C$66:$E$70,3,FALSE)*(AL421/$AM$28)/12,0)*12,IF(C421="3112. Logements",ROUND(VLOOKUP(C421,'Informations générales'!$C$66:$E$70,3,FALSE)*(AL421/$AN$28)/12,0)*12,IF(C421="3113. Logements",ROUND(VLOOKUP(C421,'Informations générales'!$C$66:$E$70,3,FALSE)*(AL421/$AO$28)/12,0)*12,IF(C421="3114. Logements",ROUND(VLOOKUP(C421,'Informations générales'!$C$66:$E$70,3,FALSE)*(AL421/$AP$28)/12,0)*12,IF(C421="3115. Logements",ROUND(VLOOKUP(C421,'Informations générales'!$C$66:$E$70,3,FALSE)*(AL421/$AQ$28)/12,0)*12,"")))))</f>
        <v/>
      </c>
      <c r="AG421" s="202"/>
      <c r="AH421" s="113" t="str">
        <f>IF(C421="3111. Logements",ROUND(VLOOKUP(C421,'Informations générales'!$C$66:$H$70,5,FALSE)*(AL421/$AM$28)/12,0)*12,IF(C421="3112. Logements",ROUND(VLOOKUP(C421,'Informations générales'!$C$66:$H$70,5,FALSE)*(AL421/$AN$28)/12,0)*12,IF(C421="3113. Logements",ROUND(VLOOKUP(C421,'Informations générales'!$C$66:$H$70,5,FALSE)*(AL421/$AO$28)/12,0)*12,IF(C421="3114. Logements",ROUND(VLOOKUP(C421,'Informations générales'!$C$66:$H$70,5,FALSE)*(AL421/$AP$28)/12,0)*12,IF(C421="3115. Logements",ROUND(VLOOKUP(C421,'Informations générales'!$C$66:$H$70,5,FALSE)*(AL421/$AQ$28)/12,0)*12,"")))))</f>
        <v/>
      </c>
      <c r="AI421" s="114"/>
      <c r="AJ421" s="114"/>
      <c r="AK421" s="76"/>
      <c r="AL421" s="58">
        <f t="shared" si="99"/>
        <v>0</v>
      </c>
      <c r="AM421" s="58"/>
      <c r="AN421" s="58"/>
      <c r="AO421" s="58"/>
      <c r="AP421" s="58"/>
      <c r="AQ421" s="58"/>
      <c r="AR421" s="58">
        <f t="shared" si="87"/>
        <v>0</v>
      </c>
      <c r="AS421" s="58">
        <f t="shared" si="88"/>
        <v>0</v>
      </c>
      <c r="AT421" s="58">
        <f t="shared" si="89"/>
        <v>0</v>
      </c>
      <c r="AU421" s="58">
        <f t="shared" si="90"/>
        <v>0</v>
      </c>
      <c r="AV421" s="58">
        <f t="shared" si="91"/>
        <v>0</v>
      </c>
      <c r="AW421" s="58">
        <f t="shared" si="92"/>
        <v>0</v>
      </c>
      <c r="AX421" s="58">
        <f t="shared" si="93"/>
        <v>0</v>
      </c>
      <c r="AY421" s="58">
        <f t="shared" si="100"/>
        <v>0</v>
      </c>
      <c r="AZ421" s="62">
        <f t="shared" si="94"/>
        <v>0</v>
      </c>
      <c r="BA421" s="63">
        <f t="shared" si="95"/>
        <v>0</v>
      </c>
      <c r="BB421" s="63">
        <f t="shared" si="96"/>
        <v>0</v>
      </c>
    </row>
    <row r="422" spans="3:54" s="17" customFormat="1" x14ac:dyDescent="0.25">
      <c r="C422" s="215"/>
      <c r="D422" s="216"/>
      <c r="E422" s="88"/>
      <c r="F422" s="217"/>
      <c r="G422" s="234"/>
      <c r="H422" s="218"/>
      <c r="I422" s="76"/>
      <c r="J422" s="77"/>
      <c r="K422" s="76"/>
      <c r="L422" s="78"/>
      <c r="M422" s="78"/>
      <c r="N422" s="76" t="s">
        <v>39</v>
      </c>
      <c r="O422" s="110"/>
      <c r="P422" s="152"/>
      <c r="Q422" s="111" t="str">
        <f>IFERROR(MIN(VLOOKUP(ROUNDDOWN(P422,0),'Aide calcul'!$B$2:$C$282,2,FALSE),O422+1),"")</f>
        <v/>
      </c>
      <c r="R422" s="112" t="str">
        <f t="shared" si="97"/>
        <v/>
      </c>
      <c r="S422" s="152"/>
      <c r="T422" s="152"/>
      <c r="U422" s="152"/>
      <c r="V422" s="152"/>
      <c r="W422" s="152"/>
      <c r="X422" s="152"/>
      <c r="Y422" s="152"/>
      <c r="Z422" s="76"/>
      <c r="AA422" s="76"/>
      <c r="AB422" s="113" t="str">
        <f>IF(C422="3111. Logements",ROUND(VLOOKUP(C422,'Informations générales'!$C$66:$E$70,3,FALSE)*(AL422/$AM$28)/12,0)*12,IF(C422="3112. Logements",ROUND(VLOOKUP(C422,'Informations générales'!$C$66:$E$70,3,FALSE)*(AL422/$AN$28)/12,0)*12,IF(C422="3113. Logements",ROUND(VLOOKUP(C422,'Informations générales'!$C$66:$E$70,3,FALSE)*(AL422/$AO$28)/12,0)*12,IF(C422="3114. Logements",ROUND(VLOOKUP(C422,'Informations générales'!$C$66:$E$70,3,FALSE)*(AL422/$AP$28)/12,0)*12,IF(C422="3115. Logements",ROUND(VLOOKUP(C422,'Informations générales'!$C$66:$E$70,3,FALSE)*(AL422/$AQ$28)/12,0)*12,"")))))</f>
        <v/>
      </c>
      <c r="AC422" s="114"/>
      <c r="AD422" s="113">
        <f t="shared" si="98"/>
        <v>0</v>
      </c>
      <c r="AE422" s="114"/>
      <c r="AF422" s="203" t="str">
        <f>IF(C422="3111. Logements",ROUND(VLOOKUP(C422,'Informations générales'!$C$66:$E$70,3,FALSE)*(AL422/$AM$28)/12,0)*12,IF(C422="3112. Logements",ROUND(VLOOKUP(C422,'Informations générales'!$C$66:$E$70,3,FALSE)*(AL422/$AN$28)/12,0)*12,IF(C422="3113. Logements",ROUND(VLOOKUP(C422,'Informations générales'!$C$66:$E$70,3,FALSE)*(AL422/$AO$28)/12,0)*12,IF(C422="3114. Logements",ROUND(VLOOKUP(C422,'Informations générales'!$C$66:$E$70,3,FALSE)*(AL422/$AP$28)/12,0)*12,IF(C422="3115. Logements",ROUND(VLOOKUP(C422,'Informations générales'!$C$66:$E$70,3,FALSE)*(AL422/$AQ$28)/12,0)*12,"")))))</f>
        <v/>
      </c>
      <c r="AG422" s="202"/>
      <c r="AH422" s="113" t="str">
        <f>IF(C422="3111. Logements",ROUND(VLOOKUP(C422,'Informations générales'!$C$66:$H$70,5,FALSE)*(AL422/$AM$28)/12,0)*12,IF(C422="3112. Logements",ROUND(VLOOKUP(C422,'Informations générales'!$C$66:$H$70,5,FALSE)*(AL422/$AN$28)/12,0)*12,IF(C422="3113. Logements",ROUND(VLOOKUP(C422,'Informations générales'!$C$66:$H$70,5,FALSE)*(AL422/$AO$28)/12,0)*12,IF(C422="3114. Logements",ROUND(VLOOKUP(C422,'Informations générales'!$C$66:$H$70,5,FALSE)*(AL422/$AP$28)/12,0)*12,IF(C422="3115. Logements",ROUND(VLOOKUP(C422,'Informations générales'!$C$66:$H$70,5,FALSE)*(AL422/$AQ$28)/12,0)*12,"")))))</f>
        <v/>
      </c>
      <c r="AI422" s="114"/>
      <c r="AJ422" s="114"/>
      <c r="AK422" s="76"/>
      <c r="AL422" s="58">
        <f t="shared" si="99"/>
        <v>0</v>
      </c>
      <c r="AM422" s="58"/>
      <c r="AN422" s="58"/>
      <c r="AO422" s="58"/>
      <c r="AP422" s="58"/>
      <c r="AQ422" s="58"/>
      <c r="AR422" s="58">
        <f t="shared" si="87"/>
        <v>0</v>
      </c>
      <c r="AS422" s="58">
        <f t="shared" si="88"/>
        <v>0</v>
      </c>
      <c r="AT422" s="58">
        <f t="shared" si="89"/>
        <v>0</v>
      </c>
      <c r="AU422" s="58">
        <f t="shared" si="90"/>
        <v>0</v>
      </c>
      <c r="AV422" s="58">
        <f t="shared" si="91"/>
        <v>0</v>
      </c>
      <c r="AW422" s="58">
        <f t="shared" si="92"/>
        <v>0</v>
      </c>
      <c r="AX422" s="58">
        <f t="shared" si="93"/>
        <v>0</v>
      </c>
      <c r="AY422" s="58">
        <f t="shared" si="100"/>
        <v>0</v>
      </c>
      <c r="AZ422" s="62">
        <f t="shared" si="94"/>
        <v>0</v>
      </c>
      <c r="BA422" s="63">
        <f t="shared" si="95"/>
        <v>0</v>
      </c>
      <c r="BB422" s="63">
        <f t="shared" si="96"/>
        <v>0</v>
      </c>
    </row>
    <row r="423" spans="3:54" s="17" customFormat="1" x14ac:dyDescent="0.25">
      <c r="C423" s="215"/>
      <c r="D423" s="216"/>
      <c r="E423" s="88"/>
      <c r="F423" s="217"/>
      <c r="G423" s="234"/>
      <c r="H423" s="218"/>
      <c r="I423" s="76"/>
      <c r="J423" s="77"/>
      <c r="K423" s="76"/>
      <c r="L423" s="78"/>
      <c r="M423" s="78"/>
      <c r="N423" s="76" t="s">
        <v>39</v>
      </c>
      <c r="O423" s="110"/>
      <c r="P423" s="152"/>
      <c r="Q423" s="111" t="str">
        <f>IFERROR(MIN(VLOOKUP(ROUNDDOWN(P423,0),'Aide calcul'!$B$2:$C$282,2,FALSE),O423+1),"")</f>
        <v/>
      </c>
      <c r="R423" s="112" t="str">
        <f t="shared" si="97"/>
        <v/>
      </c>
      <c r="S423" s="152"/>
      <c r="T423" s="152"/>
      <c r="U423" s="152"/>
      <c r="V423" s="152"/>
      <c r="W423" s="152"/>
      <c r="X423" s="152"/>
      <c r="Y423" s="152"/>
      <c r="Z423" s="76"/>
      <c r="AA423" s="76"/>
      <c r="AB423" s="113" t="str">
        <f>IF(C423="3111. Logements",ROUND(VLOOKUP(C423,'Informations générales'!$C$66:$E$70,3,FALSE)*(AL423/$AM$28)/12,0)*12,IF(C423="3112. Logements",ROUND(VLOOKUP(C423,'Informations générales'!$C$66:$E$70,3,FALSE)*(AL423/$AN$28)/12,0)*12,IF(C423="3113. Logements",ROUND(VLOOKUP(C423,'Informations générales'!$C$66:$E$70,3,FALSE)*(AL423/$AO$28)/12,0)*12,IF(C423="3114. Logements",ROUND(VLOOKUP(C423,'Informations générales'!$C$66:$E$70,3,FALSE)*(AL423/$AP$28)/12,0)*12,IF(C423="3115. Logements",ROUND(VLOOKUP(C423,'Informations générales'!$C$66:$E$70,3,FALSE)*(AL423/$AQ$28)/12,0)*12,"")))))</f>
        <v/>
      </c>
      <c r="AC423" s="114"/>
      <c r="AD423" s="113">
        <f t="shared" si="98"/>
        <v>0</v>
      </c>
      <c r="AE423" s="114"/>
      <c r="AF423" s="203" t="str">
        <f>IF(C423="3111. Logements",ROUND(VLOOKUP(C423,'Informations générales'!$C$66:$E$70,3,FALSE)*(AL423/$AM$28)/12,0)*12,IF(C423="3112. Logements",ROUND(VLOOKUP(C423,'Informations générales'!$C$66:$E$70,3,FALSE)*(AL423/$AN$28)/12,0)*12,IF(C423="3113. Logements",ROUND(VLOOKUP(C423,'Informations générales'!$C$66:$E$70,3,FALSE)*(AL423/$AO$28)/12,0)*12,IF(C423="3114. Logements",ROUND(VLOOKUP(C423,'Informations générales'!$C$66:$E$70,3,FALSE)*(AL423/$AP$28)/12,0)*12,IF(C423="3115. Logements",ROUND(VLOOKUP(C423,'Informations générales'!$C$66:$E$70,3,FALSE)*(AL423/$AQ$28)/12,0)*12,"")))))</f>
        <v/>
      </c>
      <c r="AG423" s="202"/>
      <c r="AH423" s="113" t="str">
        <f>IF(C423="3111. Logements",ROUND(VLOOKUP(C423,'Informations générales'!$C$66:$H$70,5,FALSE)*(AL423/$AM$28)/12,0)*12,IF(C423="3112. Logements",ROUND(VLOOKUP(C423,'Informations générales'!$C$66:$H$70,5,FALSE)*(AL423/$AN$28)/12,0)*12,IF(C423="3113. Logements",ROUND(VLOOKUP(C423,'Informations générales'!$C$66:$H$70,5,FALSE)*(AL423/$AO$28)/12,0)*12,IF(C423="3114. Logements",ROUND(VLOOKUP(C423,'Informations générales'!$C$66:$H$70,5,FALSE)*(AL423/$AP$28)/12,0)*12,IF(C423="3115. Logements",ROUND(VLOOKUP(C423,'Informations générales'!$C$66:$H$70,5,FALSE)*(AL423/$AQ$28)/12,0)*12,"")))))</f>
        <v/>
      </c>
      <c r="AI423" s="114"/>
      <c r="AJ423" s="114"/>
      <c r="AK423" s="76"/>
      <c r="AL423" s="58">
        <f t="shared" si="99"/>
        <v>0</v>
      </c>
      <c r="AM423" s="58"/>
      <c r="AN423" s="58"/>
      <c r="AO423" s="58"/>
      <c r="AP423" s="58"/>
      <c r="AQ423" s="58"/>
      <c r="AR423" s="58">
        <f t="shared" si="87"/>
        <v>0</v>
      </c>
      <c r="AS423" s="58">
        <f t="shared" si="88"/>
        <v>0</v>
      </c>
      <c r="AT423" s="58">
        <f t="shared" si="89"/>
        <v>0</v>
      </c>
      <c r="AU423" s="58">
        <f t="shared" si="90"/>
        <v>0</v>
      </c>
      <c r="AV423" s="58">
        <f t="shared" si="91"/>
        <v>0</v>
      </c>
      <c r="AW423" s="58">
        <f t="shared" si="92"/>
        <v>0</v>
      </c>
      <c r="AX423" s="58">
        <f t="shared" si="93"/>
        <v>0</v>
      </c>
      <c r="AY423" s="58">
        <f t="shared" si="100"/>
        <v>0</v>
      </c>
      <c r="AZ423" s="62">
        <f t="shared" si="94"/>
        <v>0</v>
      </c>
      <c r="BA423" s="63">
        <f t="shared" si="95"/>
        <v>0</v>
      </c>
      <c r="BB423" s="63">
        <f t="shared" si="96"/>
        <v>0</v>
      </c>
    </row>
    <row r="424" spans="3:54" s="17" customFormat="1" x14ac:dyDescent="0.25">
      <c r="C424" s="215"/>
      <c r="D424" s="216"/>
      <c r="E424" s="88"/>
      <c r="F424" s="217"/>
      <c r="G424" s="234"/>
      <c r="H424" s="218"/>
      <c r="I424" s="76"/>
      <c r="J424" s="77"/>
      <c r="K424" s="76"/>
      <c r="L424" s="78"/>
      <c r="M424" s="78"/>
      <c r="N424" s="76" t="s">
        <v>39</v>
      </c>
      <c r="O424" s="110"/>
      <c r="P424" s="152"/>
      <c r="Q424" s="111" t="str">
        <f>IFERROR(MIN(VLOOKUP(ROUNDDOWN(P424,0),'Aide calcul'!$B$2:$C$282,2,FALSE),O424+1),"")</f>
        <v/>
      </c>
      <c r="R424" s="112" t="str">
        <f t="shared" si="97"/>
        <v/>
      </c>
      <c r="S424" s="152"/>
      <c r="T424" s="152"/>
      <c r="U424" s="152"/>
      <c r="V424" s="152"/>
      <c r="W424" s="152"/>
      <c r="X424" s="152"/>
      <c r="Y424" s="152"/>
      <c r="Z424" s="76"/>
      <c r="AA424" s="76"/>
      <c r="AB424" s="113" t="str">
        <f>IF(C424="3111. Logements",ROUND(VLOOKUP(C424,'Informations générales'!$C$66:$E$70,3,FALSE)*(AL424/$AM$28)/12,0)*12,IF(C424="3112. Logements",ROUND(VLOOKUP(C424,'Informations générales'!$C$66:$E$70,3,FALSE)*(AL424/$AN$28)/12,0)*12,IF(C424="3113. Logements",ROUND(VLOOKUP(C424,'Informations générales'!$C$66:$E$70,3,FALSE)*(AL424/$AO$28)/12,0)*12,IF(C424="3114. Logements",ROUND(VLOOKUP(C424,'Informations générales'!$C$66:$E$70,3,FALSE)*(AL424/$AP$28)/12,0)*12,IF(C424="3115. Logements",ROUND(VLOOKUP(C424,'Informations générales'!$C$66:$E$70,3,FALSE)*(AL424/$AQ$28)/12,0)*12,"")))))</f>
        <v/>
      </c>
      <c r="AC424" s="114"/>
      <c r="AD424" s="113">
        <f t="shared" si="98"/>
        <v>0</v>
      </c>
      <c r="AE424" s="114"/>
      <c r="AF424" s="203" t="str">
        <f>IF(C424="3111. Logements",ROUND(VLOOKUP(C424,'Informations générales'!$C$66:$E$70,3,FALSE)*(AL424/$AM$28)/12,0)*12,IF(C424="3112. Logements",ROUND(VLOOKUP(C424,'Informations générales'!$C$66:$E$70,3,FALSE)*(AL424/$AN$28)/12,0)*12,IF(C424="3113. Logements",ROUND(VLOOKUP(C424,'Informations générales'!$C$66:$E$70,3,FALSE)*(AL424/$AO$28)/12,0)*12,IF(C424="3114. Logements",ROUND(VLOOKUP(C424,'Informations générales'!$C$66:$E$70,3,FALSE)*(AL424/$AP$28)/12,0)*12,IF(C424="3115. Logements",ROUND(VLOOKUP(C424,'Informations générales'!$C$66:$E$70,3,FALSE)*(AL424/$AQ$28)/12,0)*12,"")))))</f>
        <v/>
      </c>
      <c r="AG424" s="202"/>
      <c r="AH424" s="113" t="str">
        <f>IF(C424="3111. Logements",ROUND(VLOOKUP(C424,'Informations générales'!$C$66:$H$70,5,FALSE)*(AL424/$AM$28)/12,0)*12,IF(C424="3112. Logements",ROUND(VLOOKUP(C424,'Informations générales'!$C$66:$H$70,5,FALSE)*(AL424/$AN$28)/12,0)*12,IF(C424="3113. Logements",ROUND(VLOOKUP(C424,'Informations générales'!$C$66:$H$70,5,FALSE)*(AL424/$AO$28)/12,0)*12,IF(C424="3114. Logements",ROUND(VLOOKUP(C424,'Informations générales'!$C$66:$H$70,5,FALSE)*(AL424/$AP$28)/12,0)*12,IF(C424="3115. Logements",ROUND(VLOOKUP(C424,'Informations générales'!$C$66:$H$70,5,FALSE)*(AL424/$AQ$28)/12,0)*12,"")))))</f>
        <v/>
      </c>
      <c r="AI424" s="114"/>
      <c r="AJ424" s="114"/>
      <c r="AK424" s="76"/>
      <c r="AL424" s="58">
        <f t="shared" si="99"/>
        <v>0</v>
      </c>
      <c r="AM424" s="58"/>
      <c r="AN424" s="58"/>
      <c r="AO424" s="58"/>
      <c r="AP424" s="58"/>
      <c r="AQ424" s="58"/>
      <c r="AR424" s="58">
        <f t="shared" si="87"/>
        <v>0</v>
      </c>
      <c r="AS424" s="58">
        <f t="shared" si="88"/>
        <v>0</v>
      </c>
      <c r="AT424" s="58">
        <f t="shared" si="89"/>
        <v>0</v>
      </c>
      <c r="AU424" s="58">
        <f t="shared" si="90"/>
        <v>0</v>
      </c>
      <c r="AV424" s="58">
        <f t="shared" si="91"/>
        <v>0</v>
      </c>
      <c r="AW424" s="58">
        <f t="shared" si="92"/>
        <v>0</v>
      </c>
      <c r="AX424" s="58">
        <f t="shared" si="93"/>
        <v>0</v>
      </c>
      <c r="AY424" s="58">
        <f t="shared" si="100"/>
        <v>0</v>
      </c>
      <c r="AZ424" s="62">
        <f t="shared" si="94"/>
        <v>0</v>
      </c>
      <c r="BA424" s="63">
        <f t="shared" si="95"/>
        <v>0</v>
      </c>
      <c r="BB424" s="63">
        <f t="shared" si="96"/>
        <v>0</v>
      </c>
    </row>
    <row r="425" spans="3:54" s="17" customFormat="1" x14ac:dyDescent="0.25">
      <c r="C425" s="215"/>
      <c r="D425" s="216"/>
      <c r="E425" s="88"/>
      <c r="F425" s="217"/>
      <c r="G425" s="234"/>
      <c r="H425" s="218"/>
      <c r="I425" s="76"/>
      <c r="J425" s="77"/>
      <c r="K425" s="76"/>
      <c r="L425" s="78"/>
      <c r="M425" s="78"/>
      <c r="N425" s="76" t="s">
        <v>39</v>
      </c>
      <c r="O425" s="110"/>
      <c r="P425" s="152"/>
      <c r="Q425" s="111" t="str">
        <f>IFERROR(MIN(VLOOKUP(ROUNDDOWN(P425,0),'Aide calcul'!$B$2:$C$282,2,FALSE),O425+1),"")</f>
        <v/>
      </c>
      <c r="R425" s="112" t="str">
        <f t="shared" si="97"/>
        <v/>
      </c>
      <c r="S425" s="152"/>
      <c r="T425" s="152"/>
      <c r="U425" s="152"/>
      <c r="V425" s="152"/>
      <c r="W425" s="152"/>
      <c r="X425" s="152"/>
      <c r="Y425" s="152"/>
      <c r="Z425" s="76"/>
      <c r="AA425" s="76"/>
      <c r="AB425" s="113" t="str">
        <f>IF(C425="3111. Logements",ROUND(VLOOKUP(C425,'Informations générales'!$C$66:$E$70,3,FALSE)*(AL425/$AM$28)/12,0)*12,IF(C425="3112. Logements",ROUND(VLOOKUP(C425,'Informations générales'!$C$66:$E$70,3,FALSE)*(AL425/$AN$28)/12,0)*12,IF(C425="3113. Logements",ROUND(VLOOKUP(C425,'Informations générales'!$C$66:$E$70,3,FALSE)*(AL425/$AO$28)/12,0)*12,IF(C425="3114. Logements",ROUND(VLOOKUP(C425,'Informations générales'!$C$66:$E$70,3,FALSE)*(AL425/$AP$28)/12,0)*12,IF(C425="3115. Logements",ROUND(VLOOKUP(C425,'Informations générales'!$C$66:$E$70,3,FALSE)*(AL425/$AQ$28)/12,0)*12,"")))))</f>
        <v/>
      </c>
      <c r="AC425" s="114"/>
      <c r="AD425" s="113">
        <f t="shared" si="98"/>
        <v>0</v>
      </c>
      <c r="AE425" s="114"/>
      <c r="AF425" s="203" t="str">
        <f>IF(C425="3111. Logements",ROUND(VLOOKUP(C425,'Informations générales'!$C$66:$E$70,3,FALSE)*(AL425/$AM$28)/12,0)*12,IF(C425="3112. Logements",ROUND(VLOOKUP(C425,'Informations générales'!$C$66:$E$70,3,FALSE)*(AL425/$AN$28)/12,0)*12,IF(C425="3113. Logements",ROUND(VLOOKUP(C425,'Informations générales'!$C$66:$E$70,3,FALSE)*(AL425/$AO$28)/12,0)*12,IF(C425="3114. Logements",ROUND(VLOOKUP(C425,'Informations générales'!$C$66:$E$70,3,FALSE)*(AL425/$AP$28)/12,0)*12,IF(C425="3115. Logements",ROUND(VLOOKUP(C425,'Informations générales'!$C$66:$E$70,3,FALSE)*(AL425/$AQ$28)/12,0)*12,"")))))</f>
        <v/>
      </c>
      <c r="AG425" s="202"/>
      <c r="AH425" s="113" t="str">
        <f>IF(C425="3111. Logements",ROUND(VLOOKUP(C425,'Informations générales'!$C$66:$H$70,5,FALSE)*(AL425/$AM$28)/12,0)*12,IF(C425="3112. Logements",ROUND(VLOOKUP(C425,'Informations générales'!$C$66:$H$70,5,FALSE)*(AL425/$AN$28)/12,0)*12,IF(C425="3113. Logements",ROUND(VLOOKUP(C425,'Informations générales'!$C$66:$H$70,5,FALSE)*(AL425/$AO$28)/12,0)*12,IF(C425="3114. Logements",ROUND(VLOOKUP(C425,'Informations générales'!$C$66:$H$70,5,FALSE)*(AL425/$AP$28)/12,0)*12,IF(C425="3115. Logements",ROUND(VLOOKUP(C425,'Informations générales'!$C$66:$H$70,5,FALSE)*(AL425/$AQ$28)/12,0)*12,"")))))</f>
        <v/>
      </c>
      <c r="AI425" s="114"/>
      <c r="AJ425" s="114"/>
      <c r="AK425" s="76"/>
      <c r="AL425" s="58">
        <f t="shared" si="99"/>
        <v>0</v>
      </c>
      <c r="AM425" s="58"/>
      <c r="AN425" s="58"/>
      <c r="AO425" s="58"/>
      <c r="AP425" s="58"/>
      <c r="AQ425" s="58"/>
      <c r="AR425" s="58">
        <f t="shared" si="87"/>
        <v>0</v>
      </c>
      <c r="AS425" s="58">
        <f t="shared" si="88"/>
        <v>0</v>
      </c>
      <c r="AT425" s="58">
        <f t="shared" si="89"/>
        <v>0</v>
      </c>
      <c r="AU425" s="58">
        <f t="shared" si="90"/>
        <v>0</v>
      </c>
      <c r="AV425" s="58">
        <f t="shared" si="91"/>
        <v>0</v>
      </c>
      <c r="AW425" s="58">
        <f t="shared" si="92"/>
        <v>0</v>
      </c>
      <c r="AX425" s="58">
        <f t="shared" si="93"/>
        <v>0</v>
      </c>
      <c r="AY425" s="58">
        <f t="shared" si="100"/>
        <v>0</v>
      </c>
      <c r="AZ425" s="62">
        <f t="shared" si="94"/>
        <v>0</v>
      </c>
      <c r="BA425" s="63">
        <f t="shared" si="95"/>
        <v>0</v>
      </c>
      <c r="BB425" s="63">
        <f t="shared" si="96"/>
        <v>0</v>
      </c>
    </row>
    <row r="426" spans="3:54" s="17" customFormat="1" x14ac:dyDescent="0.25">
      <c r="C426" s="215"/>
      <c r="D426" s="216"/>
      <c r="E426" s="88"/>
      <c r="F426" s="217"/>
      <c r="G426" s="234"/>
      <c r="H426" s="218"/>
      <c r="I426" s="76"/>
      <c r="J426" s="77"/>
      <c r="K426" s="76"/>
      <c r="L426" s="78"/>
      <c r="M426" s="78"/>
      <c r="N426" s="76" t="s">
        <v>39</v>
      </c>
      <c r="O426" s="110"/>
      <c r="P426" s="152"/>
      <c r="Q426" s="111" t="str">
        <f>IFERROR(MIN(VLOOKUP(ROUNDDOWN(P426,0),'Aide calcul'!$B$2:$C$282,2,FALSE),O426+1),"")</f>
        <v/>
      </c>
      <c r="R426" s="112" t="str">
        <f t="shared" si="97"/>
        <v/>
      </c>
      <c r="S426" s="152"/>
      <c r="T426" s="152"/>
      <c r="U426" s="152"/>
      <c r="V426" s="152"/>
      <c r="W426" s="152"/>
      <c r="X426" s="152"/>
      <c r="Y426" s="152"/>
      <c r="Z426" s="76"/>
      <c r="AA426" s="76"/>
      <c r="AB426" s="113" t="str">
        <f>IF(C426="3111. Logements",ROUND(VLOOKUP(C426,'Informations générales'!$C$66:$E$70,3,FALSE)*(AL426/$AM$28)/12,0)*12,IF(C426="3112. Logements",ROUND(VLOOKUP(C426,'Informations générales'!$C$66:$E$70,3,FALSE)*(AL426/$AN$28)/12,0)*12,IF(C426="3113. Logements",ROUND(VLOOKUP(C426,'Informations générales'!$C$66:$E$70,3,FALSE)*(AL426/$AO$28)/12,0)*12,IF(C426="3114. Logements",ROUND(VLOOKUP(C426,'Informations générales'!$C$66:$E$70,3,FALSE)*(AL426/$AP$28)/12,0)*12,IF(C426="3115. Logements",ROUND(VLOOKUP(C426,'Informations générales'!$C$66:$E$70,3,FALSE)*(AL426/$AQ$28)/12,0)*12,"")))))</f>
        <v/>
      </c>
      <c r="AC426" s="114"/>
      <c r="AD426" s="113">
        <f t="shared" si="98"/>
        <v>0</v>
      </c>
      <c r="AE426" s="114"/>
      <c r="AF426" s="203" t="str">
        <f>IF(C426="3111. Logements",ROUND(VLOOKUP(C426,'Informations générales'!$C$66:$E$70,3,FALSE)*(AL426/$AM$28)/12,0)*12,IF(C426="3112. Logements",ROUND(VLOOKUP(C426,'Informations générales'!$C$66:$E$70,3,FALSE)*(AL426/$AN$28)/12,0)*12,IF(C426="3113. Logements",ROUND(VLOOKUP(C426,'Informations générales'!$C$66:$E$70,3,FALSE)*(AL426/$AO$28)/12,0)*12,IF(C426="3114. Logements",ROUND(VLOOKUP(C426,'Informations générales'!$C$66:$E$70,3,FALSE)*(AL426/$AP$28)/12,0)*12,IF(C426="3115. Logements",ROUND(VLOOKUP(C426,'Informations générales'!$C$66:$E$70,3,FALSE)*(AL426/$AQ$28)/12,0)*12,"")))))</f>
        <v/>
      </c>
      <c r="AG426" s="202"/>
      <c r="AH426" s="113" t="str">
        <f>IF(C426="3111. Logements",ROUND(VLOOKUP(C426,'Informations générales'!$C$66:$H$70,5,FALSE)*(AL426/$AM$28)/12,0)*12,IF(C426="3112. Logements",ROUND(VLOOKUP(C426,'Informations générales'!$C$66:$H$70,5,FALSE)*(AL426/$AN$28)/12,0)*12,IF(C426="3113. Logements",ROUND(VLOOKUP(C426,'Informations générales'!$C$66:$H$70,5,FALSE)*(AL426/$AO$28)/12,0)*12,IF(C426="3114. Logements",ROUND(VLOOKUP(C426,'Informations générales'!$C$66:$H$70,5,FALSE)*(AL426/$AP$28)/12,0)*12,IF(C426="3115. Logements",ROUND(VLOOKUP(C426,'Informations générales'!$C$66:$H$70,5,FALSE)*(AL426/$AQ$28)/12,0)*12,"")))))</f>
        <v/>
      </c>
      <c r="AI426" s="114"/>
      <c r="AJ426" s="114"/>
      <c r="AK426" s="76"/>
      <c r="AL426" s="58">
        <f t="shared" si="99"/>
        <v>0</v>
      </c>
      <c r="AM426" s="58"/>
      <c r="AN426" s="58"/>
      <c r="AO426" s="58"/>
      <c r="AP426" s="58"/>
      <c r="AQ426" s="58"/>
      <c r="AR426" s="58">
        <f t="shared" si="87"/>
        <v>0</v>
      </c>
      <c r="AS426" s="58">
        <f t="shared" si="88"/>
        <v>0</v>
      </c>
      <c r="AT426" s="58">
        <f t="shared" si="89"/>
        <v>0</v>
      </c>
      <c r="AU426" s="58">
        <f t="shared" si="90"/>
        <v>0</v>
      </c>
      <c r="AV426" s="58">
        <f t="shared" si="91"/>
        <v>0</v>
      </c>
      <c r="AW426" s="58">
        <f t="shared" si="92"/>
        <v>0</v>
      </c>
      <c r="AX426" s="58">
        <f t="shared" si="93"/>
        <v>0</v>
      </c>
      <c r="AY426" s="58">
        <f t="shared" si="100"/>
        <v>0</v>
      </c>
      <c r="AZ426" s="62">
        <f t="shared" si="94"/>
        <v>0</v>
      </c>
      <c r="BA426" s="63">
        <f t="shared" si="95"/>
        <v>0</v>
      </c>
      <c r="BB426" s="63">
        <f t="shared" si="96"/>
        <v>0</v>
      </c>
    </row>
    <row r="427" spans="3:54" s="17" customFormat="1" x14ac:dyDescent="0.25">
      <c r="C427" s="215"/>
      <c r="D427" s="216"/>
      <c r="E427" s="88"/>
      <c r="F427" s="217"/>
      <c r="G427" s="234"/>
      <c r="H427" s="218"/>
      <c r="I427" s="76"/>
      <c r="J427" s="77"/>
      <c r="K427" s="76"/>
      <c r="L427" s="78"/>
      <c r="M427" s="78"/>
      <c r="N427" s="76" t="s">
        <v>39</v>
      </c>
      <c r="O427" s="110"/>
      <c r="P427" s="152"/>
      <c r="Q427" s="111" t="str">
        <f>IFERROR(MIN(VLOOKUP(ROUNDDOWN(P427,0),'Aide calcul'!$B$2:$C$282,2,FALSE),O427+1),"")</f>
        <v/>
      </c>
      <c r="R427" s="112" t="str">
        <f t="shared" si="97"/>
        <v/>
      </c>
      <c r="S427" s="152"/>
      <c r="T427" s="152"/>
      <c r="U427" s="152"/>
      <c r="V427" s="152"/>
      <c r="W427" s="152"/>
      <c r="X427" s="152"/>
      <c r="Y427" s="152"/>
      <c r="Z427" s="76"/>
      <c r="AA427" s="76"/>
      <c r="AB427" s="113" t="str">
        <f>IF(C427="3111. Logements",ROUND(VLOOKUP(C427,'Informations générales'!$C$66:$E$70,3,FALSE)*(AL427/$AM$28)/12,0)*12,IF(C427="3112. Logements",ROUND(VLOOKUP(C427,'Informations générales'!$C$66:$E$70,3,FALSE)*(AL427/$AN$28)/12,0)*12,IF(C427="3113. Logements",ROUND(VLOOKUP(C427,'Informations générales'!$C$66:$E$70,3,FALSE)*(AL427/$AO$28)/12,0)*12,IF(C427="3114. Logements",ROUND(VLOOKUP(C427,'Informations générales'!$C$66:$E$70,3,FALSE)*(AL427/$AP$28)/12,0)*12,IF(C427="3115. Logements",ROUND(VLOOKUP(C427,'Informations générales'!$C$66:$E$70,3,FALSE)*(AL427/$AQ$28)/12,0)*12,"")))))</f>
        <v/>
      </c>
      <c r="AC427" s="114"/>
      <c r="AD427" s="113">
        <f t="shared" si="98"/>
        <v>0</v>
      </c>
      <c r="AE427" s="114"/>
      <c r="AF427" s="203" t="str">
        <f>IF(C427="3111. Logements",ROUND(VLOOKUP(C427,'Informations générales'!$C$66:$E$70,3,FALSE)*(AL427/$AM$28)/12,0)*12,IF(C427="3112. Logements",ROUND(VLOOKUP(C427,'Informations générales'!$C$66:$E$70,3,FALSE)*(AL427/$AN$28)/12,0)*12,IF(C427="3113. Logements",ROUND(VLOOKUP(C427,'Informations générales'!$C$66:$E$70,3,FALSE)*(AL427/$AO$28)/12,0)*12,IF(C427="3114. Logements",ROUND(VLOOKUP(C427,'Informations générales'!$C$66:$E$70,3,FALSE)*(AL427/$AP$28)/12,0)*12,IF(C427="3115. Logements",ROUND(VLOOKUP(C427,'Informations générales'!$C$66:$E$70,3,FALSE)*(AL427/$AQ$28)/12,0)*12,"")))))</f>
        <v/>
      </c>
      <c r="AG427" s="202"/>
      <c r="AH427" s="113" t="str">
        <f>IF(C427="3111. Logements",ROUND(VLOOKUP(C427,'Informations générales'!$C$66:$H$70,5,FALSE)*(AL427/$AM$28)/12,0)*12,IF(C427="3112. Logements",ROUND(VLOOKUP(C427,'Informations générales'!$C$66:$H$70,5,FALSE)*(AL427/$AN$28)/12,0)*12,IF(C427="3113. Logements",ROUND(VLOOKUP(C427,'Informations générales'!$C$66:$H$70,5,FALSE)*(AL427/$AO$28)/12,0)*12,IF(C427="3114. Logements",ROUND(VLOOKUP(C427,'Informations générales'!$C$66:$H$70,5,FALSE)*(AL427/$AP$28)/12,0)*12,IF(C427="3115. Logements",ROUND(VLOOKUP(C427,'Informations générales'!$C$66:$H$70,5,FALSE)*(AL427/$AQ$28)/12,0)*12,"")))))</f>
        <v/>
      </c>
      <c r="AI427" s="114"/>
      <c r="AJ427" s="114"/>
      <c r="AK427" s="76"/>
      <c r="AL427" s="58">
        <f t="shared" si="99"/>
        <v>0</v>
      </c>
      <c r="AM427" s="58"/>
      <c r="AN427" s="58"/>
      <c r="AO427" s="58"/>
      <c r="AP427" s="58"/>
      <c r="AQ427" s="58"/>
      <c r="AR427" s="58">
        <f t="shared" si="87"/>
        <v>0</v>
      </c>
      <c r="AS427" s="58">
        <f t="shared" si="88"/>
        <v>0</v>
      </c>
      <c r="AT427" s="58">
        <f t="shared" si="89"/>
        <v>0</v>
      </c>
      <c r="AU427" s="58">
        <f t="shared" si="90"/>
        <v>0</v>
      </c>
      <c r="AV427" s="58">
        <f t="shared" si="91"/>
        <v>0</v>
      </c>
      <c r="AW427" s="58">
        <f t="shared" si="92"/>
        <v>0</v>
      </c>
      <c r="AX427" s="58">
        <f t="shared" si="93"/>
        <v>0</v>
      </c>
      <c r="AY427" s="58">
        <f t="shared" si="100"/>
        <v>0</v>
      </c>
      <c r="AZ427" s="62">
        <f t="shared" si="94"/>
        <v>0</v>
      </c>
      <c r="BA427" s="63">
        <f t="shared" si="95"/>
        <v>0</v>
      </c>
      <c r="BB427" s="63">
        <f t="shared" si="96"/>
        <v>0</v>
      </c>
    </row>
    <row r="428" spans="3:54" s="17" customFormat="1" x14ac:dyDescent="0.25">
      <c r="C428" s="215"/>
      <c r="D428" s="216"/>
      <c r="E428" s="88"/>
      <c r="F428" s="217"/>
      <c r="G428" s="234"/>
      <c r="H428" s="218"/>
      <c r="I428" s="76"/>
      <c r="J428" s="77"/>
      <c r="K428" s="76"/>
      <c r="L428" s="78"/>
      <c r="M428" s="78"/>
      <c r="N428" s="76" t="s">
        <v>39</v>
      </c>
      <c r="O428" s="110"/>
      <c r="P428" s="152"/>
      <c r="Q428" s="111" t="str">
        <f>IFERROR(MIN(VLOOKUP(ROUNDDOWN(P428,0),'Aide calcul'!$B$2:$C$282,2,FALSE),O428+1),"")</f>
        <v/>
      </c>
      <c r="R428" s="112" t="str">
        <f t="shared" si="97"/>
        <v/>
      </c>
      <c r="S428" s="152"/>
      <c r="T428" s="152"/>
      <c r="U428" s="152"/>
      <c r="V428" s="152"/>
      <c r="W428" s="152"/>
      <c r="X428" s="152"/>
      <c r="Y428" s="152"/>
      <c r="Z428" s="76"/>
      <c r="AA428" s="76"/>
      <c r="AB428" s="113" t="str">
        <f>IF(C428="3111. Logements",ROUND(VLOOKUP(C428,'Informations générales'!$C$66:$E$70,3,FALSE)*(AL428/$AM$28)/12,0)*12,IF(C428="3112. Logements",ROUND(VLOOKUP(C428,'Informations générales'!$C$66:$E$70,3,FALSE)*(AL428/$AN$28)/12,0)*12,IF(C428="3113. Logements",ROUND(VLOOKUP(C428,'Informations générales'!$C$66:$E$70,3,FALSE)*(AL428/$AO$28)/12,0)*12,IF(C428="3114. Logements",ROUND(VLOOKUP(C428,'Informations générales'!$C$66:$E$70,3,FALSE)*(AL428/$AP$28)/12,0)*12,IF(C428="3115. Logements",ROUND(VLOOKUP(C428,'Informations générales'!$C$66:$E$70,3,FALSE)*(AL428/$AQ$28)/12,0)*12,"")))))</f>
        <v/>
      </c>
      <c r="AC428" s="114"/>
      <c r="AD428" s="113">
        <f t="shared" si="98"/>
        <v>0</v>
      </c>
      <c r="AE428" s="114"/>
      <c r="AF428" s="203" t="str">
        <f>IF(C428="3111. Logements",ROUND(VLOOKUP(C428,'Informations générales'!$C$66:$E$70,3,FALSE)*(AL428/$AM$28)/12,0)*12,IF(C428="3112. Logements",ROUND(VLOOKUP(C428,'Informations générales'!$C$66:$E$70,3,FALSE)*(AL428/$AN$28)/12,0)*12,IF(C428="3113. Logements",ROUND(VLOOKUP(C428,'Informations générales'!$C$66:$E$70,3,FALSE)*(AL428/$AO$28)/12,0)*12,IF(C428="3114. Logements",ROUND(VLOOKUP(C428,'Informations générales'!$C$66:$E$70,3,FALSE)*(AL428/$AP$28)/12,0)*12,IF(C428="3115. Logements",ROUND(VLOOKUP(C428,'Informations générales'!$C$66:$E$70,3,FALSE)*(AL428/$AQ$28)/12,0)*12,"")))))</f>
        <v/>
      </c>
      <c r="AG428" s="202"/>
      <c r="AH428" s="113" t="str">
        <f>IF(C428="3111. Logements",ROUND(VLOOKUP(C428,'Informations générales'!$C$66:$H$70,5,FALSE)*(AL428/$AM$28)/12,0)*12,IF(C428="3112. Logements",ROUND(VLOOKUP(C428,'Informations générales'!$C$66:$H$70,5,FALSE)*(AL428/$AN$28)/12,0)*12,IF(C428="3113. Logements",ROUND(VLOOKUP(C428,'Informations générales'!$C$66:$H$70,5,FALSE)*(AL428/$AO$28)/12,0)*12,IF(C428="3114. Logements",ROUND(VLOOKUP(C428,'Informations générales'!$C$66:$H$70,5,FALSE)*(AL428/$AP$28)/12,0)*12,IF(C428="3115. Logements",ROUND(VLOOKUP(C428,'Informations générales'!$C$66:$H$70,5,FALSE)*(AL428/$AQ$28)/12,0)*12,"")))))</f>
        <v/>
      </c>
      <c r="AI428" s="114"/>
      <c r="AJ428" s="114"/>
      <c r="AK428" s="76"/>
      <c r="AL428" s="58">
        <f t="shared" si="99"/>
        <v>0</v>
      </c>
      <c r="AM428" s="58"/>
      <c r="AN428" s="58"/>
      <c r="AO428" s="58"/>
      <c r="AP428" s="58"/>
      <c r="AQ428" s="58"/>
      <c r="AR428" s="58">
        <f t="shared" si="87"/>
        <v>0</v>
      </c>
      <c r="AS428" s="58">
        <f t="shared" si="88"/>
        <v>0</v>
      </c>
      <c r="AT428" s="58">
        <f t="shared" si="89"/>
        <v>0</v>
      </c>
      <c r="AU428" s="58">
        <f t="shared" si="90"/>
        <v>0</v>
      </c>
      <c r="AV428" s="58">
        <f t="shared" si="91"/>
        <v>0</v>
      </c>
      <c r="AW428" s="58">
        <f t="shared" si="92"/>
        <v>0</v>
      </c>
      <c r="AX428" s="58">
        <f t="shared" si="93"/>
        <v>0</v>
      </c>
      <c r="AY428" s="58">
        <f t="shared" si="100"/>
        <v>0</v>
      </c>
      <c r="AZ428" s="62">
        <f t="shared" si="94"/>
        <v>0</v>
      </c>
      <c r="BA428" s="63">
        <f t="shared" si="95"/>
        <v>0</v>
      </c>
      <c r="BB428" s="63">
        <f t="shared" si="96"/>
        <v>0</v>
      </c>
    </row>
    <row r="429" spans="3:54" s="17" customFormat="1" x14ac:dyDescent="0.25">
      <c r="C429" s="215"/>
      <c r="D429" s="216"/>
      <c r="E429" s="88"/>
      <c r="F429" s="217"/>
      <c r="G429" s="234"/>
      <c r="H429" s="218"/>
      <c r="I429" s="76"/>
      <c r="J429" s="77"/>
      <c r="K429" s="76"/>
      <c r="L429" s="78"/>
      <c r="M429" s="78"/>
      <c r="N429" s="76" t="s">
        <v>39</v>
      </c>
      <c r="O429" s="110"/>
      <c r="P429" s="152"/>
      <c r="Q429" s="111" t="str">
        <f>IFERROR(MIN(VLOOKUP(ROUNDDOWN(P429,0),'Aide calcul'!$B$2:$C$282,2,FALSE),O429+1),"")</f>
        <v/>
      </c>
      <c r="R429" s="112" t="str">
        <f t="shared" si="97"/>
        <v/>
      </c>
      <c r="S429" s="152"/>
      <c r="T429" s="152"/>
      <c r="U429" s="152"/>
      <c r="V429" s="152"/>
      <c r="W429" s="152"/>
      <c r="X429" s="152"/>
      <c r="Y429" s="152"/>
      <c r="Z429" s="76"/>
      <c r="AA429" s="76"/>
      <c r="AB429" s="113" t="str">
        <f>IF(C429="3111. Logements",ROUND(VLOOKUP(C429,'Informations générales'!$C$66:$E$70,3,FALSE)*(AL429/$AM$28)/12,0)*12,IF(C429="3112. Logements",ROUND(VLOOKUP(C429,'Informations générales'!$C$66:$E$70,3,FALSE)*(AL429/$AN$28)/12,0)*12,IF(C429="3113. Logements",ROUND(VLOOKUP(C429,'Informations générales'!$C$66:$E$70,3,FALSE)*(AL429/$AO$28)/12,0)*12,IF(C429="3114. Logements",ROUND(VLOOKUP(C429,'Informations générales'!$C$66:$E$70,3,FALSE)*(AL429/$AP$28)/12,0)*12,IF(C429="3115. Logements",ROUND(VLOOKUP(C429,'Informations générales'!$C$66:$E$70,3,FALSE)*(AL429/$AQ$28)/12,0)*12,"")))))</f>
        <v/>
      </c>
      <c r="AC429" s="114"/>
      <c r="AD429" s="113">
        <f t="shared" si="98"/>
        <v>0</v>
      </c>
      <c r="AE429" s="114"/>
      <c r="AF429" s="203" t="str">
        <f>IF(C429="3111. Logements",ROUND(VLOOKUP(C429,'Informations générales'!$C$66:$E$70,3,FALSE)*(AL429/$AM$28)/12,0)*12,IF(C429="3112. Logements",ROUND(VLOOKUP(C429,'Informations générales'!$C$66:$E$70,3,FALSE)*(AL429/$AN$28)/12,0)*12,IF(C429="3113. Logements",ROUND(VLOOKUP(C429,'Informations générales'!$C$66:$E$70,3,FALSE)*(AL429/$AO$28)/12,0)*12,IF(C429="3114. Logements",ROUND(VLOOKUP(C429,'Informations générales'!$C$66:$E$70,3,FALSE)*(AL429/$AP$28)/12,0)*12,IF(C429="3115. Logements",ROUND(VLOOKUP(C429,'Informations générales'!$C$66:$E$70,3,FALSE)*(AL429/$AQ$28)/12,0)*12,"")))))</f>
        <v/>
      </c>
      <c r="AG429" s="202"/>
      <c r="AH429" s="113" t="str">
        <f>IF(C429="3111. Logements",ROUND(VLOOKUP(C429,'Informations générales'!$C$66:$H$70,5,FALSE)*(AL429/$AM$28)/12,0)*12,IF(C429="3112. Logements",ROUND(VLOOKUP(C429,'Informations générales'!$C$66:$H$70,5,FALSE)*(AL429/$AN$28)/12,0)*12,IF(C429="3113. Logements",ROUND(VLOOKUP(C429,'Informations générales'!$C$66:$H$70,5,FALSE)*(AL429/$AO$28)/12,0)*12,IF(C429="3114. Logements",ROUND(VLOOKUP(C429,'Informations générales'!$C$66:$H$70,5,FALSE)*(AL429/$AP$28)/12,0)*12,IF(C429="3115. Logements",ROUND(VLOOKUP(C429,'Informations générales'!$C$66:$H$70,5,FALSE)*(AL429/$AQ$28)/12,0)*12,"")))))</f>
        <v/>
      </c>
      <c r="AI429" s="114"/>
      <c r="AJ429" s="114"/>
      <c r="AK429" s="76"/>
      <c r="AL429" s="58">
        <f t="shared" si="99"/>
        <v>0</v>
      </c>
      <c r="AM429" s="58"/>
      <c r="AN429" s="58"/>
      <c r="AO429" s="58"/>
      <c r="AP429" s="58"/>
      <c r="AQ429" s="58"/>
      <c r="AR429" s="58">
        <f t="shared" si="87"/>
        <v>0</v>
      </c>
      <c r="AS429" s="58">
        <f t="shared" si="88"/>
        <v>0</v>
      </c>
      <c r="AT429" s="58">
        <f t="shared" si="89"/>
        <v>0</v>
      </c>
      <c r="AU429" s="58">
        <f t="shared" si="90"/>
        <v>0</v>
      </c>
      <c r="AV429" s="58">
        <f t="shared" si="91"/>
        <v>0</v>
      </c>
      <c r="AW429" s="58">
        <f t="shared" si="92"/>
        <v>0</v>
      </c>
      <c r="AX429" s="58">
        <f t="shared" si="93"/>
        <v>0</v>
      </c>
      <c r="AY429" s="58">
        <f t="shared" si="100"/>
        <v>0</v>
      </c>
      <c r="AZ429" s="62">
        <f t="shared" si="94"/>
        <v>0</v>
      </c>
      <c r="BA429" s="63">
        <f t="shared" si="95"/>
        <v>0</v>
      </c>
      <c r="BB429" s="63">
        <f t="shared" si="96"/>
        <v>0</v>
      </c>
    </row>
    <row r="430" spans="3:54" s="17" customFormat="1" x14ac:dyDescent="0.25">
      <c r="C430" s="215"/>
      <c r="D430" s="216"/>
      <c r="E430" s="88"/>
      <c r="F430" s="217"/>
      <c r="G430" s="234"/>
      <c r="H430" s="218"/>
      <c r="I430" s="76"/>
      <c r="J430" s="77"/>
      <c r="K430" s="76"/>
      <c r="L430" s="78"/>
      <c r="M430" s="78"/>
      <c r="N430" s="76" t="s">
        <v>39</v>
      </c>
      <c r="O430" s="110"/>
      <c r="P430" s="152"/>
      <c r="Q430" s="111" t="str">
        <f>IFERROR(MIN(VLOOKUP(ROUNDDOWN(P430,0),'Aide calcul'!$B$2:$C$282,2,FALSE),O430+1),"")</f>
        <v/>
      </c>
      <c r="R430" s="112" t="str">
        <f t="shared" si="97"/>
        <v/>
      </c>
      <c r="S430" s="152"/>
      <c r="T430" s="152"/>
      <c r="U430" s="152"/>
      <c r="V430" s="152"/>
      <c r="W430" s="152"/>
      <c r="X430" s="152"/>
      <c r="Y430" s="152"/>
      <c r="Z430" s="76"/>
      <c r="AA430" s="76"/>
      <c r="AB430" s="113" t="str">
        <f>IF(C430="3111. Logements",ROUND(VLOOKUP(C430,'Informations générales'!$C$66:$E$70,3,FALSE)*(AL430/$AM$28)/12,0)*12,IF(C430="3112. Logements",ROUND(VLOOKUP(C430,'Informations générales'!$C$66:$E$70,3,FALSE)*(AL430/$AN$28)/12,0)*12,IF(C430="3113. Logements",ROUND(VLOOKUP(C430,'Informations générales'!$C$66:$E$70,3,FALSE)*(AL430/$AO$28)/12,0)*12,IF(C430="3114. Logements",ROUND(VLOOKUP(C430,'Informations générales'!$C$66:$E$70,3,FALSE)*(AL430/$AP$28)/12,0)*12,IF(C430="3115. Logements",ROUND(VLOOKUP(C430,'Informations générales'!$C$66:$E$70,3,FALSE)*(AL430/$AQ$28)/12,0)*12,"")))))</f>
        <v/>
      </c>
      <c r="AC430" s="114"/>
      <c r="AD430" s="113">
        <f t="shared" si="98"/>
        <v>0</v>
      </c>
      <c r="AE430" s="114"/>
      <c r="AF430" s="203" t="str">
        <f>IF(C430="3111. Logements",ROUND(VLOOKUP(C430,'Informations générales'!$C$66:$E$70,3,FALSE)*(AL430/$AM$28)/12,0)*12,IF(C430="3112. Logements",ROUND(VLOOKUP(C430,'Informations générales'!$C$66:$E$70,3,FALSE)*(AL430/$AN$28)/12,0)*12,IF(C430="3113. Logements",ROUND(VLOOKUP(C430,'Informations générales'!$C$66:$E$70,3,FALSE)*(AL430/$AO$28)/12,0)*12,IF(C430="3114. Logements",ROUND(VLOOKUP(C430,'Informations générales'!$C$66:$E$70,3,FALSE)*(AL430/$AP$28)/12,0)*12,IF(C430="3115. Logements",ROUND(VLOOKUP(C430,'Informations générales'!$C$66:$E$70,3,FALSE)*(AL430/$AQ$28)/12,0)*12,"")))))</f>
        <v/>
      </c>
      <c r="AG430" s="202"/>
      <c r="AH430" s="113" t="str">
        <f>IF(C430="3111. Logements",ROUND(VLOOKUP(C430,'Informations générales'!$C$66:$H$70,5,FALSE)*(AL430/$AM$28)/12,0)*12,IF(C430="3112. Logements",ROUND(VLOOKUP(C430,'Informations générales'!$C$66:$H$70,5,FALSE)*(AL430/$AN$28)/12,0)*12,IF(C430="3113. Logements",ROUND(VLOOKUP(C430,'Informations générales'!$C$66:$H$70,5,FALSE)*(AL430/$AO$28)/12,0)*12,IF(C430="3114. Logements",ROUND(VLOOKUP(C430,'Informations générales'!$C$66:$H$70,5,FALSE)*(AL430/$AP$28)/12,0)*12,IF(C430="3115. Logements",ROUND(VLOOKUP(C430,'Informations générales'!$C$66:$H$70,5,FALSE)*(AL430/$AQ$28)/12,0)*12,"")))))</f>
        <v/>
      </c>
      <c r="AI430" s="114"/>
      <c r="AJ430" s="114"/>
      <c r="AK430" s="76"/>
      <c r="AL430" s="58">
        <f t="shared" si="99"/>
        <v>0</v>
      </c>
      <c r="AM430" s="58"/>
      <c r="AN430" s="58"/>
      <c r="AO430" s="58"/>
      <c r="AP430" s="58"/>
      <c r="AQ430" s="58"/>
      <c r="AR430" s="58">
        <f t="shared" si="87"/>
        <v>0</v>
      </c>
      <c r="AS430" s="58">
        <f t="shared" si="88"/>
        <v>0</v>
      </c>
      <c r="AT430" s="58">
        <f t="shared" si="89"/>
        <v>0</v>
      </c>
      <c r="AU430" s="58">
        <f t="shared" si="90"/>
        <v>0</v>
      </c>
      <c r="AV430" s="58">
        <f t="shared" si="91"/>
        <v>0</v>
      </c>
      <c r="AW430" s="58">
        <f t="shared" si="92"/>
        <v>0</v>
      </c>
      <c r="AX430" s="58">
        <f t="shared" si="93"/>
        <v>0</v>
      </c>
      <c r="AY430" s="58">
        <f t="shared" si="100"/>
        <v>0</v>
      </c>
      <c r="AZ430" s="62">
        <f t="shared" si="94"/>
        <v>0</v>
      </c>
      <c r="BA430" s="63">
        <f t="shared" si="95"/>
        <v>0</v>
      </c>
      <c r="BB430" s="63">
        <f t="shared" si="96"/>
        <v>0</v>
      </c>
    </row>
    <row r="431" spans="3:54" s="17" customFormat="1" x14ac:dyDescent="0.25">
      <c r="C431" s="215"/>
      <c r="D431" s="216"/>
      <c r="E431" s="88"/>
      <c r="F431" s="217"/>
      <c r="G431" s="234"/>
      <c r="H431" s="218"/>
      <c r="I431" s="76"/>
      <c r="J431" s="77"/>
      <c r="K431" s="76"/>
      <c r="L431" s="78"/>
      <c r="M431" s="78"/>
      <c r="N431" s="76" t="s">
        <v>39</v>
      </c>
      <c r="O431" s="110"/>
      <c r="P431" s="152"/>
      <c r="Q431" s="111" t="str">
        <f>IFERROR(MIN(VLOOKUP(ROUNDDOWN(P431,0),'Aide calcul'!$B$2:$C$282,2,FALSE),O431+1),"")</f>
        <v/>
      </c>
      <c r="R431" s="112" t="str">
        <f t="shared" si="97"/>
        <v/>
      </c>
      <c r="S431" s="152"/>
      <c r="T431" s="152"/>
      <c r="U431" s="152"/>
      <c r="V431" s="152"/>
      <c r="W431" s="152"/>
      <c r="X431" s="152"/>
      <c r="Y431" s="152"/>
      <c r="Z431" s="76"/>
      <c r="AA431" s="76"/>
      <c r="AB431" s="113" t="str">
        <f>IF(C431="3111. Logements",ROUND(VLOOKUP(C431,'Informations générales'!$C$66:$E$70,3,FALSE)*(AL431/$AM$28)/12,0)*12,IF(C431="3112. Logements",ROUND(VLOOKUP(C431,'Informations générales'!$C$66:$E$70,3,FALSE)*(AL431/$AN$28)/12,0)*12,IF(C431="3113. Logements",ROUND(VLOOKUP(C431,'Informations générales'!$C$66:$E$70,3,FALSE)*(AL431/$AO$28)/12,0)*12,IF(C431="3114. Logements",ROUND(VLOOKUP(C431,'Informations générales'!$C$66:$E$70,3,FALSE)*(AL431/$AP$28)/12,0)*12,IF(C431="3115. Logements",ROUND(VLOOKUP(C431,'Informations générales'!$C$66:$E$70,3,FALSE)*(AL431/$AQ$28)/12,0)*12,"")))))</f>
        <v/>
      </c>
      <c r="AC431" s="114"/>
      <c r="AD431" s="113">
        <f t="shared" si="98"/>
        <v>0</v>
      </c>
      <c r="AE431" s="114"/>
      <c r="AF431" s="203" t="str">
        <f>IF(C431="3111. Logements",ROUND(VLOOKUP(C431,'Informations générales'!$C$66:$E$70,3,FALSE)*(AL431/$AM$28)/12,0)*12,IF(C431="3112. Logements",ROUND(VLOOKUP(C431,'Informations générales'!$C$66:$E$70,3,FALSE)*(AL431/$AN$28)/12,0)*12,IF(C431="3113. Logements",ROUND(VLOOKUP(C431,'Informations générales'!$C$66:$E$70,3,FALSE)*(AL431/$AO$28)/12,0)*12,IF(C431="3114. Logements",ROUND(VLOOKUP(C431,'Informations générales'!$C$66:$E$70,3,FALSE)*(AL431/$AP$28)/12,0)*12,IF(C431="3115. Logements",ROUND(VLOOKUP(C431,'Informations générales'!$C$66:$E$70,3,FALSE)*(AL431/$AQ$28)/12,0)*12,"")))))</f>
        <v/>
      </c>
      <c r="AG431" s="202"/>
      <c r="AH431" s="113" t="str">
        <f>IF(C431="3111. Logements",ROUND(VLOOKUP(C431,'Informations générales'!$C$66:$H$70,5,FALSE)*(AL431/$AM$28)/12,0)*12,IF(C431="3112. Logements",ROUND(VLOOKUP(C431,'Informations générales'!$C$66:$H$70,5,FALSE)*(AL431/$AN$28)/12,0)*12,IF(C431="3113. Logements",ROUND(VLOOKUP(C431,'Informations générales'!$C$66:$H$70,5,FALSE)*(AL431/$AO$28)/12,0)*12,IF(C431="3114. Logements",ROUND(VLOOKUP(C431,'Informations générales'!$C$66:$H$70,5,FALSE)*(AL431/$AP$28)/12,0)*12,IF(C431="3115. Logements",ROUND(VLOOKUP(C431,'Informations générales'!$C$66:$H$70,5,FALSE)*(AL431/$AQ$28)/12,0)*12,"")))))</f>
        <v/>
      </c>
      <c r="AI431" s="114"/>
      <c r="AJ431" s="114"/>
      <c r="AK431" s="76"/>
      <c r="AL431" s="58">
        <f t="shared" si="99"/>
        <v>0</v>
      </c>
      <c r="AM431" s="58"/>
      <c r="AN431" s="58"/>
      <c r="AO431" s="58"/>
      <c r="AP431" s="58"/>
      <c r="AQ431" s="58"/>
      <c r="AR431" s="58">
        <f t="shared" si="87"/>
        <v>0</v>
      </c>
      <c r="AS431" s="58">
        <f t="shared" si="88"/>
        <v>0</v>
      </c>
      <c r="AT431" s="58">
        <f t="shared" si="89"/>
        <v>0</v>
      </c>
      <c r="AU431" s="58">
        <f t="shared" si="90"/>
        <v>0</v>
      </c>
      <c r="AV431" s="58">
        <f t="shared" si="91"/>
        <v>0</v>
      </c>
      <c r="AW431" s="58">
        <f t="shared" si="92"/>
        <v>0</v>
      </c>
      <c r="AX431" s="58">
        <f t="shared" si="93"/>
        <v>0</v>
      </c>
      <c r="AY431" s="58">
        <f t="shared" si="100"/>
        <v>0</v>
      </c>
      <c r="AZ431" s="62">
        <f t="shared" si="94"/>
        <v>0</v>
      </c>
      <c r="BA431" s="63">
        <f t="shared" si="95"/>
        <v>0</v>
      </c>
      <c r="BB431" s="63">
        <f t="shared" si="96"/>
        <v>0</v>
      </c>
    </row>
    <row r="432" spans="3:54" s="17" customFormat="1" x14ac:dyDescent="0.25">
      <c r="C432" s="215"/>
      <c r="D432" s="216"/>
      <c r="E432" s="88"/>
      <c r="F432" s="217"/>
      <c r="G432" s="234"/>
      <c r="H432" s="218"/>
      <c r="I432" s="76"/>
      <c r="J432" s="77"/>
      <c r="K432" s="76"/>
      <c r="L432" s="78"/>
      <c r="M432" s="78"/>
      <c r="N432" s="76" t="s">
        <v>39</v>
      </c>
      <c r="O432" s="110"/>
      <c r="P432" s="152"/>
      <c r="Q432" s="111" t="str">
        <f>IFERROR(MIN(VLOOKUP(ROUNDDOWN(P432,0),'Aide calcul'!$B$2:$C$282,2,FALSE),O432+1),"")</f>
        <v/>
      </c>
      <c r="R432" s="112" t="str">
        <f t="shared" si="97"/>
        <v/>
      </c>
      <c r="S432" s="152"/>
      <c r="T432" s="152"/>
      <c r="U432" s="152"/>
      <c r="V432" s="152"/>
      <c r="W432" s="152"/>
      <c r="X432" s="152"/>
      <c r="Y432" s="152"/>
      <c r="Z432" s="76"/>
      <c r="AA432" s="76"/>
      <c r="AB432" s="113" t="str">
        <f>IF(C432="3111. Logements",ROUND(VLOOKUP(C432,'Informations générales'!$C$66:$E$70,3,FALSE)*(AL432/$AM$28)/12,0)*12,IF(C432="3112. Logements",ROUND(VLOOKUP(C432,'Informations générales'!$C$66:$E$70,3,FALSE)*(AL432/$AN$28)/12,0)*12,IF(C432="3113. Logements",ROUND(VLOOKUP(C432,'Informations générales'!$C$66:$E$70,3,FALSE)*(AL432/$AO$28)/12,0)*12,IF(C432="3114. Logements",ROUND(VLOOKUP(C432,'Informations générales'!$C$66:$E$70,3,FALSE)*(AL432/$AP$28)/12,0)*12,IF(C432="3115. Logements",ROUND(VLOOKUP(C432,'Informations générales'!$C$66:$E$70,3,FALSE)*(AL432/$AQ$28)/12,0)*12,"")))))</f>
        <v/>
      </c>
      <c r="AC432" s="114"/>
      <c r="AD432" s="113">
        <f t="shared" si="98"/>
        <v>0</v>
      </c>
      <c r="AE432" s="114"/>
      <c r="AF432" s="203" t="str">
        <f>IF(C432="3111. Logements",ROUND(VLOOKUP(C432,'Informations générales'!$C$66:$E$70,3,FALSE)*(AL432/$AM$28)/12,0)*12,IF(C432="3112. Logements",ROUND(VLOOKUP(C432,'Informations générales'!$C$66:$E$70,3,FALSE)*(AL432/$AN$28)/12,0)*12,IF(C432="3113. Logements",ROUND(VLOOKUP(C432,'Informations générales'!$C$66:$E$70,3,FALSE)*(AL432/$AO$28)/12,0)*12,IF(C432="3114. Logements",ROUND(VLOOKUP(C432,'Informations générales'!$C$66:$E$70,3,FALSE)*(AL432/$AP$28)/12,0)*12,IF(C432="3115. Logements",ROUND(VLOOKUP(C432,'Informations générales'!$C$66:$E$70,3,FALSE)*(AL432/$AQ$28)/12,0)*12,"")))))</f>
        <v/>
      </c>
      <c r="AG432" s="202"/>
      <c r="AH432" s="113" t="str">
        <f>IF(C432="3111. Logements",ROUND(VLOOKUP(C432,'Informations générales'!$C$66:$H$70,5,FALSE)*(AL432/$AM$28)/12,0)*12,IF(C432="3112. Logements",ROUND(VLOOKUP(C432,'Informations générales'!$C$66:$H$70,5,FALSE)*(AL432/$AN$28)/12,0)*12,IF(C432="3113. Logements",ROUND(VLOOKUP(C432,'Informations générales'!$C$66:$H$70,5,FALSE)*(AL432/$AO$28)/12,0)*12,IF(C432="3114. Logements",ROUND(VLOOKUP(C432,'Informations générales'!$C$66:$H$70,5,FALSE)*(AL432/$AP$28)/12,0)*12,IF(C432="3115. Logements",ROUND(VLOOKUP(C432,'Informations générales'!$C$66:$H$70,5,FALSE)*(AL432/$AQ$28)/12,0)*12,"")))))</f>
        <v/>
      </c>
      <c r="AI432" s="114"/>
      <c r="AJ432" s="114"/>
      <c r="AK432" s="76"/>
      <c r="AL432" s="58">
        <f t="shared" si="99"/>
        <v>0</v>
      </c>
      <c r="AM432" s="58"/>
      <c r="AN432" s="58"/>
      <c r="AO432" s="58"/>
      <c r="AP432" s="58"/>
      <c r="AQ432" s="58"/>
      <c r="AR432" s="58">
        <f t="shared" si="87"/>
        <v>0</v>
      </c>
      <c r="AS432" s="58">
        <f t="shared" si="88"/>
        <v>0</v>
      </c>
      <c r="AT432" s="58">
        <f t="shared" si="89"/>
        <v>0</v>
      </c>
      <c r="AU432" s="58">
        <f t="shared" si="90"/>
        <v>0</v>
      </c>
      <c r="AV432" s="58">
        <f t="shared" si="91"/>
        <v>0</v>
      </c>
      <c r="AW432" s="58">
        <f t="shared" si="92"/>
        <v>0</v>
      </c>
      <c r="AX432" s="58">
        <f t="shared" si="93"/>
        <v>0</v>
      </c>
      <c r="AY432" s="58">
        <f t="shared" si="100"/>
        <v>0</v>
      </c>
      <c r="AZ432" s="62">
        <f t="shared" si="94"/>
        <v>0</v>
      </c>
      <c r="BA432" s="63">
        <f t="shared" si="95"/>
        <v>0</v>
      </c>
      <c r="BB432" s="63">
        <f t="shared" si="96"/>
        <v>0</v>
      </c>
    </row>
    <row r="433" spans="3:54" s="17" customFormat="1" x14ac:dyDescent="0.25">
      <c r="C433" s="215"/>
      <c r="D433" s="216"/>
      <c r="E433" s="88"/>
      <c r="F433" s="217"/>
      <c r="G433" s="234"/>
      <c r="H433" s="218"/>
      <c r="I433" s="76"/>
      <c r="J433" s="77"/>
      <c r="K433" s="76"/>
      <c r="L433" s="78"/>
      <c r="M433" s="78"/>
      <c r="N433" s="76" t="s">
        <v>39</v>
      </c>
      <c r="O433" s="110"/>
      <c r="P433" s="152"/>
      <c r="Q433" s="111" t="str">
        <f>IFERROR(MIN(VLOOKUP(ROUNDDOWN(P433,0),'Aide calcul'!$B$2:$C$282,2,FALSE),O433+1),"")</f>
        <v/>
      </c>
      <c r="R433" s="112" t="str">
        <f t="shared" si="97"/>
        <v/>
      </c>
      <c r="S433" s="152"/>
      <c r="T433" s="152"/>
      <c r="U433" s="152"/>
      <c r="V433" s="152"/>
      <c r="W433" s="152"/>
      <c r="X433" s="152"/>
      <c r="Y433" s="152"/>
      <c r="Z433" s="76"/>
      <c r="AA433" s="76"/>
      <c r="AB433" s="113" t="str">
        <f>IF(C433="3111. Logements",ROUND(VLOOKUP(C433,'Informations générales'!$C$66:$E$70,3,FALSE)*(AL433/$AM$28)/12,0)*12,IF(C433="3112. Logements",ROUND(VLOOKUP(C433,'Informations générales'!$C$66:$E$70,3,FALSE)*(AL433/$AN$28)/12,0)*12,IF(C433="3113. Logements",ROUND(VLOOKUP(C433,'Informations générales'!$C$66:$E$70,3,FALSE)*(AL433/$AO$28)/12,0)*12,IF(C433="3114. Logements",ROUND(VLOOKUP(C433,'Informations générales'!$C$66:$E$70,3,FALSE)*(AL433/$AP$28)/12,0)*12,IF(C433="3115. Logements",ROUND(VLOOKUP(C433,'Informations générales'!$C$66:$E$70,3,FALSE)*(AL433/$AQ$28)/12,0)*12,"")))))</f>
        <v/>
      </c>
      <c r="AC433" s="114"/>
      <c r="AD433" s="113">
        <f t="shared" si="98"/>
        <v>0</v>
      </c>
      <c r="AE433" s="114"/>
      <c r="AF433" s="203" t="str">
        <f>IF(C433="3111. Logements",ROUND(VLOOKUP(C433,'Informations générales'!$C$66:$E$70,3,FALSE)*(AL433/$AM$28)/12,0)*12,IF(C433="3112. Logements",ROUND(VLOOKUP(C433,'Informations générales'!$C$66:$E$70,3,FALSE)*(AL433/$AN$28)/12,0)*12,IF(C433="3113. Logements",ROUND(VLOOKUP(C433,'Informations générales'!$C$66:$E$70,3,FALSE)*(AL433/$AO$28)/12,0)*12,IF(C433="3114. Logements",ROUND(VLOOKUP(C433,'Informations générales'!$C$66:$E$70,3,FALSE)*(AL433/$AP$28)/12,0)*12,IF(C433="3115. Logements",ROUND(VLOOKUP(C433,'Informations générales'!$C$66:$E$70,3,FALSE)*(AL433/$AQ$28)/12,0)*12,"")))))</f>
        <v/>
      </c>
      <c r="AG433" s="202"/>
      <c r="AH433" s="113" t="str">
        <f>IF(C433="3111. Logements",ROUND(VLOOKUP(C433,'Informations générales'!$C$66:$H$70,5,FALSE)*(AL433/$AM$28)/12,0)*12,IF(C433="3112. Logements",ROUND(VLOOKUP(C433,'Informations générales'!$C$66:$H$70,5,FALSE)*(AL433/$AN$28)/12,0)*12,IF(C433="3113. Logements",ROUND(VLOOKUP(C433,'Informations générales'!$C$66:$H$70,5,FALSE)*(AL433/$AO$28)/12,0)*12,IF(C433="3114. Logements",ROUND(VLOOKUP(C433,'Informations générales'!$C$66:$H$70,5,FALSE)*(AL433/$AP$28)/12,0)*12,IF(C433="3115. Logements",ROUND(VLOOKUP(C433,'Informations générales'!$C$66:$H$70,5,FALSE)*(AL433/$AQ$28)/12,0)*12,"")))))</f>
        <v/>
      </c>
      <c r="AI433" s="114"/>
      <c r="AJ433" s="114"/>
      <c r="AK433" s="76"/>
      <c r="AL433" s="58">
        <f t="shared" si="99"/>
        <v>0</v>
      </c>
      <c r="AM433" s="58"/>
      <c r="AN433" s="58"/>
      <c r="AO433" s="58"/>
      <c r="AP433" s="58"/>
      <c r="AQ433" s="58"/>
      <c r="AR433" s="58">
        <f t="shared" si="87"/>
        <v>0</v>
      </c>
      <c r="AS433" s="58">
        <f t="shared" si="88"/>
        <v>0</v>
      </c>
      <c r="AT433" s="58">
        <f t="shared" si="89"/>
        <v>0</v>
      </c>
      <c r="AU433" s="58">
        <f t="shared" si="90"/>
        <v>0</v>
      </c>
      <c r="AV433" s="58">
        <f t="shared" si="91"/>
        <v>0</v>
      </c>
      <c r="AW433" s="58">
        <f t="shared" si="92"/>
        <v>0</v>
      </c>
      <c r="AX433" s="58">
        <f t="shared" si="93"/>
        <v>0</v>
      </c>
      <c r="AY433" s="58">
        <f t="shared" si="100"/>
        <v>0</v>
      </c>
      <c r="AZ433" s="62">
        <f t="shared" si="94"/>
        <v>0</v>
      </c>
      <c r="BA433" s="63">
        <f t="shared" si="95"/>
        <v>0</v>
      </c>
      <c r="BB433" s="63">
        <f t="shared" si="96"/>
        <v>0</v>
      </c>
    </row>
    <row r="434" spans="3:54" s="17" customFormat="1" x14ac:dyDescent="0.25">
      <c r="C434" s="215"/>
      <c r="D434" s="216"/>
      <c r="E434" s="88"/>
      <c r="F434" s="217"/>
      <c r="G434" s="234"/>
      <c r="H434" s="218"/>
      <c r="I434" s="76"/>
      <c r="J434" s="77"/>
      <c r="K434" s="76"/>
      <c r="L434" s="78"/>
      <c r="M434" s="78"/>
      <c r="N434" s="76" t="s">
        <v>39</v>
      </c>
      <c r="O434" s="110"/>
      <c r="P434" s="152"/>
      <c r="Q434" s="111" t="str">
        <f>IFERROR(MIN(VLOOKUP(ROUNDDOWN(P434,0),'Aide calcul'!$B$2:$C$282,2,FALSE),O434+1),"")</f>
        <v/>
      </c>
      <c r="R434" s="112" t="str">
        <f t="shared" si="97"/>
        <v/>
      </c>
      <c r="S434" s="152"/>
      <c r="T434" s="152"/>
      <c r="U434" s="152"/>
      <c r="V434" s="152"/>
      <c r="W434" s="152"/>
      <c r="X434" s="152"/>
      <c r="Y434" s="152"/>
      <c r="Z434" s="76"/>
      <c r="AA434" s="76"/>
      <c r="AB434" s="113" t="str">
        <f>IF(C434="3111. Logements",ROUND(VLOOKUP(C434,'Informations générales'!$C$66:$E$70,3,FALSE)*(AL434/$AM$28)/12,0)*12,IF(C434="3112. Logements",ROUND(VLOOKUP(C434,'Informations générales'!$C$66:$E$70,3,FALSE)*(AL434/$AN$28)/12,0)*12,IF(C434="3113. Logements",ROUND(VLOOKUP(C434,'Informations générales'!$C$66:$E$70,3,FALSE)*(AL434/$AO$28)/12,0)*12,IF(C434="3114. Logements",ROUND(VLOOKUP(C434,'Informations générales'!$C$66:$E$70,3,FALSE)*(AL434/$AP$28)/12,0)*12,IF(C434="3115. Logements",ROUND(VLOOKUP(C434,'Informations générales'!$C$66:$E$70,3,FALSE)*(AL434/$AQ$28)/12,0)*12,"")))))</f>
        <v/>
      </c>
      <c r="AC434" s="114"/>
      <c r="AD434" s="113">
        <f t="shared" si="98"/>
        <v>0</v>
      </c>
      <c r="AE434" s="114"/>
      <c r="AF434" s="203" t="str">
        <f>IF(C434="3111. Logements",ROUND(VLOOKUP(C434,'Informations générales'!$C$66:$E$70,3,FALSE)*(AL434/$AM$28)/12,0)*12,IF(C434="3112. Logements",ROUND(VLOOKUP(C434,'Informations générales'!$C$66:$E$70,3,FALSE)*(AL434/$AN$28)/12,0)*12,IF(C434="3113. Logements",ROUND(VLOOKUP(C434,'Informations générales'!$C$66:$E$70,3,FALSE)*(AL434/$AO$28)/12,0)*12,IF(C434="3114. Logements",ROUND(VLOOKUP(C434,'Informations générales'!$C$66:$E$70,3,FALSE)*(AL434/$AP$28)/12,0)*12,IF(C434="3115. Logements",ROUND(VLOOKUP(C434,'Informations générales'!$C$66:$E$70,3,FALSE)*(AL434/$AQ$28)/12,0)*12,"")))))</f>
        <v/>
      </c>
      <c r="AG434" s="202"/>
      <c r="AH434" s="113" t="str">
        <f>IF(C434="3111. Logements",ROUND(VLOOKUP(C434,'Informations générales'!$C$66:$H$70,5,FALSE)*(AL434/$AM$28)/12,0)*12,IF(C434="3112. Logements",ROUND(VLOOKUP(C434,'Informations générales'!$C$66:$H$70,5,FALSE)*(AL434/$AN$28)/12,0)*12,IF(C434="3113. Logements",ROUND(VLOOKUP(C434,'Informations générales'!$C$66:$H$70,5,FALSE)*(AL434/$AO$28)/12,0)*12,IF(C434="3114. Logements",ROUND(VLOOKUP(C434,'Informations générales'!$C$66:$H$70,5,FALSE)*(AL434/$AP$28)/12,0)*12,IF(C434="3115. Logements",ROUND(VLOOKUP(C434,'Informations générales'!$C$66:$H$70,5,FALSE)*(AL434/$AQ$28)/12,0)*12,"")))))</f>
        <v/>
      </c>
      <c r="AI434" s="114"/>
      <c r="AJ434" s="114"/>
      <c r="AK434" s="76"/>
      <c r="AL434" s="58">
        <f t="shared" si="99"/>
        <v>0</v>
      </c>
      <c r="AM434" s="58"/>
      <c r="AN434" s="58"/>
      <c r="AO434" s="58"/>
      <c r="AP434" s="58"/>
      <c r="AQ434" s="58"/>
      <c r="AR434" s="58">
        <f t="shared" si="87"/>
        <v>0</v>
      </c>
      <c r="AS434" s="58">
        <f t="shared" si="88"/>
        <v>0</v>
      </c>
      <c r="AT434" s="58">
        <f t="shared" si="89"/>
        <v>0</v>
      </c>
      <c r="AU434" s="58">
        <f t="shared" si="90"/>
        <v>0</v>
      </c>
      <c r="AV434" s="58">
        <f t="shared" si="91"/>
        <v>0</v>
      </c>
      <c r="AW434" s="58">
        <f t="shared" si="92"/>
        <v>0</v>
      </c>
      <c r="AX434" s="58">
        <f t="shared" si="93"/>
        <v>0</v>
      </c>
      <c r="AY434" s="58">
        <f t="shared" si="100"/>
        <v>0</v>
      </c>
      <c r="AZ434" s="62">
        <f t="shared" si="94"/>
        <v>0</v>
      </c>
      <c r="BA434" s="63">
        <f t="shared" si="95"/>
        <v>0</v>
      </c>
      <c r="BB434" s="63">
        <f t="shared" si="96"/>
        <v>0</v>
      </c>
    </row>
    <row r="435" spans="3:54" s="17" customFormat="1" x14ac:dyDescent="0.25">
      <c r="C435" s="215"/>
      <c r="D435" s="216"/>
      <c r="E435" s="88"/>
      <c r="F435" s="217"/>
      <c r="G435" s="234"/>
      <c r="H435" s="218"/>
      <c r="I435" s="76"/>
      <c r="J435" s="77"/>
      <c r="K435" s="76"/>
      <c r="L435" s="78"/>
      <c r="M435" s="78"/>
      <c r="N435" s="76" t="s">
        <v>39</v>
      </c>
      <c r="O435" s="110"/>
      <c r="P435" s="152"/>
      <c r="Q435" s="111" t="str">
        <f>IFERROR(MIN(VLOOKUP(ROUNDDOWN(P435,0),'Aide calcul'!$B$2:$C$282,2,FALSE),O435+1),"")</f>
        <v/>
      </c>
      <c r="R435" s="112" t="str">
        <f t="shared" si="97"/>
        <v/>
      </c>
      <c r="S435" s="152"/>
      <c r="T435" s="152"/>
      <c r="U435" s="152"/>
      <c r="V435" s="152"/>
      <c r="W435" s="152"/>
      <c r="X435" s="152"/>
      <c r="Y435" s="152"/>
      <c r="Z435" s="76"/>
      <c r="AA435" s="76"/>
      <c r="AB435" s="113" t="str">
        <f>IF(C435="3111. Logements",ROUND(VLOOKUP(C435,'Informations générales'!$C$66:$E$70,3,FALSE)*(AL435/$AM$28)/12,0)*12,IF(C435="3112. Logements",ROUND(VLOOKUP(C435,'Informations générales'!$C$66:$E$70,3,FALSE)*(AL435/$AN$28)/12,0)*12,IF(C435="3113. Logements",ROUND(VLOOKUP(C435,'Informations générales'!$C$66:$E$70,3,FALSE)*(AL435/$AO$28)/12,0)*12,IF(C435="3114. Logements",ROUND(VLOOKUP(C435,'Informations générales'!$C$66:$E$70,3,FALSE)*(AL435/$AP$28)/12,0)*12,IF(C435="3115. Logements",ROUND(VLOOKUP(C435,'Informations générales'!$C$66:$E$70,3,FALSE)*(AL435/$AQ$28)/12,0)*12,"")))))</f>
        <v/>
      </c>
      <c r="AC435" s="114"/>
      <c r="AD435" s="113">
        <f t="shared" si="98"/>
        <v>0</v>
      </c>
      <c r="AE435" s="114"/>
      <c r="AF435" s="203" t="str">
        <f>IF(C435="3111. Logements",ROUND(VLOOKUP(C435,'Informations générales'!$C$66:$E$70,3,FALSE)*(AL435/$AM$28)/12,0)*12,IF(C435="3112. Logements",ROUND(VLOOKUP(C435,'Informations générales'!$C$66:$E$70,3,FALSE)*(AL435/$AN$28)/12,0)*12,IF(C435="3113. Logements",ROUND(VLOOKUP(C435,'Informations générales'!$C$66:$E$70,3,FALSE)*(AL435/$AO$28)/12,0)*12,IF(C435="3114. Logements",ROUND(VLOOKUP(C435,'Informations générales'!$C$66:$E$70,3,FALSE)*(AL435/$AP$28)/12,0)*12,IF(C435="3115. Logements",ROUND(VLOOKUP(C435,'Informations générales'!$C$66:$E$70,3,FALSE)*(AL435/$AQ$28)/12,0)*12,"")))))</f>
        <v/>
      </c>
      <c r="AG435" s="202"/>
      <c r="AH435" s="113" t="str">
        <f>IF(C435="3111. Logements",ROUND(VLOOKUP(C435,'Informations générales'!$C$66:$H$70,5,FALSE)*(AL435/$AM$28)/12,0)*12,IF(C435="3112. Logements",ROUND(VLOOKUP(C435,'Informations générales'!$C$66:$H$70,5,FALSE)*(AL435/$AN$28)/12,0)*12,IF(C435="3113. Logements",ROUND(VLOOKUP(C435,'Informations générales'!$C$66:$H$70,5,FALSE)*(AL435/$AO$28)/12,0)*12,IF(C435="3114. Logements",ROUND(VLOOKUP(C435,'Informations générales'!$C$66:$H$70,5,FALSE)*(AL435/$AP$28)/12,0)*12,IF(C435="3115. Logements",ROUND(VLOOKUP(C435,'Informations générales'!$C$66:$H$70,5,FALSE)*(AL435/$AQ$28)/12,0)*12,"")))))</f>
        <v/>
      </c>
      <c r="AI435" s="114"/>
      <c r="AJ435" s="114"/>
      <c r="AK435" s="76"/>
      <c r="AL435" s="58">
        <f t="shared" si="99"/>
        <v>0</v>
      </c>
      <c r="AM435" s="58"/>
      <c r="AN435" s="58"/>
      <c r="AO435" s="58"/>
      <c r="AP435" s="58"/>
      <c r="AQ435" s="58"/>
      <c r="AR435" s="58">
        <f t="shared" si="87"/>
        <v>0</v>
      </c>
      <c r="AS435" s="58">
        <f t="shared" si="88"/>
        <v>0</v>
      </c>
      <c r="AT435" s="58">
        <f t="shared" si="89"/>
        <v>0</v>
      </c>
      <c r="AU435" s="58">
        <f t="shared" si="90"/>
        <v>0</v>
      </c>
      <c r="AV435" s="58">
        <f t="shared" si="91"/>
        <v>0</v>
      </c>
      <c r="AW435" s="58">
        <f t="shared" si="92"/>
        <v>0</v>
      </c>
      <c r="AX435" s="58">
        <f t="shared" si="93"/>
        <v>0</v>
      </c>
      <c r="AY435" s="58">
        <f t="shared" si="100"/>
        <v>0</v>
      </c>
      <c r="AZ435" s="62">
        <f t="shared" si="94"/>
        <v>0</v>
      </c>
      <c r="BA435" s="63">
        <f t="shared" si="95"/>
        <v>0</v>
      </c>
      <c r="BB435" s="63">
        <f t="shared" si="96"/>
        <v>0</v>
      </c>
    </row>
    <row r="436" spans="3:54" s="17" customFormat="1" x14ac:dyDescent="0.25">
      <c r="C436" s="215"/>
      <c r="D436" s="216"/>
      <c r="E436" s="88"/>
      <c r="F436" s="217"/>
      <c r="G436" s="234"/>
      <c r="H436" s="218"/>
      <c r="I436" s="76"/>
      <c r="J436" s="77"/>
      <c r="K436" s="76"/>
      <c r="L436" s="78"/>
      <c r="M436" s="78"/>
      <c r="N436" s="76" t="s">
        <v>39</v>
      </c>
      <c r="O436" s="110"/>
      <c r="P436" s="152"/>
      <c r="Q436" s="111" t="str">
        <f>IFERROR(MIN(VLOOKUP(ROUNDDOWN(P436,0),'Aide calcul'!$B$2:$C$282,2,FALSE),O436+1),"")</f>
        <v/>
      </c>
      <c r="R436" s="112" t="str">
        <f t="shared" si="97"/>
        <v/>
      </c>
      <c r="S436" s="152"/>
      <c r="T436" s="152"/>
      <c r="U436" s="152"/>
      <c r="V436" s="152"/>
      <c r="W436" s="152"/>
      <c r="X436" s="152"/>
      <c r="Y436" s="152"/>
      <c r="Z436" s="76"/>
      <c r="AA436" s="76"/>
      <c r="AB436" s="113" t="str">
        <f>IF(C436="3111. Logements",ROUND(VLOOKUP(C436,'Informations générales'!$C$66:$E$70,3,FALSE)*(AL436/$AM$28)/12,0)*12,IF(C436="3112. Logements",ROUND(VLOOKUP(C436,'Informations générales'!$C$66:$E$70,3,FALSE)*(AL436/$AN$28)/12,0)*12,IF(C436="3113. Logements",ROUND(VLOOKUP(C436,'Informations générales'!$C$66:$E$70,3,FALSE)*(AL436/$AO$28)/12,0)*12,IF(C436="3114. Logements",ROUND(VLOOKUP(C436,'Informations générales'!$C$66:$E$70,3,FALSE)*(AL436/$AP$28)/12,0)*12,IF(C436="3115. Logements",ROUND(VLOOKUP(C436,'Informations générales'!$C$66:$E$70,3,FALSE)*(AL436/$AQ$28)/12,0)*12,"")))))</f>
        <v/>
      </c>
      <c r="AC436" s="114"/>
      <c r="AD436" s="113">
        <f t="shared" si="98"/>
        <v>0</v>
      </c>
      <c r="AE436" s="114"/>
      <c r="AF436" s="203" t="str">
        <f>IF(C436="3111. Logements",ROUND(VLOOKUP(C436,'Informations générales'!$C$66:$E$70,3,FALSE)*(AL436/$AM$28)/12,0)*12,IF(C436="3112. Logements",ROUND(VLOOKUP(C436,'Informations générales'!$C$66:$E$70,3,FALSE)*(AL436/$AN$28)/12,0)*12,IF(C436="3113. Logements",ROUND(VLOOKUP(C436,'Informations générales'!$C$66:$E$70,3,FALSE)*(AL436/$AO$28)/12,0)*12,IF(C436="3114. Logements",ROUND(VLOOKUP(C436,'Informations générales'!$C$66:$E$70,3,FALSE)*(AL436/$AP$28)/12,0)*12,IF(C436="3115. Logements",ROUND(VLOOKUP(C436,'Informations générales'!$C$66:$E$70,3,FALSE)*(AL436/$AQ$28)/12,0)*12,"")))))</f>
        <v/>
      </c>
      <c r="AG436" s="202"/>
      <c r="AH436" s="113" t="str">
        <f>IF(C436="3111. Logements",ROUND(VLOOKUP(C436,'Informations générales'!$C$66:$H$70,5,FALSE)*(AL436/$AM$28)/12,0)*12,IF(C436="3112. Logements",ROUND(VLOOKUP(C436,'Informations générales'!$C$66:$H$70,5,FALSE)*(AL436/$AN$28)/12,0)*12,IF(C436="3113. Logements",ROUND(VLOOKUP(C436,'Informations générales'!$C$66:$H$70,5,FALSE)*(AL436/$AO$28)/12,0)*12,IF(C436="3114. Logements",ROUND(VLOOKUP(C436,'Informations générales'!$C$66:$H$70,5,FALSE)*(AL436/$AP$28)/12,0)*12,IF(C436="3115. Logements",ROUND(VLOOKUP(C436,'Informations générales'!$C$66:$H$70,5,FALSE)*(AL436/$AQ$28)/12,0)*12,"")))))</f>
        <v/>
      </c>
      <c r="AI436" s="114"/>
      <c r="AJ436" s="114"/>
      <c r="AK436" s="76"/>
      <c r="AL436" s="58">
        <f t="shared" si="99"/>
        <v>0</v>
      </c>
      <c r="AM436" s="58"/>
      <c r="AN436" s="58"/>
      <c r="AO436" s="58"/>
      <c r="AP436" s="58"/>
      <c r="AQ436" s="58"/>
      <c r="AR436" s="58">
        <f t="shared" si="87"/>
        <v>0</v>
      </c>
      <c r="AS436" s="58">
        <f t="shared" si="88"/>
        <v>0</v>
      </c>
      <c r="AT436" s="58">
        <f t="shared" si="89"/>
        <v>0</v>
      </c>
      <c r="AU436" s="58">
        <f t="shared" si="90"/>
        <v>0</v>
      </c>
      <c r="AV436" s="58">
        <f t="shared" si="91"/>
        <v>0</v>
      </c>
      <c r="AW436" s="58">
        <f t="shared" si="92"/>
        <v>0</v>
      </c>
      <c r="AX436" s="58">
        <f t="shared" si="93"/>
        <v>0</v>
      </c>
      <c r="AY436" s="58">
        <f t="shared" si="100"/>
        <v>0</v>
      </c>
      <c r="AZ436" s="62">
        <f t="shared" si="94"/>
        <v>0</v>
      </c>
      <c r="BA436" s="63">
        <f t="shared" si="95"/>
        <v>0</v>
      </c>
      <c r="BB436" s="63">
        <f t="shared" si="96"/>
        <v>0</v>
      </c>
    </row>
    <row r="437" spans="3:54" s="17" customFormat="1" x14ac:dyDescent="0.25">
      <c r="C437" s="215"/>
      <c r="D437" s="216"/>
      <c r="E437" s="88"/>
      <c r="F437" s="217"/>
      <c r="G437" s="234"/>
      <c r="H437" s="218"/>
      <c r="I437" s="76"/>
      <c r="J437" s="77"/>
      <c r="K437" s="76"/>
      <c r="L437" s="78"/>
      <c r="M437" s="78"/>
      <c r="N437" s="76" t="s">
        <v>39</v>
      </c>
      <c r="O437" s="110"/>
      <c r="P437" s="152"/>
      <c r="Q437" s="111" t="str">
        <f>IFERROR(MIN(VLOOKUP(ROUNDDOWN(P437,0),'Aide calcul'!$B$2:$C$282,2,FALSE),O437+1),"")</f>
        <v/>
      </c>
      <c r="R437" s="112" t="str">
        <f t="shared" si="97"/>
        <v/>
      </c>
      <c r="S437" s="152"/>
      <c r="T437" s="152"/>
      <c r="U437" s="152"/>
      <c r="V437" s="152"/>
      <c r="W437" s="152"/>
      <c r="X437" s="152"/>
      <c r="Y437" s="152"/>
      <c r="Z437" s="76"/>
      <c r="AA437" s="76"/>
      <c r="AB437" s="113" t="str">
        <f>IF(C437="3111. Logements",ROUND(VLOOKUP(C437,'Informations générales'!$C$66:$E$70,3,FALSE)*(AL437/$AM$28)/12,0)*12,IF(C437="3112. Logements",ROUND(VLOOKUP(C437,'Informations générales'!$C$66:$E$70,3,FALSE)*(AL437/$AN$28)/12,0)*12,IF(C437="3113. Logements",ROUND(VLOOKUP(C437,'Informations générales'!$C$66:$E$70,3,FALSE)*(AL437/$AO$28)/12,0)*12,IF(C437="3114. Logements",ROUND(VLOOKUP(C437,'Informations générales'!$C$66:$E$70,3,FALSE)*(AL437/$AP$28)/12,0)*12,IF(C437="3115. Logements",ROUND(VLOOKUP(C437,'Informations générales'!$C$66:$E$70,3,FALSE)*(AL437/$AQ$28)/12,0)*12,"")))))</f>
        <v/>
      </c>
      <c r="AC437" s="114"/>
      <c r="AD437" s="113">
        <f t="shared" si="98"/>
        <v>0</v>
      </c>
      <c r="AE437" s="114"/>
      <c r="AF437" s="203" t="str">
        <f>IF(C437="3111. Logements",ROUND(VLOOKUP(C437,'Informations générales'!$C$66:$E$70,3,FALSE)*(AL437/$AM$28)/12,0)*12,IF(C437="3112. Logements",ROUND(VLOOKUP(C437,'Informations générales'!$C$66:$E$70,3,FALSE)*(AL437/$AN$28)/12,0)*12,IF(C437="3113. Logements",ROUND(VLOOKUP(C437,'Informations générales'!$C$66:$E$70,3,FALSE)*(AL437/$AO$28)/12,0)*12,IF(C437="3114. Logements",ROUND(VLOOKUP(C437,'Informations générales'!$C$66:$E$70,3,FALSE)*(AL437/$AP$28)/12,0)*12,IF(C437="3115. Logements",ROUND(VLOOKUP(C437,'Informations générales'!$C$66:$E$70,3,FALSE)*(AL437/$AQ$28)/12,0)*12,"")))))</f>
        <v/>
      </c>
      <c r="AG437" s="202"/>
      <c r="AH437" s="113" t="str">
        <f>IF(C437="3111. Logements",ROUND(VLOOKUP(C437,'Informations générales'!$C$66:$H$70,5,FALSE)*(AL437/$AM$28)/12,0)*12,IF(C437="3112. Logements",ROUND(VLOOKUP(C437,'Informations générales'!$C$66:$H$70,5,FALSE)*(AL437/$AN$28)/12,0)*12,IF(C437="3113. Logements",ROUND(VLOOKUP(C437,'Informations générales'!$C$66:$H$70,5,FALSE)*(AL437/$AO$28)/12,0)*12,IF(C437="3114. Logements",ROUND(VLOOKUP(C437,'Informations générales'!$C$66:$H$70,5,FALSE)*(AL437/$AP$28)/12,0)*12,IF(C437="3115. Logements",ROUND(VLOOKUP(C437,'Informations générales'!$C$66:$H$70,5,FALSE)*(AL437/$AQ$28)/12,0)*12,"")))))</f>
        <v/>
      </c>
      <c r="AI437" s="114"/>
      <c r="AJ437" s="114"/>
      <c r="AK437" s="76"/>
      <c r="AL437" s="58">
        <f t="shared" si="99"/>
        <v>0</v>
      </c>
      <c r="AM437" s="58"/>
      <c r="AN437" s="58"/>
      <c r="AO437" s="58"/>
      <c r="AP437" s="58"/>
      <c r="AQ437" s="58"/>
      <c r="AR437" s="58">
        <f t="shared" si="87"/>
        <v>0</v>
      </c>
      <c r="AS437" s="58">
        <f t="shared" si="88"/>
        <v>0</v>
      </c>
      <c r="AT437" s="58">
        <f t="shared" si="89"/>
        <v>0</v>
      </c>
      <c r="AU437" s="58">
        <f t="shared" si="90"/>
        <v>0</v>
      </c>
      <c r="AV437" s="58">
        <f t="shared" si="91"/>
        <v>0</v>
      </c>
      <c r="AW437" s="58">
        <f t="shared" si="92"/>
        <v>0</v>
      </c>
      <c r="AX437" s="58">
        <f t="shared" si="93"/>
        <v>0</v>
      </c>
      <c r="AY437" s="58">
        <f t="shared" si="100"/>
        <v>0</v>
      </c>
      <c r="AZ437" s="62">
        <f t="shared" si="94"/>
        <v>0</v>
      </c>
      <c r="BA437" s="63">
        <f t="shared" si="95"/>
        <v>0</v>
      </c>
      <c r="BB437" s="63">
        <f t="shared" si="96"/>
        <v>0</v>
      </c>
    </row>
    <row r="438" spans="3:54" s="17" customFormat="1" x14ac:dyDescent="0.25">
      <c r="C438" s="215"/>
      <c r="D438" s="216"/>
      <c r="E438" s="88"/>
      <c r="F438" s="217"/>
      <c r="G438" s="234"/>
      <c r="H438" s="218"/>
      <c r="I438" s="76"/>
      <c r="J438" s="77"/>
      <c r="K438" s="76"/>
      <c r="L438" s="78"/>
      <c r="M438" s="78"/>
      <c r="N438" s="76" t="s">
        <v>39</v>
      </c>
      <c r="O438" s="110"/>
      <c r="P438" s="152"/>
      <c r="Q438" s="111" t="str">
        <f>IFERROR(MIN(VLOOKUP(ROUNDDOWN(P438,0),'Aide calcul'!$B$2:$C$282,2,FALSE),O438+1),"")</f>
        <v/>
      </c>
      <c r="R438" s="112" t="str">
        <f t="shared" si="97"/>
        <v/>
      </c>
      <c r="S438" s="152"/>
      <c r="T438" s="152"/>
      <c r="U438" s="152"/>
      <c r="V438" s="152"/>
      <c r="W438" s="152"/>
      <c r="X438" s="152"/>
      <c r="Y438" s="152"/>
      <c r="Z438" s="76"/>
      <c r="AA438" s="76"/>
      <c r="AB438" s="113" t="str">
        <f>IF(C438="3111. Logements",ROUND(VLOOKUP(C438,'Informations générales'!$C$66:$E$70,3,FALSE)*(AL438/$AM$28)/12,0)*12,IF(C438="3112. Logements",ROUND(VLOOKUP(C438,'Informations générales'!$C$66:$E$70,3,FALSE)*(AL438/$AN$28)/12,0)*12,IF(C438="3113. Logements",ROUND(VLOOKUP(C438,'Informations générales'!$C$66:$E$70,3,FALSE)*(AL438/$AO$28)/12,0)*12,IF(C438="3114. Logements",ROUND(VLOOKUP(C438,'Informations générales'!$C$66:$E$70,3,FALSE)*(AL438/$AP$28)/12,0)*12,IF(C438="3115. Logements",ROUND(VLOOKUP(C438,'Informations générales'!$C$66:$E$70,3,FALSE)*(AL438/$AQ$28)/12,0)*12,"")))))</f>
        <v/>
      </c>
      <c r="AC438" s="114"/>
      <c r="AD438" s="113">
        <f t="shared" si="98"/>
        <v>0</v>
      </c>
      <c r="AE438" s="114"/>
      <c r="AF438" s="203" t="str">
        <f>IF(C438="3111. Logements",ROUND(VLOOKUP(C438,'Informations générales'!$C$66:$E$70,3,FALSE)*(AL438/$AM$28)/12,0)*12,IF(C438="3112. Logements",ROUND(VLOOKUP(C438,'Informations générales'!$C$66:$E$70,3,FALSE)*(AL438/$AN$28)/12,0)*12,IF(C438="3113. Logements",ROUND(VLOOKUP(C438,'Informations générales'!$C$66:$E$70,3,FALSE)*(AL438/$AO$28)/12,0)*12,IF(C438="3114. Logements",ROUND(VLOOKUP(C438,'Informations générales'!$C$66:$E$70,3,FALSE)*(AL438/$AP$28)/12,0)*12,IF(C438="3115. Logements",ROUND(VLOOKUP(C438,'Informations générales'!$C$66:$E$70,3,FALSE)*(AL438/$AQ$28)/12,0)*12,"")))))</f>
        <v/>
      </c>
      <c r="AG438" s="202"/>
      <c r="AH438" s="113" t="str">
        <f>IF(C438="3111. Logements",ROUND(VLOOKUP(C438,'Informations générales'!$C$66:$H$70,5,FALSE)*(AL438/$AM$28)/12,0)*12,IF(C438="3112. Logements",ROUND(VLOOKUP(C438,'Informations générales'!$C$66:$H$70,5,FALSE)*(AL438/$AN$28)/12,0)*12,IF(C438="3113. Logements",ROUND(VLOOKUP(C438,'Informations générales'!$C$66:$H$70,5,FALSE)*(AL438/$AO$28)/12,0)*12,IF(C438="3114. Logements",ROUND(VLOOKUP(C438,'Informations générales'!$C$66:$H$70,5,FALSE)*(AL438/$AP$28)/12,0)*12,IF(C438="3115. Logements",ROUND(VLOOKUP(C438,'Informations générales'!$C$66:$H$70,5,FALSE)*(AL438/$AQ$28)/12,0)*12,"")))))</f>
        <v/>
      </c>
      <c r="AI438" s="114"/>
      <c r="AJ438" s="114"/>
      <c r="AK438" s="76"/>
      <c r="AL438" s="58">
        <f t="shared" si="99"/>
        <v>0</v>
      </c>
      <c r="AM438" s="58"/>
      <c r="AN438" s="58"/>
      <c r="AO438" s="58"/>
      <c r="AP438" s="58"/>
      <c r="AQ438" s="58"/>
      <c r="AR438" s="58">
        <f t="shared" si="87"/>
        <v>0</v>
      </c>
      <c r="AS438" s="58">
        <f t="shared" si="88"/>
        <v>0</v>
      </c>
      <c r="AT438" s="58">
        <f t="shared" si="89"/>
        <v>0</v>
      </c>
      <c r="AU438" s="58">
        <f t="shared" si="90"/>
        <v>0</v>
      </c>
      <c r="AV438" s="58">
        <f t="shared" si="91"/>
        <v>0</v>
      </c>
      <c r="AW438" s="58">
        <f t="shared" si="92"/>
        <v>0</v>
      </c>
      <c r="AX438" s="58">
        <f t="shared" si="93"/>
        <v>0</v>
      </c>
      <c r="AY438" s="58">
        <f t="shared" si="100"/>
        <v>0</v>
      </c>
      <c r="AZ438" s="62">
        <f t="shared" si="94"/>
        <v>0</v>
      </c>
      <c r="BA438" s="63">
        <f t="shared" si="95"/>
        <v>0</v>
      </c>
      <c r="BB438" s="63">
        <f t="shared" si="96"/>
        <v>0</v>
      </c>
    </row>
    <row r="439" spans="3:54" s="17" customFormat="1" x14ac:dyDescent="0.25">
      <c r="C439" s="215"/>
      <c r="D439" s="216"/>
      <c r="E439" s="88"/>
      <c r="F439" s="217"/>
      <c r="G439" s="234"/>
      <c r="H439" s="218"/>
      <c r="I439" s="76"/>
      <c r="J439" s="77"/>
      <c r="K439" s="76"/>
      <c r="L439" s="78"/>
      <c r="M439" s="78"/>
      <c r="N439" s="76" t="s">
        <v>39</v>
      </c>
      <c r="O439" s="110"/>
      <c r="P439" s="152"/>
      <c r="Q439" s="111" t="str">
        <f>IFERROR(MIN(VLOOKUP(ROUNDDOWN(P439,0),'Aide calcul'!$B$2:$C$282,2,FALSE),O439+1),"")</f>
        <v/>
      </c>
      <c r="R439" s="112" t="str">
        <f t="shared" si="97"/>
        <v/>
      </c>
      <c r="S439" s="152"/>
      <c r="T439" s="152"/>
      <c r="U439" s="152"/>
      <c r="V439" s="152"/>
      <c r="W439" s="152"/>
      <c r="X439" s="152"/>
      <c r="Y439" s="152"/>
      <c r="Z439" s="76"/>
      <c r="AA439" s="76"/>
      <c r="AB439" s="113" t="str">
        <f>IF(C439="3111. Logements",ROUND(VLOOKUP(C439,'Informations générales'!$C$66:$E$70,3,FALSE)*(AL439/$AM$28)/12,0)*12,IF(C439="3112. Logements",ROUND(VLOOKUP(C439,'Informations générales'!$C$66:$E$70,3,FALSE)*(AL439/$AN$28)/12,0)*12,IF(C439="3113. Logements",ROUND(VLOOKUP(C439,'Informations générales'!$C$66:$E$70,3,FALSE)*(AL439/$AO$28)/12,0)*12,IF(C439="3114. Logements",ROUND(VLOOKUP(C439,'Informations générales'!$C$66:$E$70,3,FALSE)*(AL439/$AP$28)/12,0)*12,IF(C439="3115. Logements",ROUND(VLOOKUP(C439,'Informations générales'!$C$66:$E$70,3,FALSE)*(AL439/$AQ$28)/12,0)*12,"")))))</f>
        <v/>
      </c>
      <c r="AC439" s="114"/>
      <c r="AD439" s="113">
        <f t="shared" si="98"/>
        <v>0</v>
      </c>
      <c r="AE439" s="114"/>
      <c r="AF439" s="203" t="str">
        <f>IF(C439="3111. Logements",ROUND(VLOOKUP(C439,'Informations générales'!$C$66:$E$70,3,FALSE)*(AL439/$AM$28)/12,0)*12,IF(C439="3112. Logements",ROUND(VLOOKUP(C439,'Informations générales'!$C$66:$E$70,3,FALSE)*(AL439/$AN$28)/12,0)*12,IF(C439="3113. Logements",ROUND(VLOOKUP(C439,'Informations générales'!$C$66:$E$70,3,FALSE)*(AL439/$AO$28)/12,0)*12,IF(C439="3114. Logements",ROUND(VLOOKUP(C439,'Informations générales'!$C$66:$E$70,3,FALSE)*(AL439/$AP$28)/12,0)*12,IF(C439="3115. Logements",ROUND(VLOOKUP(C439,'Informations générales'!$C$66:$E$70,3,FALSE)*(AL439/$AQ$28)/12,0)*12,"")))))</f>
        <v/>
      </c>
      <c r="AG439" s="202"/>
      <c r="AH439" s="113" t="str">
        <f>IF(C439="3111. Logements",ROUND(VLOOKUP(C439,'Informations générales'!$C$66:$H$70,5,FALSE)*(AL439/$AM$28)/12,0)*12,IF(C439="3112. Logements",ROUND(VLOOKUP(C439,'Informations générales'!$C$66:$H$70,5,FALSE)*(AL439/$AN$28)/12,0)*12,IF(C439="3113. Logements",ROUND(VLOOKUP(C439,'Informations générales'!$C$66:$H$70,5,FALSE)*(AL439/$AO$28)/12,0)*12,IF(C439="3114. Logements",ROUND(VLOOKUP(C439,'Informations générales'!$C$66:$H$70,5,FALSE)*(AL439/$AP$28)/12,0)*12,IF(C439="3115. Logements",ROUND(VLOOKUP(C439,'Informations générales'!$C$66:$H$70,5,FALSE)*(AL439/$AQ$28)/12,0)*12,"")))))</f>
        <v/>
      </c>
      <c r="AI439" s="114"/>
      <c r="AJ439" s="114"/>
      <c r="AK439" s="76"/>
      <c r="AL439" s="58">
        <f t="shared" si="99"/>
        <v>0</v>
      </c>
      <c r="AM439" s="58"/>
      <c r="AN439" s="58"/>
      <c r="AO439" s="58"/>
      <c r="AP439" s="58"/>
      <c r="AQ439" s="58"/>
      <c r="AR439" s="58">
        <f t="shared" si="87"/>
        <v>0</v>
      </c>
      <c r="AS439" s="58">
        <f t="shared" si="88"/>
        <v>0</v>
      </c>
      <c r="AT439" s="58">
        <f t="shared" si="89"/>
        <v>0</v>
      </c>
      <c r="AU439" s="58">
        <f t="shared" si="90"/>
        <v>0</v>
      </c>
      <c r="AV439" s="58">
        <f t="shared" si="91"/>
        <v>0</v>
      </c>
      <c r="AW439" s="58">
        <f t="shared" si="92"/>
        <v>0</v>
      </c>
      <c r="AX439" s="58">
        <f t="shared" si="93"/>
        <v>0</v>
      </c>
      <c r="AY439" s="58">
        <f t="shared" si="100"/>
        <v>0</v>
      </c>
      <c r="AZ439" s="62">
        <f t="shared" si="94"/>
        <v>0</v>
      </c>
      <c r="BA439" s="63">
        <f t="shared" si="95"/>
        <v>0</v>
      </c>
      <c r="BB439" s="63">
        <f t="shared" si="96"/>
        <v>0</v>
      </c>
    </row>
    <row r="440" spans="3:54" s="17" customFormat="1" x14ac:dyDescent="0.25">
      <c r="C440" s="215"/>
      <c r="D440" s="216"/>
      <c r="E440" s="88"/>
      <c r="F440" s="217"/>
      <c r="G440" s="234"/>
      <c r="H440" s="218"/>
      <c r="I440" s="76"/>
      <c r="J440" s="77"/>
      <c r="K440" s="76"/>
      <c r="L440" s="78"/>
      <c r="M440" s="78"/>
      <c r="N440" s="76" t="s">
        <v>39</v>
      </c>
      <c r="O440" s="110"/>
      <c r="P440" s="152"/>
      <c r="Q440" s="111" t="str">
        <f>IFERROR(MIN(VLOOKUP(ROUNDDOWN(P440,0),'Aide calcul'!$B$2:$C$282,2,FALSE),O440+1),"")</f>
        <v/>
      </c>
      <c r="R440" s="112" t="str">
        <f t="shared" si="97"/>
        <v/>
      </c>
      <c r="S440" s="152"/>
      <c r="T440" s="152"/>
      <c r="U440" s="152"/>
      <c r="V440" s="152"/>
      <c r="W440" s="152"/>
      <c r="X440" s="152"/>
      <c r="Y440" s="152"/>
      <c r="Z440" s="76"/>
      <c r="AA440" s="76"/>
      <c r="AB440" s="113" t="str">
        <f>IF(C440="3111. Logements",ROUND(VLOOKUP(C440,'Informations générales'!$C$66:$E$70,3,FALSE)*(AL440/$AM$28)/12,0)*12,IF(C440="3112. Logements",ROUND(VLOOKUP(C440,'Informations générales'!$C$66:$E$70,3,FALSE)*(AL440/$AN$28)/12,0)*12,IF(C440="3113. Logements",ROUND(VLOOKUP(C440,'Informations générales'!$C$66:$E$70,3,FALSE)*(AL440/$AO$28)/12,0)*12,IF(C440="3114. Logements",ROUND(VLOOKUP(C440,'Informations générales'!$C$66:$E$70,3,FALSE)*(AL440/$AP$28)/12,0)*12,IF(C440="3115. Logements",ROUND(VLOOKUP(C440,'Informations générales'!$C$66:$E$70,3,FALSE)*(AL440/$AQ$28)/12,0)*12,"")))))</f>
        <v/>
      </c>
      <c r="AC440" s="114"/>
      <c r="AD440" s="113">
        <f t="shared" si="98"/>
        <v>0</v>
      </c>
      <c r="AE440" s="114"/>
      <c r="AF440" s="203" t="str">
        <f>IF(C440="3111. Logements",ROUND(VLOOKUP(C440,'Informations générales'!$C$66:$E$70,3,FALSE)*(AL440/$AM$28)/12,0)*12,IF(C440="3112. Logements",ROUND(VLOOKUP(C440,'Informations générales'!$C$66:$E$70,3,FALSE)*(AL440/$AN$28)/12,0)*12,IF(C440="3113. Logements",ROUND(VLOOKUP(C440,'Informations générales'!$C$66:$E$70,3,FALSE)*(AL440/$AO$28)/12,0)*12,IF(C440="3114. Logements",ROUND(VLOOKUP(C440,'Informations générales'!$C$66:$E$70,3,FALSE)*(AL440/$AP$28)/12,0)*12,IF(C440="3115. Logements",ROUND(VLOOKUP(C440,'Informations générales'!$C$66:$E$70,3,FALSE)*(AL440/$AQ$28)/12,0)*12,"")))))</f>
        <v/>
      </c>
      <c r="AG440" s="202"/>
      <c r="AH440" s="113" t="str">
        <f>IF(C440="3111. Logements",ROUND(VLOOKUP(C440,'Informations générales'!$C$66:$H$70,5,FALSE)*(AL440/$AM$28)/12,0)*12,IF(C440="3112. Logements",ROUND(VLOOKUP(C440,'Informations générales'!$C$66:$H$70,5,FALSE)*(AL440/$AN$28)/12,0)*12,IF(C440="3113. Logements",ROUND(VLOOKUP(C440,'Informations générales'!$C$66:$H$70,5,FALSE)*(AL440/$AO$28)/12,0)*12,IF(C440="3114. Logements",ROUND(VLOOKUP(C440,'Informations générales'!$C$66:$H$70,5,FALSE)*(AL440/$AP$28)/12,0)*12,IF(C440="3115. Logements",ROUND(VLOOKUP(C440,'Informations générales'!$C$66:$H$70,5,FALSE)*(AL440/$AQ$28)/12,0)*12,"")))))</f>
        <v/>
      </c>
      <c r="AI440" s="114"/>
      <c r="AJ440" s="114"/>
      <c r="AK440" s="76"/>
      <c r="AL440" s="58">
        <f t="shared" si="99"/>
        <v>0</v>
      </c>
      <c r="AM440" s="58"/>
      <c r="AN440" s="58"/>
      <c r="AO440" s="58"/>
      <c r="AP440" s="58"/>
      <c r="AQ440" s="58"/>
      <c r="AR440" s="58">
        <f t="shared" si="87"/>
        <v>0</v>
      </c>
      <c r="AS440" s="58">
        <f t="shared" si="88"/>
        <v>0</v>
      </c>
      <c r="AT440" s="58">
        <f t="shared" si="89"/>
        <v>0</v>
      </c>
      <c r="AU440" s="58">
        <f t="shared" si="90"/>
        <v>0</v>
      </c>
      <c r="AV440" s="58">
        <f t="shared" si="91"/>
        <v>0</v>
      </c>
      <c r="AW440" s="58">
        <f t="shared" si="92"/>
        <v>0</v>
      </c>
      <c r="AX440" s="58">
        <f t="shared" si="93"/>
        <v>0</v>
      </c>
      <c r="AY440" s="58">
        <f t="shared" si="100"/>
        <v>0</v>
      </c>
      <c r="AZ440" s="62">
        <f t="shared" si="94"/>
        <v>0</v>
      </c>
      <c r="BA440" s="63">
        <f t="shared" si="95"/>
        <v>0</v>
      </c>
      <c r="BB440" s="63">
        <f t="shared" si="96"/>
        <v>0</v>
      </c>
    </row>
    <row r="441" spans="3:54" s="17" customFormat="1" x14ac:dyDescent="0.25">
      <c r="C441" s="215"/>
      <c r="D441" s="216"/>
      <c r="E441" s="88"/>
      <c r="F441" s="217"/>
      <c r="G441" s="234"/>
      <c r="H441" s="218"/>
      <c r="I441" s="76"/>
      <c r="J441" s="77"/>
      <c r="K441" s="76"/>
      <c r="L441" s="78"/>
      <c r="M441" s="78"/>
      <c r="N441" s="76" t="s">
        <v>39</v>
      </c>
      <c r="O441" s="110"/>
      <c r="P441" s="152"/>
      <c r="Q441" s="111" t="str">
        <f>IFERROR(MIN(VLOOKUP(ROUNDDOWN(P441,0),'Aide calcul'!$B$2:$C$282,2,FALSE),O441+1),"")</f>
        <v/>
      </c>
      <c r="R441" s="112" t="str">
        <f t="shared" si="97"/>
        <v/>
      </c>
      <c r="S441" s="152"/>
      <c r="T441" s="152"/>
      <c r="U441" s="152"/>
      <c r="V441" s="152"/>
      <c r="W441" s="152"/>
      <c r="X441" s="152"/>
      <c r="Y441" s="152"/>
      <c r="Z441" s="76"/>
      <c r="AA441" s="76"/>
      <c r="AB441" s="113" t="str">
        <f>IF(C441="3111. Logements",ROUND(VLOOKUP(C441,'Informations générales'!$C$66:$E$70,3,FALSE)*(AL441/$AM$28)/12,0)*12,IF(C441="3112. Logements",ROUND(VLOOKUP(C441,'Informations générales'!$C$66:$E$70,3,FALSE)*(AL441/$AN$28)/12,0)*12,IF(C441="3113. Logements",ROUND(VLOOKUP(C441,'Informations générales'!$C$66:$E$70,3,FALSE)*(AL441/$AO$28)/12,0)*12,IF(C441="3114. Logements",ROUND(VLOOKUP(C441,'Informations générales'!$C$66:$E$70,3,FALSE)*(AL441/$AP$28)/12,0)*12,IF(C441="3115. Logements",ROUND(VLOOKUP(C441,'Informations générales'!$C$66:$E$70,3,FALSE)*(AL441/$AQ$28)/12,0)*12,"")))))</f>
        <v/>
      </c>
      <c r="AC441" s="114"/>
      <c r="AD441" s="113">
        <f t="shared" si="98"/>
        <v>0</v>
      </c>
      <c r="AE441" s="114"/>
      <c r="AF441" s="203" t="str">
        <f>IF(C441="3111. Logements",ROUND(VLOOKUP(C441,'Informations générales'!$C$66:$E$70,3,FALSE)*(AL441/$AM$28)/12,0)*12,IF(C441="3112. Logements",ROUND(VLOOKUP(C441,'Informations générales'!$C$66:$E$70,3,FALSE)*(AL441/$AN$28)/12,0)*12,IF(C441="3113. Logements",ROUND(VLOOKUP(C441,'Informations générales'!$C$66:$E$70,3,FALSE)*(AL441/$AO$28)/12,0)*12,IF(C441="3114. Logements",ROUND(VLOOKUP(C441,'Informations générales'!$C$66:$E$70,3,FALSE)*(AL441/$AP$28)/12,0)*12,IF(C441="3115. Logements",ROUND(VLOOKUP(C441,'Informations générales'!$C$66:$E$70,3,FALSE)*(AL441/$AQ$28)/12,0)*12,"")))))</f>
        <v/>
      </c>
      <c r="AG441" s="202"/>
      <c r="AH441" s="113" t="str">
        <f>IF(C441="3111. Logements",ROUND(VLOOKUP(C441,'Informations générales'!$C$66:$H$70,5,FALSE)*(AL441/$AM$28)/12,0)*12,IF(C441="3112. Logements",ROUND(VLOOKUP(C441,'Informations générales'!$C$66:$H$70,5,FALSE)*(AL441/$AN$28)/12,0)*12,IF(C441="3113. Logements",ROUND(VLOOKUP(C441,'Informations générales'!$C$66:$H$70,5,FALSE)*(AL441/$AO$28)/12,0)*12,IF(C441="3114. Logements",ROUND(VLOOKUP(C441,'Informations générales'!$C$66:$H$70,5,FALSE)*(AL441/$AP$28)/12,0)*12,IF(C441="3115. Logements",ROUND(VLOOKUP(C441,'Informations générales'!$C$66:$H$70,5,FALSE)*(AL441/$AQ$28)/12,0)*12,"")))))</f>
        <v/>
      </c>
      <c r="AI441" s="114"/>
      <c r="AJ441" s="114"/>
      <c r="AK441" s="76"/>
      <c r="AL441" s="58">
        <f t="shared" si="99"/>
        <v>0</v>
      </c>
      <c r="AM441" s="58"/>
      <c r="AN441" s="58"/>
      <c r="AO441" s="58"/>
      <c r="AP441" s="58"/>
      <c r="AQ441" s="58"/>
      <c r="AR441" s="58">
        <f t="shared" si="87"/>
        <v>0</v>
      </c>
      <c r="AS441" s="58">
        <f t="shared" si="88"/>
        <v>0</v>
      </c>
      <c r="AT441" s="58">
        <f t="shared" si="89"/>
        <v>0</v>
      </c>
      <c r="AU441" s="58">
        <f t="shared" si="90"/>
        <v>0</v>
      </c>
      <c r="AV441" s="58">
        <f t="shared" si="91"/>
        <v>0</v>
      </c>
      <c r="AW441" s="58">
        <f t="shared" si="92"/>
        <v>0</v>
      </c>
      <c r="AX441" s="58">
        <f t="shared" si="93"/>
        <v>0</v>
      </c>
      <c r="AY441" s="58">
        <f t="shared" si="100"/>
        <v>0</v>
      </c>
      <c r="AZ441" s="62">
        <f t="shared" si="94"/>
        <v>0</v>
      </c>
      <c r="BA441" s="63">
        <f t="shared" si="95"/>
        <v>0</v>
      </c>
      <c r="BB441" s="63">
        <f t="shared" si="96"/>
        <v>0</v>
      </c>
    </row>
    <row r="442" spans="3:54" s="17" customFormat="1" x14ac:dyDescent="0.25">
      <c r="C442" s="215"/>
      <c r="D442" s="216"/>
      <c r="E442" s="88"/>
      <c r="F442" s="217"/>
      <c r="G442" s="234"/>
      <c r="H442" s="218"/>
      <c r="I442" s="76"/>
      <c r="J442" s="77"/>
      <c r="K442" s="76"/>
      <c r="L442" s="78"/>
      <c r="M442" s="78"/>
      <c r="N442" s="76" t="s">
        <v>39</v>
      </c>
      <c r="O442" s="110"/>
      <c r="P442" s="152"/>
      <c r="Q442" s="111" t="str">
        <f>IFERROR(MIN(VLOOKUP(ROUNDDOWN(P442,0),'Aide calcul'!$B$2:$C$282,2,FALSE),O442+1),"")</f>
        <v/>
      </c>
      <c r="R442" s="112" t="str">
        <f t="shared" si="97"/>
        <v/>
      </c>
      <c r="S442" s="152"/>
      <c r="T442" s="152"/>
      <c r="U442" s="152"/>
      <c r="V442" s="152"/>
      <c r="W442" s="152"/>
      <c r="X442" s="152"/>
      <c r="Y442" s="152"/>
      <c r="Z442" s="76"/>
      <c r="AA442" s="76"/>
      <c r="AB442" s="113" t="str">
        <f>IF(C442="3111. Logements",ROUND(VLOOKUP(C442,'Informations générales'!$C$66:$E$70,3,FALSE)*(AL442/$AM$28)/12,0)*12,IF(C442="3112. Logements",ROUND(VLOOKUP(C442,'Informations générales'!$C$66:$E$70,3,FALSE)*(AL442/$AN$28)/12,0)*12,IF(C442="3113. Logements",ROUND(VLOOKUP(C442,'Informations générales'!$C$66:$E$70,3,FALSE)*(AL442/$AO$28)/12,0)*12,IF(C442="3114. Logements",ROUND(VLOOKUP(C442,'Informations générales'!$C$66:$E$70,3,FALSE)*(AL442/$AP$28)/12,0)*12,IF(C442="3115. Logements",ROUND(VLOOKUP(C442,'Informations générales'!$C$66:$E$70,3,FALSE)*(AL442/$AQ$28)/12,0)*12,"")))))</f>
        <v/>
      </c>
      <c r="AC442" s="114"/>
      <c r="AD442" s="113">
        <f t="shared" si="98"/>
        <v>0</v>
      </c>
      <c r="AE442" s="114"/>
      <c r="AF442" s="203" t="str">
        <f>IF(C442="3111. Logements",ROUND(VLOOKUP(C442,'Informations générales'!$C$66:$E$70,3,FALSE)*(AL442/$AM$28)/12,0)*12,IF(C442="3112. Logements",ROUND(VLOOKUP(C442,'Informations générales'!$C$66:$E$70,3,FALSE)*(AL442/$AN$28)/12,0)*12,IF(C442="3113. Logements",ROUND(VLOOKUP(C442,'Informations générales'!$C$66:$E$70,3,FALSE)*(AL442/$AO$28)/12,0)*12,IF(C442="3114. Logements",ROUND(VLOOKUP(C442,'Informations générales'!$C$66:$E$70,3,FALSE)*(AL442/$AP$28)/12,0)*12,IF(C442="3115. Logements",ROUND(VLOOKUP(C442,'Informations générales'!$C$66:$E$70,3,FALSE)*(AL442/$AQ$28)/12,0)*12,"")))))</f>
        <v/>
      </c>
      <c r="AG442" s="202"/>
      <c r="AH442" s="113" t="str">
        <f>IF(C442="3111. Logements",ROUND(VLOOKUP(C442,'Informations générales'!$C$66:$H$70,5,FALSE)*(AL442/$AM$28)/12,0)*12,IF(C442="3112. Logements",ROUND(VLOOKUP(C442,'Informations générales'!$C$66:$H$70,5,FALSE)*(AL442/$AN$28)/12,0)*12,IF(C442="3113. Logements",ROUND(VLOOKUP(C442,'Informations générales'!$C$66:$H$70,5,FALSE)*(AL442/$AO$28)/12,0)*12,IF(C442="3114. Logements",ROUND(VLOOKUP(C442,'Informations générales'!$C$66:$H$70,5,FALSE)*(AL442/$AP$28)/12,0)*12,IF(C442="3115. Logements",ROUND(VLOOKUP(C442,'Informations générales'!$C$66:$H$70,5,FALSE)*(AL442/$AQ$28)/12,0)*12,"")))))</f>
        <v/>
      </c>
      <c r="AI442" s="114"/>
      <c r="AJ442" s="114"/>
      <c r="AK442" s="76"/>
      <c r="AL442" s="58">
        <f t="shared" si="99"/>
        <v>0</v>
      </c>
      <c r="AM442" s="58"/>
      <c r="AN442" s="58"/>
      <c r="AO442" s="58"/>
      <c r="AP442" s="58"/>
      <c r="AQ442" s="58"/>
      <c r="AR442" s="58">
        <f t="shared" si="87"/>
        <v>0</v>
      </c>
      <c r="AS442" s="58">
        <f t="shared" si="88"/>
        <v>0</v>
      </c>
      <c r="AT442" s="58">
        <f t="shared" si="89"/>
        <v>0</v>
      </c>
      <c r="AU442" s="58">
        <f t="shared" si="90"/>
        <v>0</v>
      </c>
      <c r="AV442" s="58">
        <f t="shared" si="91"/>
        <v>0</v>
      </c>
      <c r="AW442" s="58">
        <f t="shared" si="92"/>
        <v>0</v>
      </c>
      <c r="AX442" s="58">
        <f t="shared" si="93"/>
        <v>0</v>
      </c>
      <c r="AY442" s="58">
        <f t="shared" si="100"/>
        <v>0</v>
      </c>
      <c r="AZ442" s="62">
        <f t="shared" si="94"/>
        <v>0</v>
      </c>
      <c r="BA442" s="63">
        <f t="shared" si="95"/>
        <v>0</v>
      </c>
      <c r="BB442" s="63">
        <f t="shared" si="96"/>
        <v>0</v>
      </c>
    </row>
    <row r="443" spans="3:54" s="17" customFormat="1" x14ac:dyDescent="0.25">
      <c r="C443" s="215"/>
      <c r="D443" s="216"/>
      <c r="E443" s="88"/>
      <c r="F443" s="217"/>
      <c r="G443" s="234"/>
      <c r="H443" s="218"/>
      <c r="I443" s="76"/>
      <c r="J443" s="77"/>
      <c r="K443" s="76"/>
      <c r="L443" s="78"/>
      <c r="M443" s="78"/>
      <c r="N443" s="76" t="s">
        <v>39</v>
      </c>
      <c r="O443" s="110"/>
      <c r="P443" s="152"/>
      <c r="Q443" s="111" t="str">
        <f>IFERROR(MIN(VLOOKUP(ROUNDDOWN(P443,0),'Aide calcul'!$B$2:$C$282,2,FALSE),O443+1),"")</f>
        <v/>
      </c>
      <c r="R443" s="112" t="str">
        <f t="shared" si="97"/>
        <v/>
      </c>
      <c r="S443" s="152"/>
      <c r="T443" s="152"/>
      <c r="U443" s="152"/>
      <c r="V443" s="152"/>
      <c r="W443" s="152"/>
      <c r="X443" s="152"/>
      <c r="Y443" s="152"/>
      <c r="Z443" s="76"/>
      <c r="AA443" s="76"/>
      <c r="AB443" s="113" t="str">
        <f>IF(C443="3111. Logements",ROUND(VLOOKUP(C443,'Informations générales'!$C$66:$E$70,3,FALSE)*(AL443/$AM$28)/12,0)*12,IF(C443="3112. Logements",ROUND(VLOOKUP(C443,'Informations générales'!$C$66:$E$70,3,FALSE)*(AL443/$AN$28)/12,0)*12,IF(C443="3113. Logements",ROUND(VLOOKUP(C443,'Informations générales'!$C$66:$E$70,3,FALSE)*(AL443/$AO$28)/12,0)*12,IF(C443="3114. Logements",ROUND(VLOOKUP(C443,'Informations générales'!$C$66:$E$70,3,FALSE)*(AL443/$AP$28)/12,0)*12,IF(C443="3115. Logements",ROUND(VLOOKUP(C443,'Informations générales'!$C$66:$E$70,3,FALSE)*(AL443/$AQ$28)/12,0)*12,"")))))</f>
        <v/>
      </c>
      <c r="AC443" s="114"/>
      <c r="AD443" s="113">
        <f t="shared" si="98"/>
        <v>0</v>
      </c>
      <c r="AE443" s="114"/>
      <c r="AF443" s="203" t="str">
        <f>IF(C443="3111. Logements",ROUND(VLOOKUP(C443,'Informations générales'!$C$66:$E$70,3,FALSE)*(AL443/$AM$28)/12,0)*12,IF(C443="3112. Logements",ROUND(VLOOKUP(C443,'Informations générales'!$C$66:$E$70,3,FALSE)*(AL443/$AN$28)/12,0)*12,IF(C443="3113. Logements",ROUND(VLOOKUP(C443,'Informations générales'!$C$66:$E$70,3,FALSE)*(AL443/$AO$28)/12,0)*12,IF(C443="3114. Logements",ROUND(VLOOKUP(C443,'Informations générales'!$C$66:$E$70,3,FALSE)*(AL443/$AP$28)/12,0)*12,IF(C443="3115. Logements",ROUND(VLOOKUP(C443,'Informations générales'!$C$66:$E$70,3,FALSE)*(AL443/$AQ$28)/12,0)*12,"")))))</f>
        <v/>
      </c>
      <c r="AG443" s="202"/>
      <c r="AH443" s="113" t="str">
        <f>IF(C443="3111. Logements",ROUND(VLOOKUP(C443,'Informations générales'!$C$66:$H$70,5,FALSE)*(AL443/$AM$28)/12,0)*12,IF(C443="3112. Logements",ROUND(VLOOKUP(C443,'Informations générales'!$C$66:$H$70,5,FALSE)*(AL443/$AN$28)/12,0)*12,IF(C443="3113. Logements",ROUND(VLOOKUP(C443,'Informations générales'!$C$66:$H$70,5,FALSE)*(AL443/$AO$28)/12,0)*12,IF(C443="3114. Logements",ROUND(VLOOKUP(C443,'Informations générales'!$C$66:$H$70,5,FALSE)*(AL443/$AP$28)/12,0)*12,IF(C443="3115. Logements",ROUND(VLOOKUP(C443,'Informations générales'!$C$66:$H$70,5,FALSE)*(AL443/$AQ$28)/12,0)*12,"")))))</f>
        <v/>
      </c>
      <c r="AI443" s="114"/>
      <c r="AJ443" s="114"/>
      <c r="AK443" s="76"/>
      <c r="AL443" s="58">
        <f t="shared" si="99"/>
        <v>0</v>
      </c>
      <c r="AM443" s="58"/>
      <c r="AN443" s="58"/>
      <c r="AO443" s="58"/>
      <c r="AP443" s="58"/>
      <c r="AQ443" s="58"/>
      <c r="AR443" s="58">
        <f t="shared" si="87"/>
        <v>0</v>
      </c>
      <c r="AS443" s="58">
        <f t="shared" si="88"/>
        <v>0</v>
      </c>
      <c r="AT443" s="58">
        <f t="shared" si="89"/>
        <v>0</v>
      </c>
      <c r="AU443" s="58">
        <f t="shared" si="90"/>
        <v>0</v>
      </c>
      <c r="AV443" s="58">
        <f t="shared" si="91"/>
        <v>0</v>
      </c>
      <c r="AW443" s="58">
        <f t="shared" si="92"/>
        <v>0</v>
      </c>
      <c r="AX443" s="58">
        <f t="shared" si="93"/>
        <v>0</v>
      </c>
      <c r="AY443" s="58">
        <f t="shared" si="100"/>
        <v>0</v>
      </c>
      <c r="AZ443" s="62">
        <f t="shared" si="94"/>
        <v>0</v>
      </c>
      <c r="BA443" s="63">
        <f t="shared" si="95"/>
        <v>0</v>
      </c>
      <c r="BB443" s="63">
        <f t="shared" si="96"/>
        <v>0</v>
      </c>
    </row>
    <row r="444" spans="3:54" s="17" customFormat="1" x14ac:dyDescent="0.25">
      <c r="C444" s="215"/>
      <c r="D444" s="216"/>
      <c r="E444" s="88"/>
      <c r="F444" s="217"/>
      <c r="G444" s="234"/>
      <c r="H444" s="218"/>
      <c r="I444" s="76"/>
      <c r="J444" s="77"/>
      <c r="K444" s="76"/>
      <c r="L444" s="78"/>
      <c r="M444" s="78"/>
      <c r="N444" s="76" t="s">
        <v>39</v>
      </c>
      <c r="O444" s="110"/>
      <c r="P444" s="152"/>
      <c r="Q444" s="111" t="str">
        <f>IFERROR(MIN(VLOOKUP(ROUNDDOWN(P444,0),'Aide calcul'!$B$2:$C$282,2,FALSE),O444+1),"")</f>
        <v/>
      </c>
      <c r="R444" s="112" t="str">
        <f t="shared" si="97"/>
        <v/>
      </c>
      <c r="S444" s="152"/>
      <c r="T444" s="152"/>
      <c r="U444" s="152"/>
      <c r="V444" s="152"/>
      <c r="W444" s="152"/>
      <c r="X444" s="152"/>
      <c r="Y444" s="152"/>
      <c r="Z444" s="76"/>
      <c r="AA444" s="76"/>
      <c r="AB444" s="113" t="str">
        <f>IF(C444="3111. Logements",ROUND(VLOOKUP(C444,'Informations générales'!$C$66:$E$70,3,FALSE)*(AL444/$AM$28)/12,0)*12,IF(C444="3112. Logements",ROUND(VLOOKUP(C444,'Informations générales'!$C$66:$E$70,3,FALSE)*(AL444/$AN$28)/12,0)*12,IF(C444="3113. Logements",ROUND(VLOOKUP(C444,'Informations générales'!$C$66:$E$70,3,FALSE)*(AL444/$AO$28)/12,0)*12,IF(C444="3114. Logements",ROUND(VLOOKUP(C444,'Informations générales'!$C$66:$E$70,3,FALSE)*(AL444/$AP$28)/12,0)*12,IF(C444="3115. Logements",ROUND(VLOOKUP(C444,'Informations générales'!$C$66:$E$70,3,FALSE)*(AL444/$AQ$28)/12,0)*12,"")))))</f>
        <v/>
      </c>
      <c r="AC444" s="114"/>
      <c r="AD444" s="113">
        <f t="shared" si="98"/>
        <v>0</v>
      </c>
      <c r="AE444" s="114"/>
      <c r="AF444" s="203" t="str">
        <f>IF(C444="3111. Logements",ROUND(VLOOKUP(C444,'Informations générales'!$C$66:$E$70,3,FALSE)*(AL444/$AM$28)/12,0)*12,IF(C444="3112. Logements",ROUND(VLOOKUP(C444,'Informations générales'!$C$66:$E$70,3,FALSE)*(AL444/$AN$28)/12,0)*12,IF(C444="3113. Logements",ROUND(VLOOKUP(C444,'Informations générales'!$C$66:$E$70,3,FALSE)*(AL444/$AO$28)/12,0)*12,IF(C444="3114. Logements",ROUND(VLOOKUP(C444,'Informations générales'!$C$66:$E$70,3,FALSE)*(AL444/$AP$28)/12,0)*12,IF(C444="3115. Logements",ROUND(VLOOKUP(C444,'Informations générales'!$C$66:$E$70,3,FALSE)*(AL444/$AQ$28)/12,0)*12,"")))))</f>
        <v/>
      </c>
      <c r="AG444" s="202"/>
      <c r="AH444" s="113" t="str">
        <f>IF(C444="3111. Logements",ROUND(VLOOKUP(C444,'Informations générales'!$C$66:$H$70,5,FALSE)*(AL444/$AM$28)/12,0)*12,IF(C444="3112. Logements",ROUND(VLOOKUP(C444,'Informations générales'!$C$66:$H$70,5,FALSE)*(AL444/$AN$28)/12,0)*12,IF(C444="3113. Logements",ROUND(VLOOKUP(C444,'Informations générales'!$C$66:$H$70,5,FALSE)*(AL444/$AO$28)/12,0)*12,IF(C444="3114. Logements",ROUND(VLOOKUP(C444,'Informations générales'!$C$66:$H$70,5,FALSE)*(AL444/$AP$28)/12,0)*12,IF(C444="3115. Logements",ROUND(VLOOKUP(C444,'Informations générales'!$C$66:$H$70,5,FALSE)*(AL444/$AQ$28)/12,0)*12,"")))))</f>
        <v/>
      </c>
      <c r="AI444" s="114"/>
      <c r="AJ444" s="114"/>
      <c r="AK444" s="76"/>
      <c r="AL444" s="58">
        <f t="shared" si="99"/>
        <v>0</v>
      </c>
      <c r="AM444" s="58"/>
      <c r="AN444" s="58"/>
      <c r="AO444" s="58"/>
      <c r="AP444" s="58"/>
      <c r="AQ444" s="58"/>
      <c r="AR444" s="58">
        <f t="shared" si="87"/>
        <v>0</v>
      </c>
      <c r="AS444" s="58">
        <f t="shared" si="88"/>
        <v>0</v>
      </c>
      <c r="AT444" s="58">
        <f t="shared" si="89"/>
        <v>0</v>
      </c>
      <c r="AU444" s="58">
        <f t="shared" si="90"/>
        <v>0</v>
      </c>
      <c r="AV444" s="58">
        <f t="shared" si="91"/>
        <v>0</v>
      </c>
      <c r="AW444" s="58">
        <f t="shared" si="92"/>
        <v>0</v>
      </c>
      <c r="AX444" s="58">
        <f t="shared" si="93"/>
        <v>0</v>
      </c>
      <c r="AY444" s="58">
        <f t="shared" si="100"/>
        <v>0</v>
      </c>
      <c r="AZ444" s="62">
        <f t="shared" si="94"/>
        <v>0</v>
      </c>
      <c r="BA444" s="63">
        <f t="shared" si="95"/>
        <v>0</v>
      </c>
      <c r="BB444" s="63">
        <f t="shared" si="96"/>
        <v>0</v>
      </c>
    </row>
    <row r="445" spans="3:54" s="17" customFormat="1" x14ac:dyDescent="0.25">
      <c r="C445" s="215"/>
      <c r="D445" s="216"/>
      <c r="E445" s="88"/>
      <c r="F445" s="217"/>
      <c r="G445" s="234"/>
      <c r="H445" s="218"/>
      <c r="I445" s="76"/>
      <c r="J445" s="77"/>
      <c r="K445" s="76"/>
      <c r="L445" s="78"/>
      <c r="M445" s="78"/>
      <c r="N445" s="76" t="s">
        <v>39</v>
      </c>
      <c r="O445" s="110"/>
      <c r="P445" s="152"/>
      <c r="Q445" s="111" t="str">
        <f>IFERROR(MIN(VLOOKUP(ROUNDDOWN(P445,0),'Aide calcul'!$B$2:$C$282,2,FALSE),O445+1),"")</f>
        <v/>
      </c>
      <c r="R445" s="112" t="str">
        <f t="shared" si="97"/>
        <v/>
      </c>
      <c r="S445" s="152"/>
      <c r="T445" s="152"/>
      <c r="U445" s="152"/>
      <c r="V445" s="152"/>
      <c r="W445" s="152"/>
      <c r="X445" s="152"/>
      <c r="Y445" s="152"/>
      <c r="Z445" s="76"/>
      <c r="AA445" s="76"/>
      <c r="AB445" s="113" t="str">
        <f>IF(C445="3111. Logements",ROUND(VLOOKUP(C445,'Informations générales'!$C$66:$E$70,3,FALSE)*(AL445/$AM$28)/12,0)*12,IF(C445="3112. Logements",ROUND(VLOOKUP(C445,'Informations générales'!$C$66:$E$70,3,FALSE)*(AL445/$AN$28)/12,0)*12,IF(C445="3113. Logements",ROUND(VLOOKUP(C445,'Informations générales'!$C$66:$E$70,3,FALSE)*(AL445/$AO$28)/12,0)*12,IF(C445="3114. Logements",ROUND(VLOOKUP(C445,'Informations générales'!$C$66:$E$70,3,FALSE)*(AL445/$AP$28)/12,0)*12,IF(C445="3115. Logements",ROUND(VLOOKUP(C445,'Informations générales'!$C$66:$E$70,3,FALSE)*(AL445/$AQ$28)/12,0)*12,"")))))</f>
        <v/>
      </c>
      <c r="AC445" s="114"/>
      <c r="AD445" s="113">
        <f t="shared" si="98"/>
        <v>0</v>
      </c>
      <c r="AE445" s="114"/>
      <c r="AF445" s="203" t="str">
        <f>IF(C445="3111. Logements",ROUND(VLOOKUP(C445,'Informations générales'!$C$66:$E$70,3,FALSE)*(AL445/$AM$28)/12,0)*12,IF(C445="3112. Logements",ROUND(VLOOKUP(C445,'Informations générales'!$C$66:$E$70,3,FALSE)*(AL445/$AN$28)/12,0)*12,IF(C445="3113. Logements",ROUND(VLOOKUP(C445,'Informations générales'!$C$66:$E$70,3,FALSE)*(AL445/$AO$28)/12,0)*12,IF(C445="3114. Logements",ROUND(VLOOKUP(C445,'Informations générales'!$C$66:$E$70,3,FALSE)*(AL445/$AP$28)/12,0)*12,IF(C445="3115. Logements",ROUND(VLOOKUP(C445,'Informations générales'!$C$66:$E$70,3,FALSE)*(AL445/$AQ$28)/12,0)*12,"")))))</f>
        <v/>
      </c>
      <c r="AG445" s="202"/>
      <c r="AH445" s="113" t="str">
        <f>IF(C445="3111. Logements",ROUND(VLOOKUP(C445,'Informations générales'!$C$66:$H$70,5,FALSE)*(AL445/$AM$28)/12,0)*12,IF(C445="3112. Logements",ROUND(VLOOKUP(C445,'Informations générales'!$C$66:$H$70,5,FALSE)*(AL445/$AN$28)/12,0)*12,IF(C445="3113. Logements",ROUND(VLOOKUP(C445,'Informations générales'!$C$66:$H$70,5,FALSE)*(AL445/$AO$28)/12,0)*12,IF(C445="3114. Logements",ROUND(VLOOKUP(C445,'Informations générales'!$C$66:$H$70,5,FALSE)*(AL445/$AP$28)/12,0)*12,IF(C445="3115. Logements",ROUND(VLOOKUP(C445,'Informations générales'!$C$66:$H$70,5,FALSE)*(AL445/$AQ$28)/12,0)*12,"")))))</f>
        <v/>
      </c>
      <c r="AI445" s="114"/>
      <c r="AJ445" s="114"/>
      <c r="AK445" s="76"/>
      <c r="AL445" s="58">
        <f t="shared" si="99"/>
        <v>0</v>
      </c>
      <c r="AM445" s="58"/>
      <c r="AN445" s="58"/>
      <c r="AO445" s="58"/>
      <c r="AP445" s="58"/>
      <c r="AQ445" s="58"/>
      <c r="AR445" s="58">
        <f t="shared" si="87"/>
        <v>0</v>
      </c>
      <c r="AS445" s="58">
        <f t="shared" si="88"/>
        <v>0</v>
      </c>
      <c r="AT445" s="58">
        <f t="shared" si="89"/>
        <v>0</v>
      </c>
      <c r="AU445" s="58">
        <f t="shared" si="90"/>
        <v>0</v>
      </c>
      <c r="AV445" s="58">
        <f t="shared" si="91"/>
        <v>0</v>
      </c>
      <c r="AW445" s="58">
        <f t="shared" si="92"/>
        <v>0</v>
      </c>
      <c r="AX445" s="58">
        <f t="shared" si="93"/>
        <v>0</v>
      </c>
      <c r="AY445" s="58">
        <f t="shared" si="100"/>
        <v>0</v>
      </c>
      <c r="AZ445" s="62">
        <f t="shared" si="94"/>
        <v>0</v>
      </c>
      <c r="BA445" s="63">
        <f t="shared" si="95"/>
        <v>0</v>
      </c>
      <c r="BB445" s="63">
        <f t="shared" si="96"/>
        <v>0</v>
      </c>
    </row>
    <row r="446" spans="3:54" s="17" customFormat="1" x14ac:dyDescent="0.25">
      <c r="C446" s="215"/>
      <c r="D446" s="216"/>
      <c r="E446" s="88"/>
      <c r="F446" s="217"/>
      <c r="G446" s="234"/>
      <c r="H446" s="218"/>
      <c r="I446" s="76"/>
      <c r="J446" s="77"/>
      <c r="K446" s="76"/>
      <c r="L446" s="78"/>
      <c r="M446" s="78"/>
      <c r="N446" s="76" t="s">
        <v>39</v>
      </c>
      <c r="O446" s="110"/>
      <c r="P446" s="152"/>
      <c r="Q446" s="111" t="str">
        <f>IFERROR(MIN(VLOOKUP(ROUNDDOWN(P446,0),'Aide calcul'!$B$2:$C$282,2,FALSE),O446+1),"")</f>
        <v/>
      </c>
      <c r="R446" s="112" t="str">
        <f t="shared" si="97"/>
        <v/>
      </c>
      <c r="S446" s="152"/>
      <c r="T446" s="152"/>
      <c r="U446" s="152"/>
      <c r="V446" s="152"/>
      <c r="W446" s="152"/>
      <c r="X446" s="152"/>
      <c r="Y446" s="152"/>
      <c r="Z446" s="76"/>
      <c r="AA446" s="76"/>
      <c r="AB446" s="113" t="str">
        <f>IF(C446="3111. Logements",ROUND(VLOOKUP(C446,'Informations générales'!$C$66:$E$70,3,FALSE)*(AL446/$AM$28)/12,0)*12,IF(C446="3112. Logements",ROUND(VLOOKUP(C446,'Informations générales'!$C$66:$E$70,3,FALSE)*(AL446/$AN$28)/12,0)*12,IF(C446="3113. Logements",ROUND(VLOOKUP(C446,'Informations générales'!$C$66:$E$70,3,FALSE)*(AL446/$AO$28)/12,0)*12,IF(C446="3114. Logements",ROUND(VLOOKUP(C446,'Informations générales'!$C$66:$E$70,3,FALSE)*(AL446/$AP$28)/12,0)*12,IF(C446="3115. Logements",ROUND(VLOOKUP(C446,'Informations générales'!$C$66:$E$70,3,FALSE)*(AL446/$AQ$28)/12,0)*12,"")))))</f>
        <v/>
      </c>
      <c r="AC446" s="114"/>
      <c r="AD446" s="113">
        <f t="shared" si="98"/>
        <v>0</v>
      </c>
      <c r="AE446" s="114"/>
      <c r="AF446" s="203" t="str">
        <f>IF(C446="3111. Logements",ROUND(VLOOKUP(C446,'Informations générales'!$C$66:$E$70,3,FALSE)*(AL446/$AM$28)/12,0)*12,IF(C446="3112. Logements",ROUND(VLOOKUP(C446,'Informations générales'!$C$66:$E$70,3,FALSE)*(AL446/$AN$28)/12,0)*12,IF(C446="3113. Logements",ROUND(VLOOKUP(C446,'Informations générales'!$C$66:$E$70,3,FALSE)*(AL446/$AO$28)/12,0)*12,IF(C446="3114. Logements",ROUND(VLOOKUP(C446,'Informations générales'!$C$66:$E$70,3,FALSE)*(AL446/$AP$28)/12,0)*12,IF(C446="3115. Logements",ROUND(VLOOKUP(C446,'Informations générales'!$C$66:$E$70,3,FALSE)*(AL446/$AQ$28)/12,0)*12,"")))))</f>
        <v/>
      </c>
      <c r="AG446" s="202"/>
      <c r="AH446" s="113" t="str">
        <f>IF(C446="3111. Logements",ROUND(VLOOKUP(C446,'Informations générales'!$C$66:$H$70,5,FALSE)*(AL446/$AM$28)/12,0)*12,IF(C446="3112. Logements",ROUND(VLOOKUP(C446,'Informations générales'!$C$66:$H$70,5,FALSE)*(AL446/$AN$28)/12,0)*12,IF(C446="3113. Logements",ROUND(VLOOKUP(C446,'Informations générales'!$C$66:$H$70,5,FALSE)*(AL446/$AO$28)/12,0)*12,IF(C446="3114. Logements",ROUND(VLOOKUP(C446,'Informations générales'!$C$66:$H$70,5,FALSE)*(AL446/$AP$28)/12,0)*12,IF(C446="3115. Logements",ROUND(VLOOKUP(C446,'Informations générales'!$C$66:$H$70,5,FALSE)*(AL446/$AQ$28)/12,0)*12,"")))))</f>
        <v/>
      </c>
      <c r="AI446" s="114"/>
      <c r="AJ446" s="114"/>
      <c r="AK446" s="76"/>
      <c r="AL446" s="58">
        <f t="shared" si="99"/>
        <v>0</v>
      </c>
      <c r="AM446" s="58"/>
      <c r="AN446" s="58"/>
      <c r="AO446" s="58"/>
      <c r="AP446" s="58"/>
      <c r="AQ446" s="58"/>
      <c r="AR446" s="58">
        <f t="shared" si="87"/>
        <v>0</v>
      </c>
      <c r="AS446" s="58">
        <f t="shared" si="88"/>
        <v>0</v>
      </c>
      <c r="AT446" s="58">
        <f t="shared" si="89"/>
        <v>0</v>
      </c>
      <c r="AU446" s="58">
        <f t="shared" si="90"/>
        <v>0</v>
      </c>
      <c r="AV446" s="58">
        <f t="shared" si="91"/>
        <v>0</v>
      </c>
      <c r="AW446" s="58">
        <f t="shared" si="92"/>
        <v>0</v>
      </c>
      <c r="AX446" s="58">
        <f t="shared" si="93"/>
        <v>0</v>
      </c>
      <c r="AY446" s="58">
        <f t="shared" si="100"/>
        <v>0</v>
      </c>
      <c r="AZ446" s="62">
        <f t="shared" si="94"/>
        <v>0</v>
      </c>
      <c r="BA446" s="63">
        <f t="shared" si="95"/>
        <v>0</v>
      </c>
      <c r="BB446" s="63">
        <f t="shared" si="96"/>
        <v>0</v>
      </c>
    </row>
    <row r="447" spans="3:54" s="17" customFormat="1" x14ac:dyDescent="0.25">
      <c r="C447" s="215"/>
      <c r="D447" s="216"/>
      <c r="E447" s="88"/>
      <c r="F447" s="217"/>
      <c r="G447" s="234"/>
      <c r="H447" s="218"/>
      <c r="I447" s="76"/>
      <c r="J447" s="77"/>
      <c r="K447" s="76"/>
      <c r="L447" s="78"/>
      <c r="M447" s="78"/>
      <c r="N447" s="76" t="s">
        <v>39</v>
      </c>
      <c r="O447" s="110"/>
      <c r="P447" s="152"/>
      <c r="Q447" s="111" t="str">
        <f>IFERROR(MIN(VLOOKUP(ROUNDDOWN(P447,0),'Aide calcul'!$B$2:$C$282,2,FALSE),O447+1),"")</f>
        <v/>
      </c>
      <c r="R447" s="112" t="str">
        <f t="shared" si="97"/>
        <v/>
      </c>
      <c r="S447" s="152"/>
      <c r="T447" s="152"/>
      <c r="U447" s="152"/>
      <c r="V447" s="152"/>
      <c r="W447" s="152"/>
      <c r="X447" s="152"/>
      <c r="Y447" s="152"/>
      <c r="Z447" s="76"/>
      <c r="AA447" s="76"/>
      <c r="AB447" s="113" t="str">
        <f>IF(C447="3111. Logements",ROUND(VLOOKUP(C447,'Informations générales'!$C$66:$E$70,3,FALSE)*(AL447/$AM$28)/12,0)*12,IF(C447="3112. Logements",ROUND(VLOOKUP(C447,'Informations générales'!$C$66:$E$70,3,FALSE)*(AL447/$AN$28)/12,0)*12,IF(C447="3113. Logements",ROUND(VLOOKUP(C447,'Informations générales'!$C$66:$E$70,3,FALSE)*(AL447/$AO$28)/12,0)*12,IF(C447="3114. Logements",ROUND(VLOOKUP(C447,'Informations générales'!$C$66:$E$70,3,FALSE)*(AL447/$AP$28)/12,0)*12,IF(C447="3115. Logements",ROUND(VLOOKUP(C447,'Informations générales'!$C$66:$E$70,3,FALSE)*(AL447/$AQ$28)/12,0)*12,"")))))</f>
        <v/>
      </c>
      <c r="AC447" s="114"/>
      <c r="AD447" s="113">
        <f t="shared" si="98"/>
        <v>0</v>
      </c>
      <c r="AE447" s="114"/>
      <c r="AF447" s="203" t="str">
        <f>IF(C447="3111. Logements",ROUND(VLOOKUP(C447,'Informations générales'!$C$66:$E$70,3,FALSE)*(AL447/$AM$28)/12,0)*12,IF(C447="3112. Logements",ROUND(VLOOKUP(C447,'Informations générales'!$C$66:$E$70,3,FALSE)*(AL447/$AN$28)/12,0)*12,IF(C447="3113. Logements",ROUND(VLOOKUP(C447,'Informations générales'!$C$66:$E$70,3,FALSE)*(AL447/$AO$28)/12,0)*12,IF(C447="3114. Logements",ROUND(VLOOKUP(C447,'Informations générales'!$C$66:$E$70,3,FALSE)*(AL447/$AP$28)/12,0)*12,IF(C447="3115. Logements",ROUND(VLOOKUP(C447,'Informations générales'!$C$66:$E$70,3,FALSE)*(AL447/$AQ$28)/12,0)*12,"")))))</f>
        <v/>
      </c>
      <c r="AG447" s="202"/>
      <c r="AH447" s="113" t="str">
        <f>IF(C447="3111. Logements",ROUND(VLOOKUP(C447,'Informations générales'!$C$66:$H$70,5,FALSE)*(AL447/$AM$28)/12,0)*12,IF(C447="3112. Logements",ROUND(VLOOKUP(C447,'Informations générales'!$C$66:$H$70,5,FALSE)*(AL447/$AN$28)/12,0)*12,IF(C447="3113. Logements",ROUND(VLOOKUP(C447,'Informations générales'!$C$66:$H$70,5,FALSE)*(AL447/$AO$28)/12,0)*12,IF(C447="3114. Logements",ROUND(VLOOKUP(C447,'Informations générales'!$C$66:$H$70,5,FALSE)*(AL447/$AP$28)/12,0)*12,IF(C447="3115. Logements",ROUND(VLOOKUP(C447,'Informations générales'!$C$66:$H$70,5,FALSE)*(AL447/$AQ$28)/12,0)*12,"")))))</f>
        <v/>
      </c>
      <c r="AI447" s="114"/>
      <c r="AJ447" s="114"/>
      <c r="AK447" s="76"/>
      <c r="AL447" s="58">
        <f t="shared" si="99"/>
        <v>0</v>
      </c>
      <c r="AM447" s="58"/>
      <c r="AN447" s="58"/>
      <c r="AO447" s="58"/>
      <c r="AP447" s="58"/>
      <c r="AQ447" s="58"/>
      <c r="AR447" s="58">
        <f t="shared" si="87"/>
        <v>0</v>
      </c>
      <c r="AS447" s="58">
        <f t="shared" si="88"/>
        <v>0</v>
      </c>
      <c r="AT447" s="58">
        <f t="shared" si="89"/>
        <v>0</v>
      </c>
      <c r="AU447" s="58">
        <f t="shared" si="90"/>
        <v>0</v>
      </c>
      <c r="AV447" s="58">
        <f t="shared" si="91"/>
        <v>0</v>
      </c>
      <c r="AW447" s="58">
        <f t="shared" si="92"/>
        <v>0</v>
      </c>
      <c r="AX447" s="58">
        <f t="shared" si="93"/>
        <v>0</v>
      </c>
      <c r="AY447" s="58">
        <f t="shared" si="100"/>
        <v>0</v>
      </c>
      <c r="AZ447" s="62">
        <f t="shared" si="94"/>
        <v>0</v>
      </c>
      <c r="BA447" s="63">
        <f t="shared" si="95"/>
        <v>0</v>
      </c>
      <c r="BB447" s="63">
        <f t="shared" si="96"/>
        <v>0</v>
      </c>
    </row>
    <row r="448" spans="3:54" s="17" customFormat="1" x14ac:dyDescent="0.25">
      <c r="C448" s="215"/>
      <c r="D448" s="216"/>
      <c r="E448" s="88"/>
      <c r="F448" s="217"/>
      <c r="G448" s="234"/>
      <c r="H448" s="218"/>
      <c r="I448" s="76"/>
      <c r="J448" s="77"/>
      <c r="K448" s="76"/>
      <c r="L448" s="78"/>
      <c r="M448" s="78"/>
      <c r="N448" s="76" t="s">
        <v>39</v>
      </c>
      <c r="O448" s="110"/>
      <c r="P448" s="152"/>
      <c r="Q448" s="111" t="str">
        <f>IFERROR(MIN(VLOOKUP(ROUNDDOWN(P448,0),'Aide calcul'!$B$2:$C$282,2,FALSE),O448+1),"")</f>
        <v/>
      </c>
      <c r="R448" s="112" t="str">
        <f t="shared" si="97"/>
        <v/>
      </c>
      <c r="S448" s="152"/>
      <c r="T448" s="152"/>
      <c r="U448" s="152"/>
      <c r="V448" s="152"/>
      <c r="W448" s="152"/>
      <c r="X448" s="152"/>
      <c r="Y448" s="152"/>
      <c r="Z448" s="76"/>
      <c r="AA448" s="76"/>
      <c r="AB448" s="113" t="str">
        <f>IF(C448="3111. Logements",ROUND(VLOOKUP(C448,'Informations générales'!$C$66:$E$70,3,FALSE)*(AL448/$AM$28)/12,0)*12,IF(C448="3112. Logements",ROUND(VLOOKUP(C448,'Informations générales'!$C$66:$E$70,3,FALSE)*(AL448/$AN$28)/12,0)*12,IF(C448="3113. Logements",ROUND(VLOOKUP(C448,'Informations générales'!$C$66:$E$70,3,FALSE)*(AL448/$AO$28)/12,0)*12,IF(C448="3114. Logements",ROUND(VLOOKUP(C448,'Informations générales'!$C$66:$E$70,3,FALSE)*(AL448/$AP$28)/12,0)*12,IF(C448="3115. Logements",ROUND(VLOOKUP(C448,'Informations générales'!$C$66:$E$70,3,FALSE)*(AL448/$AQ$28)/12,0)*12,"")))))</f>
        <v/>
      </c>
      <c r="AC448" s="114"/>
      <c r="AD448" s="113">
        <f t="shared" si="98"/>
        <v>0</v>
      </c>
      <c r="AE448" s="114"/>
      <c r="AF448" s="203" t="str">
        <f>IF(C448="3111. Logements",ROUND(VLOOKUP(C448,'Informations générales'!$C$66:$E$70,3,FALSE)*(AL448/$AM$28)/12,0)*12,IF(C448="3112. Logements",ROUND(VLOOKUP(C448,'Informations générales'!$C$66:$E$70,3,FALSE)*(AL448/$AN$28)/12,0)*12,IF(C448="3113. Logements",ROUND(VLOOKUP(C448,'Informations générales'!$C$66:$E$70,3,FALSE)*(AL448/$AO$28)/12,0)*12,IF(C448="3114. Logements",ROUND(VLOOKUP(C448,'Informations générales'!$C$66:$E$70,3,FALSE)*(AL448/$AP$28)/12,0)*12,IF(C448="3115. Logements",ROUND(VLOOKUP(C448,'Informations générales'!$C$66:$E$70,3,FALSE)*(AL448/$AQ$28)/12,0)*12,"")))))</f>
        <v/>
      </c>
      <c r="AG448" s="202"/>
      <c r="AH448" s="113" t="str">
        <f>IF(C448="3111. Logements",ROUND(VLOOKUP(C448,'Informations générales'!$C$66:$H$70,5,FALSE)*(AL448/$AM$28)/12,0)*12,IF(C448="3112. Logements",ROUND(VLOOKUP(C448,'Informations générales'!$C$66:$H$70,5,FALSE)*(AL448/$AN$28)/12,0)*12,IF(C448="3113. Logements",ROUND(VLOOKUP(C448,'Informations générales'!$C$66:$H$70,5,FALSE)*(AL448/$AO$28)/12,0)*12,IF(C448="3114. Logements",ROUND(VLOOKUP(C448,'Informations générales'!$C$66:$H$70,5,FALSE)*(AL448/$AP$28)/12,0)*12,IF(C448="3115. Logements",ROUND(VLOOKUP(C448,'Informations générales'!$C$66:$H$70,5,FALSE)*(AL448/$AQ$28)/12,0)*12,"")))))</f>
        <v/>
      </c>
      <c r="AI448" s="114"/>
      <c r="AJ448" s="114"/>
      <c r="AK448" s="76"/>
      <c r="AL448" s="58">
        <f t="shared" si="99"/>
        <v>0</v>
      </c>
      <c r="AM448" s="58"/>
      <c r="AN448" s="58"/>
      <c r="AO448" s="58"/>
      <c r="AP448" s="58"/>
      <c r="AQ448" s="58"/>
      <c r="AR448" s="58">
        <f t="shared" si="87"/>
        <v>0</v>
      </c>
      <c r="AS448" s="58">
        <f t="shared" si="88"/>
        <v>0</v>
      </c>
      <c r="AT448" s="58">
        <f t="shared" si="89"/>
        <v>0</v>
      </c>
      <c r="AU448" s="58">
        <f t="shared" si="90"/>
        <v>0</v>
      </c>
      <c r="AV448" s="58">
        <f t="shared" si="91"/>
        <v>0</v>
      </c>
      <c r="AW448" s="58">
        <f t="shared" si="92"/>
        <v>0</v>
      </c>
      <c r="AX448" s="58">
        <f t="shared" si="93"/>
        <v>0</v>
      </c>
      <c r="AY448" s="58">
        <f t="shared" si="100"/>
        <v>0</v>
      </c>
      <c r="AZ448" s="62">
        <f t="shared" si="94"/>
        <v>0</v>
      </c>
      <c r="BA448" s="63">
        <f t="shared" si="95"/>
        <v>0</v>
      </c>
      <c r="BB448" s="63">
        <f t="shared" si="96"/>
        <v>0</v>
      </c>
    </row>
    <row r="449" spans="3:54" s="17" customFormat="1" x14ac:dyDescent="0.25">
      <c r="C449" s="215"/>
      <c r="D449" s="216"/>
      <c r="E449" s="88"/>
      <c r="F449" s="217"/>
      <c r="G449" s="234"/>
      <c r="H449" s="218"/>
      <c r="I449" s="76"/>
      <c r="J449" s="77"/>
      <c r="K449" s="76"/>
      <c r="L449" s="78"/>
      <c r="M449" s="78"/>
      <c r="N449" s="76" t="s">
        <v>39</v>
      </c>
      <c r="O449" s="110"/>
      <c r="P449" s="152"/>
      <c r="Q449" s="111" t="str">
        <f>IFERROR(MIN(VLOOKUP(ROUNDDOWN(P449,0),'Aide calcul'!$B$2:$C$282,2,FALSE),O449+1),"")</f>
        <v/>
      </c>
      <c r="R449" s="112" t="str">
        <f t="shared" si="97"/>
        <v/>
      </c>
      <c r="S449" s="152"/>
      <c r="T449" s="152"/>
      <c r="U449" s="152"/>
      <c r="V449" s="152"/>
      <c r="W449" s="152"/>
      <c r="X449" s="152"/>
      <c r="Y449" s="152"/>
      <c r="Z449" s="76"/>
      <c r="AA449" s="76"/>
      <c r="AB449" s="113" t="str">
        <f>IF(C449="3111. Logements",ROUND(VLOOKUP(C449,'Informations générales'!$C$66:$E$70,3,FALSE)*(AL449/$AM$28)/12,0)*12,IF(C449="3112. Logements",ROUND(VLOOKUP(C449,'Informations générales'!$C$66:$E$70,3,FALSE)*(AL449/$AN$28)/12,0)*12,IF(C449="3113. Logements",ROUND(VLOOKUP(C449,'Informations générales'!$C$66:$E$70,3,FALSE)*(AL449/$AO$28)/12,0)*12,IF(C449="3114. Logements",ROUND(VLOOKUP(C449,'Informations générales'!$C$66:$E$70,3,FALSE)*(AL449/$AP$28)/12,0)*12,IF(C449="3115. Logements",ROUND(VLOOKUP(C449,'Informations générales'!$C$66:$E$70,3,FALSE)*(AL449/$AQ$28)/12,0)*12,"")))))</f>
        <v/>
      </c>
      <c r="AC449" s="114"/>
      <c r="AD449" s="113">
        <f t="shared" si="98"/>
        <v>0</v>
      </c>
      <c r="AE449" s="114"/>
      <c r="AF449" s="203" t="str">
        <f>IF(C449="3111. Logements",ROUND(VLOOKUP(C449,'Informations générales'!$C$66:$E$70,3,FALSE)*(AL449/$AM$28)/12,0)*12,IF(C449="3112. Logements",ROUND(VLOOKUP(C449,'Informations générales'!$C$66:$E$70,3,FALSE)*(AL449/$AN$28)/12,0)*12,IF(C449="3113. Logements",ROUND(VLOOKUP(C449,'Informations générales'!$C$66:$E$70,3,FALSE)*(AL449/$AO$28)/12,0)*12,IF(C449="3114. Logements",ROUND(VLOOKUP(C449,'Informations générales'!$C$66:$E$70,3,FALSE)*(AL449/$AP$28)/12,0)*12,IF(C449="3115. Logements",ROUND(VLOOKUP(C449,'Informations générales'!$C$66:$E$70,3,FALSE)*(AL449/$AQ$28)/12,0)*12,"")))))</f>
        <v/>
      </c>
      <c r="AG449" s="202"/>
      <c r="AH449" s="113" t="str">
        <f>IF(C449="3111. Logements",ROUND(VLOOKUP(C449,'Informations générales'!$C$66:$H$70,5,FALSE)*(AL449/$AM$28)/12,0)*12,IF(C449="3112. Logements",ROUND(VLOOKUP(C449,'Informations générales'!$C$66:$H$70,5,FALSE)*(AL449/$AN$28)/12,0)*12,IF(C449="3113. Logements",ROUND(VLOOKUP(C449,'Informations générales'!$C$66:$H$70,5,FALSE)*(AL449/$AO$28)/12,0)*12,IF(C449="3114. Logements",ROUND(VLOOKUP(C449,'Informations générales'!$C$66:$H$70,5,FALSE)*(AL449/$AP$28)/12,0)*12,IF(C449="3115. Logements",ROUND(VLOOKUP(C449,'Informations générales'!$C$66:$H$70,5,FALSE)*(AL449/$AQ$28)/12,0)*12,"")))))</f>
        <v/>
      </c>
      <c r="AI449" s="114"/>
      <c r="AJ449" s="114"/>
      <c r="AK449" s="76"/>
      <c r="AL449" s="58">
        <f t="shared" si="99"/>
        <v>0</v>
      </c>
      <c r="AM449" s="58"/>
      <c r="AN449" s="58"/>
      <c r="AO449" s="58"/>
      <c r="AP449" s="58"/>
      <c r="AQ449" s="58"/>
      <c r="AR449" s="58">
        <f t="shared" si="87"/>
        <v>0</v>
      </c>
      <c r="AS449" s="58">
        <f t="shared" si="88"/>
        <v>0</v>
      </c>
      <c r="AT449" s="58">
        <f t="shared" si="89"/>
        <v>0</v>
      </c>
      <c r="AU449" s="58">
        <f t="shared" si="90"/>
        <v>0</v>
      </c>
      <c r="AV449" s="58">
        <f t="shared" si="91"/>
        <v>0</v>
      </c>
      <c r="AW449" s="58">
        <f t="shared" si="92"/>
        <v>0</v>
      </c>
      <c r="AX449" s="58">
        <f t="shared" si="93"/>
        <v>0</v>
      </c>
      <c r="AY449" s="58">
        <f t="shared" si="100"/>
        <v>0</v>
      </c>
      <c r="AZ449" s="62">
        <f t="shared" si="94"/>
        <v>0</v>
      </c>
      <c r="BA449" s="63">
        <f t="shared" si="95"/>
        <v>0</v>
      </c>
      <c r="BB449" s="63">
        <f t="shared" si="96"/>
        <v>0</v>
      </c>
    </row>
    <row r="450" spans="3:54" s="17" customFormat="1" x14ac:dyDescent="0.25">
      <c r="C450" s="215"/>
      <c r="D450" s="216"/>
      <c r="E450" s="88"/>
      <c r="F450" s="217"/>
      <c r="G450" s="234"/>
      <c r="H450" s="218"/>
      <c r="I450" s="76"/>
      <c r="J450" s="77"/>
      <c r="K450" s="76"/>
      <c r="L450" s="78"/>
      <c r="M450" s="78"/>
      <c r="N450" s="76" t="s">
        <v>39</v>
      </c>
      <c r="O450" s="110"/>
      <c r="P450" s="152"/>
      <c r="Q450" s="111" t="str">
        <f>IFERROR(MIN(VLOOKUP(ROUNDDOWN(P450,0),'Aide calcul'!$B$2:$C$282,2,FALSE),O450+1),"")</f>
        <v/>
      </c>
      <c r="R450" s="112" t="str">
        <f t="shared" si="97"/>
        <v/>
      </c>
      <c r="S450" s="152"/>
      <c r="T450" s="152"/>
      <c r="U450" s="152"/>
      <c r="V450" s="152"/>
      <c r="W450" s="152"/>
      <c r="X450" s="152"/>
      <c r="Y450" s="152"/>
      <c r="Z450" s="76"/>
      <c r="AA450" s="76"/>
      <c r="AB450" s="113" t="str">
        <f>IF(C450="3111. Logements",ROUND(VLOOKUP(C450,'Informations générales'!$C$66:$E$70,3,FALSE)*(AL450/$AM$28)/12,0)*12,IF(C450="3112. Logements",ROUND(VLOOKUP(C450,'Informations générales'!$C$66:$E$70,3,FALSE)*(AL450/$AN$28)/12,0)*12,IF(C450="3113. Logements",ROUND(VLOOKUP(C450,'Informations générales'!$C$66:$E$70,3,FALSE)*(AL450/$AO$28)/12,0)*12,IF(C450="3114. Logements",ROUND(VLOOKUP(C450,'Informations générales'!$C$66:$E$70,3,FALSE)*(AL450/$AP$28)/12,0)*12,IF(C450="3115. Logements",ROUND(VLOOKUP(C450,'Informations générales'!$C$66:$E$70,3,FALSE)*(AL450/$AQ$28)/12,0)*12,"")))))</f>
        <v/>
      </c>
      <c r="AC450" s="114"/>
      <c r="AD450" s="113">
        <f t="shared" si="98"/>
        <v>0</v>
      </c>
      <c r="AE450" s="114"/>
      <c r="AF450" s="203" t="str">
        <f>IF(C450="3111. Logements",ROUND(VLOOKUP(C450,'Informations générales'!$C$66:$E$70,3,FALSE)*(AL450/$AM$28)/12,0)*12,IF(C450="3112. Logements",ROUND(VLOOKUP(C450,'Informations générales'!$C$66:$E$70,3,FALSE)*(AL450/$AN$28)/12,0)*12,IF(C450="3113. Logements",ROUND(VLOOKUP(C450,'Informations générales'!$C$66:$E$70,3,FALSE)*(AL450/$AO$28)/12,0)*12,IF(C450="3114. Logements",ROUND(VLOOKUP(C450,'Informations générales'!$C$66:$E$70,3,FALSE)*(AL450/$AP$28)/12,0)*12,IF(C450="3115. Logements",ROUND(VLOOKUP(C450,'Informations générales'!$C$66:$E$70,3,FALSE)*(AL450/$AQ$28)/12,0)*12,"")))))</f>
        <v/>
      </c>
      <c r="AG450" s="202"/>
      <c r="AH450" s="113" t="str">
        <f>IF(C450="3111. Logements",ROUND(VLOOKUP(C450,'Informations générales'!$C$66:$H$70,5,FALSE)*(AL450/$AM$28)/12,0)*12,IF(C450="3112. Logements",ROUND(VLOOKUP(C450,'Informations générales'!$C$66:$H$70,5,FALSE)*(AL450/$AN$28)/12,0)*12,IF(C450="3113. Logements",ROUND(VLOOKUP(C450,'Informations générales'!$C$66:$H$70,5,FALSE)*(AL450/$AO$28)/12,0)*12,IF(C450="3114. Logements",ROUND(VLOOKUP(C450,'Informations générales'!$C$66:$H$70,5,FALSE)*(AL450/$AP$28)/12,0)*12,IF(C450="3115. Logements",ROUND(VLOOKUP(C450,'Informations générales'!$C$66:$H$70,5,FALSE)*(AL450/$AQ$28)/12,0)*12,"")))))</f>
        <v/>
      </c>
      <c r="AI450" s="114"/>
      <c r="AJ450" s="114"/>
      <c r="AK450" s="76"/>
      <c r="AL450" s="58">
        <f t="shared" si="99"/>
        <v>0</v>
      </c>
      <c r="AM450" s="58"/>
      <c r="AN450" s="58"/>
      <c r="AO450" s="58"/>
      <c r="AP450" s="58"/>
      <c r="AQ450" s="58"/>
      <c r="AR450" s="58">
        <f t="shared" si="87"/>
        <v>0</v>
      </c>
      <c r="AS450" s="58">
        <f t="shared" si="88"/>
        <v>0</v>
      </c>
      <c r="AT450" s="58">
        <f t="shared" si="89"/>
        <v>0</v>
      </c>
      <c r="AU450" s="58">
        <f t="shared" si="90"/>
        <v>0</v>
      </c>
      <c r="AV450" s="58">
        <f t="shared" si="91"/>
        <v>0</v>
      </c>
      <c r="AW450" s="58">
        <f t="shared" si="92"/>
        <v>0</v>
      </c>
      <c r="AX450" s="58">
        <f t="shared" si="93"/>
        <v>0</v>
      </c>
      <c r="AY450" s="58">
        <f t="shared" si="100"/>
        <v>0</v>
      </c>
      <c r="AZ450" s="62">
        <f t="shared" si="94"/>
        <v>0</v>
      </c>
      <c r="BA450" s="63">
        <f t="shared" si="95"/>
        <v>0</v>
      </c>
      <c r="BB450" s="63">
        <f t="shared" si="96"/>
        <v>0</v>
      </c>
    </row>
    <row r="451" spans="3:54" s="17" customFormat="1" x14ac:dyDescent="0.25">
      <c r="C451" s="215"/>
      <c r="D451" s="216"/>
      <c r="E451" s="88"/>
      <c r="F451" s="217"/>
      <c r="G451" s="234"/>
      <c r="H451" s="218"/>
      <c r="I451" s="76"/>
      <c r="J451" s="77"/>
      <c r="K451" s="76"/>
      <c r="L451" s="78"/>
      <c r="M451" s="78"/>
      <c r="N451" s="76" t="s">
        <v>39</v>
      </c>
      <c r="O451" s="110"/>
      <c r="P451" s="152"/>
      <c r="Q451" s="111" t="str">
        <f>IFERROR(MIN(VLOOKUP(ROUNDDOWN(P451,0),'Aide calcul'!$B$2:$C$282,2,FALSE),O451+1),"")</f>
        <v/>
      </c>
      <c r="R451" s="112" t="str">
        <f t="shared" si="97"/>
        <v/>
      </c>
      <c r="S451" s="152"/>
      <c r="T451" s="152"/>
      <c r="U451" s="152"/>
      <c r="V451" s="152"/>
      <c r="W451" s="152"/>
      <c r="X451" s="152"/>
      <c r="Y451" s="152"/>
      <c r="Z451" s="76"/>
      <c r="AA451" s="76"/>
      <c r="AB451" s="113" t="str">
        <f>IF(C451="3111. Logements",ROUND(VLOOKUP(C451,'Informations générales'!$C$66:$E$70,3,FALSE)*(AL451/$AM$28)/12,0)*12,IF(C451="3112. Logements",ROUND(VLOOKUP(C451,'Informations générales'!$C$66:$E$70,3,FALSE)*(AL451/$AN$28)/12,0)*12,IF(C451="3113. Logements",ROUND(VLOOKUP(C451,'Informations générales'!$C$66:$E$70,3,FALSE)*(AL451/$AO$28)/12,0)*12,IF(C451="3114. Logements",ROUND(VLOOKUP(C451,'Informations générales'!$C$66:$E$70,3,FALSE)*(AL451/$AP$28)/12,0)*12,IF(C451="3115. Logements",ROUND(VLOOKUP(C451,'Informations générales'!$C$66:$E$70,3,FALSE)*(AL451/$AQ$28)/12,0)*12,"")))))</f>
        <v/>
      </c>
      <c r="AC451" s="114"/>
      <c r="AD451" s="113">
        <f t="shared" si="98"/>
        <v>0</v>
      </c>
      <c r="AE451" s="114"/>
      <c r="AF451" s="203" t="str">
        <f>IF(C451="3111. Logements",ROUND(VLOOKUP(C451,'Informations générales'!$C$66:$E$70,3,FALSE)*(AL451/$AM$28)/12,0)*12,IF(C451="3112. Logements",ROUND(VLOOKUP(C451,'Informations générales'!$C$66:$E$70,3,FALSE)*(AL451/$AN$28)/12,0)*12,IF(C451="3113. Logements",ROUND(VLOOKUP(C451,'Informations générales'!$C$66:$E$70,3,FALSE)*(AL451/$AO$28)/12,0)*12,IF(C451="3114. Logements",ROUND(VLOOKUP(C451,'Informations générales'!$C$66:$E$70,3,FALSE)*(AL451/$AP$28)/12,0)*12,IF(C451="3115. Logements",ROUND(VLOOKUP(C451,'Informations générales'!$C$66:$E$70,3,FALSE)*(AL451/$AQ$28)/12,0)*12,"")))))</f>
        <v/>
      </c>
      <c r="AG451" s="202"/>
      <c r="AH451" s="113" t="str">
        <f>IF(C451="3111. Logements",ROUND(VLOOKUP(C451,'Informations générales'!$C$66:$H$70,5,FALSE)*(AL451/$AM$28)/12,0)*12,IF(C451="3112. Logements",ROUND(VLOOKUP(C451,'Informations générales'!$C$66:$H$70,5,FALSE)*(AL451/$AN$28)/12,0)*12,IF(C451="3113. Logements",ROUND(VLOOKUP(C451,'Informations générales'!$C$66:$H$70,5,FALSE)*(AL451/$AO$28)/12,0)*12,IF(C451="3114. Logements",ROUND(VLOOKUP(C451,'Informations générales'!$C$66:$H$70,5,FALSE)*(AL451/$AP$28)/12,0)*12,IF(C451="3115. Logements",ROUND(VLOOKUP(C451,'Informations générales'!$C$66:$H$70,5,FALSE)*(AL451/$AQ$28)/12,0)*12,"")))))</f>
        <v/>
      </c>
      <c r="AI451" s="114"/>
      <c r="AJ451" s="114"/>
      <c r="AK451" s="76"/>
      <c r="AL451" s="58">
        <f t="shared" si="99"/>
        <v>0</v>
      </c>
      <c r="AM451" s="58"/>
      <c r="AN451" s="58"/>
      <c r="AO451" s="58"/>
      <c r="AP451" s="58"/>
      <c r="AQ451" s="58"/>
      <c r="AR451" s="58">
        <f t="shared" si="87"/>
        <v>0</v>
      </c>
      <c r="AS451" s="58">
        <f t="shared" si="88"/>
        <v>0</v>
      </c>
      <c r="AT451" s="58">
        <f t="shared" si="89"/>
        <v>0</v>
      </c>
      <c r="AU451" s="58">
        <f t="shared" si="90"/>
        <v>0</v>
      </c>
      <c r="AV451" s="58">
        <f t="shared" si="91"/>
        <v>0</v>
      </c>
      <c r="AW451" s="58">
        <f t="shared" si="92"/>
        <v>0</v>
      </c>
      <c r="AX451" s="58">
        <f t="shared" si="93"/>
        <v>0</v>
      </c>
      <c r="AY451" s="58">
        <f t="shared" si="100"/>
        <v>0</v>
      </c>
      <c r="AZ451" s="62">
        <f t="shared" si="94"/>
        <v>0</v>
      </c>
      <c r="BA451" s="63">
        <f t="shared" si="95"/>
        <v>0</v>
      </c>
      <c r="BB451" s="63">
        <f t="shared" si="96"/>
        <v>0</v>
      </c>
    </row>
    <row r="452" spans="3:54" s="17" customFormat="1" x14ac:dyDescent="0.25">
      <c r="C452" s="215"/>
      <c r="D452" s="216"/>
      <c r="E452" s="88"/>
      <c r="F452" s="217"/>
      <c r="G452" s="234"/>
      <c r="H452" s="218"/>
      <c r="I452" s="76"/>
      <c r="J452" s="77"/>
      <c r="K452" s="76"/>
      <c r="L452" s="78"/>
      <c r="M452" s="78"/>
      <c r="N452" s="76" t="s">
        <v>39</v>
      </c>
      <c r="O452" s="110"/>
      <c r="P452" s="152"/>
      <c r="Q452" s="111" t="str">
        <f>IFERROR(MIN(VLOOKUP(ROUNDDOWN(P452,0),'Aide calcul'!$B$2:$C$282,2,FALSE),O452+1),"")</f>
        <v/>
      </c>
      <c r="R452" s="112" t="str">
        <f t="shared" si="97"/>
        <v/>
      </c>
      <c r="S452" s="152"/>
      <c r="T452" s="152"/>
      <c r="U452" s="152"/>
      <c r="V452" s="152"/>
      <c r="W452" s="152"/>
      <c r="X452" s="152"/>
      <c r="Y452" s="152"/>
      <c r="Z452" s="76"/>
      <c r="AA452" s="76"/>
      <c r="AB452" s="113" t="str">
        <f>IF(C452="3111. Logements",ROUND(VLOOKUP(C452,'Informations générales'!$C$66:$E$70,3,FALSE)*(AL452/$AM$28)/12,0)*12,IF(C452="3112. Logements",ROUND(VLOOKUP(C452,'Informations générales'!$C$66:$E$70,3,FALSE)*(AL452/$AN$28)/12,0)*12,IF(C452="3113. Logements",ROUND(VLOOKUP(C452,'Informations générales'!$C$66:$E$70,3,FALSE)*(AL452/$AO$28)/12,0)*12,IF(C452="3114. Logements",ROUND(VLOOKUP(C452,'Informations générales'!$C$66:$E$70,3,FALSE)*(AL452/$AP$28)/12,0)*12,IF(C452="3115. Logements",ROUND(VLOOKUP(C452,'Informations générales'!$C$66:$E$70,3,FALSE)*(AL452/$AQ$28)/12,0)*12,"")))))</f>
        <v/>
      </c>
      <c r="AC452" s="114"/>
      <c r="AD452" s="113">
        <f t="shared" si="98"/>
        <v>0</v>
      </c>
      <c r="AE452" s="114"/>
      <c r="AF452" s="203" t="str">
        <f>IF(C452="3111. Logements",ROUND(VLOOKUP(C452,'Informations générales'!$C$66:$E$70,3,FALSE)*(AL452/$AM$28)/12,0)*12,IF(C452="3112. Logements",ROUND(VLOOKUP(C452,'Informations générales'!$C$66:$E$70,3,FALSE)*(AL452/$AN$28)/12,0)*12,IF(C452="3113. Logements",ROUND(VLOOKUP(C452,'Informations générales'!$C$66:$E$70,3,FALSE)*(AL452/$AO$28)/12,0)*12,IF(C452="3114. Logements",ROUND(VLOOKUP(C452,'Informations générales'!$C$66:$E$70,3,FALSE)*(AL452/$AP$28)/12,0)*12,IF(C452="3115. Logements",ROUND(VLOOKUP(C452,'Informations générales'!$C$66:$E$70,3,FALSE)*(AL452/$AQ$28)/12,0)*12,"")))))</f>
        <v/>
      </c>
      <c r="AG452" s="202"/>
      <c r="AH452" s="113" t="str">
        <f>IF(C452="3111. Logements",ROUND(VLOOKUP(C452,'Informations générales'!$C$66:$H$70,5,FALSE)*(AL452/$AM$28)/12,0)*12,IF(C452="3112. Logements",ROUND(VLOOKUP(C452,'Informations générales'!$C$66:$H$70,5,FALSE)*(AL452/$AN$28)/12,0)*12,IF(C452="3113. Logements",ROUND(VLOOKUP(C452,'Informations générales'!$C$66:$H$70,5,FALSE)*(AL452/$AO$28)/12,0)*12,IF(C452="3114. Logements",ROUND(VLOOKUP(C452,'Informations générales'!$C$66:$H$70,5,FALSE)*(AL452/$AP$28)/12,0)*12,IF(C452="3115. Logements",ROUND(VLOOKUP(C452,'Informations générales'!$C$66:$H$70,5,FALSE)*(AL452/$AQ$28)/12,0)*12,"")))))</f>
        <v/>
      </c>
      <c r="AI452" s="114"/>
      <c r="AJ452" s="114"/>
      <c r="AK452" s="76"/>
      <c r="AL452" s="58">
        <f t="shared" si="99"/>
        <v>0</v>
      </c>
      <c r="AM452" s="58"/>
      <c r="AN452" s="58"/>
      <c r="AO452" s="58"/>
      <c r="AP452" s="58"/>
      <c r="AQ452" s="58"/>
      <c r="AR452" s="58">
        <f t="shared" si="87"/>
        <v>0</v>
      </c>
      <c r="AS452" s="58">
        <f t="shared" si="88"/>
        <v>0</v>
      </c>
      <c r="AT452" s="58">
        <f t="shared" si="89"/>
        <v>0</v>
      </c>
      <c r="AU452" s="58">
        <f t="shared" si="90"/>
        <v>0</v>
      </c>
      <c r="AV452" s="58">
        <f t="shared" si="91"/>
        <v>0</v>
      </c>
      <c r="AW452" s="58">
        <f t="shared" si="92"/>
        <v>0</v>
      </c>
      <c r="AX452" s="58">
        <f t="shared" si="93"/>
        <v>0</v>
      </c>
      <c r="AY452" s="58">
        <f t="shared" si="100"/>
        <v>0</v>
      </c>
      <c r="AZ452" s="62">
        <f t="shared" si="94"/>
        <v>0</v>
      </c>
      <c r="BA452" s="63">
        <f t="shared" si="95"/>
        <v>0</v>
      </c>
      <c r="BB452" s="63">
        <f t="shared" si="96"/>
        <v>0</v>
      </c>
    </row>
    <row r="453" spans="3:54" s="17" customFormat="1" x14ac:dyDescent="0.25">
      <c r="C453" s="215"/>
      <c r="D453" s="216"/>
      <c r="E453" s="88"/>
      <c r="F453" s="217"/>
      <c r="G453" s="234"/>
      <c r="H453" s="218"/>
      <c r="I453" s="76"/>
      <c r="J453" s="77"/>
      <c r="K453" s="76"/>
      <c r="L453" s="78"/>
      <c r="M453" s="78"/>
      <c r="N453" s="76" t="s">
        <v>39</v>
      </c>
      <c r="O453" s="110"/>
      <c r="P453" s="152"/>
      <c r="Q453" s="111" t="str">
        <f>IFERROR(MIN(VLOOKUP(ROUNDDOWN(P453,0),'Aide calcul'!$B$2:$C$282,2,FALSE),O453+1),"")</f>
        <v/>
      </c>
      <c r="R453" s="112" t="str">
        <f t="shared" si="97"/>
        <v/>
      </c>
      <c r="S453" s="152"/>
      <c r="T453" s="152"/>
      <c r="U453" s="152"/>
      <c r="V453" s="152"/>
      <c r="W453" s="152"/>
      <c r="X453" s="152"/>
      <c r="Y453" s="152"/>
      <c r="Z453" s="76"/>
      <c r="AA453" s="76"/>
      <c r="AB453" s="113" t="str">
        <f>IF(C453="3111. Logements",ROUND(VLOOKUP(C453,'Informations générales'!$C$66:$E$70,3,FALSE)*(AL453/$AM$28)/12,0)*12,IF(C453="3112. Logements",ROUND(VLOOKUP(C453,'Informations générales'!$C$66:$E$70,3,FALSE)*(AL453/$AN$28)/12,0)*12,IF(C453="3113. Logements",ROUND(VLOOKUP(C453,'Informations générales'!$C$66:$E$70,3,FALSE)*(AL453/$AO$28)/12,0)*12,IF(C453="3114. Logements",ROUND(VLOOKUP(C453,'Informations générales'!$C$66:$E$70,3,FALSE)*(AL453/$AP$28)/12,0)*12,IF(C453="3115. Logements",ROUND(VLOOKUP(C453,'Informations générales'!$C$66:$E$70,3,FALSE)*(AL453/$AQ$28)/12,0)*12,"")))))</f>
        <v/>
      </c>
      <c r="AC453" s="114"/>
      <c r="AD453" s="113">
        <f t="shared" si="98"/>
        <v>0</v>
      </c>
      <c r="AE453" s="114"/>
      <c r="AF453" s="203" t="str">
        <f>IF(C453="3111. Logements",ROUND(VLOOKUP(C453,'Informations générales'!$C$66:$E$70,3,FALSE)*(AL453/$AM$28)/12,0)*12,IF(C453="3112. Logements",ROUND(VLOOKUP(C453,'Informations générales'!$C$66:$E$70,3,FALSE)*(AL453/$AN$28)/12,0)*12,IF(C453="3113. Logements",ROUND(VLOOKUP(C453,'Informations générales'!$C$66:$E$70,3,FALSE)*(AL453/$AO$28)/12,0)*12,IF(C453="3114. Logements",ROUND(VLOOKUP(C453,'Informations générales'!$C$66:$E$70,3,FALSE)*(AL453/$AP$28)/12,0)*12,IF(C453="3115. Logements",ROUND(VLOOKUP(C453,'Informations générales'!$C$66:$E$70,3,FALSE)*(AL453/$AQ$28)/12,0)*12,"")))))</f>
        <v/>
      </c>
      <c r="AG453" s="202"/>
      <c r="AH453" s="113" t="str">
        <f>IF(C453="3111. Logements",ROUND(VLOOKUP(C453,'Informations générales'!$C$66:$H$70,5,FALSE)*(AL453/$AM$28)/12,0)*12,IF(C453="3112. Logements",ROUND(VLOOKUP(C453,'Informations générales'!$C$66:$H$70,5,FALSE)*(AL453/$AN$28)/12,0)*12,IF(C453="3113. Logements",ROUND(VLOOKUP(C453,'Informations générales'!$C$66:$H$70,5,FALSE)*(AL453/$AO$28)/12,0)*12,IF(C453="3114. Logements",ROUND(VLOOKUP(C453,'Informations générales'!$C$66:$H$70,5,FALSE)*(AL453/$AP$28)/12,0)*12,IF(C453="3115. Logements",ROUND(VLOOKUP(C453,'Informations générales'!$C$66:$H$70,5,FALSE)*(AL453/$AQ$28)/12,0)*12,"")))))</f>
        <v/>
      </c>
      <c r="AI453" s="114"/>
      <c r="AJ453" s="114"/>
      <c r="AK453" s="76"/>
      <c r="AL453" s="58">
        <f t="shared" si="99"/>
        <v>0</v>
      </c>
      <c r="AM453" s="58"/>
      <c r="AN453" s="58"/>
      <c r="AO453" s="58"/>
      <c r="AP453" s="58"/>
      <c r="AQ453" s="58"/>
      <c r="AR453" s="58">
        <f t="shared" si="87"/>
        <v>0</v>
      </c>
      <c r="AS453" s="58">
        <f t="shared" si="88"/>
        <v>0</v>
      </c>
      <c r="AT453" s="58">
        <f t="shared" si="89"/>
        <v>0</v>
      </c>
      <c r="AU453" s="58">
        <f t="shared" si="90"/>
        <v>0</v>
      </c>
      <c r="AV453" s="58">
        <f t="shared" si="91"/>
        <v>0</v>
      </c>
      <c r="AW453" s="58">
        <f t="shared" si="92"/>
        <v>0</v>
      </c>
      <c r="AX453" s="58">
        <f t="shared" si="93"/>
        <v>0</v>
      </c>
      <c r="AY453" s="58">
        <f t="shared" si="100"/>
        <v>0</v>
      </c>
      <c r="AZ453" s="62">
        <f t="shared" si="94"/>
        <v>0</v>
      </c>
      <c r="BA453" s="63">
        <f t="shared" si="95"/>
        <v>0</v>
      </c>
      <c r="BB453" s="63">
        <f t="shared" si="96"/>
        <v>0</v>
      </c>
    </row>
    <row r="454" spans="3:54" s="17" customFormat="1" x14ac:dyDescent="0.25">
      <c r="C454" s="215"/>
      <c r="D454" s="216"/>
      <c r="E454" s="88"/>
      <c r="F454" s="217"/>
      <c r="G454" s="234"/>
      <c r="H454" s="218"/>
      <c r="I454" s="76"/>
      <c r="J454" s="77"/>
      <c r="K454" s="76"/>
      <c r="L454" s="78"/>
      <c r="M454" s="78"/>
      <c r="N454" s="76" t="s">
        <v>39</v>
      </c>
      <c r="O454" s="110"/>
      <c r="P454" s="152"/>
      <c r="Q454" s="111" t="str">
        <f>IFERROR(MIN(VLOOKUP(ROUNDDOWN(P454,0),'Aide calcul'!$B$2:$C$282,2,FALSE),O454+1),"")</f>
        <v/>
      </c>
      <c r="R454" s="112" t="str">
        <f t="shared" si="97"/>
        <v/>
      </c>
      <c r="S454" s="152"/>
      <c r="T454" s="152"/>
      <c r="U454" s="152"/>
      <c r="V454" s="152"/>
      <c r="W454" s="152"/>
      <c r="X454" s="152"/>
      <c r="Y454" s="152"/>
      <c r="Z454" s="76"/>
      <c r="AA454" s="76"/>
      <c r="AB454" s="113" t="str">
        <f>IF(C454="3111. Logements",ROUND(VLOOKUP(C454,'Informations générales'!$C$66:$E$70,3,FALSE)*(AL454/$AM$28)/12,0)*12,IF(C454="3112. Logements",ROUND(VLOOKUP(C454,'Informations générales'!$C$66:$E$70,3,FALSE)*(AL454/$AN$28)/12,0)*12,IF(C454="3113. Logements",ROUND(VLOOKUP(C454,'Informations générales'!$C$66:$E$70,3,FALSE)*(AL454/$AO$28)/12,0)*12,IF(C454="3114. Logements",ROUND(VLOOKUP(C454,'Informations générales'!$C$66:$E$70,3,FALSE)*(AL454/$AP$28)/12,0)*12,IF(C454="3115. Logements",ROUND(VLOOKUP(C454,'Informations générales'!$C$66:$E$70,3,FALSE)*(AL454/$AQ$28)/12,0)*12,"")))))</f>
        <v/>
      </c>
      <c r="AC454" s="114"/>
      <c r="AD454" s="113">
        <f t="shared" si="98"/>
        <v>0</v>
      </c>
      <c r="AE454" s="114"/>
      <c r="AF454" s="203" t="str">
        <f>IF(C454="3111. Logements",ROUND(VLOOKUP(C454,'Informations générales'!$C$66:$E$70,3,FALSE)*(AL454/$AM$28)/12,0)*12,IF(C454="3112. Logements",ROUND(VLOOKUP(C454,'Informations générales'!$C$66:$E$70,3,FALSE)*(AL454/$AN$28)/12,0)*12,IF(C454="3113. Logements",ROUND(VLOOKUP(C454,'Informations générales'!$C$66:$E$70,3,FALSE)*(AL454/$AO$28)/12,0)*12,IF(C454="3114. Logements",ROUND(VLOOKUP(C454,'Informations générales'!$C$66:$E$70,3,FALSE)*(AL454/$AP$28)/12,0)*12,IF(C454="3115. Logements",ROUND(VLOOKUP(C454,'Informations générales'!$C$66:$E$70,3,FALSE)*(AL454/$AQ$28)/12,0)*12,"")))))</f>
        <v/>
      </c>
      <c r="AG454" s="202"/>
      <c r="AH454" s="113" t="str">
        <f>IF(C454="3111. Logements",ROUND(VLOOKUP(C454,'Informations générales'!$C$66:$H$70,5,FALSE)*(AL454/$AM$28)/12,0)*12,IF(C454="3112. Logements",ROUND(VLOOKUP(C454,'Informations générales'!$C$66:$H$70,5,FALSE)*(AL454/$AN$28)/12,0)*12,IF(C454="3113. Logements",ROUND(VLOOKUP(C454,'Informations générales'!$C$66:$H$70,5,FALSE)*(AL454/$AO$28)/12,0)*12,IF(C454="3114. Logements",ROUND(VLOOKUP(C454,'Informations générales'!$C$66:$H$70,5,FALSE)*(AL454/$AP$28)/12,0)*12,IF(C454="3115. Logements",ROUND(VLOOKUP(C454,'Informations générales'!$C$66:$H$70,5,FALSE)*(AL454/$AQ$28)/12,0)*12,"")))))</f>
        <v/>
      </c>
      <c r="AI454" s="114"/>
      <c r="AJ454" s="114"/>
      <c r="AK454" s="76"/>
      <c r="AL454" s="58">
        <f t="shared" si="99"/>
        <v>0</v>
      </c>
      <c r="AM454" s="58"/>
      <c r="AN454" s="58"/>
      <c r="AO454" s="58"/>
      <c r="AP454" s="58"/>
      <c r="AQ454" s="58"/>
      <c r="AR454" s="58">
        <f t="shared" si="87"/>
        <v>0</v>
      </c>
      <c r="AS454" s="58">
        <f t="shared" si="88"/>
        <v>0</v>
      </c>
      <c r="AT454" s="58">
        <f t="shared" si="89"/>
        <v>0</v>
      </c>
      <c r="AU454" s="58">
        <f t="shared" si="90"/>
        <v>0</v>
      </c>
      <c r="AV454" s="58">
        <f t="shared" si="91"/>
        <v>0</v>
      </c>
      <c r="AW454" s="58">
        <f t="shared" si="92"/>
        <v>0</v>
      </c>
      <c r="AX454" s="58">
        <f t="shared" si="93"/>
        <v>0</v>
      </c>
      <c r="AY454" s="58">
        <f t="shared" si="100"/>
        <v>0</v>
      </c>
      <c r="AZ454" s="62">
        <f t="shared" si="94"/>
        <v>0</v>
      </c>
      <c r="BA454" s="63">
        <f t="shared" si="95"/>
        <v>0</v>
      </c>
      <c r="BB454" s="63">
        <f t="shared" si="96"/>
        <v>0</v>
      </c>
    </row>
    <row r="455" spans="3:54" s="17" customFormat="1" x14ac:dyDescent="0.25">
      <c r="C455" s="215"/>
      <c r="D455" s="216"/>
      <c r="E455" s="88"/>
      <c r="F455" s="217"/>
      <c r="G455" s="234"/>
      <c r="H455" s="218"/>
      <c r="I455" s="76"/>
      <c r="J455" s="77"/>
      <c r="K455" s="76"/>
      <c r="L455" s="78"/>
      <c r="M455" s="78"/>
      <c r="N455" s="76" t="s">
        <v>39</v>
      </c>
      <c r="O455" s="110"/>
      <c r="P455" s="152"/>
      <c r="Q455" s="111" t="str">
        <f>IFERROR(MIN(VLOOKUP(ROUNDDOWN(P455,0),'Aide calcul'!$B$2:$C$282,2,FALSE),O455+1),"")</f>
        <v/>
      </c>
      <c r="R455" s="112" t="str">
        <f t="shared" si="97"/>
        <v/>
      </c>
      <c r="S455" s="152"/>
      <c r="T455" s="152"/>
      <c r="U455" s="152"/>
      <c r="V455" s="152"/>
      <c r="W455" s="152"/>
      <c r="X455" s="152"/>
      <c r="Y455" s="152"/>
      <c r="Z455" s="76"/>
      <c r="AA455" s="76"/>
      <c r="AB455" s="113" t="str">
        <f>IF(C455="3111. Logements",ROUND(VLOOKUP(C455,'Informations générales'!$C$66:$E$70,3,FALSE)*(AL455/$AM$28)/12,0)*12,IF(C455="3112. Logements",ROUND(VLOOKUP(C455,'Informations générales'!$C$66:$E$70,3,FALSE)*(AL455/$AN$28)/12,0)*12,IF(C455="3113. Logements",ROUND(VLOOKUP(C455,'Informations générales'!$C$66:$E$70,3,FALSE)*(AL455/$AO$28)/12,0)*12,IF(C455="3114. Logements",ROUND(VLOOKUP(C455,'Informations générales'!$C$66:$E$70,3,FALSE)*(AL455/$AP$28)/12,0)*12,IF(C455="3115. Logements",ROUND(VLOOKUP(C455,'Informations générales'!$C$66:$E$70,3,FALSE)*(AL455/$AQ$28)/12,0)*12,"")))))</f>
        <v/>
      </c>
      <c r="AC455" s="114"/>
      <c r="AD455" s="113">
        <f t="shared" si="98"/>
        <v>0</v>
      </c>
      <c r="AE455" s="114"/>
      <c r="AF455" s="203" t="str">
        <f>IF(C455="3111. Logements",ROUND(VLOOKUP(C455,'Informations générales'!$C$66:$E$70,3,FALSE)*(AL455/$AM$28)/12,0)*12,IF(C455="3112. Logements",ROUND(VLOOKUP(C455,'Informations générales'!$C$66:$E$70,3,FALSE)*(AL455/$AN$28)/12,0)*12,IF(C455="3113. Logements",ROUND(VLOOKUP(C455,'Informations générales'!$C$66:$E$70,3,FALSE)*(AL455/$AO$28)/12,0)*12,IF(C455="3114. Logements",ROUND(VLOOKUP(C455,'Informations générales'!$C$66:$E$70,3,FALSE)*(AL455/$AP$28)/12,0)*12,IF(C455="3115. Logements",ROUND(VLOOKUP(C455,'Informations générales'!$C$66:$E$70,3,FALSE)*(AL455/$AQ$28)/12,0)*12,"")))))</f>
        <v/>
      </c>
      <c r="AG455" s="202"/>
      <c r="AH455" s="113" t="str">
        <f>IF(C455="3111. Logements",ROUND(VLOOKUP(C455,'Informations générales'!$C$66:$H$70,5,FALSE)*(AL455/$AM$28)/12,0)*12,IF(C455="3112. Logements",ROUND(VLOOKUP(C455,'Informations générales'!$C$66:$H$70,5,FALSE)*(AL455/$AN$28)/12,0)*12,IF(C455="3113. Logements",ROUND(VLOOKUP(C455,'Informations générales'!$C$66:$H$70,5,FALSE)*(AL455/$AO$28)/12,0)*12,IF(C455="3114. Logements",ROUND(VLOOKUP(C455,'Informations générales'!$C$66:$H$70,5,FALSE)*(AL455/$AP$28)/12,0)*12,IF(C455="3115. Logements",ROUND(VLOOKUP(C455,'Informations générales'!$C$66:$H$70,5,FALSE)*(AL455/$AQ$28)/12,0)*12,"")))))</f>
        <v/>
      </c>
      <c r="AI455" s="114"/>
      <c r="AJ455" s="114"/>
      <c r="AK455" s="76"/>
      <c r="AL455" s="58">
        <f t="shared" si="99"/>
        <v>0</v>
      </c>
      <c r="AM455" s="58"/>
      <c r="AN455" s="58"/>
      <c r="AO455" s="58"/>
      <c r="AP455" s="58"/>
      <c r="AQ455" s="58"/>
      <c r="AR455" s="58">
        <f t="shared" si="87"/>
        <v>0</v>
      </c>
      <c r="AS455" s="58">
        <f t="shared" si="88"/>
        <v>0</v>
      </c>
      <c r="AT455" s="58">
        <f t="shared" si="89"/>
        <v>0</v>
      </c>
      <c r="AU455" s="58">
        <f t="shared" si="90"/>
        <v>0</v>
      </c>
      <c r="AV455" s="58">
        <f t="shared" si="91"/>
        <v>0</v>
      </c>
      <c r="AW455" s="58">
        <f t="shared" si="92"/>
        <v>0</v>
      </c>
      <c r="AX455" s="58">
        <f t="shared" si="93"/>
        <v>0</v>
      </c>
      <c r="AY455" s="58">
        <f t="shared" si="100"/>
        <v>0</v>
      </c>
      <c r="AZ455" s="62">
        <f t="shared" si="94"/>
        <v>0</v>
      </c>
      <c r="BA455" s="63">
        <f t="shared" si="95"/>
        <v>0</v>
      </c>
      <c r="BB455" s="63">
        <f t="shared" si="96"/>
        <v>0</v>
      </c>
    </row>
    <row r="456" spans="3:54" s="17" customFormat="1" x14ac:dyDescent="0.25">
      <c r="C456" s="215"/>
      <c r="D456" s="216"/>
      <c r="E456" s="88"/>
      <c r="F456" s="217"/>
      <c r="G456" s="234"/>
      <c r="H456" s="218"/>
      <c r="I456" s="76"/>
      <c r="J456" s="77"/>
      <c r="K456" s="76"/>
      <c r="L456" s="78"/>
      <c r="M456" s="78"/>
      <c r="N456" s="76" t="s">
        <v>39</v>
      </c>
      <c r="O456" s="110"/>
      <c r="P456" s="152"/>
      <c r="Q456" s="111" t="str">
        <f>IFERROR(MIN(VLOOKUP(ROUNDDOWN(P456,0),'Aide calcul'!$B$2:$C$282,2,FALSE),O456+1),"")</f>
        <v/>
      </c>
      <c r="R456" s="112" t="str">
        <f t="shared" si="97"/>
        <v/>
      </c>
      <c r="S456" s="152"/>
      <c r="T456" s="152"/>
      <c r="U456" s="152"/>
      <c r="V456" s="152"/>
      <c r="W456" s="152"/>
      <c r="X456" s="152"/>
      <c r="Y456" s="152"/>
      <c r="Z456" s="76"/>
      <c r="AA456" s="76"/>
      <c r="AB456" s="113" t="str">
        <f>IF(C456="3111. Logements",ROUND(VLOOKUP(C456,'Informations générales'!$C$66:$E$70,3,FALSE)*(AL456/$AM$28)/12,0)*12,IF(C456="3112. Logements",ROUND(VLOOKUP(C456,'Informations générales'!$C$66:$E$70,3,FALSE)*(AL456/$AN$28)/12,0)*12,IF(C456="3113. Logements",ROUND(VLOOKUP(C456,'Informations générales'!$C$66:$E$70,3,FALSE)*(AL456/$AO$28)/12,0)*12,IF(C456="3114. Logements",ROUND(VLOOKUP(C456,'Informations générales'!$C$66:$E$70,3,FALSE)*(AL456/$AP$28)/12,0)*12,IF(C456="3115. Logements",ROUND(VLOOKUP(C456,'Informations générales'!$C$66:$E$70,3,FALSE)*(AL456/$AQ$28)/12,0)*12,"")))))</f>
        <v/>
      </c>
      <c r="AC456" s="114"/>
      <c r="AD456" s="113">
        <f t="shared" si="98"/>
        <v>0</v>
      </c>
      <c r="AE456" s="114"/>
      <c r="AF456" s="203" t="str">
        <f>IF(C456="3111. Logements",ROUND(VLOOKUP(C456,'Informations générales'!$C$66:$E$70,3,FALSE)*(AL456/$AM$28)/12,0)*12,IF(C456="3112. Logements",ROUND(VLOOKUP(C456,'Informations générales'!$C$66:$E$70,3,FALSE)*(AL456/$AN$28)/12,0)*12,IF(C456="3113. Logements",ROUND(VLOOKUP(C456,'Informations générales'!$C$66:$E$70,3,FALSE)*(AL456/$AO$28)/12,0)*12,IF(C456="3114. Logements",ROUND(VLOOKUP(C456,'Informations générales'!$C$66:$E$70,3,FALSE)*(AL456/$AP$28)/12,0)*12,IF(C456="3115. Logements",ROUND(VLOOKUP(C456,'Informations générales'!$C$66:$E$70,3,FALSE)*(AL456/$AQ$28)/12,0)*12,"")))))</f>
        <v/>
      </c>
      <c r="AG456" s="202"/>
      <c r="AH456" s="113" t="str">
        <f>IF(C456="3111. Logements",ROUND(VLOOKUP(C456,'Informations générales'!$C$66:$H$70,5,FALSE)*(AL456/$AM$28)/12,0)*12,IF(C456="3112. Logements",ROUND(VLOOKUP(C456,'Informations générales'!$C$66:$H$70,5,FALSE)*(AL456/$AN$28)/12,0)*12,IF(C456="3113. Logements",ROUND(VLOOKUP(C456,'Informations générales'!$C$66:$H$70,5,FALSE)*(AL456/$AO$28)/12,0)*12,IF(C456="3114. Logements",ROUND(VLOOKUP(C456,'Informations générales'!$C$66:$H$70,5,FALSE)*(AL456/$AP$28)/12,0)*12,IF(C456="3115. Logements",ROUND(VLOOKUP(C456,'Informations générales'!$C$66:$H$70,5,FALSE)*(AL456/$AQ$28)/12,0)*12,"")))))</f>
        <v/>
      </c>
      <c r="AI456" s="114"/>
      <c r="AJ456" s="114"/>
      <c r="AK456" s="76"/>
      <c r="AL456" s="58">
        <f t="shared" si="99"/>
        <v>0</v>
      </c>
      <c r="AM456" s="58"/>
      <c r="AN456" s="58"/>
      <c r="AO456" s="58"/>
      <c r="AP456" s="58"/>
      <c r="AQ456" s="58"/>
      <c r="AR456" s="58">
        <f t="shared" si="87"/>
        <v>0</v>
      </c>
      <c r="AS456" s="58">
        <f t="shared" si="88"/>
        <v>0</v>
      </c>
      <c r="AT456" s="58">
        <f t="shared" si="89"/>
        <v>0</v>
      </c>
      <c r="AU456" s="58">
        <f t="shared" si="90"/>
        <v>0</v>
      </c>
      <c r="AV456" s="58">
        <f t="shared" si="91"/>
        <v>0</v>
      </c>
      <c r="AW456" s="58">
        <f t="shared" si="92"/>
        <v>0</v>
      </c>
      <c r="AX456" s="58">
        <f t="shared" si="93"/>
        <v>0</v>
      </c>
      <c r="AY456" s="58">
        <f t="shared" si="100"/>
        <v>0</v>
      </c>
      <c r="AZ456" s="62">
        <f t="shared" si="94"/>
        <v>0</v>
      </c>
      <c r="BA456" s="63">
        <f t="shared" si="95"/>
        <v>0</v>
      </c>
      <c r="BB456" s="63">
        <f t="shared" si="96"/>
        <v>0</v>
      </c>
    </row>
    <row r="457" spans="3:54" s="17" customFormat="1" x14ac:dyDescent="0.25">
      <c r="C457" s="215"/>
      <c r="D457" s="216"/>
      <c r="E457" s="88"/>
      <c r="F457" s="217"/>
      <c r="G457" s="234"/>
      <c r="H457" s="218"/>
      <c r="I457" s="76"/>
      <c r="J457" s="77"/>
      <c r="K457" s="76"/>
      <c r="L457" s="78"/>
      <c r="M457" s="78"/>
      <c r="N457" s="76" t="s">
        <v>39</v>
      </c>
      <c r="O457" s="110"/>
      <c r="P457" s="152"/>
      <c r="Q457" s="111" t="str">
        <f>IFERROR(MIN(VLOOKUP(ROUNDDOWN(P457,0),'Aide calcul'!$B$2:$C$282,2,FALSE),O457+1),"")</f>
        <v/>
      </c>
      <c r="R457" s="112" t="str">
        <f t="shared" si="97"/>
        <v/>
      </c>
      <c r="S457" s="152"/>
      <c r="T457" s="152"/>
      <c r="U457" s="152"/>
      <c r="V457" s="152"/>
      <c r="W457" s="152"/>
      <c r="X457" s="152"/>
      <c r="Y457" s="152"/>
      <c r="Z457" s="76"/>
      <c r="AA457" s="76"/>
      <c r="AB457" s="113" t="str">
        <f>IF(C457="3111. Logements",ROUND(VLOOKUP(C457,'Informations générales'!$C$66:$E$70,3,FALSE)*(AL457/$AM$28)/12,0)*12,IF(C457="3112. Logements",ROUND(VLOOKUP(C457,'Informations générales'!$C$66:$E$70,3,FALSE)*(AL457/$AN$28)/12,0)*12,IF(C457="3113. Logements",ROUND(VLOOKUP(C457,'Informations générales'!$C$66:$E$70,3,FALSE)*(AL457/$AO$28)/12,0)*12,IF(C457="3114. Logements",ROUND(VLOOKUP(C457,'Informations générales'!$C$66:$E$70,3,FALSE)*(AL457/$AP$28)/12,0)*12,IF(C457="3115. Logements",ROUND(VLOOKUP(C457,'Informations générales'!$C$66:$E$70,3,FALSE)*(AL457/$AQ$28)/12,0)*12,"")))))</f>
        <v/>
      </c>
      <c r="AC457" s="114"/>
      <c r="AD457" s="113">
        <f t="shared" si="98"/>
        <v>0</v>
      </c>
      <c r="AE457" s="114"/>
      <c r="AF457" s="203" t="str">
        <f>IF(C457="3111. Logements",ROUND(VLOOKUP(C457,'Informations générales'!$C$66:$E$70,3,FALSE)*(AL457/$AM$28)/12,0)*12,IF(C457="3112. Logements",ROUND(VLOOKUP(C457,'Informations générales'!$C$66:$E$70,3,FALSE)*(AL457/$AN$28)/12,0)*12,IF(C457="3113. Logements",ROUND(VLOOKUP(C457,'Informations générales'!$C$66:$E$70,3,FALSE)*(AL457/$AO$28)/12,0)*12,IF(C457="3114. Logements",ROUND(VLOOKUP(C457,'Informations générales'!$C$66:$E$70,3,FALSE)*(AL457/$AP$28)/12,0)*12,IF(C457="3115. Logements",ROUND(VLOOKUP(C457,'Informations générales'!$C$66:$E$70,3,FALSE)*(AL457/$AQ$28)/12,0)*12,"")))))</f>
        <v/>
      </c>
      <c r="AG457" s="202"/>
      <c r="AH457" s="113" t="str">
        <f>IF(C457="3111. Logements",ROUND(VLOOKUP(C457,'Informations générales'!$C$66:$H$70,5,FALSE)*(AL457/$AM$28)/12,0)*12,IF(C457="3112. Logements",ROUND(VLOOKUP(C457,'Informations générales'!$C$66:$H$70,5,FALSE)*(AL457/$AN$28)/12,0)*12,IF(C457="3113. Logements",ROUND(VLOOKUP(C457,'Informations générales'!$C$66:$H$70,5,FALSE)*(AL457/$AO$28)/12,0)*12,IF(C457="3114. Logements",ROUND(VLOOKUP(C457,'Informations générales'!$C$66:$H$70,5,FALSE)*(AL457/$AP$28)/12,0)*12,IF(C457="3115. Logements",ROUND(VLOOKUP(C457,'Informations générales'!$C$66:$H$70,5,FALSE)*(AL457/$AQ$28)/12,0)*12,"")))))</f>
        <v/>
      </c>
      <c r="AI457" s="114"/>
      <c r="AJ457" s="114"/>
      <c r="AK457" s="76"/>
      <c r="AL457" s="58">
        <f t="shared" si="99"/>
        <v>0</v>
      </c>
      <c r="AM457" s="58"/>
      <c r="AN457" s="58"/>
      <c r="AO457" s="58"/>
      <c r="AP457" s="58"/>
      <c r="AQ457" s="58"/>
      <c r="AR457" s="58">
        <f t="shared" si="87"/>
        <v>0</v>
      </c>
      <c r="AS457" s="58">
        <f t="shared" si="88"/>
        <v>0</v>
      </c>
      <c r="AT457" s="58">
        <f t="shared" si="89"/>
        <v>0</v>
      </c>
      <c r="AU457" s="58">
        <f t="shared" si="90"/>
        <v>0</v>
      </c>
      <c r="AV457" s="58">
        <f t="shared" si="91"/>
        <v>0</v>
      </c>
      <c r="AW457" s="58">
        <f t="shared" si="92"/>
        <v>0</v>
      </c>
      <c r="AX457" s="58">
        <f t="shared" si="93"/>
        <v>0</v>
      </c>
      <c r="AY457" s="58">
        <f t="shared" si="100"/>
        <v>0</v>
      </c>
      <c r="AZ457" s="62">
        <f t="shared" si="94"/>
        <v>0</v>
      </c>
      <c r="BA457" s="63">
        <f t="shared" si="95"/>
        <v>0</v>
      </c>
      <c r="BB457" s="63">
        <f t="shared" si="96"/>
        <v>0</v>
      </c>
    </row>
    <row r="458" spans="3:54" s="17" customFormat="1" x14ac:dyDescent="0.25">
      <c r="C458" s="215"/>
      <c r="D458" s="216"/>
      <c r="E458" s="88"/>
      <c r="F458" s="217"/>
      <c r="G458" s="234"/>
      <c r="H458" s="218"/>
      <c r="I458" s="76"/>
      <c r="J458" s="77"/>
      <c r="K458" s="76"/>
      <c r="L458" s="78"/>
      <c r="M458" s="78"/>
      <c r="N458" s="76" t="s">
        <v>39</v>
      </c>
      <c r="O458" s="110"/>
      <c r="P458" s="152"/>
      <c r="Q458" s="111" t="str">
        <f>IFERROR(MIN(VLOOKUP(ROUNDDOWN(P458,0),'Aide calcul'!$B$2:$C$282,2,FALSE),O458+1),"")</f>
        <v/>
      </c>
      <c r="R458" s="112" t="str">
        <f t="shared" si="97"/>
        <v/>
      </c>
      <c r="S458" s="152"/>
      <c r="T458" s="152"/>
      <c r="U458" s="152"/>
      <c r="V458" s="152"/>
      <c r="W458" s="152"/>
      <c r="X458" s="152"/>
      <c r="Y458" s="152"/>
      <c r="Z458" s="76"/>
      <c r="AA458" s="76"/>
      <c r="AB458" s="113" t="str">
        <f>IF(C458="3111. Logements",ROUND(VLOOKUP(C458,'Informations générales'!$C$66:$E$70,3,FALSE)*(AL458/$AM$28)/12,0)*12,IF(C458="3112. Logements",ROUND(VLOOKUP(C458,'Informations générales'!$C$66:$E$70,3,FALSE)*(AL458/$AN$28)/12,0)*12,IF(C458="3113. Logements",ROUND(VLOOKUP(C458,'Informations générales'!$C$66:$E$70,3,FALSE)*(AL458/$AO$28)/12,0)*12,IF(C458="3114. Logements",ROUND(VLOOKUP(C458,'Informations générales'!$C$66:$E$70,3,FALSE)*(AL458/$AP$28)/12,0)*12,IF(C458="3115. Logements",ROUND(VLOOKUP(C458,'Informations générales'!$C$66:$E$70,3,FALSE)*(AL458/$AQ$28)/12,0)*12,"")))))</f>
        <v/>
      </c>
      <c r="AC458" s="114"/>
      <c r="AD458" s="113">
        <f t="shared" si="98"/>
        <v>0</v>
      </c>
      <c r="AE458" s="114"/>
      <c r="AF458" s="203" t="str">
        <f>IF(C458="3111. Logements",ROUND(VLOOKUP(C458,'Informations générales'!$C$66:$E$70,3,FALSE)*(AL458/$AM$28)/12,0)*12,IF(C458="3112. Logements",ROUND(VLOOKUP(C458,'Informations générales'!$C$66:$E$70,3,FALSE)*(AL458/$AN$28)/12,0)*12,IF(C458="3113. Logements",ROUND(VLOOKUP(C458,'Informations générales'!$C$66:$E$70,3,FALSE)*(AL458/$AO$28)/12,0)*12,IF(C458="3114. Logements",ROUND(VLOOKUP(C458,'Informations générales'!$C$66:$E$70,3,FALSE)*(AL458/$AP$28)/12,0)*12,IF(C458="3115. Logements",ROUND(VLOOKUP(C458,'Informations générales'!$C$66:$E$70,3,FALSE)*(AL458/$AQ$28)/12,0)*12,"")))))</f>
        <v/>
      </c>
      <c r="AG458" s="202"/>
      <c r="AH458" s="113" t="str">
        <f>IF(C458="3111. Logements",ROUND(VLOOKUP(C458,'Informations générales'!$C$66:$H$70,5,FALSE)*(AL458/$AM$28)/12,0)*12,IF(C458="3112. Logements",ROUND(VLOOKUP(C458,'Informations générales'!$C$66:$H$70,5,FALSE)*(AL458/$AN$28)/12,0)*12,IF(C458="3113. Logements",ROUND(VLOOKUP(C458,'Informations générales'!$C$66:$H$70,5,FALSE)*(AL458/$AO$28)/12,0)*12,IF(C458="3114. Logements",ROUND(VLOOKUP(C458,'Informations générales'!$C$66:$H$70,5,FALSE)*(AL458/$AP$28)/12,0)*12,IF(C458="3115. Logements",ROUND(VLOOKUP(C458,'Informations générales'!$C$66:$H$70,5,FALSE)*(AL458/$AQ$28)/12,0)*12,"")))))</f>
        <v/>
      </c>
      <c r="AI458" s="114"/>
      <c r="AJ458" s="114"/>
      <c r="AK458" s="76"/>
      <c r="AL458" s="58">
        <f t="shared" si="99"/>
        <v>0</v>
      </c>
      <c r="AM458" s="58"/>
      <c r="AN458" s="58"/>
      <c r="AO458" s="58"/>
      <c r="AP458" s="58"/>
      <c r="AQ458" s="58"/>
      <c r="AR458" s="58">
        <f t="shared" si="87"/>
        <v>0</v>
      </c>
      <c r="AS458" s="58">
        <f t="shared" si="88"/>
        <v>0</v>
      </c>
      <c r="AT458" s="58">
        <f t="shared" si="89"/>
        <v>0</v>
      </c>
      <c r="AU458" s="58">
        <f t="shared" si="90"/>
        <v>0</v>
      </c>
      <c r="AV458" s="58">
        <f t="shared" si="91"/>
        <v>0</v>
      </c>
      <c r="AW458" s="58">
        <f t="shared" si="92"/>
        <v>0</v>
      </c>
      <c r="AX458" s="58">
        <f t="shared" si="93"/>
        <v>0</v>
      </c>
      <c r="AY458" s="58">
        <f t="shared" si="100"/>
        <v>0</v>
      </c>
      <c r="AZ458" s="62">
        <f t="shared" si="94"/>
        <v>0</v>
      </c>
      <c r="BA458" s="63">
        <f t="shared" si="95"/>
        <v>0</v>
      </c>
      <c r="BB458" s="63">
        <f t="shared" si="96"/>
        <v>0</v>
      </c>
    </row>
    <row r="459" spans="3:54" s="17" customFormat="1" x14ac:dyDescent="0.25">
      <c r="C459" s="215"/>
      <c r="D459" s="216"/>
      <c r="E459" s="88"/>
      <c r="F459" s="217"/>
      <c r="G459" s="234"/>
      <c r="H459" s="218"/>
      <c r="I459" s="76"/>
      <c r="J459" s="77"/>
      <c r="K459" s="76"/>
      <c r="L459" s="78"/>
      <c r="M459" s="78"/>
      <c r="N459" s="76" t="s">
        <v>39</v>
      </c>
      <c r="O459" s="110"/>
      <c r="P459" s="152"/>
      <c r="Q459" s="111" t="str">
        <f>IFERROR(MIN(VLOOKUP(ROUNDDOWN(P459,0),'Aide calcul'!$B$2:$C$282,2,FALSE),O459+1),"")</f>
        <v/>
      </c>
      <c r="R459" s="112" t="str">
        <f t="shared" si="97"/>
        <v/>
      </c>
      <c r="S459" s="152"/>
      <c r="T459" s="152"/>
      <c r="U459" s="152"/>
      <c r="V459" s="152"/>
      <c r="W459" s="152"/>
      <c r="X459" s="152"/>
      <c r="Y459" s="152"/>
      <c r="Z459" s="76"/>
      <c r="AA459" s="76"/>
      <c r="AB459" s="113" t="str">
        <f>IF(C459="3111. Logements",ROUND(VLOOKUP(C459,'Informations générales'!$C$66:$E$70,3,FALSE)*(AL459/$AM$28)/12,0)*12,IF(C459="3112. Logements",ROUND(VLOOKUP(C459,'Informations générales'!$C$66:$E$70,3,FALSE)*(AL459/$AN$28)/12,0)*12,IF(C459="3113. Logements",ROUND(VLOOKUP(C459,'Informations générales'!$C$66:$E$70,3,FALSE)*(AL459/$AO$28)/12,0)*12,IF(C459="3114. Logements",ROUND(VLOOKUP(C459,'Informations générales'!$C$66:$E$70,3,FALSE)*(AL459/$AP$28)/12,0)*12,IF(C459="3115. Logements",ROUND(VLOOKUP(C459,'Informations générales'!$C$66:$E$70,3,FALSE)*(AL459/$AQ$28)/12,0)*12,"")))))</f>
        <v/>
      </c>
      <c r="AC459" s="114"/>
      <c r="AD459" s="113">
        <f t="shared" si="98"/>
        <v>0</v>
      </c>
      <c r="AE459" s="114"/>
      <c r="AF459" s="203" t="str">
        <f>IF(C459="3111. Logements",ROUND(VLOOKUP(C459,'Informations générales'!$C$66:$E$70,3,FALSE)*(AL459/$AM$28)/12,0)*12,IF(C459="3112. Logements",ROUND(VLOOKUP(C459,'Informations générales'!$C$66:$E$70,3,FALSE)*(AL459/$AN$28)/12,0)*12,IF(C459="3113. Logements",ROUND(VLOOKUP(C459,'Informations générales'!$C$66:$E$70,3,FALSE)*(AL459/$AO$28)/12,0)*12,IF(C459="3114. Logements",ROUND(VLOOKUP(C459,'Informations générales'!$C$66:$E$70,3,FALSE)*(AL459/$AP$28)/12,0)*12,IF(C459="3115. Logements",ROUND(VLOOKUP(C459,'Informations générales'!$C$66:$E$70,3,FALSE)*(AL459/$AQ$28)/12,0)*12,"")))))</f>
        <v/>
      </c>
      <c r="AG459" s="202"/>
      <c r="AH459" s="113" t="str">
        <f>IF(C459="3111. Logements",ROUND(VLOOKUP(C459,'Informations générales'!$C$66:$H$70,5,FALSE)*(AL459/$AM$28)/12,0)*12,IF(C459="3112. Logements",ROUND(VLOOKUP(C459,'Informations générales'!$C$66:$H$70,5,FALSE)*(AL459/$AN$28)/12,0)*12,IF(C459="3113. Logements",ROUND(VLOOKUP(C459,'Informations générales'!$C$66:$H$70,5,FALSE)*(AL459/$AO$28)/12,0)*12,IF(C459="3114. Logements",ROUND(VLOOKUP(C459,'Informations générales'!$C$66:$H$70,5,FALSE)*(AL459/$AP$28)/12,0)*12,IF(C459="3115. Logements",ROUND(VLOOKUP(C459,'Informations générales'!$C$66:$H$70,5,FALSE)*(AL459/$AQ$28)/12,0)*12,"")))))</f>
        <v/>
      </c>
      <c r="AI459" s="114"/>
      <c r="AJ459" s="114"/>
      <c r="AK459" s="76"/>
      <c r="AL459" s="58">
        <f t="shared" si="99"/>
        <v>0</v>
      </c>
      <c r="AM459" s="58"/>
      <c r="AN459" s="58"/>
      <c r="AO459" s="58"/>
      <c r="AP459" s="58"/>
      <c r="AQ459" s="58"/>
      <c r="AR459" s="58">
        <f t="shared" si="87"/>
        <v>0</v>
      </c>
      <c r="AS459" s="58">
        <f t="shared" si="88"/>
        <v>0</v>
      </c>
      <c r="AT459" s="58">
        <f t="shared" si="89"/>
        <v>0</v>
      </c>
      <c r="AU459" s="58">
        <f t="shared" si="90"/>
        <v>0</v>
      </c>
      <c r="AV459" s="58">
        <f t="shared" si="91"/>
        <v>0</v>
      </c>
      <c r="AW459" s="58">
        <f t="shared" si="92"/>
        <v>0</v>
      </c>
      <c r="AX459" s="58">
        <f t="shared" si="93"/>
        <v>0</v>
      </c>
      <c r="AY459" s="58">
        <f t="shared" si="100"/>
        <v>0</v>
      </c>
      <c r="AZ459" s="62">
        <f t="shared" si="94"/>
        <v>0</v>
      </c>
      <c r="BA459" s="63">
        <f t="shared" si="95"/>
        <v>0</v>
      </c>
      <c r="BB459" s="63">
        <f t="shared" si="96"/>
        <v>0</v>
      </c>
    </row>
    <row r="460" spans="3:54" s="17" customFormat="1" x14ac:dyDescent="0.25">
      <c r="C460" s="215"/>
      <c r="D460" s="216"/>
      <c r="E460" s="88"/>
      <c r="F460" s="217"/>
      <c r="G460" s="234"/>
      <c r="H460" s="218"/>
      <c r="I460" s="76"/>
      <c r="J460" s="77"/>
      <c r="K460" s="76"/>
      <c r="L460" s="78"/>
      <c r="M460" s="78"/>
      <c r="N460" s="76" t="s">
        <v>39</v>
      </c>
      <c r="O460" s="110"/>
      <c r="P460" s="152"/>
      <c r="Q460" s="111" t="str">
        <f>IFERROR(MIN(VLOOKUP(ROUNDDOWN(P460,0),'Aide calcul'!$B$2:$C$282,2,FALSE),O460+1),"")</f>
        <v/>
      </c>
      <c r="R460" s="112" t="str">
        <f t="shared" si="97"/>
        <v/>
      </c>
      <c r="S460" s="152"/>
      <c r="T460" s="152"/>
      <c r="U460" s="152"/>
      <c r="V460" s="152"/>
      <c r="W460" s="152"/>
      <c r="X460" s="152"/>
      <c r="Y460" s="152"/>
      <c r="Z460" s="76"/>
      <c r="AA460" s="76"/>
      <c r="AB460" s="113" t="str">
        <f>IF(C460="3111. Logements",ROUND(VLOOKUP(C460,'Informations générales'!$C$66:$E$70,3,FALSE)*(AL460/$AM$28)/12,0)*12,IF(C460="3112. Logements",ROUND(VLOOKUP(C460,'Informations générales'!$C$66:$E$70,3,FALSE)*(AL460/$AN$28)/12,0)*12,IF(C460="3113. Logements",ROUND(VLOOKUP(C460,'Informations générales'!$C$66:$E$70,3,FALSE)*(AL460/$AO$28)/12,0)*12,IF(C460="3114. Logements",ROUND(VLOOKUP(C460,'Informations générales'!$C$66:$E$70,3,FALSE)*(AL460/$AP$28)/12,0)*12,IF(C460="3115. Logements",ROUND(VLOOKUP(C460,'Informations générales'!$C$66:$E$70,3,FALSE)*(AL460/$AQ$28)/12,0)*12,"")))))</f>
        <v/>
      </c>
      <c r="AC460" s="114"/>
      <c r="AD460" s="113">
        <f t="shared" si="98"/>
        <v>0</v>
      </c>
      <c r="AE460" s="114"/>
      <c r="AF460" s="203" t="str">
        <f>IF(C460="3111. Logements",ROUND(VLOOKUP(C460,'Informations générales'!$C$66:$E$70,3,FALSE)*(AL460/$AM$28)/12,0)*12,IF(C460="3112. Logements",ROUND(VLOOKUP(C460,'Informations générales'!$C$66:$E$70,3,FALSE)*(AL460/$AN$28)/12,0)*12,IF(C460="3113. Logements",ROUND(VLOOKUP(C460,'Informations générales'!$C$66:$E$70,3,FALSE)*(AL460/$AO$28)/12,0)*12,IF(C460="3114. Logements",ROUND(VLOOKUP(C460,'Informations générales'!$C$66:$E$70,3,FALSE)*(AL460/$AP$28)/12,0)*12,IF(C460="3115. Logements",ROUND(VLOOKUP(C460,'Informations générales'!$C$66:$E$70,3,FALSE)*(AL460/$AQ$28)/12,0)*12,"")))))</f>
        <v/>
      </c>
      <c r="AG460" s="202"/>
      <c r="AH460" s="113" t="str">
        <f>IF(C460="3111. Logements",ROUND(VLOOKUP(C460,'Informations générales'!$C$66:$H$70,5,FALSE)*(AL460/$AM$28)/12,0)*12,IF(C460="3112. Logements",ROUND(VLOOKUP(C460,'Informations générales'!$C$66:$H$70,5,FALSE)*(AL460/$AN$28)/12,0)*12,IF(C460="3113. Logements",ROUND(VLOOKUP(C460,'Informations générales'!$C$66:$H$70,5,FALSE)*(AL460/$AO$28)/12,0)*12,IF(C460="3114. Logements",ROUND(VLOOKUP(C460,'Informations générales'!$C$66:$H$70,5,FALSE)*(AL460/$AP$28)/12,0)*12,IF(C460="3115. Logements",ROUND(VLOOKUP(C460,'Informations générales'!$C$66:$H$70,5,FALSE)*(AL460/$AQ$28)/12,0)*12,"")))))</f>
        <v/>
      </c>
      <c r="AI460" s="114"/>
      <c r="AJ460" s="114"/>
      <c r="AK460" s="76"/>
      <c r="AL460" s="58">
        <f t="shared" si="99"/>
        <v>0</v>
      </c>
      <c r="AM460" s="58"/>
      <c r="AN460" s="58"/>
      <c r="AO460" s="58"/>
      <c r="AP460" s="58"/>
      <c r="AQ460" s="58"/>
      <c r="AR460" s="58">
        <f t="shared" si="87"/>
        <v>0</v>
      </c>
      <c r="AS460" s="58">
        <f t="shared" si="88"/>
        <v>0</v>
      </c>
      <c r="AT460" s="58">
        <f t="shared" si="89"/>
        <v>0</v>
      </c>
      <c r="AU460" s="58">
        <f t="shared" si="90"/>
        <v>0</v>
      </c>
      <c r="AV460" s="58">
        <f t="shared" si="91"/>
        <v>0</v>
      </c>
      <c r="AW460" s="58">
        <f t="shared" si="92"/>
        <v>0</v>
      </c>
      <c r="AX460" s="58">
        <f t="shared" si="93"/>
        <v>0</v>
      </c>
      <c r="AY460" s="58">
        <f t="shared" si="100"/>
        <v>0</v>
      </c>
      <c r="AZ460" s="62">
        <f t="shared" si="94"/>
        <v>0</v>
      </c>
      <c r="BA460" s="63">
        <f t="shared" si="95"/>
        <v>0</v>
      </c>
      <c r="BB460" s="63">
        <f t="shared" si="96"/>
        <v>0</v>
      </c>
    </row>
    <row r="461" spans="3:54" s="17" customFormat="1" x14ac:dyDescent="0.25">
      <c r="C461" s="215"/>
      <c r="D461" s="216"/>
      <c r="E461" s="88"/>
      <c r="F461" s="217"/>
      <c r="G461" s="234"/>
      <c r="H461" s="218"/>
      <c r="I461" s="76"/>
      <c r="J461" s="77"/>
      <c r="K461" s="76"/>
      <c r="L461" s="78"/>
      <c r="M461" s="78"/>
      <c r="N461" s="76" t="s">
        <v>39</v>
      </c>
      <c r="O461" s="110"/>
      <c r="P461" s="152"/>
      <c r="Q461" s="111" t="str">
        <f>IFERROR(MIN(VLOOKUP(ROUNDDOWN(P461,0),'Aide calcul'!$B$2:$C$282,2,FALSE),O461+1),"")</f>
        <v/>
      </c>
      <c r="R461" s="112" t="str">
        <f t="shared" si="97"/>
        <v/>
      </c>
      <c r="S461" s="152"/>
      <c r="T461" s="152"/>
      <c r="U461" s="152"/>
      <c r="V461" s="152"/>
      <c r="W461" s="152"/>
      <c r="X461" s="152"/>
      <c r="Y461" s="152"/>
      <c r="Z461" s="76"/>
      <c r="AA461" s="76"/>
      <c r="AB461" s="113" t="str">
        <f>IF(C461="3111. Logements",ROUND(VLOOKUP(C461,'Informations générales'!$C$66:$E$70,3,FALSE)*(AL461/$AM$28)/12,0)*12,IF(C461="3112. Logements",ROUND(VLOOKUP(C461,'Informations générales'!$C$66:$E$70,3,FALSE)*(AL461/$AN$28)/12,0)*12,IF(C461="3113. Logements",ROUND(VLOOKUP(C461,'Informations générales'!$C$66:$E$70,3,FALSE)*(AL461/$AO$28)/12,0)*12,IF(C461="3114. Logements",ROUND(VLOOKUP(C461,'Informations générales'!$C$66:$E$70,3,FALSE)*(AL461/$AP$28)/12,0)*12,IF(C461="3115. Logements",ROUND(VLOOKUP(C461,'Informations générales'!$C$66:$E$70,3,FALSE)*(AL461/$AQ$28)/12,0)*12,"")))))</f>
        <v/>
      </c>
      <c r="AC461" s="114"/>
      <c r="AD461" s="113">
        <f t="shared" si="98"/>
        <v>0</v>
      </c>
      <c r="AE461" s="114"/>
      <c r="AF461" s="203" t="str">
        <f>IF(C461="3111. Logements",ROUND(VLOOKUP(C461,'Informations générales'!$C$66:$E$70,3,FALSE)*(AL461/$AM$28)/12,0)*12,IF(C461="3112. Logements",ROUND(VLOOKUP(C461,'Informations générales'!$C$66:$E$70,3,FALSE)*(AL461/$AN$28)/12,0)*12,IF(C461="3113. Logements",ROUND(VLOOKUP(C461,'Informations générales'!$C$66:$E$70,3,FALSE)*(AL461/$AO$28)/12,0)*12,IF(C461="3114. Logements",ROUND(VLOOKUP(C461,'Informations générales'!$C$66:$E$70,3,FALSE)*(AL461/$AP$28)/12,0)*12,IF(C461="3115. Logements",ROUND(VLOOKUP(C461,'Informations générales'!$C$66:$E$70,3,FALSE)*(AL461/$AQ$28)/12,0)*12,"")))))</f>
        <v/>
      </c>
      <c r="AG461" s="202"/>
      <c r="AH461" s="113" t="str">
        <f>IF(C461="3111. Logements",ROUND(VLOOKUP(C461,'Informations générales'!$C$66:$H$70,5,FALSE)*(AL461/$AM$28)/12,0)*12,IF(C461="3112. Logements",ROUND(VLOOKUP(C461,'Informations générales'!$C$66:$H$70,5,FALSE)*(AL461/$AN$28)/12,0)*12,IF(C461="3113. Logements",ROUND(VLOOKUP(C461,'Informations générales'!$C$66:$H$70,5,FALSE)*(AL461/$AO$28)/12,0)*12,IF(C461="3114. Logements",ROUND(VLOOKUP(C461,'Informations générales'!$C$66:$H$70,5,FALSE)*(AL461/$AP$28)/12,0)*12,IF(C461="3115. Logements",ROUND(VLOOKUP(C461,'Informations générales'!$C$66:$H$70,5,FALSE)*(AL461/$AQ$28)/12,0)*12,"")))))</f>
        <v/>
      </c>
      <c r="AI461" s="114"/>
      <c r="AJ461" s="114"/>
      <c r="AK461" s="76"/>
      <c r="AL461" s="58">
        <f t="shared" si="99"/>
        <v>0</v>
      </c>
      <c r="AM461" s="58"/>
      <c r="AN461" s="58"/>
      <c r="AO461" s="58"/>
      <c r="AP461" s="58"/>
      <c r="AQ461" s="58"/>
      <c r="AR461" s="58">
        <f t="shared" si="87"/>
        <v>0</v>
      </c>
      <c r="AS461" s="58">
        <f t="shared" si="88"/>
        <v>0</v>
      </c>
      <c r="AT461" s="58">
        <f t="shared" si="89"/>
        <v>0</v>
      </c>
      <c r="AU461" s="58">
        <f t="shared" si="90"/>
        <v>0</v>
      </c>
      <c r="AV461" s="58">
        <f t="shared" si="91"/>
        <v>0</v>
      </c>
      <c r="AW461" s="58">
        <f t="shared" si="92"/>
        <v>0</v>
      </c>
      <c r="AX461" s="58">
        <f t="shared" si="93"/>
        <v>0</v>
      </c>
      <c r="AY461" s="58">
        <f t="shared" si="100"/>
        <v>0</v>
      </c>
      <c r="AZ461" s="62">
        <f t="shared" si="94"/>
        <v>0</v>
      </c>
      <c r="BA461" s="63">
        <f t="shared" si="95"/>
        <v>0</v>
      </c>
      <c r="BB461" s="63">
        <f t="shared" si="96"/>
        <v>0</v>
      </c>
    </row>
    <row r="462" spans="3:54" s="17" customFormat="1" x14ac:dyDescent="0.25">
      <c r="C462" s="215"/>
      <c r="D462" s="216"/>
      <c r="E462" s="88"/>
      <c r="F462" s="217"/>
      <c r="G462" s="234"/>
      <c r="H462" s="218"/>
      <c r="I462" s="76"/>
      <c r="J462" s="77"/>
      <c r="K462" s="76"/>
      <c r="L462" s="78"/>
      <c r="M462" s="78"/>
      <c r="N462" s="76" t="s">
        <v>39</v>
      </c>
      <c r="O462" s="110"/>
      <c r="P462" s="152"/>
      <c r="Q462" s="111" t="str">
        <f>IFERROR(MIN(VLOOKUP(ROUNDDOWN(P462,0),'Aide calcul'!$B$2:$C$282,2,FALSE),O462+1),"")</f>
        <v/>
      </c>
      <c r="R462" s="112" t="str">
        <f t="shared" si="97"/>
        <v/>
      </c>
      <c r="S462" s="152"/>
      <c r="T462" s="152"/>
      <c r="U462" s="152"/>
      <c r="V462" s="152"/>
      <c r="W462" s="152"/>
      <c r="X462" s="152"/>
      <c r="Y462" s="152"/>
      <c r="Z462" s="76"/>
      <c r="AA462" s="76"/>
      <c r="AB462" s="113" t="str">
        <f>IF(C462="3111. Logements",ROUND(VLOOKUP(C462,'Informations générales'!$C$66:$E$70,3,FALSE)*(AL462/$AM$28)/12,0)*12,IF(C462="3112. Logements",ROUND(VLOOKUP(C462,'Informations générales'!$C$66:$E$70,3,FALSE)*(AL462/$AN$28)/12,0)*12,IF(C462="3113. Logements",ROUND(VLOOKUP(C462,'Informations générales'!$C$66:$E$70,3,FALSE)*(AL462/$AO$28)/12,0)*12,IF(C462="3114. Logements",ROUND(VLOOKUP(C462,'Informations générales'!$C$66:$E$70,3,FALSE)*(AL462/$AP$28)/12,0)*12,IF(C462="3115. Logements",ROUND(VLOOKUP(C462,'Informations générales'!$C$66:$E$70,3,FALSE)*(AL462/$AQ$28)/12,0)*12,"")))))</f>
        <v/>
      </c>
      <c r="AC462" s="114"/>
      <c r="AD462" s="113">
        <f t="shared" si="98"/>
        <v>0</v>
      </c>
      <c r="AE462" s="114"/>
      <c r="AF462" s="203" t="str">
        <f>IF(C462="3111. Logements",ROUND(VLOOKUP(C462,'Informations générales'!$C$66:$E$70,3,FALSE)*(AL462/$AM$28)/12,0)*12,IF(C462="3112. Logements",ROUND(VLOOKUP(C462,'Informations générales'!$C$66:$E$70,3,FALSE)*(AL462/$AN$28)/12,0)*12,IF(C462="3113. Logements",ROUND(VLOOKUP(C462,'Informations générales'!$C$66:$E$70,3,FALSE)*(AL462/$AO$28)/12,0)*12,IF(C462="3114. Logements",ROUND(VLOOKUP(C462,'Informations générales'!$C$66:$E$70,3,FALSE)*(AL462/$AP$28)/12,0)*12,IF(C462="3115. Logements",ROUND(VLOOKUP(C462,'Informations générales'!$C$66:$E$70,3,FALSE)*(AL462/$AQ$28)/12,0)*12,"")))))</f>
        <v/>
      </c>
      <c r="AG462" s="202"/>
      <c r="AH462" s="113" t="str">
        <f>IF(C462="3111. Logements",ROUND(VLOOKUP(C462,'Informations générales'!$C$66:$H$70,5,FALSE)*(AL462/$AM$28)/12,0)*12,IF(C462="3112. Logements",ROUND(VLOOKUP(C462,'Informations générales'!$C$66:$H$70,5,FALSE)*(AL462/$AN$28)/12,0)*12,IF(C462="3113. Logements",ROUND(VLOOKUP(C462,'Informations générales'!$C$66:$H$70,5,FALSE)*(AL462/$AO$28)/12,0)*12,IF(C462="3114. Logements",ROUND(VLOOKUP(C462,'Informations générales'!$C$66:$H$70,5,FALSE)*(AL462/$AP$28)/12,0)*12,IF(C462="3115. Logements",ROUND(VLOOKUP(C462,'Informations générales'!$C$66:$H$70,5,FALSE)*(AL462/$AQ$28)/12,0)*12,"")))))</f>
        <v/>
      </c>
      <c r="AI462" s="114"/>
      <c r="AJ462" s="114"/>
      <c r="AK462" s="76"/>
      <c r="AL462" s="58">
        <f t="shared" si="99"/>
        <v>0</v>
      </c>
      <c r="AM462" s="58"/>
      <c r="AN462" s="58"/>
      <c r="AO462" s="58"/>
      <c r="AP462" s="58"/>
      <c r="AQ462" s="58"/>
      <c r="AR462" s="58">
        <f t="shared" si="87"/>
        <v>0</v>
      </c>
      <c r="AS462" s="58">
        <f t="shared" si="88"/>
        <v>0</v>
      </c>
      <c r="AT462" s="58">
        <f t="shared" si="89"/>
        <v>0</v>
      </c>
      <c r="AU462" s="58">
        <f t="shared" si="90"/>
        <v>0</v>
      </c>
      <c r="AV462" s="58">
        <f t="shared" si="91"/>
        <v>0</v>
      </c>
      <c r="AW462" s="58">
        <f t="shared" si="92"/>
        <v>0</v>
      </c>
      <c r="AX462" s="58">
        <f t="shared" si="93"/>
        <v>0</v>
      </c>
      <c r="AY462" s="58">
        <f t="shared" si="100"/>
        <v>0</v>
      </c>
      <c r="AZ462" s="62">
        <f t="shared" si="94"/>
        <v>0</v>
      </c>
      <c r="BA462" s="63">
        <f t="shared" si="95"/>
        <v>0</v>
      </c>
      <c r="BB462" s="63">
        <f t="shared" si="96"/>
        <v>0</v>
      </c>
    </row>
    <row r="463" spans="3:54" s="17" customFormat="1" x14ac:dyDescent="0.25">
      <c r="C463" s="215"/>
      <c r="D463" s="216"/>
      <c r="E463" s="88"/>
      <c r="F463" s="217"/>
      <c r="G463" s="234"/>
      <c r="H463" s="218"/>
      <c r="I463" s="76"/>
      <c r="J463" s="77"/>
      <c r="K463" s="76"/>
      <c r="L463" s="78"/>
      <c r="M463" s="78"/>
      <c r="N463" s="76" t="s">
        <v>39</v>
      </c>
      <c r="O463" s="110"/>
      <c r="P463" s="152"/>
      <c r="Q463" s="111" t="str">
        <f>IFERROR(MIN(VLOOKUP(ROUNDDOWN(P463,0),'Aide calcul'!$B$2:$C$282,2,FALSE),O463+1),"")</f>
        <v/>
      </c>
      <c r="R463" s="112" t="str">
        <f t="shared" si="97"/>
        <v/>
      </c>
      <c r="S463" s="152"/>
      <c r="T463" s="152"/>
      <c r="U463" s="152"/>
      <c r="V463" s="152"/>
      <c r="W463" s="152"/>
      <c r="X463" s="152"/>
      <c r="Y463" s="152"/>
      <c r="Z463" s="76"/>
      <c r="AA463" s="76"/>
      <c r="AB463" s="113" t="str">
        <f>IF(C463="3111. Logements",ROUND(VLOOKUP(C463,'Informations générales'!$C$66:$E$70,3,FALSE)*(AL463/$AM$28)/12,0)*12,IF(C463="3112. Logements",ROUND(VLOOKUP(C463,'Informations générales'!$C$66:$E$70,3,FALSE)*(AL463/$AN$28)/12,0)*12,IF(C463="3113. Logements",ROUND(VLOOKUP(C463,'Informations générales'!$C$66:$E$70,3,FALSE)*(AL463/$AO$28)/12,0)*12,IF(C463="3114. Logements",ROUND(VLOOKUP(C463,'Informations générales'!$C$66:$E$70,3,FALSE)*(AL463/$AP$28)/12,0)*12,IF(C463="3115. Logements",ROUND(VLOOKUP(C463,'Informations générales'!$C$66:$E$70,3,FALSE)*(AL463/$AQ$28)/12,0)*12,"")))))</f>
        <v/>
      </c>
      <c r="AC463" s="114"/>
      <c r="AD463" s="113">
        <f t="shared" si="98"/>
        <v>0</v>
      </c>
      <c r="AE463" s="114"/>
      <c r="AF463" s="203" t="str">
        <f>IF(C463="3111. Logements",ROUND(VLOOKUP(C463,'Informations générales'!$C$66:$E$70,3,FALSE)*(AL463/$AM$28)/12,0)*12,IF(C463="3112. Logements",ROUND(VLOOKUP(C463,'Informations générales'!$C$66:$E$70,3,FALSE)*(AL463/$AN$28)/12,0)*12,IF(C463="3113. Logements",ROUND(VLOOKUP(C463,'Informations générales'!$C$66:$E$70,3,FALSE)*(AL463/$AO$28)/12,0)*12,IF(C463="3114. Logements",ROUND(VLOOKUP(C463,'Informations générales'!$C$66:$E$70,3,FALSE)*(AL463/$AP$28)/12,0)*12,IF(C463="3115. Logements",ROUND(VLOOKUP(C463,'Informations générales'!$C$66:$E$70,3,FALSE)*(AL463/$AQ$28)/12,0)*12,"")))))</f>
        <v/>
      </c>
      <c r="AG463" s="202"/>
      <c r="AH463" s="113" t="str">
        <f>IF(C463="3111. Logements",ROUND(VLOOKUP(C463,'Informations générales'!$C$66:$H$70,5,FALSE)*(AL463/$AM$28)/12,0)*12,IF(C463="3112. Logements",ROUND(VLOOKUP(C463,'Informations générales'!$C$66:$H$70,5,FALSE)*(AL463/$AN$28)/12,0)*12,IF(C463="3113. Logements",ROUND(VLOOKUP(C463,'Informations générales'!$C$66:$H$70,5,FALSE)*(AL463/$AO$28)/12,0)*12,IF(C463="3114. Logements",ROUND(VLOOKUP(C463,'Informations générales'!$C$66:$H$70,5,FALSE)*(AL463/$AP$28)/12,0)*12,IF(C463="3115. Logements",ROUND(VLOOKUP(C463,'Informations générales'!$C$66:$H$70,5,FALSE)*(AL463/$AQ$28)/12,0)*12,"")))))</f>
        <v/>
      </c>
      <c r="AI463" s="114"/>
      <c r="AJ463" s="114"/>
      <c r="AK463" s="76"/>
      <c r="AL463" s="58">
        <f t="shared" si="99"/>
        <v>0</v>
      </c>
      <c r="AM463" s="58"/>
      <c r="AN463" s="58"/>
      <c r="AO463" s="58"/>
      <c r="AP463" s="58"/>
      <c r="AQ463" s="58"/>
      <c r="AR463" s="58">
        <f t="shared" si="87"/>
        <v>0</v>
      </c>
      <c r="AS463" s="58">
        <f t="shared" si="88"/>
        <v>0</v>
      </c>
      <c r="AT463" s="58">
        <f t="shared" si="89"/>
        <v>0</v>
      </c>
      <c r="AU463" s="58">
        <f t="shared" si="90"/>
        <v>0</v>
      </c>
      <c r="AV463" s="58">
        <f t="shared" si="91"/>
        <v>0</v>
      </c>
      <c r="AW463" s="58">
        <f t="shared" si="92"/>
        <v>0</v>
      </c>
      <c r="AX463" s="58">
        <f t="shared" si="93"/>
        <v>0</v>
      </c>
      <c r="AY463" s="58">
        <f t="shared" si="100"/>
        <v>0</v>
      </c>
      <c r="AZ463" s="62">
        <f t="shared" si="94"/>
        <v>0</v>
      </c>
      <c r="BA463" s="63">
        <f t="shared" si="95"/>
        <v>0</v>
      </c>
      <c r="BB463" s="63">
        <f t="shared" si="96"/>
        <v>0</v>
      </c>
    </row>
    <row r="464" spans="3:54" s="17" customFormat="1" x14ac:dyDescent="0.25">
      <c r="C464" s="215"/>
      <c r="D464" s="216"/>
      <c r="E464" s="88"/>
      <c r="F464" s="217"/>
      <c r="G464" s="234"/>
      <c r="H464" s="218"/>
      <c r="I464" s="76"/>
      <c r="J464" s="77"/>
      <c r="K464" s="76"/>
      <c r="L464" s="78"/>
      <c r="M464" s="78"/>
      <c r="N464" s="76" t="s">
        <v>39</v>
      </c>
      <c r="O464" s="110"/>
      <c r="P464" s="152"/>
      <c r="Q464" s="111" t="str">
        <f>IFERROR(MIN(VLOOKUP(ROUNDDOWN(P464,0),'Aide calcul'!$B$2:$C$282,2,FALSE),O464+1),"")</f>
        <v/>
      </c>
      <c r="R464" s="112" t="str">
        <f t="shared" si="97"/>
        <v/>
      </c>
      <c r="S464" s="152"/>
      <c r="T464" s="152"/>
      <c r="U464" s="152"/>
      <c r="V464" s="152"/>
      <c r="W464" s="152"/>
      <c r="X464" s="152"/>
      <c r="Y464" s="152"/>
      <c r="Z464" s="76"/>
      <c r="AA464" s="76"/>
      <c r="AB464" s="113" t="str">
        <f>IF(C464="3111. Logements",ROUND(VLOOKUP(C464,'Informations générales'!$C$66:$E$70,3,FALSE)*(AL464/$AM$28)/12,0)*12,IF(C464="3112. Logements",ROUND(VLOOKUP(C464,'Informations générales'!$C$66:$E$70,3,FALSE)*(AL464/$AN$28)/12,0)*12,IF(C464="3113. Logements",ROUND(VLOOKUP(C464,'Informations générales'!$C$66:$E$70,3,FALSE)*(AL464/$AO$28)/12,0)*12,IF(C464="3114. Logements",ROUND(VLOOKUP(C464,'Informations générales'!$C$66:$E$70,3,FALSE)*(AL464/$AP$28)/12,0)*12,IF(C464="3115. Logements",ROUND(VLOOKUP(C464,'Informations générales'!$C$66:$E$70,3,FALSE)*(AL464/$AQ$28)/12,0)*12,"")))))</f>
        <v/>
      </c>
      <c r="AC464" s="114"/>
      <c r="AD464" s="113">
        <f t="shared" si="98"/>
        <v>0</v>
      </c>
      <c r="AE464" s="114"/>
      <c r="AF464" s="203" t="str">
        <f>IF(C464="3111. Logements",ROUND(VLOOKUP(C464,'Informations générales'!$C$66:$E$70,3,FALSE)*(AL464/$AM$28)/12,0)*12,IF(C464="3112. Logements",ROUND(VLOOKUP(C464,'Informations générales'!$C$66:$E$70,3,FALSE)*(AL464/$AN$28)/12,0)*12,IF(C464="3113. Logements",ROUND(VLOOKUP(C464,'Informations générales'!$C$66:$E$70,3,FALSE)*(AL464/$AO$28)/12,0)*12,IF(C464="3114. Logements",ROUND(VLOOKUP(C464,'Informations générales'!$C$66:$E$70,3,FALSE)*(AL464/$AP$28)/12,0)*12,IF(C464="3115. Logements",ROUND(VLOOKUP(C464,'Informations générales'!$C$66:$E$70,3,FALSE)*(AL464/$AQ$28)/12,0)*12,"")))))</f>
        <v/>
      </c>
      <c r="AG464" s="202"/>
      <c r="AH464" s="113" t="str">
        <f>IF(C464="3111. Logements",ROUND(VLOOKUP(C464,'Informations générales'!$C$66:$H$70,5,FALSE)*(AL464/$AM$28)/12,0)*12,IF(C464="3112. Logements",ROUND(VLOOKUP(C464,'Informations générales'!$C$66:$H$70,5,FALSE)*(AL464/$AN$28)/12,0)*12,IF(C464="3113. Logements",ROUND(VLOOKUP(C464,'Informations générales'!$C$66:$H$70,5,FALSE)*(AL464/$AO$28)/12,0)*12,IF(C464="3114. Logements",ROUND(VLOOKUP(C464,'Informations générales'!$C$66:$H$70,5,FALSE)*(AL464/$AP$28)/12,0)*12,IF(C464="3115. Logements",ROUND(VLOOKUP(C464,'Informations générales'!$C$66:$H$70,5,FALSE)*(AL464/$AQ$28)/12,0)*12,"")))))</f>
        <v/>
      </c>
      <c r="AI464" s="114"/>
      <c r="AJ464" s="114"/>
      <c r="AK464" s="76"/>
      <c r="AL464" s="58">
        <f t="shared" si="99"/>
        <v>0</v>
      </c>
      <c r="AM464" s="58"/>
      <c r="AN464" s="58"/>
      <c r="AO464" s="58"/>
      <c r="AP464" s="58"/>
      <c r="AQ464" s="58"/>
      <c r="AR464" s="58">
        <f t="shared" si="87"/>
        <v>0</v>
      </c>
      <c r="AS464" s="58">
        <f t="shared" si="88"/>
        <v>0</v>
      </c>
      <c r="AT464" s="58">
        <f t="shared" si="89"/>
        <v>0</v>
      </c>
      <c r="AU464" s="58">
        <f t="shared" si="90"/>
        <v>0</v>
      </c>
      <c r="AV464" s="58">
        <f t="shared" si="91"/>
        <v>0</v>
      </c>
      <c r="AW464" s="58">
        <f t="shared" si="92"/>
        <v>0</v>
      </c>
      <c r="AX464" s="58">
        <f t="shared" si="93"/>
        <v>0</v>
      </c>
      <c r="AY464" s="58">
        <f t="shared" si="100"/>
        <v>0</v>
      </c>
      <c r="AZ464" s="62">
        <f t="shared" si="94"/>
        <v>0</v>
      </c>
      <c r="BA464" s="63">
        <f t="shared" si="95"/>
        <v>0</v>
      </c>
      <c r="BB464" s="63">
        <f t="shared" si="96"/>
        <v>0</v>
      </c>
    </row>
    <row r="465" spans="3:54" s="17" customFormat="1" x14ac:dyDescent="0.25">
      <c r="C465" s="215"/>
      <c r="D465" s="216"/>
      <c r="E465" s="88"/>
      <c r="F465" s="217"/>
      <c r="G465" s="234"/>
      <c r="H465" s="218"/>
      <c r="I465" s="76"/>
      <c r="J465" s="77"/>
      <c r="K465" s="76"/>
      <c r="L465" s="78"/>
      <c r="M465" s="78"/>
      <c r="N465" s="76" t="s">
        <v>39</v>
      </c>
      <c r="O465" s="110"/>
      <c r="P465" s="152"/>
      <c r="Q465" s="111" t="str">
        <f>IFERROR(MIN(VLOOKUP(ROUNDDOWN(P465,0),'Aide calcul'!$B$2:$C$282,2,FALSE),O465+1),"")</f>
        <v/>
      </c>
      <c r="R465" s="112" t="str">
        <f t="shared" si="97"/>
        <v/>
      </c>
      <c r="S465" s="152"/>
      <c r="T465" s="152"/>
      <c r="U465" s="152"/>
      <c r="V465" s="152"/>
      <c r="W465" s="152"/>
      <c r="X465" s="152"/>
      <c r="Y465" s="152"/>
      <c r="Z465" s="76"/>
      <c r="AA465" s="76"/>
      <c r="AB465" s="113" t="str">
        <f>IF(C465="3111. Logements",ROUND(VLOOKUP(C465,'Informations générales'!$C$66:$E$70,3,FALSE)*(AL465/$AM$28)/12,0)*12,IF(C465="3112. Logements",ROUND(VLOOKUP(C465,'Informations générales'!$C$66:$E$70,3,FALSE)*(AL465/$AN$28)/12,0)*12,IF(C465="3113. Logements",ROUND(VLOOKUP(C465,'Informations générales'!$C$66:$E$70,3,FALSE)*(AL465/$AO$28)/12,0)*12,IF(C465="3114. Logements",ROUND(VLOOKUP(C465,'Informations générales'!$C$66:$E$70,3,FALSE)*(AL465/$AP$28)/12,0)*12,IF(C465="3115. Logements",ROUND(VLOOKUP(C465,'Informations générales'!$C$66:$E$70,3,FALSE)*(AL465/$AQ$28)/12,0)*12,"")))))</f>
        <v/>
      </c>
      <c r="AC465" s="114"/>
      <c r="AD465" s="113">
        <f t="shared" si="98"/>
        <v>0</v>
      </c>
      <c r="AE465" s="114"/>
      <c r="AF465" s="203" t="str">
        <f>IF(C465="3111. Logements",ROUND(VLOOKUP(C465,'Informations générales'!$C$66:$E$70,3,FALSE)*(AL465/$AM$28)/12,0)*12,IF(C465="3112. Logements",ROUND(VLOOKUP(C465,'Informations générales'!$C$66:$E$70,3,FALSE)*(AL465/$AN$28)/12,0)*12,IF(C465="3113. Logements",ROUND(VLOOKUP(C465,'Informations générales'!$C$66:$E$70,3,FALSE)*(AL465/$AO$28)/12,0)*12,IF(C465="3114. Logements",ROUND(VLOOKUP(C465,'Informations générales'!$C$66:$E$70,3,FALSE)*(AL465/$AP$28)/12,0)*12,IF(C465="3115. Logements",ROUND(VLOOKUP(C465,'Informations générales'!$C$66:$E$70,3,FALSE)*(AL465/$AQ$28)/12,0)*12,"")))))</f>
        <v/>
      </c>
      <c r="AG465" s="202"/>
      <c r="AH465" s="113" t="str">
        <f>IF(C465="3111. Logements",ROUND(VLOOKUP(C465,'Informations générales'!$C$66:$H$70,5,FALSE)*(AL465/$AM$28)/12,0)*12,IF(C465="3112. Logements",ROUND(VLOOKUP(C465,'Informations générales'!$C$66:$H$70,5,FALSE)*(AL465/$AN$28)/12,0)*12,IF(C465="3113. Logements",ROUND(VLOOKUP(C465,'Informations générales'!$C$66:$H$70,5,FALSE)*(AL465/$AO$28)/12,0)*12,IF(C465="3114. Logements",ROUND(VLOOKUP(C465,'Informations générales'!$C$66:$H$70,5,FALSE)*(AL465/$AP$28)/12,0)*12,IF(C465="3115. Logements",ROUND(VLOOKUP(C465,'Informations générales'!$C$66:$H$70,5,FALSE)*(AL465/$AQ$28)/12,0)*12,"")))))</f>
        <v/>
      </c>
      <c r="AI465" s="114"/>
      <c r="AJ465" s="114"/>
      <c r="AK465" s="76"/>
      <c r="AL465" s="58">
        <f t="shared" si="99"/>
        <v>0</v>
      </c>
      <c r="AM465" s="58"/>
      <c r="AN465" s="58"/>
      <c r="AO465" s="58"/>
      <c r="AP465" s="58"/>
      <c r="AQ465" s="58"/>
      <c r="AR465" s="58">
        <f t="shared" si="87"/>
        <v>0</v>
      </c>
      <c r="AS465" s="58">
        <f t="shared" si="88"/>
        <v>0</v>
      </c>
      <c r="AT465" s="58">
        <f t="shared" si="89"/>
        <v>0</v>
      </c>
      <c r="AU465" s="58">
        <f t="shared" si="90"/>
        <v>0</v>
      </c>
      <c r="AV465" s="58">
        <f t="shared" si="91"/>
        <v>0</v>
      </c>
      <c r="AW465" s="58">
        <f t="shared" si="92"/>
        <v>0</v>
      </c>
      <c r="AX465" s="58">
        <f t="shared" si="93"/>
        <v>0</v>
      </c>
      <c r="AY465" s="58">
        <f t="shared" si="100"/>
        <v>0</v>
      </c>
      <c r="AZ465" s="62">
        <f t="shared" si="94"/>
        <v>0</v>
      </c>
      <c r="BA465" s="63">
        <f t="shared" si="95"/>
        <v>0</v>
      </c>
      <c r="BB465" s="63">
        <f t="shared" si="96"/>
        <v>0</v>
      </c>
    </row>
    <row r="466" spans="3:54" s="17" customFormat="1" x14ac:dyDescent="0.25">
      <c r="C466" s="215"/>
      <c r="D466" s="216"/>
      <c r="E466" s="88"/>
      <c r="F466" s="217"/>
      <c r="G466" s="234"/>
      <c r="H466" s="218"/>
      <c r="I466" s="76"/>
      <c r="J466" s="77"/>
      <c r="K466" s="76"/>
      <c r="L466" s="78"/>
      <c r="M466" s="78"/>
      <c r="N466" s="76" t="s">
        <v>39</v>
      </c>
      <c r="O466" s="110"/>
      <c r="P466" s="152"/>
      <c r="Q466" s="111" t="str">
        <f>IFERROR(MIN(VLOOKUP(ROUNDDOWN(P466,0),'Aide calcul'!$B$2:$C$282,2,FALSE),O466+1),"")</f>
        <v/>
      </c>
      <c r="R466" s="112" t="str">
        <f t="shared" si="97"/>
        <v/>
      </c>
      <c r="S466" s="152"/>
      <c r="T466" s="152"/>
      <c r="U466" s="152"/>
      <c r="V466" s="152"/>
      <c r="W466" s="152"/>
      <c r="X466" s="152"/>
      <c r="Y466" s="152"/>
      <c r="Z466" s="76"/>
      <c r="AA466" s="76"/>
      <c r="AB466" s="113" t="str">
        <f>IF(C466="3111. Logements",ROUND(VLOOKUP(C466,'Informations générales'!$C$66:$E$70,3,FALSE)*(AL466/$AM$28)/12,0)*12,IF(C466="3112. Logements",ROUND(VLOOKUP(C466,'Informations générales'!$C$66:$E$70,3,FALSE)*(AL466/$AN$28)/12,0)*12,IF(C466="3113. Logements",ROUND(VLOOKUP(C466,'Informations générales'!$C$66:$E$70,3,FALSE)*(AL466/$AO$28)/12,0)*12,IF(C466="3114. Logements",ROUND(VLOOKUP(C466,'Informations générales'!$C$66:$E$70,3,FALSE)*(AL466/$AP$28)/12,0)*12,IF(C466="3115. Logements",ROUND(VLOOKUP(C466,'Informations générales'!$C$66:$E$70,3,FALSE)*(AL466/$AQ$28)/12,0)*12,"")))))</f>
        <v/>
      </c>
      <c r="AC466" s="114"/>
      <c r="AD466" s="113">
        <f t="shared" si="98"/>
        <v>0</v>
      </c>
      <c r="AE466" s="114"/>
      <c r="AF466" s="203" t="str">
        <f>IF(C466="3111. Logements",ROUND(VLOOKUP(C466,'Informations générales'!$C$66:$E$70,3,FALSE)*(AL466/$AM$28)/12,0)*12,IF(C466="3112. Logements",ROUND(VLOOKUP(C466,'Informations générales'!$C$66:$E$70,3,FALSE)*(AL466/$AN$28)/12,0)*12,IF(C466="3113. Logements",ROUND(VLOOKUP(C466,'Informations générales'!$C$66:$E$70,3,FALSE)*(AL466/$AO$28)/12,0)*12,IF(C466="3114. Logements",ROUND(VLOOKUP(C466,'Informations générales'!$C$66:$E$70,3,FALSE)*(AL466/$AP$28)/12,0)*12,IF(C466="3115. Logements",ROUND(VLOOKUP(C466,'Informations générales'!$C$66:$E$70,3,FALSE)*(AL466/$AQ$28)/12,0)*12,"")))))</f>
        <v/>
      </c>
      <c r="AG466" s="202"/>
      <c r="AH466" s="113" t="str">
        <f>IF(C466="3111. Logements",ROUND(VLOOKUP(C466,'Informations générales'!$C$66:$H$70,5,FALSE)*(AL466/$AM$28)/12,0)*12,IF(C466="3112. Logements",ROUND(VLOOKUP(C466,'Informations générales'!$C$66:$H$70,5,FALSE)*(AL466/$AN$28)/12,0)*12,IF(C466="3113. Logements",ROUND(VLOOKUP(C466,'Informations générales'!$C$66:$H$70,5,FALSE)*(AL466/$AO$28)/12,0)*12,IF(C466="3114. Logements",ROUND(VLOOKUP(C466,'Informations générales'!$C$66:$H$70,5,FALSE)*(AL466/$AP$28)/12,0)*12,IF(C466="3115. Logements",ROUND(VLOOKUP(C466,'Informations générales'!$C$66:$H$70,5,FALSE)*(AL466/$AQ$28)/12,0)*12,"")))))</f>
        <v/>
      </c>
      <c r="AI466" s="114"/>
      <c r="AJ466" s="114"/>
      <c r="AK466" s="76"/>
      <c r="AL466" s="58">
        <f t="shared" si="99"/>
        <v>0</v>
      </c>
      <c r="AM466" s="58"/>
      <c r="AN466" s="58"/>
      <c r="AO466" s="58"/>
      <c r="AP466" s="58"/>
      <c r="AQ466" s="58"/>
      <c r="AR466" s="58">
        <f t="shared" si="87"/>
        <v>0</v>
      </c>
      <c r="AS466" s="58">
        <f t="shared" si="88"/>
        <v>0</v>
      </c>
      <c r="AT466" s="58">
        <f t="shared" si="89"/>
        <v>0</v>
      </c>
      <c r="AU466" s="58">
        <f t="shared" si="90"/>
        <v>0</v>
      </c>
      <c r="AV466" s="58">
        <f t="shared" si="91"/>
        <v>0</v>
      </c>
      <c r="AW466" s="58">
        <f t="shared" si="92"/>
        <v>0</v>
      </c>
      <c r="AX466" s="58">
        <f t="shared" si="93"/>
        <v>0</v>
      </c>
      <c r="AY466" s="58">
        <f t="shared" si="100"/>
        <v>0</v>
      </c>
      <c r="AZ466" s="62">
        <f t="shared" si="94"/>
        <v>0</v>
      </c>
      <c r="BA466" s="63">
        <f t="shared" si="95"/>
        <v>0</v>
      </c>
      <c r="BB466" s="63">
        <f t="shared" si="96"/>
        <v>0</v>
      </c>
    </row>
    <row r="467" spans="3:54" s="17" customFormat="1" x14ac:dyDescent="0.25">
      <c r="C467" s="215"/>
      <c r="D467" s="216"/>
      <c r="E467" s="88"/>
      <c r="F467" s="217"/>
      <c r="G467" s="234"/>
      <c r="H467" s="218"/>
      <c r="I467" s="76"/>
      <c r="J467" s="77"/>
      <c r="K467" s="76"/>
      <c r="L467" s="78"/>
      <c r="M467" s="78"/>
      <c r="N467" s="76" t="s">
        <v>39</v>
      </c>
      <c r="O467" s="110"/>
      <c r="P467" s="152"/>
      <c r="Q467" s="111" t="str">
        <f>IFERROR(MIN(VLOOKUP(ROUNDDOWN(P467,0),'Aide calcul'!$B$2:$C$282,2,FALSE),O467+1),"")</f>
        <v/>
      </c>
      <c r="R467" s="112" t="str">
        <f t="shared" si="97"/>
        <v/>
      </c>
      <c r="S467" s="152"/>
      <c r="T467" s="152"/>
      <c r="U467" s="152"/>
      <c r="V467" s="152"/>
      <c r="W467" s="152"/>
      <c r="X467" s="152"/>
      <c r="Y467" s="152"/>
      <c r="Z467" s="76"/>
      <c r="AA467" s="76"/>
      <c r="AB467" s="113" t="str">
        <f>IF(C467="3111. Logements",ROUND(VLOOKUP(C467,'Informations générales'!$C$66:$E$70,3,FALSE)*(AL467/$AM$28)/12,0)*12,IF(C467="3112. Logements",ROUND(VLOOKUP(C467,'Informations générales'!$C$66:$E$70,3,FALSE)*(AL467/$AN$28)/12,0)*12,IF(C467="3113. Logements",ROUND(VLOOKUP(C467,'Informations générales'!$C$66:$E$70,3,FALSE)*(AL467/$AO$28)/12,0)*12,IF(C467="3114. Logements",ROUND(VLOOKUP(C467,'Informations générales'!$C$66:$E$70,3,FALSE)*(AL467/$AP$28)/12,0)*12,IF(C467="3115. Logements",ROUND(VLOOKUP(C467,'Informations générales'!$C$66:$E$70,3,FALSE)*(AL467/$AQ$28)/12,0)*12,"")))))</f>
        <v/>
      </c>
      <c r="AC467" s="114"/>
      <c r="AD467" s="113">
        <f t="shared" si="98"/>
        <v>0</v>
      </c>
      <c r="AE467" s="114"/>
      <c r="AF467" s="203" t="str">
        <f>IF(C467="3111. Logements",ROUND(VLOOKUP(C467,'Informations générales'!$C$66:$E$70,3,FALSE)*(AL467/$AM$28)/12,0)*12,IF(C467="3112. Logements",ROUND(VLOOKUP(C467,'Informations générales'!$C$66:$E$70,3,FALSE)*(AL467/$AN$28)/12,0)*12,IF(C467="3113. Logements",ROUND(VLOOKUP(C467,'Informations générales'!$C$66:$E$70,3,FALSE)*(AL467/$AO$28)/12,0)*12,IF(C467="3114. Logements",ROUND(VLOOKUP(C467,'Informations générales'!$C$66:$E$70,3,FALSE)*(AL467/$AP$28)/12,0)*12,IF(C467="3115. Logements",ROUND(VLOOKUP(C467,'Informations générales'!$C$66:$E$70,3,FALSE)*(AL467/$AQ$28)/12,0)*12,"")))))</f>
        <v/>
      </c>
      <c r="AG467" s="202"/>
      <c r="AH467" s="113" t="str">
        <f>IF(C467="3111. Logements",ROUND(VLOOKUP(C467,'Informations générales'!$C$66:$H$70,5,FALSE)*(AL467/$AM$28)/12,0)*12,IF(C467="3112. Logements",ROUND(VLOOKUP(C467,'Informations générales'!$C$66:$H$70,5,FALSE)*(AL467/$AN$28)/12,0)*12,IF(C467="3113. Logements",ROUND(VLOOKUP(C467,'Informations générales'!$C$66:$H$70,5,FALSE)*(AL467/$AO$28)/12,0)*12,IF(C467="3114. Logements",ROUND(VLOOKUP(C467,'Informations générales'!$C$66:$H$70,5,FALSE)*(AL467/$AP$28)/12,0)*12,IF(C467="3115. Logements",ROUND(VLOOKUP(C467,'Informations générales'!$C$66:$H$70,5,FALSE)*(AL467/$AQ$28)/12,0)*12,"")))))</f>
        <v/>
      </c>
      <c r="AI467" s="114"/>
      <c r="AJ467" s="114"/>
      <c r="AK467" s="76"/>
      <c r="AL467" s="58">
        <f t="shared" si="99"/>
        <v>0</v>
      </c>
      <c r="AM467" s="58"/>
      <c r="AN467" s="58"/>
      <c r="AO467" s="58"/>
      <c r="AP467" s="58"/>
      <c r="AQ467" s="58"/>
      <c r="AR467" s="58">
        <f t="shared" si="87"/>
        <v>0</v>
      </c>
      <c r="AS467" s="58">
        <f t="shared" si="88"/>
        <v>0</v>
      </c>
      <c r="AT467" s="58">
        <f t="shared" si="89"/>
        <v>0</v>
      </c>
      <c r="AU467" s="58">
        <f t="shared" si="90"/>
        <v>0</v>
      </c>
      <c r="AV467" s="58">
        <f t="shared" si="91"/>
        <v>0</v>
      </c>
      <c r="AW467" s="58">
        <f t="shared" si="92"/>
        <v>0</v>
      </c>
      <c r="AX467" s="58">
        <f t="shared" si="93"/>
        <v>0</v>
      </c>
      <c r="AY467" s="58">
        <f t="shared" si="100"/>
        <v>0</v>
      </c>
      <c r="AZ467" s="62">
        <f t="shared" si="94"/>
        <v>0</v>
      </c>
      <c r="BA467" s="63">
        <f t="shared" si="95"/>
        <v>0</v>
      </c>
      <c r="BB467" s="63">
        <f t="shared" si="96"/>
        <v>0</v>
      </c>
    </row>
    <row r="468" spans="3:54" s="17" customFormat="1" x14ac:dyDescent="0.25">
      <c r="C468" s="215"/>
      <c r="D468" s="216"/>
      <c r="E468" s="88"/>
      <c r="F468" s="217"/>
      <c r="G468" s="234"/>
      <c r="H468" s="218"/>
      <c r="I468" s="76"/>
      <c r="J468" s="77"/>
      <c r="K468" s="76"/>
      <c r="L468" s="78"/>
      <c r="M468" s="78"/>
      <c r="N468" s="76" t="s">
        <v>39</v>
      </c>
      <c r="O468" s="110"/>
      <c r="P468" s="152"/>
      <c r="Q468" s="111" t="str">
        <f>IFERROR(MIN(VLOOKUP(ROUNDDOWN(P468,0),'Aide calcul'!$B$2:$C$282,2,FALSE),O468+1),"")</f>
        <v/>
      </c>
      <c r="R468" s="112" t="str">
        <f t="shared" si="97"/>
        <v/>
      </c>
      <c r="S468" s="152"/>
      <c r="T468" s="152"/>
      <c r="U468" s="152"/>
      <c r="V468" s="152"/>
      <c r="W468" s="152"/>
      <c r="X468" s="152"/>
      <c r="Y468" s="152"/>
      <c r="Z468" s="76"/>
      <c r="AA468" s="76"/>
      <c r="AB468" s="113" t="str">
        <f>IF(C468="3111. Logements",ROUND(VLOOKUP(C468,'Informations générales'!$C$66:$E$70,3,FALSE)*(AL468/$AM$28)/12,0)*12,IF(C468="3112. Logements",ROUND(VLOOKUP(C468,'Informations générales'!$C$66:$E$70,3,FALSE)*(AL468/$AN$28)/12,0)*12,IF(C468="3113. Logements",ROUND(VLOOKUP(C468,'Informations générales'!$C$66:$E$70,3,FALSE)*(AL468/$AO$28)/12,0)*12,IF(C468="3114. Logements",ROUND(VLOOKUP(C468,'Informations générales'!$C$66:$E$70,3,FALSE)*(AL468/$AP$28)/12,0)*12,IF(C468="3115. Logements",ROUND(VLOOKUP(C468,'Informations générales'!$C$66:$E$70,3,FALSE)*(AL468/$AQ$28)/12,0)*12,"")))))</f>
        <v/>
      </c>
      <c r="AC468" s="114"/>
      <c r="AD468" s="113">
        <f t="shared" si="98"/>
        <v>0</v>
      </c>
      <c r="AE468" s="114"/>
      <c r="AF468" s="203" t="str">
        <f>IF(C468="3111. Logements",ROUND(VLOOKUP(C468,'Informations générales'!$C$66:$E$70,3,FALSE)*(AL468/$AM$28)/12,0)*12,IF(C468="3112. Logements",ROUND(VLOOKUP(C468,'Informations générales'!$C$66:$E$70,3,FALSE)*(AL468/$AN$28)/12,0)*12,IF(C468="3113. Logements",ROUND(VLOOKUP(C468,'Informations générales'!$C$66:$E$70,3,FALSE)*(AL468/$AO$28)/12,0)*12,IF(C468="3114. Logements",ROUND(VLOOKUP(C468,'Informations générales'!$C$66:$E$70,3,FALSE)*(AL468/$AP$28)/12,0)*12,IF(C468="3115. Logements",ROUND(VLOOKUP(C468,'Informations générales'!$C$66:$E$70,3,FALSE)*(AL468/$AQ$28)/12,0)*12,"")))))</f>
        <v/>
      </c>
      <c r="AG468" s="202"/>
      <c r="AH468" s="113" t="str">
        <f>IF(C468="3111. Logements",ROUND(VLOOKUP(C468,'Informations générales'!$C$66:$H$70,5,FALSE)*(AL468/$AM$28)/12,0)*12,IF(C468="3112. Logements",ROUND(VLOOKUP(C468,'Informations générales'!$C$66:$H$70,5,FALSE)*(AL468/$AN$28)/12,0)*12,IF(C468="3113. Logements",ROUND(VLOOKUP(C468,'Informations générales'!$C$66:$H$70,5,FALSE)*(AL468/$AO$28)/12,0)*12,IF(C468="3114. Logements",ROUND(VLOOKUP(C468,'Informations générales'!$C$66:$H$70,5,FALSE)*(AL468/$AP$28)/12,0)*12,IF(C468="3115. Logements",ROUND(VLOOKUP(C468,'Informations générales'!$C$66:$H$70,5,FALSE)*(AL468/$AQ$28)/12,0)*12,"")))))</f>
        <v/>
      </c>
      <c r="AI468" s="114"/>
      <c r="AJ468" s="114"/>
      <c r="AK468" s="76"/>
      <c r="AL468" s="58">
        <f t="shared" si="99"/>
        <v>0</v>
      </c>
      <c r="AM468" s="58"/>
      <c r="AN468" s="58"/>
      <c r="AO468" s="58"/>
      <c r="AP468" s="58"/>
      <c r="AQ468" s="58"/>
      <c r="AR468" s="58">
        <f t="shared" si="87"/>
        <v>0</v>
      </c>
      <c r="AS468" s="58">
        <f t="shared" si="88"/>
        <v>0</v>
      </c>
      <c r="AT468" s="58">
        <f t="shared" si="89"/>
        <v>0</v>
      </c>
      <c r="AU468" s="58">
        <f t="shared" si="90"/>
        <v>0</v>
      </c>
      <c r="AV468" s="58">
        <f t="shared" si="91"/>
        <v>0</v>
      </c>
      <c r="AW468" s="58">
        <f t="shared" si="92"/>
        <v>0</v>
      </c>
      <c r="AX468" s="58">
        <f t="shared" si="93"/>
        <v>0</v>
      </c>
      <c r="AY468" s="58">
        <f t="shared" si="100"/>
        <v>0</v>
      </c>
      <c r="AZ468" s="62">
        <f t="shared" si="94"/>
        <v>0</v>
      </c>
      <c r="BA468" s="63">
        <f t="shared" si="95"/>
        <v>0</v>
      </c>
      <c r="BB468" s="63">
        <f t="shared" si="96"/>
        <v>0</v>
      </c>
    </row>
    <row r="469" spans="3:54" s="17" customFormat="1" x14ac:dyDescent="0.25">
      <c r="C469" s="215"/>
      <c r="D469" s="216"/>
      <c r="E469" s="88"/>
      <c r="F469" s="217"/>
      <c r="G469" s="234"/>
      <c r="H469" s="218"/>
      <c r="I469" s="76"/>
      <c r="J469" s="77"/>
      <c r="K469" s="76"/>
      <c r="L469" s="78"/>
      <c r="M469" s="78"/>
      <c r="N469" s="76" t="s">
        <v>39</v>
      </c>
      <c r="O469" s="110"/>
      <c r="P469" s="152"/>
      <c r="Q469" s="111" t="str">
        <f>IFERROR(MIN(VLOOKUP(ROUNDDOWN(P469,0),'Aide calcul'!$B$2:$C$282,2,FALSE),O469+1),"")</f>
        <v/>
      </c>
      <c r="R469" s="112" t="str">
        <f t="shared" si="97"/>
        <v/>
      </c>
      <c r="S469" s="152"/>
      <c r="T469" s="152"/>
      <c r="U469" s="152"/>
      <c r="V469" s="152"/>
      <c r="W469" s="152"/>
      <c r="X469" s="152"/>
      <c r="Y469" s="152"/>
      <c r="Z469" s="76"/>
      <c r="AA469" s="76"/>
      <c r="AB469" s="113" t="str">
        <f>IF(C469="3111. Logements",ROUND(VLOOKUP(C469,'Informations générales'!$C$66:$E$70,3,FALSE)*(AL469/$AM$28)/12,0)*12,IF(C469="3112. Logements",ROUND(VLOOKUP(C469,'Informations générales'!$C$66:$E$70,3,FALSE)*(AL469/$AN$28)/12,0)*12,IF(C469="3113. Logements",ROUND(VLOOKUP(C469,'Informations générales'!$C$66:$E$70,3,FALSE)*(AL469/$AO$28)/12,0)*12,IF(C469="3114. Logements",ROUND(VLOOKUP(C469,'Informations générales'!$C$66:$E$70,3,FALSE)*(AL469/$AP$28)/12,0)*12,IF(C469="3115. Logements",ROUND(VLOOKUP(C469,'Informations générales'!$C$66:$E$70,3,FALSE)*(AL469/$AQ$28)/12,0)*12,"")))))</f>
        <v/>
      </c>
      <c r="AC469" s="114"/>
      <c r="AD469" s="113">
        <f t="shared" si="98"/>
        <v>0</v>
      </c>
      <c r="AE469" s="114"/>
      <c r="AF469" s="203" t="str">
        <f>IF(C469="3111. Logements",ROUND(VLOOKUP(C469,'Informations générales'!$C$66:$E$70,3,FALSE)*(AL469/$AM$28)/12,0)*12,IF(C469="3112. Logements",ROUND(VLOOKUP(C469,'Informations générales'!$C$66:$E$70,3,FALSE)*(AL469/$AN$28)/12,0)*12,IF(C469="3113. Logements",ROUND(VLOOKUP(C469,'Informations générales'!$C$66:$E$70,3,FALSE)*(AL469/$AO$28)/12,0)*12,IF(C469="3114. Logements",ROUND(VLOOKUP(C469,'Informations générales'!$C$66:$E$70,3,FALSE)*(AL469/$AP$28)/12,0)*12,IF(C469="3115. Logements",ROUND(VLOOKUP(C469,'Informations générales'!$C$66:$E$70,3,FALSE)*(AL469/$AQ$28)/12,0)*12,"")))))</f>
        <v/>
      </c>
      <c r="AG469" s="202"/>
      <c r="AH469" s="113" t="str">
        <f>IF(C469="3111. Logements",ROUND(VLOOKUP(C469,'Informations générales'!$C$66:$H$70,5,FALSE)*(AL469/$AM$28)/12,0)*12,IF(C469="3112. Logements",ROUND(VLOOKUP(C469,'Informations générales'!$C$66:$H$70,5,FALSE)*(AL469/$AN$28)/12,0)*12,IF(C469="3113. Logements",ROUND(VLOOKUP(C469,'Informations générales'!$C$66:$H$70,5,FALSE)*(AL469/$AO$28)/12,0)*12,IF(C469="3114. Logements",ROUND(VLOOKUP(C469,'Informations générales'!$C$66:$H$70,5,FALSE)*(AL469/$AP$28)/12,0)*12,IF(C469="3115. Logements",ROUND(VLOOKUP(C469,'Informations générales'!$C$66:$H$70,5,FALSE)*(AL469/$AQ$28)/12,0)*12,"")))))</f>
        <v/>
      </c>
      <c r="AI469" s="114"/>
      <c r="AJ469" s="114"/>
      <c r="AK469" s="76"/>
      <c r="AL469" s="58">
        <f t="shared" si="99"/>
        <v>0</v>
      </c>
      <c r="AM469" s="58"/>
      <c r="AN469" s="58"/>
      <c r="AO469" s="58"/>
      <c r="AP469" s="58"/>
      <c r="AQ469" s="58"/>
      <c r="AR469" s="58">
        <f t="shared" si="87"/>
        <v>0</v>
      </c>
      <c r="AS469" s="58">
        <f t="shared" si="88"/>
        <v>0</v>
      </c>
      <c r="AT469" s="58">
        <f t="shared" si="89"/>
        <v>0</v>
      </c>
      <c r="AU469" s="58">
        <f t="shared" si="90"/>
        <v>0</v>
      </c>
      <c r="AV469" s="58">
        <f t="shared" si="91"/>
        <v>0</v>
      </c>
      <c r="AW469" s="58">
        <f t="shared" si="92"/>
        <v>0</v>
      </c>
      <c r="AX469" s="58">
        <f t="shared" si="93"/>
        <v>0</v>
      </c>
      <c r="AY469" s="58">
        <f t="shared" si="100"/>
        <v>0</v>
      </c>
      <c r="AZ469" s="62">
        <f t="shared" si="94"/>
        <v>0</v>
      </c>
      <c r="BA469" s="63">
        <f t="shared" si="95"/>
        <v>0</v>
      </c>
      <c r="BB469" s="63">
        <f t="shared" si="96"/>
        <v>0</v>
      </c>
    </row>
    <row r="470" spans="3:54" s="17" customFormat="1" x14ac:dyDescent="0.25">
      <c r="C470" s="215"/>
      <c r="D470" s="216"/>
      <c r="E470" s="88"/>
      <c r="F470" s="217"/>
      <c r="G470" s="234"/>
      <c r="H470" s="218"/>
      <c r="I470" s="76"/>
      <c r="J470" s="77"/>
      <c r="K470" s="76"/>
      <c r="L470" s="78"/>
      <c r="M470" s="78"/>
      <c r="N470" s="76" t="s">
        <v>39</v>
      </c>
      <c r="O470" s="110"/>
      <c r="P470" s="152"/>
      <c r="Q470" s="111" t="str">
        <f>IFERROR(MIN(VLOOKUP(ROUNDDOWN(P470,0),'Aide calcul'!$B$2:$C$282,2,FALSE),O470+1),"")</f>
        <v/>
      </c>
      <c r="R470" s="112" t="str">
        <f t="shared" si="97"/>
        <v/>
      </c>
      <c r="S470" s="152"/>
      <c r="T470" s="152"/>
      <c r="U470" s="152"/>
      <c r="V470" s="152"/>
      <c r="W470" s="152"/>
      <c r="X470" s="152"/>
      <c r="Y470" s="152"/>
      <c r="Z470" s="76"/>
      <c r="AA470" s="76"/>
      <c r="AB470" s="113" t="str">
        <f>IF(C470="3111. Logements",ROUND(VLOOKUP(C470,'Informations générales'!$C$66:$E$70,3,FALSE)*(AL470/$AM$28)/12,0)*12,IF(C470="3112. Logements",ROUND(VLOOKUP(C470,'Informations générales'!$C$66:$E$70,3,FALSE)*(AL470/$AN$28)/12,0)*12,IF(C470="3113. Logements",ROUND(VLOOKUP(C470,'Informations générales'!$C$66:$E$70,3,FALSE)*(AL470/$AO$28)/12,0)*12,IF(C470="3114. Logements",ROUND(VLOOKUP(C470,'Informations générales'!$C$66:$E$70,3,FALSE)*(AL470/$AP$28)/12,0)*12,IF(C470="3115. Logements",ROUND(VLOOKUP(C470,'Informations générales'!$C$66:$E$70,3,FALSE)*(AL470/$AQ$28)/12,0)*12,"")))))</f>
        <v/>
      </c>
      <c r="AC470" s="114"/>
      <c r="AD470" s="113">
        <f t="shared" si="98"/>
        <v>0</v>
      </c>
      <c r="AE470" s="114"/>
      <c r="AF470" s="203" t="str">
        <f>IF(C470="3111. Logements",ROUND(VLOOKUP(C470,'Informations générales'!$C$66:$E$70,3,FALSE)*(AL470/$AM$28)/12,0)*12,IF(C470="3112. Logements",ROUND(VLOOKUP(C470,'Informations générales'!$C$66:$E$70,3,FALSE)*(AL470/$AN$28)/12,0)*12,IF(C470="3113. Logements",ROUND(VLOOKUP(C470,'Informations générales'!$C$66:$E$70,3,FALSE)*(AL470/$AO$28)/12,0)*12,IF(C470="3114. Logements",ROUND(VLOOKUP(C470,'Informations générales'!$C$66:$E$70,3,FALSE)*(AL470/$AP$28)/12,0)*12,IF(C470="3115. Logements",ROUND(VLOOKUP(C470,'Informations générales'!$C$66:$E$70,3,FALSE)*(AL470/$AQ$28)/12,0)*12,"")))))</f>
        <v/>
      </c>
      <c r="AG470" s="202"/>
      <c r="AH470" s="113" t="str">
        <f>IF(C470="3111. Logements",ROUND(VLOOKUP(C470,'Informations générales'!$C$66:$H$70,5,FALSE)*(AL470/$AM$28)/12,0)*12,IF(C470="3112. Logements",ROUND(VLOOKUP(C470,'Informations générales'!$C$66:$H$70,5,FALSE)*(AL470/$AN$28)/12,0)*12,IF(C470="3113. Logements",ROUND(VLOOKUP(C470,'Informations générales'!$C$66:$H$70,5,FALSE)*(AL470/$AO$28)/12,0)*12,IF(C470="3114. Logements",ROUND(VLOOKUP(C470,'Informations générales'!$C$66:$H$70,5,FALSE)*(AL470/$AP$28)/12,0)*12,IF(C470="3115. Logements",ROUND(VLOOKUP(C470,'Informations générales'!$C$66:$H$70,5,FALSE)*(AL470/$AQ$28)/12,0)*12,"")))))</f>
        <v/>
      </c>
      <c r="AI470" s="114"/>
      <c r="AJ470" s="114"/>
      <c r="AK470" s="76"/>
      <c r="AL470" s="58">
        <f t="shared" si="99"/>
        <v>0</v>
      </c>
      <c r="AM470" s="58"/>
      <c r="AN470" s="58"/>
      <c r="AO470" s="58"/>
      <c r="AP470" s="58"/>
      <c r="AQ470" s="58"/>
      <c r="AR470" s="58">
        <f t="shared" si="87"/>
        <v>0</v>
      </c>
      <c r="AS470" s="58">
        <f t="shared" si="88"/>
        <v>0</v>
      </c>
      <c r="AT470" s="58">
        <f t="shared" si="89"/>
        <v>0</v>
      </c>
      <c r="AU470" s="58">
        <f t="shared" si="90"/>
        <v>0</v>
      </c>
      <c r="AV470" s="58">
        <f t="shared" si="91"/>
        <v>0</v>
      </c>
      <c r="AW470" s="58">
        <f t="shared" si="92"/>
        <v>0</v>
      </c>
      <c r="AX470" s="58">
        <f t="shared" si="93"/>
        <v>0</v>
      </c>
      <c r="AY470" s="58">
        <f t="shared" si="100"/>
        <v>0</v>
      </c>
      <c r="AZ470" s="62">
        <f t="shared" si="94"/>
        <v>0</v>
      </c>
      <c r="BA470" s="63">
        <f t="shared" si="95"/>
        <v>0</v>
      </c>
      <c r="BB470" s="63">
        <f t="shared" si="96"/>
        <v>0</v>
      </c>
    </row>
    <row r="471" spans="3:54" s="17" customFormat="1" x14ac:dyDescent="0.25">
      <c r="C471" s="215"/>
      <c r="D471" s="216"/>
      <c r="E471" s="88"/>
      <c r="F471" s="217"/>
      <c r="G471" s="234"/>
      <c r="H471" s="218"/>
      <c r="I471" s="76"/>
      <c r="J471" s="77"/>
      <c r="K471" s="76"/>
      <c r="L471" s="78"/>
      <c r="M471" s="78"/>
      <c r="N471" s="76" t="s">
        <v>39</v>
      </c>
      <c r="O471" s="110"/>
      <c r="P471" s="152"/>
      <c r="Q471" s="111" t="str">
        <f>IFERROR(MIN(VLOOKUP(ROUNDDOWN(P471,0),'Aide calcul'!$B$2:$C$282,2,FALSE),O471+1),"")</f>
        <v/>
      </c>
      <c r="R471" s="112" t="str">
        <f t="shared" si="97"/>
        <v/>
      </c>
      <c r="S471" s="152"/>
      <c r="T471" s="152"/>
      <c r="U471" s="152"/>
      <c r="V471" s="152"/>
      <c r="W471" s="152"/>
      <c r="X471" s="152"/>
      <c r="Y471" s="152"/>
      <c r="Z471" s="76"/>
      <c r="AA471" s="76"/>
      <c r="AB471" s="113" t="str">
        <f>IF(C471="3111. Logements",ROUND(VLOOKUP(C471,'Informations générales'!$C$66:$E$70,3,FALSE)*(AL471/$AM$28)/12,0)*12,IF(C471="3112. Logements",ROUND(VLOOKUP(C471,'Informations générales'!$C$66:$E$70,3,FALSE)*(AL471/$AN$28)/12,0)*12,IF(C471="3113. Logements",ROUND(VLOOKUP(C471,'Informations générales'!$C$66:$E$70,3,FALSE)*(AL471/$AO$28)/12,0)*12,IF(C471="3114. Logements",ROUND(VLOOKUP(C471,'Informations générales'!$C$66:$E$70,3,FALSE)*(AL471/$AP$28)/12,0)*12,IF(C471="3115. Logements",ROUND(VLOOKUP(C471,'Informations générales'!$C$66:$E$70,3,FALSE)*(AL471/$AQ$28)/12,0)*12,"")))))</f>
        <v/>
      </c>
      <c r="AC471" s="114"/>
      <c r="AD471" s="113">
        <f t="shared" si="98"/>
        <v>0</v>
      </c>
      <c r="AE471" s="114"/>
      <c r="AF471" s="203" t="str">
        <f>IF(C471="3111. Logements",ROUND(VLOOKUP(C471,'Informations générales'!$C$66:$E$70,3,FALSE)*(AL471/$AM$28)/12,0)*12,IF(C471="3112. Logements",ROUND(VLOOKUP(C471,'Informations générales'!$C$66:$E$70,3,FALSE)*(AL471/$AN$28)/12,0)*12,IF(C471="3113. Logements",ROUND(VLOOKUP(C471,'Informations générales'!$C$66:$E$70,3,FALSE)*(AL471/$AO$28)/12,0)*12,IF(C471="3114. Logements",ROUND(VLOOKUP(C471,'Informations générales'!$C$66:$E$70,3,FALSE)*(AL471/$AP$28)/12,0)*12,IF(C471="3115. Logements",ROUND(VLOOKUP(C471,'Informations générales'!$C$66:$E$70,3,FALSE)*(AL471/$AQ$28)/12,0)*12,"")))))</f>
        <v/>
      </c>
      <c r="AG471" s="202"/>
      <c r="AH471" s="113" t="str">
        <f>IF(C471="3111. Logements",ROUND(VLOOKUP(C471,'Informations générales'!$C$66:$H$70,5,FALSE)*(AL471/$AM$28)/12,0)*12,IF(C471="3112. Logements",ROUND(VLOOKUP(C471,'Informations générales'!$C$66:$H$70,5,FALSE)*(AL471/$AN$28)/12,0)*12,IF(C471="3113. Logements",ROUND(VLOOKUP(C471,'Informations générales'!$C$66:$H$70,5,FALSE)*(AL471/$AO$28)/12,0)*12,IF(C471="3114. Logements",ROUND(VLOOKUP(C471,'Informations générales'!$C$66:$H$70,5,FALSE)*(AL471/$AP$28)/12,0)*12,IF(C471="3115. Logements",ROUND(VLOOKUP(C471,'Informations générales'!$C$66:$H$70,5,FALSE)*(AL471/$AQ$28)/12,0)*12,"")))))</f>
        <v/>
      </c>
      <c r="AI471" s="114"/>
      <c r="AJ471" s="114"/>
      <c r="AK471" s="76"/>
      <c r="AL471" s="58">
        <f t="shared" si="99"/>
        <v>0</v>
      </c>
      <c r="AM471" s="58"/>
      <c r="AN471" s="58"/>
      <c r="AO471" s="58"/>
      <c r="AP471" s="58"/>
      <c r="AQ471" s="58"/>
      <c r="AR471" s="58">
        <f t="shared" si="87"/>
        <v>0</v>
      </c>
      <c r="AS471" s="58">
        <f t="shared" si="88"/>
        <v>0</v>
      </c>
      <c r="AT471" s="58">
        <f t="shared" si="89"/>
        <v>0</v>
      </c>
      <c r="AU471" s="58">
        <f t="shared" si="90"/>
        <v>0</v>
      </c>
      <c r="AV471" s="58">
        <f t="shared" si="91"/>
        <v>0</v>
      </c>
      <c r="AW471" s="58">
        <f t="shared" si="92"/>
        <v>0</v>
      </c>
      <c r="AX471" s="58">
        <f t="shared" si="93"/>
        <v>0</v>
      </c>
      <c r="AY471" s="58">
        <f t="shared" si="100"/>
        <v>0</v>
      </c>
      <c r="AZ471" s="62">
        <f t="shared" si="94"/>
        <v>0</v>
      </c>
      <c r="BA471" s="63">
        <f t="shared" si="95"/>
        <v>0</v>
      </c>
      <c r="BB471" s="63">
        <f t="shared" si="96"/>
        <v>0</v>
      </c>
    </row>
    <row r="472" spans="3:54" s="17" customFormat="1" x14ac:dyDescent="0.25">
      <c r="C472" s="215"/>
      <c r="D472" s="216"/>
      <c r="E472" s="88"/>
      <c r="F472" s="217"/>
      <c r="G472" s="234"/>
      <c r="H472" s="218"/>
      <c r="I472" s="76"/>
      <c r="J472" s="77"/>
      <c r="K472" s="76"/>
      <c r="L472" s="78"/>
      <c r="M472" s="78"/>
      <c r="N472" s="76" t="s">
        <v>39</v>
      </c>
      <c r="O472" s="110"/>
      <c r="P472" s="152"/>
      <c r="Q472" s="111" t="str">
        <f>IFERROR(MIN(VLOOKUP(ROUNDDOWN(P472,0),'Aide calcul'!$B$2:$C$282,2,FALSE),O472+1),"")</f>
        <v/>
      </c>
      <c r="R472" s="112" t="str">
        <f t="shared" si="97"/>
        <v/>
      </c>
      <c r="S472" s="152"/>
      <c r="T472" s="152"/>
      <c r="U472" s="152"/>
      <c r="V472" s="152"/>
      <c r="W472" s="152"/>
      <c r="X472" s="152"/>
      <c r="Y472" s="152"/>
      <c r="Z472" s="76"/>
      <c r="AA472" s="76"/>
      <c r="AB472" s="113" t="str">
        <f>IF(C472="3111. Logements",ROUND(VLOOKUP(C472,'Informations générales'!$C$66:$E$70,3,FALSE)*(AL472/$AM$28)/12,0)*12,IF(C472="3112. Logements",ROUND(VLOOKUP(C472,'Informations générales'!$C$66:$E$70,3,FALSE)*(AL472/$AN$28)/12,0)*12,IF(C472="3113. Logements",ROUND(VLOOKUP(C472,'Informations générales'!$C$66:$E$70,3,FALSE)*(AL472/$AO$28)/12,0)*12,IF(C472="3114. Logements",ROUND(VLOOKUP(C472,'Informations générales'!$C$66:$E$70,3,FALSE)*(AL472/$AP$28)/12,0)*12,IF(C472="3115. Logements",ROUND(VLOOKUP(C472,'Informations générales'!$C$66:$E$70,3,FALSE)*(AL472/$AQ$28)/12,0)*12,"")))))</f>
        <v/>
      </c>
      <c r="AC472" s="114"/>
      <c r="AD472" s="113">
        <f t="shared" si="98"/>
        <v>0</v>
      </c>
      <c r="AE472" s="114"/>
      <c r="AF472" s="203" t="str">
        <f>IF(C472="3111. Logements",ROUND(VLOOKUP(C472,'Informations générales'!$C$66:$E$70,3,FALSE)*(AL472/$AM$28)/12,0)*12,IF(C472="3112. Logements",ROUND(VLOOKUP(C472,'Informations générales'!$C$66:$E$70,3,FALSE)*(AL472/$AN$28)/12,0)*12,IF(C472="3113. Logements",ROUND(VLOOKUP(C472,'Informations générales'!$C$66:$E$70,3,FALSE)*(AL472/$AO$28)/12,0)*12,IF(C472="3114. Logements",ROUND(VLOOKUP(C472,'Informations générales'!$C$66:$E$70,3,FALSE)*(AL472/$AP$28)/12,0)*12,IF(C472="3115. Logements",ROUND(VLOOKUP(C472,'Informations générales'!$C$66:$E$70,3,FALSE)*(AL472/$AQ$28)/12,0)*12,"")))))</f>
        <v/>
      </c>
      <c r="AG472" s="202"/>
      <c r="AH472" s="113" t="str">
        <f>IF(C472="3111. Logements",ROUND(VLOOKUP(C472,'Informations générales'!$C$66:$H$70,5,FALSE)*(AL472/$AM$28)/12,0)*12,IF(C472="3112. Logements",ROUND(VLOOKUP(C472,'Informations générales'!$C$66:$H$70,5,FALSE)*(AL472/$AN$28)/12,0)*12,IF(C472="3113. Logements",ROUND(VLOOKUP(C472,'Informations générales'!$C$66:$H$70,5,FALSE)*(AL472/$AO$28)/12,0)*12,IF(C472="3114. Logements",ROUND(VLOOKUP(C472,'Informations générales'!$C$66:$H$70,5,FALSE)*(AL472/$AP$28)/12,0)*12,IF(C472="3115. Logements",ROUND(VLOOKUP(C472,'Informations générales'!$C$66:$H$70,5,FALSE)*(AL472/$AQ$28)/12,0)*12,"")))))</f>
        <v/>
      </c>
      <c r="AI472" s="114"/>
      <c r="AJ472" s="114"/>
      <c r="AK472" s="76"/>
      <c r="AL472" s="58">
        <f t="shared" si="99"/>
        <v>0</v>
      </c>
      <c r="AM472" s="58"/>
      <c r="AN472" s="58"/>
      <c r="AO472" s="58"/>
      <c r="AP472" s="58"/>
      <c r="AQ472" s="58"/>
      <c r="AR472" s="58">
        <f t="shared" si="87"/>
        <v>0</v>
      </c>
      <c r="AS472" s="58">
        <f t="shared" si="88"/>
        <v>0</v>
      </c>
      <c r="AT472" s="58">
        <f t="shared" si="89"/>
        <v>0</v>
      </c>
      <c r="AU472" s="58">
        <f t="shared" si="90"/>
        <v>0</v>
      </c>
      <c r="AV472" s="58">
        <f t="shared" si="91"/>
        <v>0</v>
      </c>
      <c r="AW472" s="58">
        <f t="shared" si="92"/>
        <v>0</v>
      </c>
      <c r="AX472" s="58">
        <f t="shared" si="93"/>
        <v>0</v>
      </c>
      <c r="AY472" s="58">
        <f t="shared" si="100"/>
        <v>0</v>
      </c>
      <c r="AZ472" s="62">
        <f t="shared" si="94"/>
        <v>0</v>
      </c>
      <c r="BA472" s="63">
        <f t="shared" si="95"/>
        <v>0</v>
      </c>
      <c r="BB472" s="63">
        <f t="shared" si="96"/>
        <v>0</v>
      </c>
    </row>
    <row r="473" spans="3:54" s="17" customFormat="1" x14ac:dyDescent="0.25">
      <c r="C473" s="215"/>
      <c r="D473" s="216"/>
      <c r="E473" s="88"/>
      <c r="F473" s="217"/>
      <c r="G473" s="234"/>
      <c r="H473" s="218"/>
      <c r="I473" s="76"/>
      <c r="J473" s="77"/>
      <c r="K473" s="76"/>
      <c r="L473" s="78"/>
      <c r="M473" s="78"/>
      <c r="N473" s="76" t="s">
        <v>39</v>
      </c>
      <c r="O473" s="110"/>
      <c r="P473" s="152"/>
      <c r="Q473" s="111" t="str">
        <f>IFERROR(MIN(VLOOKUP(ROUNDDOWN(P473,0),'Aide calcul'!$B$2:$C$282,2,FALSE),O473+1),"")</f>
        <v/>
      </c>
      <c r="R473" s="112" t="str">
        <f t="shared" si="97"/>
        <v/>
      </c>
      <c r="S473" s="152"/>
      <c r="T473" s="152"/>
      <c r="U473" s="152"/>
      <c r="V473" s="152"/>
      <c r="W473" s="152"/>
      <c r="X473" s="152"/>
      <c r="Y473" s="152"/>
      <c r="Z473" s="76"/>
      <c r="AA473" s="76"/>
      <c r="AB473" s="113" t="str">
        <f>IF(C473="3111. Logements",ROUND(VLOOKUP(C473,'Informations générales'!$C$66:$E$70,3,FALSE)*(AL473/$AM$28)/12,0)*12,IF(C473="3112. Logements",ROUND(VLOOKUP(C473,'Informations générales'!$C$66:$E$70,3,FALSE)*(AL473/$AN$28)/12,0)*12,IF(C473="3113. Logements",ROUND(VLOOKUP(C473,'Informations générales'!$C$66:$E$70,3,FALSE)*(AL473/$AO$28)/12,0)*12,IF(C473="3114. Logements",ROUND(VLOOKUP(C473,'Informations générales'!$C$66:$E$70,3,FALSE)*(AL473/$AP$28)/12,0)*12,IF(C473="3115. Logements",ROUND(VLOOKUP(C473,'Informations générales'!$C$66:$E$70,3,FALSE)*(AL473/$AQ$28)/12,0)*12,"")))))</f>
        <v/>
      </c>
      <c r="AC473" s="114"/>
      <c r="AD473" s="113">
        <f t="shared" si="98"/>
        <v>0</v>
      </c>
      <c r="AE473" s="114"/>
      <c r="AF473" s="203" t="str">
        <f>IF(C473="3111. Logements",ROUND(VLOOKUP(C473,'Informations générales'!$C$66:$E$70,3,FALSE)*(AL473/$AM$28)/12,0)*12,IF(C473="3112. Logements",ROUND(VLOOKUP(C473,'Informations générales'!$C$66:$E$70,3,FALSE)*(AL473/$AN$28)/12,0)*12,IF(C473="3113. Logements",ROUND(VLOOKUP(C473,'Informations générales'!$C$66:$E$70,3,FALSE)*(AL473/$AO$28)/12,0)*12,IF(C473="3114. Logements",ROUND(VLOOKUP(C473,'Informations générales'!$C$66:$E$70,3,FALSE)*(AL473/$AP$28)/12,0)*12,IF(C473="3115. Logements",ROUND(VLOOKUP(C473,'Informations générales'!$C$66:$E$70,3,FALSE)*(AL473/$AQ$28)/12,0)*12,"")))))</f>
        <v/>
      </c>
      <c r="AG473" s="202"/>
      <c r="AH473" s="113" t="str">
        <f>IF(C473="3111. Logements",ROUND(VLOOKUP(C473,'Informations générales'!$C$66:$H$70,5,FALSE)*(AL473/$AM$28)/12,0)*12,IF(C473="3112. Logements",ROUND(VLOOKUP(C473,'Informations générales'!$C$66:$H$70,5,FALSE)*(AL473/$AN$28)/12,0)*12,IF(C473="3113. Logements",ROUND(VLOOKUP(C473,'Informations générales'!$C$66:$H$70,5,FALSE)*(AL473/$AO$28)/12,0)*12,IF(C473="3114. Logements",ROUND(VLOOKUP(C473,'Informations générales'!$C$66:$H$70,5,FALSE)*(AL473/$AP$28)/12,0)*12,IF(C473="3115. Logements",ROUND(VLOOKUP(C473,'Informations générales'!$C$66:$H$70,5,FALSE)*(AL473/$AQ$28)/12,0)*12,"")))))</f>
        <v/>
      </c>
      <c r="AI473" s="114"/>
      <c r="AJ473" s="114"/>
      <c r="AK473" s="76"/>
      <c r="AL473" s="58">
        <f t="shared" si="99"/>
        <v>0</v>
      </c>
      <c r="AM473" s="58"/>
      <c r="AN473" s="58"/>
      <c r="AO473" s="58"/>
      <c r="AP473" s="58"/>
      <c r="AQ473" s="58"/>
      <c r="AR473" s="58">
        <f t="shared" si="87"/>
        <v>0</v>
      </c>
      <c r="AS473" s="58">
        <f t="shared" si="88"/>
        <v>0</v>
      </c>
      <c r="AT473" s="58">
        <f t="shared" si="89"/>
        <v>0</v>
      </c>
      <c r="AU473" s="58">
        <f t="shared" si="90"/>
        <v>0</v>
      </c>
      <c r="AV473" s="58">
        <f t="shared" si="91"/>
        <v>0</v>
      </c>
      <c r="AW473" s="58">
        <f t="shared" si="92"/>
        <v>0</v>
      </c>
      <c r="AX473" s="58">
        <f t="shared" si="93"/>
        <v>0</v>
      </c>
      <c r="AY473" s="58">
        <f t="shared" si="100"/>
        <v>0</v>
      </c>
      <c r="AZ473" s="62">
        <f t="shared" si="94"/>
        <v>0</v>
      </c>
      <c r="BA473" s="63">
        <f t="shared" si="95"/>
        <v>0</v>
      </c>
      <c r="BB473" s="63">
        <f t="shared" si="96"/>
        <v>0</v>
      </c>
    </row>
    <row r="474" spans="3:54" s="17" customFormat="1" x14ac:dyDescent="0.25">
      <c r="C474" s="215"/>
      <c r="D474" s="216"/>
      <c r="E474" s="88"/>
      <c r="F474" s="217"/>
      <c r="G474" s="234"/>
      <c r="H474" s="218"/>
      <c r="I474" s="76"/>
      <c r="J474" s="77"/>
      <c r="K474" s="76"/>
      <c r="L474" s="78"/>
      <c r="M474" s="78"/>
      <c r="N474" s="76" t="s">
        <v>39</v>
      </c>
      <c r="O474" s="110"/>
      <c r="P474" s="152"/>
      <c r="Q474" s="111" t="str">
        <f>IFERROR(MIN(VLOOKUP(ROUNDDOWN(P474,0),'Aide calcul'!$B$2:$C$282,2,FALSE),O474+1),"")</f>
        <v/>
      </c>
      <c r="R474" s="112" t="str">
        <f t="shared" si="97"/>
        <v/>
      </c>
      <c r="S474" s="152"/>
      <c r="T474" s="152"/>
      <c r="U474" s="152"/>
      <c r="V474" s="152"/>
      <c r="W474" s="152"/>
      <c r="X474" s="152"/>
      <c r="Y474" s="152"/>
      <c r="Z474" s="76"/>
      <c r="AA474" s="76"/>
      <c r="AB474" s="113" t="str">
        <f>IF(C474="3111. Logements",ROUND(VLOOKUP(C474,'Informations générales'!$C$66:$E$70,3,FALSE)*(AL474/$AM$28)/12,0)*12,IF(C474="3112. Logements",ROUND(VLOOKUP(C474,'Informations générales'!$C$66:$E$70,3,FALSE)*(AL474/$AN$28)/12,0)*12,IF(C474="3113. Logements",ROUND(VLOOKUP(C474,'Informations générales'!$C$66:$E$70,3,FALSE)*(AL474/$AO$28)/12,0)*12,IF(C474="3114. Logements",ROUND(VLOOKUP(C474,'Informations générales'!$C$66:$E$70,3,FALSE)*(AL474/$AP$28)/12,0)*12,IF(C474="3115. Logements",ROUND(VLOOKUP(C474,'Informations générales'!$C$66:$E$70,3,FALSE)*(AL474/$AQ$28)/12,0)*12,"")))))</f>
        <v/>
      </c>
      <c r="AC474" s="114"/>
      <c r="AD474" s="113">
        <f t="shared" si="98"/>
        <v>0</v>
      </c>
      <c r="AE474" s="114"/>
      <c r="AF474" s="203" t="str">
        <f>IF(C474="3111. Logements",ROUND(VLOOKUP(C474,'Informations générales'!$C$66:$E$70,3,FALSE)*(AL474/$AM$28)/12,0)*12,IF(C474="3112. Logements",ROUND(VLOOKUP(C474,'Informations générales'!$C$66:$E$70,3,FALSE)*(AL474/$AN$28)/12,0)*12,IF(C474="3113. Logements",ROUND(VLOOKUP(C474,'Informations générales'!$C$66:$E$70,3,FALSE)*(AL474/$AO$28)/12,0)*12,IF(C474="3114. Logements",ROUND(VLOOKUP(C474,'Informations générales'!$C$66:$E$70,3,FALSE)*(AL474/$AP$28)/12,0)*12,IF(C474="3115. Logements",ROUND(VLOOKUP(C474,'Informations générales'!$C$66:$E$70,3,FALSE)*(AL474/$AQ$28)/12,0)*12,"")))))</f>
        <v/>
      </c>
      <c r="AG474" s="202"/>
      <c r="AH474" s="113" t="str">
        <f>IF(C474="3111. Logements",ROUND(VLOOKUP(C474,'Informations générales'!$C$66:$H$70,5,FALSE)*(AL474/$AM$28)/12,0)*12,IF(C474="3112. Logements",ROUND(VLOOKUP(C474,'Informations générales'!$C$66:$H$70,5,FALSE)*(AL474/$AN$28)/12,0)*12,IF(C474="3113. Logements",ROUND(VLOOKUP(C474,'Informations générales'!$C$66:$H$70,5,FALSE)*(AL474/$AO$28)/12,0)*12,IF(C474="3114. Logements",ROUND(VLOOKUP(C474,'Informations générales'!$C$66:$H$70,5,FALSE)*(AL474/$AP$28)/12,0)*12,IF(C474="3115. Logements",ROUND(VLOOKUP(C474,'Informations générales'!$C$66:$H$70,5,FALSE)*(AL474/$AQ$28)/12,0)*12,"")))))</f>
        <v/>
      </c>
      <c r="AI474" s="114"/>
      <c r="AJ474" s="114"/>
      <c r="AK474" s="76"/>
      <c r="AL474" s="58">
        <f t="shared" si="99"/>
        <v>0</v>
      </c>
      <c r="AM474" s="58"/>
      <c r="AN474" s="58"/>
      <c r="AO474" s="58"/>
      <c r="AP474" s="58"/>
      <c r="AQ474" s="58"/>
      <c r="AR474" s="58">
        <f t="shared" si="87"/>
        <v>0</v>
      </c>
      <c r="AS474" s="58">
        <f t="shared" si="88"/>
        <v>0</v>
      </c>
      <c r="AT474" s="58">
        <f t="shared" si="89"/>
        <v>0</v>
      </c>
      <c r="AU474" s="58">
        <f t="shared" si="90"/>
        <v>0</v>
      </c>
      <c r="AV474" s="58">
        <f t="shared" si="91"/>
        <v>0</v>
      </c>
      <c r="AW474" s="58">
        <f t="shared" si="92"/>
        <v>0</v>
      </c>
      <c r="AX474" s="58">
        <f t="shared" si="93"/>
        <v>0</v>
      </c>
      <c r="AY474" s="58">
        <f t="shared" si="100"/>
        <v>0</v>
      </c>
      <c r="AZ474" s="62">
        <f t="shared" si="94"/>
        <v>0</v>
      </c>
      <c r="BA474" s="63">
        <f t="shared" si="95"/>
        <v>0</v>
      </c>
      <c r="BB474" s="63">
        <f t="shared" si="96"/>
        <v>0</v>
      </c>
    </row>
    <row r="475" spans="3:54" s="17" customFormat="1" x14ac:dyDescent="0.25">
      <c r="C475" s="215"/>
      <c r="D475" s="216"/>
      <c r="E475" s="88"/>
      <c r="F475" s="217"/>
      <c r="G475" s="234"/>
      <c r="H475" s="218"/>
      <c r="I475" s="76"/>
      <c r="J475" s="77"/>
      <c r="K475" s="76"/>
      <c r="L475" s="78"/>
      <c r="M475" s="78"/>
      <c r="N475" s="76" t="s">
        <v>39</v>
      </c>
      <c r="O475" s="110"/>
      <c r="P475" s="152"/>
      <c r="Q475" s="111" t="str">
        <f>IFERROR(MIN(VLOOKUP(ROUNDDOWN(P475,0),'Aide calcul'!$B$2:$C$282,2,FALSE),O475+1),"")</f>
        <v/>
      </c>
      <c r="R475" s="112" t="str">
        <f t="shared" si="97"/>
        <v/>
      </c>
      <c r="S475" s="152"/>
      <c r="T475" s="152"/>
      <c r="U475" s="152"/>
      <c r="V475" s="152"/>
      <c r="W475" s="152"/>
      <c r="X475" s="152"/>
      <c r="Y475" s="152"/>
      <c r="Z475" s="76"/>
      <c r="AA475" s="76"/>
      <c r="AB475" s="113" t="str">
        <f>IF(C475="3111. Logements",ROUND(VLOOKUP(C475,'Informations générales'!$C$66:$E$70,3,FALSE)*(AL475/$AM$28)/12,0)*12,IF(C475="3112. Logements",ROUND(VLOOKUP(C475,'Informations générales'!$C$66:$E$70,3,FALSE)*(AL475/$AN$28)/12,0)*12,IF(C475="3113. Logements",ROUND(VLOOKUP(C475,'Informations générales'!$C$66:$E$70,3,FALSE)*(AL475/$AO$28)/12,0)*12,IF(C475="3114. Logements",ROUND(VLOOKUP(C475,'Informations générales'!$C$66:$E$70,3,FALSE)*(AL475/$AP$28)/12,0)*12,IF(C475="3115. Logements",ROUND(VLOOKUP(C475,'Informations générales'!$C$66:$E$70,3,FALSE)*(AL475/$AQ$28)/12,0)*12,"")))))</f>
        <v/>
      </c>
      <c r="AC475" s="114"/>
      <c r="AD475" s="113">
        <f t="shared" si="98"/>
        <v>0</v>
      </c>
      <c r="AE475" s="114"/>
      <c r="AF475" s="203" t="str">
        <f>IF(C475="3111. Logements",ROUND(VLOOKUP(C475,'Informations générales'!$C$66:$E$70,3,FALSE)*(AL475/$AM$28)/12,0)*12,IF(C475="3112. Logements",ROUND(VLOOKUP(C475,'Informations générales'!$C$66:$E$70,3,FALSE)*(AL475/$AN$28)/12,0)*12,IF(C475="3113. Logements",ROUND(VLOOKUP(C475,'Informations générales'!$C$66:$E$70,3,FALSE)*(AL475/$AO$28)/12,0)*12,IF(C475="3114. Logements",ROUND(VLOOKUP(C475,'Informations générales'!$C$66:$E$70,3,FALSE)*(AL475/$AP$28)/12,0)*12,IF(C475="3115. Logements",ROUND(VLOOKUP(C475,'Informations générales'!$C$66:$E$70,3,FALSE)*(AL475/$AQ$28)/12,0)*12,"")))))</f>
        <v/>
      </c>
      <c r="AG475" s="202"/>
      <c r="AH475" s="113" t="str">
        <f>IF(C475="3111. Logements",ROUND(VLOOKUP(C475,'Informations générales'!$C$66:$H$70,5,FALSE)*(AL475/$AM$28)/12,0)*12,IF(C475="3112. Logements",ROUND(VLOOKUP(C475,'Informations générales'!$C$66:$H$70,5,FALSE)*(AL475/$AN$28)/12,0)*12,IF(C475="3113. Logements",ROUND(VLOOKUP(C475,'Informations générales'!$C$66:$H$70,5,FALSE)*(AL475/$AO$28)/12,0)*12,IF(C475="3114. Logements",ROUND(VLOOKUP(C475,'Informations générales'!$C$66:$H$70,5,FALSE)*(AL475/$AP$28)/12,0)*12,IF(C475="3115. Logements",ROUND(VLOOKUP(C475,'Informations générales'!$C$66:$H$70,5,FALSE)*(AL475/$AQ$28)/12,0)*12,"")))))</f>
        <v/>
      </c>
      <c r="AI475" s="114"/>
      <c r="AJ475" s="114"/>
      <c r="AK475" s="76"/>
      <c r="AL475" s="58">
        <f t="shared" si="99"/>
        <v>0</v>
      </c>
      <c r="AM475" s="58"/>
      <c r="AN475" s="58"/>
      <c r="AO475" s="58"/>
      <c r="AP475" s="58"/>
      <c r="AQ475" s="58"/>
      <c r="AR475" s="58">
        <f t="shared" si="87"/>
        <v>0</v>
      </c>
      <c r="AS475" s="58">
        <f t="shared" si="88"/>
        <v>0</v>
      </c>
      <c r="AT475" s="58">
        <f t="shared" si="89"/>
        <v>0</v>
      </c>
      <c r="AU475" s="58">
        <f t="shared" si="90"/>
        <v>0</v>
      </c>
      <c r="AV475" s="58">
        <f t="shared" si="91"/>
        <v>0</v>
      </c>
      <c r="AW475" s="58">
        <f t="shared" si="92"/>
        <v>0</v>
      </c>
      <c r="AX475" s="58">
        <f t="shared" si="93"/>
        <v>0</v>
      </c>
      <c r="AY475" s="58">
        <f t="shared" si="100"/>
        <v>0</v>
      </c>
      <c r="AZ475" s="62">
        <f t="shared" si="94"/>
        <v>0</v>
      </c>
      <c r="BA475" s="63">
        <f t="shared" si="95"/>
        <v>0</v>
      </c>
      <c r="BB475" s="63">
        <f t="shared" si="96"/>
        <v>0</v>
      </c>
    </row>
    <row r="476" spans="3:54" s="17" customFormat="1" x14ac:dyDescent="0.25">
      <c r="C476" s="215"/>
      <c r="D476" s="216"/>
      <c r="E476" s="88"/>
      <c r="F476" s="217"/>
      <c r="G476" s="234"/>
      <c r="H476" s="218"/>
      <c r="I476" s="76"/>
      <c r="J476" s="77"/>
      <c r="K476" s="76"/>
      <c r="L476" s="78"/>
      <c r="M476" s="78"/>
      <c r="N476" s="76" t="s">
        <v>39</v>
      </c>
      <c r="O476" s="110"/>
      <c r="P476" s="152"/>
      <c r="Q476" s="111" t="str">
        <f>IFERROR(MIN(VLOOKUP(ROUNDDOWN(P476,0),'Aide calcul'!$B$2:$C$282,2,FALSE),O476+1),"")</f>
        <v/>
      </c>
      <c r="R476" s="112" t="str">
        <f t="shared" si="97"/>
        <v/>
      </c>
      <c r="S476" s="152"/>
      <c r="T476" s="152"/>
      <c r="U476" s="152"/>
      <c r="V476" s="152"/>
      <c r="W476" s="152"/>
      <c r="X476" s="152"/>
      <c r="Y476" s="152"/>
      <c r="Z476" s="76"/>
      <c r="AA476" s="76"/>
      <c r="AB476" s="113" t="str">
        <f>IF(C476="3111. Logements",ROUND(VLOOKUP(C476,'Informations générales'!$C$66:$E$70,3,FALSE)*(AL476/$AM$28)/12,0)*12,IF(C476="3112. Logements",ROUND(VLOOKUP(C476,'Informations générales'!$C$66:$E$70,3,FALSE)*(AL476/$AN$28)/12,0)*12,IF(C476="3113. Logements",ROUND(VLOOKUP(C476,'Informations générales'!$C$66:$E$70,3,FALSE)*(AL476/$AO$28)/12,0)*12,IF(C476="3114. Logements",ROUND(VLOOKUP(C476,'Informations générales'!$C$66:$E$70,3,FALSE)*(AL476/$AP$28)/12,0)*12,IF(C476="3115. Logements",ROUND(VLOOKUP(C476,'Informations générales'!$C$66:$E$70,3,FALSE)*(AL476/$AQ$28)/12,0)*12,"")))))</f>
        <v/>
      </c>
      <c r="AC476" s="114"/>
      <c r="AD476" s="113">
        <f t="shared" si="98"/>
        <v>0</v>
      </c>
      <c r="AE476" s="114"/>
      <c r="AF476" s="203" t="str">
        <f>IF(C476="3111. Logements",ROUND(VLOOKUP(C476,'Informations générales'!$C$66:$E$70,3,FALSE)*(AL476/$AM$28)/12,0)*12,IF(C476="3112. Logements",ROUND(VLOOKUP(C476,'Informations générales'!$C$66:$E$70,3,FALSE)*(AL476/$AN$28)/12,0)*12,IF(C476="3113. Logements",ROUND(VLOOKUP(C476,'Informations générales'!$C$66:$E$70,3,FALSE)*(AL476/$AO$28)/12,0)*12,IF(C476="3114. Logements",ROUND(VLOOKUP(C476,'Informations générales'!$C$66:$E$70,3,FALSE)*(AL476/$AP$28)/12,0)*12,IF(C476="3115. Logements",ROUND(VLOOKUP(C476,'Informations générales'!$C$66:$E$70,3,FALSE)*(AL476/$AQ$28)/12,0)*12,"")))))</f>
        <v/>
      </c>
      <c r="AG476" s="202"/>
      <c r="AH476" s="113" t="str">
        <f>IF(C476="3111. Logements",ROUND(VLOOKUP(C476,'Informations générales'!$C$66:$H$70,5,FALSE)*(AL476/$AM$28)/12,0)*12,IF(C476="3112. Logements",ROUND(VLOOKUP(C476,'Informations générales'!$C$66:$H$70,5,FALSE)*(AL476/$AN$28)/12,0)*12,IF(C476="3113. Logements",ROUND(VLOOKUP(C476,'Informations générales'!$C$66:$H$70,5,FALSE)*(AL476/$AO$28)/12,0)*12,IF(C476="3114. Logements",ROUND(VLOOKUP(C476,'Informations générales'!$C$66:$H$70,5,FALSE)*(AL476/$AP$28)/12,0)*12,IF(C476="3115. Logements",ROUND(VLOOKUP(C476,'Informations générales'!$C$66:$H$70,5,FALSE)*(AL476/$AQ$28)/12,0)*12,"")))))</f>
        <v/>
      </c>
      <c r="AI476" s="114"/>
      <c r="AJ476" s="114"/>
      <c r="AK476" s="76"/>
      <c r="AL476" s="58">
        <f t="shared" si="99"/>
        <v>0</v>
      </c>
      <c r="AM476" s="58"/>
      <c r="AN476" s="58"/>
      <c r="AO476" s="58"/>
      <c r="AP476" s="58"/>
      <c r="AQ476" s="58"/>
      <c r="AR476" s="58">
        <f t="shared" ref="AR476:AR527" si="101">S476*$E$13</f>
        <v>0</v>
      </c>
      <c r="AS476" s="58">
        <f t="shared" ref="AS476:AS527" si="102">T476*$E$14</f>
        <v>0</v>
      </c>
      <c r="AT476" s="58">
        <f t="shared" ref="AT476:AT527" si="103">U476*$E$15</f>
        <v>0</v>
      </c>
      <c r="AU476" s="58">
        <f t="shared" ref="AU476:AU527" si="104">V476*$E$16</f>
        <v>0</v>
      </c>
      <c r="AV476" s="58">
        <f t="shared" ref="AV476:AV527" si="105">W476*$E$17</f>
        <v>0</v>
      </c>
      <c r="AW476" s="58">
        <f t="shared" ref="AW476:AW527" si="106">X476*$E$18</f>
        <v>0</v>
      </c>
      <c r="AX476" s="58">
        <f t="shared" ref="AX476:AX527" si="107">Y476*$E$19</f>
        <v>0</v>
      </c>
      <c r="AY476" s="58">
        <f t="shared" si="100"/>
        <v>0</v>
      </c>
      <c r="AZ476" s="62">
        <f t="shared" si="94"/>
        <v>0</v>
      </c>
      <c r="BA476" s="63">
        <f t="shared" ref="BA476:BA484" si="108">IFERROR(VLOOKUP(Z476,$H$12:$I$22,2,FALSE),0)</f>
        <v>0</v>
      </c>
      <c r="BB476" s="63">
        <f t="shared" si="96"/>
        <v>0</v>
      </c>
    </row>
    <row r="477" spans="3:54" s="17" customFormat="1" x14ac:dyDescent="0.25">
      <c r="C477" s="215"/>
      <c r="D477" s="216"/>
      <c r="E477" s="88"/>
      <c r="F477" s="217"/>
      <c r="G477" s="234"/>
      <c r="H477" s="218"/>
      <c r="I477" s="76"/>
      <c r="J477" s="77"/>
      <c r="K477" s="76"/>
      <c r="L477" s="78"/>
      <c r="M477" s="78"/>
      <c r="N477" s="76" t="s">
        <v>39</v>
      </c>
      <c r="O477" s="110"/>
      <c r="P477" s="152"/>
      <c r="Q477" s="111" t="str">
        <f>IFERROR(MIN(VLOOKUP(ROUNDDOWN(P477,0),'Aide calcul'!$B$2:$C$282,2,FALSE),O477+1),"")</f>
        <v/>
      </c>
      <c r="R477" s="112" t="str">
        <f t="shared" ref="R477:R527" si="109">IFERROR(TRUNC(Q477-0.5),"")</f>
        <v/>
      </c>
      <c r="S477" s="152"/>
      <c r="T477" s="152"/>
      <c r="U477" s="152"/>
      <c r="V477" s="152"/>
      <c r="W477" s="152"/>
      <c r="X477" s="152"/>
      <c r="Y477" s="152"/>
      <c r="Z477" s="76"/>
      <c r="AA477" s="76"/>
      <c r="AB477" s="113" t="str">
        <f>IF(C477="3111. Logements",ROUND(VLOOKUP(C477,'Informations générales'!$C$66:$E$70,3,FALSE)*(AL477/$AM$28)/12,0)*12,IF(C477="3112. Logements",ROUND(VLOOKUP(C477,'Informations générales'!$C$66:$E$70,3,FALSE)*(AL477/$AN$28)/12,0)*12,IF(C477="3113. Logements",ROUND(VLOOKUP(C477,'Informations générales'!$C$66:$E$70,3,FALSE)*(AL477/$AO$28)/12,0)*12,IF(C477="3114. Logements",ROUND(VLOOKUP(C477,'Informations générales'!$C$66:$E$70,3,FALSE)*(AL477/$AP$28)/12,0)*12,IF(C477="3115. Logements",ROUND(VLOOKUP(C477,'Informations générales'!$C$66:$E$70,3,FALSE)*(AL477/$AQ$28)/12,0)*12,"")))))</f>
        <v/>
      </c>
      <c r="AC477" s="114"/>
      <c r="AD477" s="113">
        <f t="shared" ref="AD477:AD527" si="110">MIN(AB477,AC477)</f>
        <v>0</v>
      </c>
      <c r="AE477" s="114"/>
      <c r="AF477" s="203" t="str">
        <f>IF(C477="3111. Logements",ROUND(VLOOKUP(C477,'Informations générales'!$C$66:$E$70,3,FALSE)*(AL477/$AM$28)/12,0)*12,IF(C477="3112. Logements",ROUND(VLOOKUP(C477,'Informations générales'!$C$66:$E$70,3,FALSE)*(AL477/$AN$28)/12,0)*12,IF(C477="3113. Logements",ROUND(VLOOKUP(C477,'Informations générales'!$C$66:$E$70,3,FALSE)*(AL477/$AO$28)/12,0)*12,IF(C477="3114. Logements",ROUND(VLOOKUP(C477,'Informations générales'!$C$66:$E$70,3,FALSE)*(AL477/$AP$28)/12,0)*12,IF(C477="3115. Logements",ROUND(VLOOKUP(C477,'Informations générales'!$C$66:$E$70,3,FALSE)*(AL477/$AQ$28)/12,0)*12,"")))))</f>
        <v/>
      </c>
      <c r="AG477" s="202"/>
      <c r="AH477" s="113" t="str">
        <f>IF(C477="3111. Logements",ROUND(VLOOKUP(C477,'Informations générales'!$C$66:$H$70,5,FALSE)*(AL477/$AM$28)/12,0)*12,IF(C477="3112. Logements",ROUND(VLOOKUP(C477,'Informations générales'!$C$66:$H$70,5,FALSE)*(AL477/$AN$28)/12,0)*12,IF(C477="3113. Logements",ROUND(VLOOKUP(C477,'Informations générales'!$C$66:$H$70,5,FALSE)*(AL477/$AO$28)/12,0)*12,IF(C477="3114. Logements",ROUND(VLOOKUP(C477,'Informations générales'!$C$66:$H$70,5,FALSE)*(AL477/$AP$28)/12,0)*12,IF(C477="3115. Logements",ROUND(VLOOKUP(C477,'Informations générales'!$C$66:$H$70,5,FALSE)*(AL477/$AQ$28)/12,0)*12,"")))))</f>
        <v/>
      </c>
      <c r="AI477" s="114"/>
      <c r="AJ477" s="114"/>
      <c r="AK477" s="76"/>
      <c r="AL477" s="58">
        <f t="shared" ref="AL477:AL527" si="111">AY477*(SUM(1,AZ477,BA477,BB477))</f>
        <v>0</v>
      </c>
      <c r="AM477" s="58"/>
      <c r="AN477" s="58"/>
      <c r="AO477" s="58"/>
      <c r="AP477" s="58"/>
      <c r="AQ477" s="58"/>
      <c r="AR477" s="58">
        <f t="shared" si="101"/>
        <v>0</v>
      </c>
      <c r="AS477" s="58">
        <f t="shared" si="102"/>
        <v>0</v>
      </c>
      <c r="AT477" s="58">
        <f t="shared" si="103"/>
        <v>0</v>
      </c>
      <c r="AU477" s="58">
        <f t="shared" si="104"/>
        <v>0</v>
      </c>
      <c r="AV477" s="58">
        <f t="shared" si="105"/>
        <v>0</v>
      </c>
      <c r="AW477" s="58">
        <f t="shared" si="106"/>
        <v>0</v>
      </c>
      <c r="AX477" s="58">
        <f t="shared" si="107"/>
        <v>0</v>
      </c>
      <c r="AY477" s="58">
        <f t="shared" ref="AY477:AY527" si="112">SUM(AR477:AX477)</f>
        <v>0</v>
      </c>
      <c r="AZ477" s="62">
        <f t="shared" ref="AZ477:AZ527" si="113">IFERROR(I477*$E$12,0)</f>
        <v>0</v>
      </c>
      <c r="BA477" s="63">
        <f t="shared" si="108"/>
        <v>0</v>
      </c>
      <c r="BB477" s="63">
        <f t="shared" si="96"/>
        <v>0</v>
      </c>
    </row>
    <row r="478" spans="3:54" s="17" customFormat="1" x14ac:dyDescent="0.25">
      <c r="C478" s="215"/>
      <c r="D478" s="216"/>
      <c r="E478" s="88"/>
      <c r="F478" s="217"/>
      <c r="G478" s="234"/>
      <c r="H478" s="218"/>
      <c r="I478" s="76"/>
      <c r="J478" s="77"/>
      <c r="K478" s="76"/>
      <c r="L478" s="78"/>
      <c r="M478" s="78"/>
      <c r="N478" s="76" t="s">
        <v>39</v>
      </c>
      <c r="O478" s="110"/>
      <c r="P478" s="152"/>
      <c r="Q478" s="111" t="str">
        <f>IFERROR(MIN(VLOOKUP(ROUNDDOWN(P478,0),'Aide calcul'!$B$2:$C$282,2,FALSE),O478+1),"")</f>
        <v/>
      </c>
      <c r="R478" s="112" t="str">
        <f t="shared" si="109"/>
        <v/>
      </c>
      <c r="S478" s="152"/>
      <c r="T478" s="152"/>
      <c r="U478" s="152"/>
      <c r="V478" s="152"/>
      <c r="W478" s="152"/>
      <c r="X478" s="152"/>
      <c r="Y478" s="152"/>
      <c r="Z478" s="76"/>
      <c r="AA478" s="76"/>
      <c r="AB478" s="113" t="str">
        <f>IF(C478="3111. Logements",ROUND(VLOOKUP(C478,'Informations générales'!$C$66:$E$70,3,FALSE)*(AL478/$AM$28)/12,0)*12,IF(C478="3112. Logements",ROUND(VLOOKUP(C478,'Informations générales'!$C$66:$E$70,3,FALSE)*(AL478/$AN$28)/12,0)*12,IF(C478="3113. Logements",ROUND(VLOOKUP(C478,'Informations générales'!$C$66:$E$70,3,FALSE)*(AL478/$AO$28)/12,0)*12,IF(C478="3114. Logements",ROUND(VLOOKUP(C478,'Informations générales'!$C$66:$E$70,3,FALSE)*(AL478/$AP$28)/12,0)*12,IF(C478="3115. Logements",ROUND(VLOOKUP(C478,'Informations générales'!$C$66:$E$70,3,FALSE)*(AL478/$AQ$28)/12,0)*12,"")))))</f>
        <v/>
      </c>
      <c r="AC478" s="114"/>
      <c r="AD478" s="113">
        <f t="shared" si="110"/>
        <v>0</v>
      </c>
      <c r="AE478" s="114"/>
      <c r="AF478" s="203" t="str">
        <f>IF(C478="3111. Logements",ROUND(VLOOKUP(C478,'Informations générales'!$C$66:$E$70,3,FALSE)*(AL478/$AM$28)/12,0)*12,IF(C478="3112. Logements",ROUND(VLOOKUP(C478,'Informations générales'!$C$66:$E$70,3,FALSE)*(AL478/$AN$28)/12,0)*12,IF(C478="3113. Logements",ROUND(VLOOKUP(C478,'Informations générales'!$C$66:$E$70,3,FALSE)*(AL478/$AO$28)/12,0)*12,IF(C478="3114. Logements",ROUND(VLOOKUP(C478,'Informations générales'!$C$66:$E$70,3,FALSE)*(AL478/$AP$28)/12,0)*12,IF(C478="3115. Logements",ROUND(VLOOKUP(C478,'Informations générales'!$C$66:$E$70,3,FALSE)*(AL478/$AQ$28)/12,0)*12,"")))))</f>
        <v/>
      </c>
      <c r="AG478" s="202"/>
      <c r="AH478" s="113" t="str">
        <f>IF(C478="3111. Logements",ROUND(VLOOKUP(C478,'Informations générales'!$C$66:$H$70,5,FALSE)*(AL478/$AM$28)/12,0)*12,IF(C478="3112. Logements",ROUND(VLOOKUP(C478,'Informations générales'!$C$66:$H$70,5,FALSE)*(AL478/$AN$28)/12,0)*12,IF(C478="3113. Logements",ROUND(VLOOKUP(C478,'Informations générales'!$C$66:$H$70,5,FALSE)*(AL478/$AO$28)/12,0)*12,IF(C478="3114. Logements",ROUND(VLOOKUP(C478,'Informations générales'!$C$66:$H$70,5,FALSE)*(AL478/$AP$28)/12,0)*12,IF(C478="3115. Logements",ROUND(VLOOKUP(C478,'Informations générales'!$C$66:$H$70,5,FALSE)*(AL478/$AQ$28)/12,0)*12,"")))))</f>
        <v/>
      </c>
      <c r="AI478" s="114"/>
      <c r="AJ478" s="114"/>
      <c r="AK478" s="76"/>
      <c r="AL478" s="58">
        <f t="shared" si="111"/>
        <v>0</v>
      </c>
      <c r="AM478" s="58"/>
      <c r="AN478" s="58"/>
      <c r="AO478" s="58"/>
      <c r="AP478" s="58"/>
      <c r="AQ478" s="58"/>
      <c r="AR478" s="58">
        <f t="shared" si="101"/>
        <v>0</v>
      </c>
      <c r="AS478" s="58">
        <f t="shared" si="102"/>
        <v>0</v>
      </c>
      <c r="AT478" s="58">
        <f t="shared" si="103"/>
        <v>0</v>
      </c>
      <c r="AU478" s="58">
        <f t="shared" si="104"/>
        <v>0</v>
      </c>
      <c r="AV478" s="58">
        <f t="shared" si="105"/>
        <v>0</v>
      </c>
      <c r="AW478" s="58">
        <f t="shared" si="106"/>
        <v>0</v>
      </c>
      <c r="AX478" s="58">
        <f t="shared" si="107"/>
        <v>0</v>
      </c>
      <c r="AY478" s="58">
        <f t="shared" si="112"/>
        <v>0</v>
      </c>
      <c r="AZ478" s="62">
        <f t="shared" si="113"/>
        <v>0</v>
      </c>
      <c r="BA478" s="63">
        <f t="shared" si="108"/>
        <v>0</v>
      </c>
      <c r="BB478" s="63">
        <f t="shared" ref="BB478:BB527" si="114">IFERROR(VLOOKUP(AA478,$L$12:$N$19,3,FALSE),0)</f>
        <v>0</v>
      </c>
    </row>
    <row r="479" spans="3:54" s="17" customFormat="1" x14ac:dyDescent="0.25">
      <c r="C479" s="215"/>
      <c r="D479" s="216"/>
      <c r="E479" s="88"/>
      <c r="F479" s="217"/>
      <c r="G479" s="234"/>
      <c r="H479" s="218"/>
      <c r="I479" s="76"/>
      <c r="J479" s="77"/>
      <c r="K479" s="76"/>
      <c r="L479" s="78"/>
      <c r="M479" s="78"/>
      <c r="N479" s="76" t="s">
        <v>39</v>
      </c>
      <c r="O479" s="110"/>
      <c r="P479" s="152"/>
      <c r="Q479" s="111" t="str">
        <f>IFERROR(MIN(VLOOKUP(ROUNDDOWN(P479,0),'Aide calcul'!$B$2:$C$282,2,FALSE),O479+1),"")</f>
        <v/>
      </c>
      <c r="R479" s="112" t="str">
        <f t="shared" si="109"/>
        <v/>
      </c>
      <c r="S479" s="152"/>
      <c r="T479" s="152"/>
      <c r="U479" s="152"/>
      <c r="V479" s="152"/>
      <c r="W479" s="152"/>
      <c r="X479" s="152"/>
      <c r="Y479" s="152"/>
      <c r="Z479" s="76"/>
      <c r="AA479" s="76"/>
      <c r="AB479" s="113" t="str">
        <f>IF(C479="3111. Logements",ROUND(VLOOKUP(C479,'Informations générales'!$C$66:$E$70,3,FALSE)*(AL479/$AM$28)/12,0)*12,IF(C479="3112. Logements",ROUND(VLOOKUP(C479,'Informations générales'!$C$66:$E$70,3,FALSE)*(AL479/$AN$28)/12,0)*12,IF(C479="3113. Logements",ROUND(VLOOKUP(C479,'Informations générales'!$C$66:$E$70,3,FALSE)*(AL479/$AO$28)/12,0)*12,IF(C479="3114. Logements",ROUND(VLOOKUP(C479,'Informations générales'!$C$66:$E$70,3,FALSE)*(AL479/$AP$28)/12,0)*12,IF(C479="3115. Logements",ROUND(VLOOKUP(C479,'Informations générales'!$C$66:$E$70,3,FALSE)*(AL479/$AQ$28)/12,0)*12,"")))))</f>
        <v/>
      </c>
      <c r="AC479" s="114"/>
      <c r="AD479" s="113">
        <f t="shared" si="110"/>
        <v>0</v>
      </c>
      <c r="AE479" s="114"/>
      <c r="AF479" s="203" t="str">
        <f>IF(C479="3111. Logements",ROUND(VLOOKUP(C479,'Informations générales'!$C$66:$E$70,3,FALSE)*(AL479/$AM$28)/12,0)*12,IF(C479="3112. Logements",ROUND(VLOOKUP(C479,'Informations générales'!$C$66:$E$70,3,FALSE)*(AL479/$AN$28)/12,0)*12,IF(C479="3113. Logements",ROUND(VLOOKUP(C479,'Informations générales'!$C$66:$E$70,3,FALSE)*(AL479/$AO$28)/12,0)*12,IF(C479="3114. Logements",ROUND(VLOOKUP(C479,'Informations générales'!$C$66:$E$70,3,FALSE)*(AL479/$AP$28)/12,0)*12,IF(C479="3115. Logements",ROUND(VLOOKUP(C479,'Informations générales'!$C$66:$E$70,3,FALSE)*(AL479/$AQ$28)/12,0)*12,"")))))</f>
        <v/>
      </c>
      <c r="AG479" s="202"/>
      <c r="AH479" s="113" t="str">
        <f>IF(C479="3111. Logements",ROUND(VLOOKUP(C479,'Informations générales'!$C$66:$H$70,5,FALSE)*(AL479/$AM$28)/12,0)*12,IF(C479="3112. Logements",ROUND(VLOOKUP(C479,'Informations générales'!$C$66:$H$70,5,FALSE)*(AL479/$AN$28)/12,0)*12,IF(C479="3113. Logements",ROUND(VLOOKUP(C479,'Informations générales'!$C$66:$H$70,5,FALSE)*(AL479/$AO$28)/12,0)*12,IF(C479="3114. Logements",ROUND(VLOOKUP(C479,'Informations générales'!$C$66:$H$70,5,FALSE)*(AL479/$AP$28)/12,0)*12,IF(C479="3115. Logements",ROUND(VLOOKUP(C479,'Informations générales'!$C$66:$H$70,5,FALSE)*(AL479/$AQ$28)/12,0)*12,"")))))</f>
        <v/>
      </c>
      <c r="AI479" s="114"/>
      <c r="AJ479" s="114"/>
      <c r="AK479" s="76"/>
      <c r="AL479" s="58">
        <f t="shared" si="111"/>
        <v>0</v>
      </c>
      <c r="AM479" s="58"/>
      <c r="AN479" s="58"/>
      <c r="AO479" s="58"/>
      <c r="AP479" s="58"/>
      <c r="AQ479" s="58"/>
      <c r="AR479" s="58">
        <f t="shared" si="101"/>
        <v>0</v>
      </c>
      <c r="AS479" s="58">
        <f t="shared" si="102"/>
        <v>0</v>
      </c>
      <c r="AT479" s="58">
        <f t="shared" si="103"/>
        <v>0</v>
      </c>
      <c r="AU479" s="58">
        <f t="shared" si="104"/>
        <v>0</v>
      </c>
      <c r="AV479" s="58">
        <f t="shared" si="105"/>
        <v>0</v>
      </c>
      <c r="AW479" s="58">
        <f t="shared" si="106"/>
        <v>0</v>
      </c>
      <c r="AX479" s="58">
        <f t="shared" si="107"/>
        <v>0</v>
      </c>
      <c r="AY479" s="58">
        <f t="shared" si="112"/>
        <v>0</v>
      </c>
      <c r="AZ479" s="62">
        <f t="shared" si="113"/>
        <v>0</v>
      </c>
      <c r="BA479" s="63">
        <f t="shared" si="108"/>
        <v>0</v>
      </c>
      <c r="BB479" s="63">
        <f t="shared" si="114"/>
        <v>0</v>
      </c>
    </row>
    <row r="480" spans="3:54" s="17" customFormat="1" x14ac:dyDescent="0.25">
      <c r="C480" s="215"/>
      <c r="D480" s="216"/>
      <c r="E480" s="88"/>
      <c r="F480" s="217"/>
      <c r="G480" s="234"/>
      <c r="H480" s="218"/>
      <c r="I480" s="76"/>
      <c r="J480" s="77"/>
      <c r="K480" s="76"/>
      <c r="L480" s="78"/>
      <c r="M480" s="78"/>
      <c r="N480" s="76" t="s">
        <v>39</v>
      </c>
      <c r="O480" s="110"/>
      <c r="P480" s="152"/>
      <c r="Q480" s="111" t="str">
        <f>IFERROR(MIN(VLOOKUP(ROUNDDOWN(P480,0),'Aide calcul'!$B$2:$C$282,2,FALSE),O480+1),"")</f>
        <v/>
      </c>
      <c r="R480" s="112" t="str">
        <f t="shared" si="109"/>
        <v/>
      </c>
      <c r="S480" s="152"/>
      <c r="T480" s="152"/>
      <c r="U480" s="152"/>
      <c r="V480" s="152"/>
      <c r="W480" s="152"/>
      <c r="X480" s="152"/>
      <c r="Y480" s="152"/>
      <c r="Z480" s="76"/>
      <c r="AA480" s="76"/>
      <c r="AB480" s="113" t="str">
        <f>IF(C480="3111. Logements",ROUND(VLOOKUP(C480,'Informations générales'!$C$66:$E$70,3,FALSE)*(AL480/$AM$28)/12,0)*12,IF(C480="3112. Logements",ROUND(VLOOKUP(C480,'Informations générales'!$C$66:$E$70,3,FALSE)*(AL480/$AN$28)/12,0)*12,IF(C480="3113. Logements",ROUND(VLOOKUP(C480,'Informations générales'!$C$66:$E$70,3,FALSE)*(AL480/$AO$28)/12,0)*12,IF(C480="3114. Logements",ROUND(VLOOKUP(C480,'Informations générales'!$C$66:$E$70,3,FALSE)*(AL480/$AP$28)/12,0)*12,IF(C480="3115. Logements",ROUND(VLOOKUP(C480,'Informations générales'!$C$66:$E$70,3,FALSE)*(AL480/$AQ$28)/12,0)*12,"")))))</f>
        <v/>
      </c>
      <c r="AC480" s="114"/>
      <c r="AD480" s="113">
        <f t="shared" si="110"/>
        <v>0</v>
      </c>
      <c r="AE480" s="114"/>
      <c r="AF480" s="203" t="str">
        <f>IF(C480="3111. Logements",ROUND(VLOOKUP(C480,'Informations générales'!$C$66:$E$70,3,FALSE)*(AL480/$AM$28)/12,0)*12,IF(C480="3112. Logements",ROUND(VLOOKUP(C480,'Informations générales'!$C$66:$E$70,3,FALSE)*(AL480/$AN$28)/12,0)*12,IF(C480="3113. Logements",ROUND(VLOOKUP(C480,'Informations générales'!$C$66:$E$70,3,FALSE)*(AL480/$AO$28)/12,0)*12,IF(C480="3114. Logements",ROUND(VLOOKUP(C480,'Informations générales'!$C$66:$E$70,3,FALSE)*(AL480/$AP$28)/12,0)*12,IF(C480="3115. Logements",ROUND(VLOOKUP(C480,'Informations générales'!$C$66:$E$70,3,FALSE)*(AL480/$AQ$28)/12,0)*12,"")))))</f>
        <v/>
      </c>
      <c r="AG480" s="202"/>
      <c r="AH480" s="113" t="str">
        <f>IF(C480="3111. Logements",ROUND(VLOOKUP(C480,'Informations générales'!$C$66:$H$70,5,FALSE)*(AL480/$AM$28)/12,0)*12,IF(C480="3112. Logements",ROUND(VLOOKUP(C480,'Informations générales'!$C$66:$H$70,5,FALSE)*(AL480/$AN$28)/12,0)*12,IF(C480="3113. Logements",ROUND(VLOOKUP(C480,'Informations générales'!$C$66:$H$70,5,FALSE)*(AL480/$AO$28)/12,0)*12,IF(C480="3114. Logements",ROUND(VLOOKUP(C480,'Informations générales'!$C$66:$H$70,5,FALSE)*(AL480/$AP$28)/12,0)*12,IF(C480="3115. Logements",ROUND(VLOOKUP(C480,'Informations générales'!$C$66:$H$70,5,FALSE)*(AL480/$AQ$28)/12,0)*12,"")))))</f>
        <v/>
      </c>
      <c r="AI480" s="114"/>
      <c r="AJ480" s="114"/>
      <c r="AK480" s="76"/>
      <c r="AL480" s="58">
        <f t="shared" si="111"/>
        <v>0</v>
      </c>
      <c r="AM480" s="58"/>
      <c r="AN480" s="58"/>
      <c r="AO480" s="58"/>
      <c r="AP480" s="58"/>
      <c r="AQ480" s="58"/>
      <c r="AR480" s="58">
        <f t="shared" si="101"/>
        <v>0</v>
      </c>
      <c r="AS480" s="58">
        <f t="shared" si="102"/>
        <v>0</v>
      </c>
      <c r="AT480" s="58">
        <f t="shared" si="103"/>
        <v>0</v>
      </c>
      <c r="AU480" s="58">
        <f t="shared" si="104"/>
        <v>0</v>
      </c>
      <c r="AV480" s="58">
        <f t="shared" si="105"/>
        <v>0</v>
      </c>
      <c r="AW480" s="58">
        <f t="shared" si="106"/>
        <v>0</v>
      </c>
      <c r="AX480" s="58">
        <f t="shared" si="107"/>
        <v>0</v>
      </c>
      <c r="AY480" s="58">
        <f t="shared" si="112"/>
        <v>0</v>
      </c>
      <c r="AZ480" s="62">
        <f t="shared" si="113"/>
        <v>0</v>
      </c>
      <c r="BA480" s="63">
        <f t="shared" si="108"/>
        <v>0</v>
      </c>
      <c r="BB480" s="63">
        <f t="shared" si="114"/>
        <v>0</v>
      </c>
    </row>
    <row r="481" spans="3:54" s="17" customFormat="1" x14ac:dyDescent="0.25">
      <c r="C481" s="215"/>
      <c r="D481" s="216"/>
      <c r="E481" s="88"/>
      <c r="F481" s="217"/>
      <c r="G481" s="234"/>
      <c r="H481" s="218"/>
      <c r="I481" s="76"/>
      <c r="J481" s="77"/>
      <c r="K481" s="76"/>
      <c r="L481" s="78"/>
      <c r="M481" s="78"/>
      <c r="N481" s="76" t="s">
        <v>39</v>
      </c>
      <c r="O481" s="110"/>
      <c r="P481" s="152"/>
      <c r="Q481" s="111" t="str">
        <f>IFERROR(MIN(VLOOKUP(ROUNDDOWN(P481,0),'Aide calcul'!$B$2:$C$282,2,FALSE),O481+1),"")</f>
        <v/>
      </c>
      <c r="R481" s="112" t="str">
        <f t="shared" si="109"/>
        <v/>
      </c>
      <c r="S481" s="152"/>
      <c r="T481" s="152"/>
      <c r="U481" s="152"/>
      <c r="V481" s="152"/>
      <c r="W481" s="152"/>
      <c r="X481" s="152"/>
      <c r="Y481" s="152"/>
      <c r="Z481" s="76"/>
      <c r="AA481" s="76"/>
      <c r="AB481" s="113" t="str">
        <f>IF(C481="3111. Logements",ROUND(VLOOKUP(C481,'Informations générales'!$C$66:$E$70,3,FALSE)*(AL481/$AM$28)/12,0)*12,IF(C481="3112. Logements",ROUND(VLOOKUP(C481,'Informations générales'!$C$66:$E$70,3,FALSE)*(AL481/$AN$28)/12,0)*12,IF(C481="3113. Logements",ROUND(VLOOKUP(C481,'Informations générales'!$C$66:$E$70,3,FALSE)*(AL481/$AO$28)/12,0)*12,IF(C481="3114. Logements",ROUND(VLOOKUP(C481,'Informations générales'!$C$66:$E$70,3,FALSE)*(AL481/$AP$28)/12,0)*12,IF(C481="3115. Logements",ROUND(VLOOKUP(C481,'Informations générales'!$C$66:$E$70,3,FALSE)*(AL481/$AQ$28)/12,0)*12,"")))))</f>
        <v/>
      </c>
      <c r="AC481" s="114"/>
      <c r="AD481" s="113">
        <f t="shared" si="110"/>
        <v>0</v>
      </c>
      <c r="AE481" s="114"/>
      <c r="AF481" s="203" t="str">
        <f>IF(C481="3111. Logements",ROUND(VLOOKUP(C481,'Informations générales'!$C$66:$E$70,3,FALSE)*(AL481/$AM$28)/12,0)*12,IF(C481="3112. Logements",ROUND(VLOOKUP(C481,'Informations générales'!$C$66:$E$70,3,FALSE)*(AL481/$AN$28)/12,0)*12,IF(C481="3113. Logements",ROUND(VLOOKUP(C481,'Informations générales'!$C$66:$E$70,3,FALSE)*(AL481/$AO$28)/12,0)*12,IF(C481="3114. Logements",ROUND(VLOOKUP(C481,'Informations générales'!$C$66:$E$70,3,FALSE)*(AL481/$AP$28)/12,0)*12,IF(C481="3115. Logements",ROUND(VLOOKUP(C481,'Informations générales'!$C$66:$E$70,3,FALSE)*(AL481/$AQ$28)/12,0)*12,"")))))</f>
        <v/>
      </c>
      <c r="AG481" s="202"/>
      <c r="AH481" s="113" t="str">
        <f>IF(C481="3111. Logements",ROUND(VLOOKUP(C481,'Informations générales'!$C$66:$H$70,5,FALSE)*(AL481/$AM$28)/12,0)*12,IF(C481="3112. Logements",ROUND(VLOOKUP(C481,'Informations générales'!$C$66:$H$70,5,FALSE)*(AL481/$AN$28)/12,0)*12,IF(C481="3113. Logements",ROUND(VLOOKUP(C481,'Informations générales'!$C$66:$H$70,5,FALSE)*(AL481/$AO$28)/12,0)*12,IF(C481="3114. Logements",ROUND(VLOOKUP(C481,'Informations générales'!$C$66:$H$70,5,FALSE)*(AL481/$AP$28)/12,0)*12,IF(C481="3115. Logements",ROUND(VLOOKUP(C481,'Informations générales'!$C$66:$H$70,5,FALSE)*(AL481/$AQ$28)/12,0)*12,"")))))</f>
        <v/>
      </c>
      <c r="AI481" s="114"/>
      <c r="AJ481" s="114"/>
      <c r="AK481" s="76"/>
      <c r="AL481" s="58">
        <f t="shared" si="111"/>
        <v>0</v>
      </c>
      <c r="AM481" s="58"/>
      <c r="AN481" s="58"/>
      <c r="AO481" s="58"/>
      <c r="AP481" s="58"/>
      <c r="AQ481" s="58"/>
      <c r="AR481" s="58">
        <f t="shared" si="101"/>
        <v>0</v>
      </c>
      <c r="AS481" s="58">
        <f t="shared" si="102"/>
        <v>0</v>
      </c>
      <c r="AT481" s="58">
        <f t="shared" si="103"/>
        <v>0</v>
      </c>
      <c r="AU481" s="58">
        <f t="shared" si="104"/>
        <v>0</v>
      </c>
      <c r="AV481" s="58">
        <f t="shared" si="105"/>
        <v>0</v>
      </c>
      <c r="AW481" s="58">
        <f t="shared" si="106"/>
        <v>0</v>
      </c>
      <c r="AX481" s="58">
        <f t="shared" si="107"/>
        <v>0</v>
      </c>
      <c r="AY481" s="58">
        <f t="shared" si="112"/>
        <v>0</v>
      </c>
      <c r="AZ481" s="62">
        <f t="shared" si="113"/>
        <v>0</v>
      </c>
      <c r="BA481" s="63">
        <f t="shared" si="108"/>
        <v>0</v>
      </c>
      <c r="BB481" s="63">
        <f t="shared" si="114"/>
        <v>0</v>
      </c>
    </row>
    <row r="482" spans="3:54" s="17" customFormat="1" x14ac:dyDescent="0.25">
      <c r="C482" s="215"/>
      <c r="D482" s="216"/>
      <c r="E482" s="88"/>
      <c r="F482" s="217"/>
      <c r="G482" s="234"/>
      <c r="H482" s="218"/>
      <c r="I482" s="76"/>
      <c r="J482" s="77"/>
      <c r="K482" s="76"/>
      <c r="L482" s="78"/>
      <c r="M482" s="78"/>
      <c r="N482" s="76" t="s">
        <v>39</v>
      </c>
      <c r="O482" s="110"/>
      <c r="P482" s="152"/>
      <c r="Q482" s="111" t="str">
        <f>IFERROR(MIN(VLOOKUP(ROUNDDOWN(P482,0),'Aide calcul'!$B$2:$C$282,2,FALSE),O482+1),"")</f>
        <v/>
      </c>
      <c r="R482" s="112" t="str">
        <f t="shared" si="109"/>
        <v/>
      </c>
      <c r="S482" s="152"/>
      <c r="T482" s="152"/>
      <c r="U482" s="152"/>
      <c r="V482" s="152"/>
      <c r="W482" s="152"/>
      <c r="X482" s="152"/>
      <c r="Y482" s="152"/>
      <c r="Z482" s="76"/>
      <c r="AA482" s="76"/>
      <c r="AB482" s="113" t="str">
        <f>IF(C482="3111. Logements",ROUND(VLOOKUP(C482,'Informations générales'!$C$66:$E$70,3,FALSE)*(AL482/$AM$28)/12,0)*12,IF(C482="3112. Logements",ROUND(VLOOKUP(C482,'Informations générales'!$C$66:$E$70,3,FALSE)*(AL482/$AN$28)/12,0)*12,IF(C482="3113. Logements",ROUND(VLOOKUP(C482,'Informations générales'!$C$66:$E$70,3,FALSE)*(AL482/$AO$28)/12,0)*12,IF(C482="3114. Logements",ROUND(VLOOKUP(C482,'Informations générales'!$C$66:$E$70,3,FALSE)*(AL482/$AP$28)/12,0)*12,IF(C482="3115. Logements",ROUND(VLOOKUP(C482,'Informations générales'!$C$66:$E$70,3,FALSE)*(AL482/$AQ$28)/12,0)*12,"")))))</f>
        <v/>
      </c>
      <c r="AC482" s="114"/>
      <c r="AD482" s="113">
        <f t="shared" si="110"/>
        <v>0</v>
      </c>
      <c r="AE482" s="114"/>
      <c r="AF482" s="203" t="str">
        <f>IF(C482="3111. Logements",ROUND(VLOOKUP(C482,'Informations générales'!$C$66:$E$70,3,FALSE)*(AL482/$AM$28)/12,0)*12,IF(C482="3112. Logements",ROUND(VLOOKUP(C482,'Informations générales'!$C$66:$E$70,3,FALSE)*(AL482/$AN$28)/12,0)*12,IF(C482="3113. Logements",ROUND(VLOOKUP(C482,'Informations générales'!$C$66:$E$70,3,FALSE)*(AL482/$AO$28)/12,0)*12,IF(C482="3114. Logements",ROUND(VLOOKUP(C482,'Informations générales'!$C$66:$E$70,3,FALSE)*(AL482/$AP$28)/12,0)*12,IF(C482="3115. Logements",ROUND(VLOOKUP(C482,'Informations générales'!$C$66:$E$70,3,FALSE)*(AL482/$AQ$28)/12,0)*12,"")))))</f>
        <v/>
      </c>
      <c r="AG482" s="202"/>
      <c r="AH482" s="113" t="str">
        <f>IF(C482="3111. Logements",ROUND(VLOOKUP(C482,'Informations générales'!$C$66:$H$70,5,FALSE)*(AL482/$AM$28)/12,0)*12,IF(C482="3112. Logements",ROUND(VLOOKUP(C482,'Informations générales'!$C$66:$H$70,5,FALSE)*(AL482/$AN$28)/12,0)*12,IF(C482="3113. Logements",ROUND(VLOOKUP(C482,'Informations générales'!$C$66:$H$70,5,FALSE)*(AL482/$AO$28)/12,0)*12,IF(C482="3114. Logements",ROUND(VLOOKUP(C482,'Informations générales'!$C$66:$H$70,5,FALSE)*(AL482/$AP$28)/12,0)*12,IF(C482="3115. Logements",ROUND(VLOOKUP(C482,'Informations générales'!$C$66:$H$70,5,FALSE)*(AL482/$AQ$28)/12,0)*12,"")))))</f>
        <v/>
      </c>
      <c r="AI482" s="114"/>
      <c r="AJ482" s="114"/>
      <c r="AK482" s="76"/>
      <c r="AL482" s="58">
        <f t="shared" si="111"/>
        <v>0</v>
      </c>
      <c r="AM482" s="58"/>
      <c r="AN482" s="58"/>
      <c r="AO482" s="58"/>
      <c r="AP482" s="58"/>
      <c r="AQ482" s="58"/>
      <c r="AR482" s="58">
        <f t="shared" si="101"/>
        <v>0</v>
      </c>
      <c r="AS482" s="58">
        <f t="shared" si="102"/>
        <v>0</v>
      </c>
      <c r="AT482" s="58">
        <f t="shared" si="103"/>
        <v>0</v>
      </c>
      <c r="AU482" s="58">
        <f t="shared" si="104"/>
        <v>0</v>
      </c>
      <c r="AV482" s="58">
        <f t="shared" si="105"/>
        <v>0</v>
      </c>
      <c r="AW482" s="58">
        <f t="shared" si="106"/>
        <v>0</v>
      </c>
      <c r="AX482" s="58">
        <f t="shared" si="107"/>
        <v>0</v>
      </c>
      <c r="AY482" s="58">
        <f t="shared" si="112"/>
        <v>0</v>
      </c>
      <c r="AZ482" s="62">
        <f t="shared" si="113"/>
        <v>0</v>
      </c>
      <c r="BA482" s="63">
        <f t="shared" si="108"/>
        <v>0</v>
      </c>
      <c r="BB482" s="63">
        <f t="shared" si="114"/>
        <v>0</v>
      </c>
    </row>
    <row r="483" spans="3:54" s="17" customFormat="1" x14ac:dyDescent="0.25">
      <c r="C483" s="215"/>
      <c r="D483" s="216"/>
      <c r="E483" s="88"/>
      <c r="F483" s="217"/>
      <c r="G483" s="234"/>
      <c r="H483" s="218"/>
      <c r="I483" s="76"/>
      <c r="J483" s="77"/>
      <c r="K483" s="76"/>
      <c r="L483" s="78"/>
      <c r="M483" s="78"/>
      <c r="N483" s="76" t="s">
        <v>39</v>
      </c>
      <c r="O483" s="110"/>
      <c r="P483" s="152"/>
      <c r="Q483" s="111" t="str">
        <f>IFERROR(MIN(VLOOKUP(ROUNDDOWN(P483,0),'Aide calcul'!$B$2:$C$282,2,FALSE),O483+1),"")</f>
        <v/>
      </c>
      <c r="R483" s="112" t="str">
        <f t="shared" si="109"/>
        <v/>
      </c>
      <c r="S483" s="152"/>
      <c r="T483" s="152"/>
      <c r="U483" s="152"/>
      <c r="V483" s="152"/>
      <c r="W483" s="152"/>
      <c r="X483" s="152"/>
      <c r="Y483" s="152"/>
      <c r="Z483" s="76"/>
      <c r="AA483" s="76"/>
      <c r="AB483" s="113" t="str">
        <f>IF(C483="3111. Logements",ROUND(VLOOKUP(C483,'Informations générales'!$C$66:$E$70,3,FALSE)*(AL483/$AM$28)/12,0)*12,IF(C483="3112. Logements",ROUND(VLOOKUP(C483,'Informations générales'!$C$66:$E$70,3,FALSE)*(AL483/$AN$28)/12,0)*12,IF(C483="3113. Logements",ROUND(VLOOKUP(C483,'Informations générales'!$C$66:$E$70,3,FALSE)*(AL483/$AO$28)/12,0)*12,IF(C483="3114. Logements",ROUND(VLOOKUP(C483,'Informations générales'!$C$66:$E$70,3,FALSE)*(AL483/$AP$28)/12,0)*12,IF(C483="3115. Logements",ROUND(VLOOKUP(C483,'Informations générales'!$C$66:$E$70,3,FALSE)*(AL483/$AQ$28)/12,0)*12,"")))))</f>
        <v/>
      </c>
      <c r="AC483" s="114"/>
      <c r="AD483" s="113">
        <f t="shared" si="110"/>
        <v>0</v>
      </c>
      <c r="AE483" s="114"/>
      <c r="AF483" s="203" t="str">
        <f>IF(C483="3111. Logements",ROUND(VLOOKUP(C483,'Informations générales'!$C$66:$E$70,3,FALSE)*(AL483/$AM$28)/12,0)*12,IF(C483="3112. Logements",ROUND(VLOOKUP(C483,'Informations générales'!$C$66:$E$70,3,FALSE)*(AL483/$AN$28)/12,0)*12,IF(C483="3113. Logements",ROUND(VLOOKUP(C483,'Informations générales'!$C$66:$E$70,3,FALSE)*(AL483/$AO$28)/12,0)*12,IF(C483="3114. Logements",ROUND(VLOOKUP(C483,'Informations générales'!$C$66:$E$70,3,FALSE)*(AL483/$AP$28)/12,0)*12,IF(C483="3115. Logements",ROUND(VLOOKUP(C483,'Informations générales'!$C$66:$E$70,3,FALSE)*(AL483/$AQ$28)/12,0)*12,"")))))</f>
        <v/>
      </c>
      <c r="AG483" s="202"/>
      <c r="AH483" s="113" t="str">
        <f>IF(C483="3111. Logements",ROUND(VLOOKUP(C483,'Informations générales'!$C$66:$H$70,5,FALSE)*(AL483/$AM$28)/12,0)*12,IF(C483="3112. Logements",ROUND(VLOOKUP(C483,'Informations générales'!$C$66:$H$70,5,FALSE)*(AL483/$AN$28)/12,0)*12,IF(C483="3113. Logements",ROUND(VLOOKUP(C483,'Informations générales'!$C$66:$H$70,5,FALSE)*(AL483/$AO$28)/12,0)*12,IF(C483="3114. Logements",ROUND(VLOOKUP(C483,'Informations générales'!$C$66:$H$70,5,FALSE)*(AL483/$AP$28)/12,0)*12,IF(C483="3115. Logements",ROUND(VLOOKUP(C483,'Informations générales'!$C$66:$H$70,5,FALSE)*(AL483/$AQ$28)/12,0)*12,"")))))</f>
        <v/>
      </c>
      <c r="AI483" s="114"/>
      <c r="AJ483" s="114"/>
      <c r="AK483" s="76"/>
      <c r="AL483" s="58">
        <f t="shared" si="111"/>
        <v>0</v>
      </c>
      <c r="AM483" s="58"/>
      <c r="AN483" s="58"/>
      <c r="AO483" s="58"/>
      <c r="AP483" s="58"/>
      <c r="AQ483" s="58"/>
      <c r="AR483" s="58">
        <f t="shared" si="101"/>
        <v>0</v>
      </c>
      <c r="AS483" s="58">
        <f t="shared" si="102"/>
        <v>0</v>
      </c>
      <c r="AT483" s="58">
        <f t="shared" si="103"/>
        <v>0</v>
      </c>
      <c r="AU483" s="58">
        <f t="shared" si="104"/>
        <v>0</v>
      </c>
      <c r="AV483" s="58">
        <f t="shared" si="105"/>
        <v>0</v>
      </c>
      <c r="AW483" s="58">
        <f t="shared" si="106"/>
        <v>0</v>
      </c>
      <c r="AX483" s="58">
        <f t="shared" si="107"/>
        <v>0</v>
      </c>
      <c r="AY483" s="58">
        <f t="shared" si="112"/>
        <v>0</v>
      </c>
      <c r="AZ483" s="62">
        <f t="shared" si="113"/>
        <v>0</v>
      </c>
      <c r="BA483" s="63">
        <f t="shared" si="108"/>
        <v>0</v>
      </c>
      <c r="BB483" s="63">
        <f t="shared" si="114"/>
        <v>0</v>
      </c>
    </row>
    <row r="484" spans="3:54" s="17" customFormat="1" x14ac:dyDescent="0.25">
      <c r="C484" s="215"/>
      <c r="D484" s="216"/>
      <c r="E484" s="88"/>
      <c r="F484" s="217"/>
      <c r="G484" s="234"/>
      <c r="H484" s="218"/>
      <c r="I484" s="76"/>
      <c r="J484" s="77"/>
      <c r="K484" s="76"/>
      <c r="L484" s="78"/>
      <c r="M484" s="78"/>
      <c r="N484" s="76" t="s">
        <v>39</v>
      </c>
      <c r="O484" s="110"/>
      <c r="P484" s="152"/>
      <c r="Q484" s="111" t="str">
        <f>IFERROR(MIN(VLOOKUP(ROUNDDOWN(P484,0),'Aide calcul'!$B$2:$C$282,2,FALSE),O484+1),"")</f>
        <v/>
      </c>
      <c r="R484" s="112" t="str">
        <f t="shared" si="109"/>
        <v/>
      </c>
      <c r="S484" s="152"/>
      <c r="T484" s="152"/>
      <c r="U484" s="152"/>
      <c r="V484" s="152"/>
      <c r="W484" s="152"/>
      <c r="X484" s="152"/>
      <c r="Y484" s="152"/>
      <c r="Z484" s="76"/>
      <c r="AA484" s="76"/>
      <c r="AB484" s="113" t="str">
        <f>IF(C484="3111. Logements",ROUND(VLOOKUP(C484,'Informations générales'!$C$66:$E$70,3,FALSE)*(AL484/$AM$28)/12,0)*12,IF(C484="3112. Logements",ROUND(VLOOKUP(C484,'Informations générales'!$C$66:$E$70,3,FALSE)*(AL484/$AN$28)/12,0)*12,IF(C484="3113. Logements",ROUND(VLOOKUP(C484,'Informations générales'!$C$66:$E$70,3,FALSE)*(AL484/$AO$28)/12,0)*12,IF(C484="3114. Logements",ROUND(VLOOKUP(C484,'Informations générales'!$C$66:$E$70,3,FALSE)*(AL484/$AP$28)/12,0)*12,IF(C484="3115. Logements",ROUND(VLOOKUP(C484,'Informations générales'!$C$66:$E$70,3,FALSE)*(AL484/$AQ$28)/12,0)*12,"")))))</f>
        <v/>
      </c>
      <c r="AC484" s="114"/>
      <c r="AD484" s="113">
        <f t="shared" si="110"/>
        <v>0</v>
      </c>
      <c r="AE484" s="114"/>
      <c r="AF484" s="203" t="str">
        <f>IF(C484="3111. Logements",ROUND(VLOOKUP(C484,'Informations générales'!$C$66:$E$70,3,FALSE)*(AL484/$AM$28)/12,0)*12,IF(C484="3112. Logements",ROUND(VLOOKUP(C484,'Informations générales'!$C$66:$E$70,3,FALSE)*(AL484/$AN$28)/12,0)*12,IF(C484="3113. Logements",ROUND(VLOOKUP(C484,'Informations générales'!$C$66:$E$70,3,FALSE)*(AL484/$AO$28)/12,0)*12,IF(C484="3114. Logements",ROUND(VLOOKUP(C484,'Informations générales'!$C$66:$E$70,3,FALSE)*(AL484/$AP$28)/12,0)*12,IF(C484="3115. Logements",ROUND(VLOOKUP(C484,'Informations générales'!$C$66:$E$70,3,FALSE)*(AL484/$AQ$28)/12,0)*12,"")))))</f>
        <v/>
      </c>
      <c r="AG484" s="202"/>
      <c r="AH484" s="113" t="str">
        <f>IF(C484="3111. Logements",ROUND(VLOOKUP(C484,'Informations générales'!$C$66:$H$70,5,FALSE)*(AL484/$AM$28)/12,0)*12,IF(C484="3112. Logements",ROUND(VLOOKUP(C484,'Informations générales'!$C$66:$H$70,5,FALSE)*(AL484/$AN$28)/12,0)*12,IF(C484="3113. Logements",ROUND(VLOOKUP(C484,'Informations générales'!$C$66:$H$70,5,FALSE)*(AL484/$AO$28)/12,0)*12,IF(C484="3114. Logements",ROUND(VLOOKUP(C484,'Informations générales'!$C$66:$H$70,5,FALSE)*(AL484/$AP$28)/12,0)*12,IF(C484="3115. Logements",ROUND(VLOOKUP(C484,'Informations générales'!$C$66:$H$70,5,FALSE)*(AL484/$AQ$28)/12,0)*12,"")))))</f>
        <v/>
      </c>
      <c r="AI484" s="114"/>
      <c r="AJ484" s="114"/>
      <c r="AK484" s="76"/>
      <c r="AL484" s="58">
        <f t="shared" si="111"/>
        <v>0</v>
      </c>
      <c r="AM484" s="58"/>
      <c r="AN484" s="58"/>
      <c r="AO484" s="58"/>
      <c r="AP484" s="58"/>
      <c r="AQ484" s="58"/>
      <c r="AR484" s="58">
        <f t="shared" si="101"/>
        <v>0</v>
      </c>
      <c r="AS484" s="58">
        <f t="shared" si="102"/>
        <v>0</v>
      </c>
      <c r="AT484" s="58">
        <f t="shared" si="103"/>
        <v>0</v>
      </c>
      <c r="AU484" s="58">
        <f t="shared" si="104"/>
        <v>0</v>
      </c>
      <c r="AV484" s="58">
        <f t="shared" si="105"/>
        <v>0</v>
      </c>
      <c r="AW484" s="58">
        <f t="shared" si="106"/>
        <v>0</v>
      </c>
      <c r="AX484" s="58">
        <f t="shared" si="107"/>
        <v>0</v>
      </c>
      <c r="AY484" s="58">
        <f t="shared" si="112"/>
        <v>0</v>
      </c>
      <c r="AZ484" s="62">
        <f t="shared" si="113"/>
        <v>0</v>
      </c>
      <c r="BA484" s="63">
        <f t="shared" si="108"/>
        <v>0</v>
      </c>
      <c r="BB484" s="63">
        <f t="shared" si="114"/>
        <v>0</v>
      </c>
    </row>
    <row r="485" spans="3:54" s="17" customFormat="1" x14ac:dyDescent="0.25">
      <c r="C485" s="215"/>
      <c r="D485" s="216"/>
      <c r="E485" s="88"/>
      <c r="F485" s="217"/>
      <c r="G485" s="234"/>
      <c r="H485" s="218"/>
      <c r="I485" s="76"/>
      <c r="J485" s="77"/>
      <c r="K485" s="76"/>
      <c r="L485" s="78"/>
      <c r="M485" s="78"/>
      <c r="N485" s="76" t="s">
        <v>39</v>
      </c>
      <c r="O485" s="110"/>
      <c r="P485" s="152"/>
      <c r="Q485" s="111" t="str">
        <f>IFERROR(MIN(VLOOKUP(ROUNDDOWN(P485,0),'Aide calcul'!$B$2:$C$282,2,FALSE),O485+1),"")</f>
        <v/>
      </c>
      <c r="R485" s="112" t="str">
        <f t="shared" si="109"/>
        <v/>
      </c>
      <c r="S485" s="152"/>
      <c r="T485" s="152"/>
      <c r="U485" s="152"/>
      <c r="V485" s="152"/>
      <c r="W485" s="152"/>
      <c r="X485" s="152"/>
      <c r="Y485" s="152"/>
      <c r="Z485" s="76"/>
      <c r="AA485" s="76"/>
      <c r="AB485" s="113" t="str">
        <f>IF(C485="3111. Logements",ROUND(VLOOKUP(C485,'Informations générales'!$C$66:$E$70,3,FALSE)*(AL485/$AM$28)/12,0)*12,IF(C485="3112. Logements",ROUND(VLOOKUP(C485,'Informations générales'!$C$66:$E$70,3,FALSE)*(AL485/$AN$28)/12,0)*12,IF(C485="3113. Logements",ROUND(VLOOKUP(C485,'Informations générales'!$C$66:$E$70,3,FALSE)*(AL485/$AO$28)/12,0)*12,IF(C485="3114. Logements",ROUND(VLOOKUP(C485,'Informations générales'!$C$66:$E$70,3,FALSE)*(AL485/$AP$28)/12,0)*12,IF(C485="3115. Logements",ROUND(VLOOKUP(C485,'Informations générales'!$C$66:$E$70,3,FALSE)*(AL485/$AQ$28)/12,0)*12,"")))))</f>
        <v/>
      </c>
      <c r="AC485" s="114"/>
      <c r="AD485" s="113">
        <f t="shared" si="110"/>
        <v>0</v>
      </c>
      <c r="AE485" s="114"/>
      <c r="AF485" s="203" t="str">
        <f>IF(C485="3111. Logements",ROUND(VLOOKUP(C485,'Informations générales'!$C$66:$E$70,3,FALSE)*(AL485/$AM$28)/12,0)*12,IF(C485="3112. Logements",ROUND(VLOOKUP(C485,'Informations générales'!$C$66:$E$70,3,FALSE)*(AL485/$AN$28)/12,0)*12,IF(C485="3113. Logements",ROUND(VLOOKUP(C485,'Informations générales'!$C$66:$E$70,3,FALSE)*(AL485/$AO$28)/12,0)*12,IF(C485="3114. Logements",ROUND(VLOOKUP(C485,'Informations générales'!$C$66:$E$70,3,FALSE)*(AL485/$AP$28)/12,0)*12,IF(C485="3115. Logements",ROUND(VLOOKUP(C485,'Informations générales'!$C$66:$E$70,3,FALSE)*(AL485/$AQ$28)/12,0)*12,"")))))</f>
        <v/>
      </c>
      <c r="AG485" s="202"/>
      <c r="AH485" s="113" t="str">
        <f>IF(C485="3111. Logements",ROUND(VLOOKUP(C485,'Informations générales'!$C$66:$H$70,5,FALSE)*(AL485/$AM$28)/12,0)*12,IF(C485="3112. Logements",ROUND(VLOOKUP(C485,'Informations générales'!$C$66:$H$70,5,FALSE)*(AL485/$AN$28)/12,0)*12,IF(C485="3113. Logements",ROUND(VLOOKUP(C485,'Informations générales'!$C$66:$H$70,5,FALSE)*(AL485/$AO$28)/12,0)*12,IF(C485="3114. Logements",ROUND(VLOOKUP(C485,'Informations générales'!$C$66:$H$70,5,FALSE)*(AL485/$AP$28)/12,0)*12,IF(C485="3115. Logements",ROUND(VLOOKUP(C485,'Informations générales'!$C$66:$H$70,5,FALSE)*(AL485/$AQ$28)/12,0)*12,"")))))</f>
        <v/>
      </c>
      <c r="AI485" s="114"/>
      <c r="AJ485" s="114"/>
      <c r="AK485" s="76"/>
      <c r="AL485" s="58">
        <f t="shared" si="111"/>
        <v>0</v>
      </c>
      <c r="AM485" s="58"/>
      <c r="AN485" s="58"/>
      <c r="AO485" s="58"/>
      <c r="AP485" s="58"/>
      <c r="AQ485" s="58"/>
      <c r="AR485" s="58">
        <f t="shared" si="101"/>
        <v>0</v>
      </c>
      <c r="AS485" s="58">
        <f t="shared" si="102"/>
        <v>0</v>
      </c>
      <c r="AT485" s="58">
        <f t="shared" si="103"/>
        <v>0</v>
      </c>
      <c r="AU485" s="58">
        <f t="shared" si="104"/>
        <v>0</v>
      </c>
      <c r="AV485" s="58">
        <f t="shared" si="105"/>
        <v>0</v>
      </c>
      <c r="AW485" s="58">
        <f t="shared" si="106"/>
        <v>0</v>
      </c>
      <c r="AX485" s="58">
        <f t="shared" si="107"/>
        <v>0</v>
      </c>
      <c r="AY485" s="58">
        <f t="shared" si="112"/>
        <v>0</v>
      </c>
      <c r="AZ485" s="62">
        <f t="shared" si="113"/>
        <v>0</v>
      </c>
      <c r="BA485" s="63">
        <f t="shared" ref="BA485:BA495" si="115">IFERROR(VLOOKUP(Z485,$H$12:$I$22,2,FALSE),0)</f>
        <v>0</v>
      </c>
      <c r="BB485" s="63">
        <f t="shared" si="114"/>
        <v>0</v>
      </c>
    </row>
    <row r="486" spans="3:54" s="17" customFormat="1" x14ac:dyDescent="0.25">
      <c r="C486" s="215"/>
      <c r="D486" s="216"/>
      <c r="E486" s="88"/>
      <c r="F486" s="217"/>
      <c r="G486" s="234"/>
      <c r="H486" s="218"/>
      <c r="I486" s="76"/>
      <c r="J486" s="77"/>
      <c r="K486" s="76"/>
      <c r="L486" s="78"/>
      <c r="M486" s="78"/>
      <c r="N486" s="76" t="s">
        <v>39</v>
      </c>
      <c r="O486" s="110"/>
      <c r="P486" s="152"/>
      <c r="Q486" s="111" t="str">
        <f>IFERROR(MIN(VLOOKUP(ROUNDDOWN(P486,0),'Aide calcul'!$B$2:$C$282,2,FALSE),O486+1),"")</f>
        <v/>
      </c>
      <c r="R486" s="112" t="str">
        <f t="shared" si="109"/>
        <v/>
      </c>
      <c r="S486" s="152"/>
      <c r="T486" s="152"/>
      <c r="U486" s="152"/>
      <c r="V486" s="152"/>
      <c r="W486" s="152"/>
      <c r="X486" s="152"/>
      <c r="Y486" s="152"/>
      <c r="Z486" s="76"/>
      <c r="AA486" s="76"/>
      <c r="AB486" s="113" t="str">
        <f>IF(C486="3111. Logements",ROUND(VLOOKUP(C486,'Informations générales'!$C$66:$E$70,3,FALSE)*(AL486/$AM$28)/12,0)*12,IF(C486="3112. Logements",ROUND(VLOOKUP(C486,'Informations générales'!$C$66:$E$70,3,FALSE)*(AL486/$AN$28)/12,0)*12,IF(C486="3113. Logements",ROUND(VLOOKUP(C486,'Informations générales'!$C$66:$E$70,3,FALSE)*(AL486/$AO$28)/12,0)*12,IF(C486="3114. Logements",ROUND(VLOOKUP(C486,'Informations générales'!$C$66:$E$70,3,FALSE)*(AL486/$AP$28)/12,0)*12,IF(C486="3115. Logements",ROUND(VLOOKUP(C486,'Informations générales'!$C$66:$E$70,3,FALSE)*(AL486/$AQ$28)/12,0)*12,"")))))</f>
        <v/>
      </c>
      <c r="AC486" s="114"/>
      <c r="AD486" s="113">
        <f t="shared" si="110"/>
        <v>0</v>
      </c>
      <c r="AE486" s="114"/>
      <c r="AF486" s="203" t="str">
        <f>IF(C486="3111. Logements",ROUND(VLOOKUP(C486,'Informations générales'!$C$66:$E$70,3,FALSE)*(AL486/$AM$28)/12,0)*12,IF(C486="3112. Logements",ROUND(VLOOKUP(C486,'Informations générales'!$C$66:$E$70,3,FALSE)*(AL486/$AN$28)/12,0)*12,IF(C486="3113. Logements",ROUND(VLOOKUP(C486,'Informations générales'!$C$66:$E$70,3,FALSE)*(AL486/$AO$28)/12,0)*12,IF(C486="3114. Logements",ROUND(VLOOKUP(C486,'Informations générales'!$C$66:$E$70,3,FALSE)*(AL486/$AP$28)/12,0)*12,IF(C486="3115. Logements",ROUND(VLOOKUP(C486,'Informations générales'!$C$66:$E$70,3,FALSE)*(AL486/$AQ$28)/12,0)*12,"")))))</f>
        <v/>
      </c>
      <c r="AG486" s="202"/>
      <c r="AH486" s="113" t="str">
        <f>IF(C486="3111. Logements",ROUND(VLOOKUP(C486,'Informations générales'!$C$66:$H$70,5,FALSE)*(AL486/$AM$28)/12,0)*12,IF(C486="3112. Logements",ROUND(VLOOKUP(C486,'Informations générales'!$C$66:$H$70,5,FALSE)*(AL486/$AN$28)/12,0)*12,IF(C486="3113. Logements",ROUND(VLOOKUP(C486,'Informations générales'!$C$66:$H$70,5,FALSE)*(AL486/$AO$28)/12,0)*12,IF(C486="3114. Logements",ROUND(VLOOKUP(C486,'Informations générales'!$C$66:$H$70,5,FALSE)*(AL486/$AP$28)/12,0)*12,IF(C486="3115. Logements",ROUND(VLOOKUP(C486,'Informations générales'!$C$66:$H$70,5,FALSE)*(AL486/$AQ$28)/12,0)*12,"")))))</f>
        <v/>
      </c>
      <c r="AI486" s="114"/>
      <c r="AJ486" s="114"/>
      <c r="AK486" s="76"/>
      <c r="AL486" s="58">
        <f t="shared" si="111"/>
        <v>0</v>
      </c>
      <c r="AM486" s="58"/>
      <c r="AN486" s="58"/>
      <c r="AO486" s="58"/>
      <c r="AP486" s="58"/>
      <c r="AQ486" s="58"/>
      <c r="AR486" s="58">
        <f t="shared" si="101"/>
        <v>0</v>
      </c>
      <c r="AS486" s="58">
        <f t="shared" si="102"/>
        <v>0</v>
      </c>
      <c r="AT486" s="58">
        <f t="shared" si="103"/>
        <v>0</v>
      </c>
      <c r="AU486" s="58">
        <f t="shared" si="104"/>
        <v>0</v>
      </c>
      <c r="AV486" s="58">
        <f t="shared" si="105"/>
        <v>0</v>
      </c>
      <c r="AW486" s="58">
        <f t="shared" si="106"/>
        <v>0</v>
      </c>
      <c r="AX486" s="58">
        <f t="shared" si="107"/>
        <v>0</v>
      </c>
      <c r="AY486" s="58">
        <f t="shared" si="112"/>
        <v>0</v>
      </c>
      <c r="AZ486" s="62">
        <f t="shared" si="113"/>
        <v>0</v>
      </c>
      <c r="BA486" s="63">
        <f t="shared" si="115"/>
        <v>0</v>
      </c>
      <c r="BB486" s="63">
        <f t="shared" si="114"/>
        <v>0</v>
      </c>
    </row>
    <row r="487" spans="3:54" s="17" customFormat="1" x14ac:dyDescent="0.25">
      <c r="C487" s="215"/>
      <c r="D487" s="216"/>
      <c r="E487" s="88"/>
      <c r="F487" s="217"/>
      <c r="G487" s="234"/>
      <c r="H487" s="218"/>
      <c r="I487" s="76"/>
      <c r="J487" s="77"/>
      <c r="K487" s="76"/>
      <c r="L487" s="78"/>
      <c r="M487" s="78"/>
      <c r="N487" s="76" t="s">
        <v>39</v>
      </c>
      <c r="O487" s="110"/>
      <c r="P487" s="152"/>
      <c r="Q487" s="111" t="str">
        <f>IFERROR(MIN(VLOOKUP(ROUNDDOWN(P487,0),'Aide calcul'!$B$2:$C$282,2,FALSE),O487+1),"")</f>
        <v/>
      </c>
      <c r="R487" s="112" t="str">
        <f t="shared" si="109"/>
        <v/>
      </c>
      <c r="S487" s="152"/>
      <c r="T487" s="152"/>
      <c r="U487" s="152"/>
      <c r="V487" s="152"/>
      <c r="W487" s="152"/>
      <c r="X487" s="152"/>
      <c r="Y487" s="152"/>
      <c r="Z487" s="76"/>
      <c r="AA487" s="76"/>
      <c r="AB487" s="113" t="str">
        <f>IF(C487="3111. Logements",ROUND(VLOOKUP(C487,'Informations générales'!$C$66:$E$70,3,FALSE)*(AL487/$AM$28)/12,0)*12,IF(C487="3112. Logements",ROUND(VLOOKUP(C487,'Informations générales'!$C$66:$E$70,3,FALSE)*(AL487/$AN$28)/12,0)*12,IF(C487="3113. Logements",ROUND(VLOOKUP(C487,'Informations générales'!$C$66:$E$70,3,FALSE)*(AL487/$AO$28)/12,0)*12,IF(C487="3114. Logements",ROUND(VLOOKUP(C487,'Informations générales'!$C$66:$E$70,3,FALSE)*(AL487/$AP$28)/12,0)*12,IF(C487="3115. Logements",ROUND(VLOOKUP(C487,'Informations générales'!$C$66:$E$70,3,FALSE)*(AL487/$AQ$28)/12,0)*12,"")))))</f>
        <v/>
      </c>
      <c r="AC487" s="114"/>
      <c r="AD487" s="113">
        <f t="shared" si="110"/>
        <v>0</v>
      </c>
      <c r="AE487" s="114"/>
      <c r="AF487" s="203" t="str">
        <f>IF(C487="3111. Logements",ROUND(VLOOKUP(C487,'Informations générales'!$C$66:$E$70,3,FALSE)*(AL487/$AM$28)/12,0)*12,IF(C487="3112. Logements",ROUND(VLOOKUP(C487,'Informations générales'!$C$66:$E$70,3,FALSE)*(AL487/$AN$28)/12,0)*12,IF(C487="3113. Logements",ROUND(VLOOKUP(C487,'Informations générales'!$C$66:$E$70,3,FALSE)*(AL487/$AO$28)/12,0)*12,IF(C487="3114. Logements",ROUND(VLOOKUP(C487,'Informations générales'!$C$66:$E$70,3,FALSE)*(AL487/$AP$28)/12,0)*12,IF(C487="3115. Logements",ROUND(VLOOKUP(C487,'Informations générales'!$C$66:$E$70,3,FALSE)*(AL487/$AQ$28)/12,0)*12,"")))))</f>
        <v/>
      </c>
      <c r="AG487" s="202"/>
      <c r="AH487" s="113" t="str">
        <f>IF(C487="3111. Logements",ROUND(VLOOKUP(C487,'Informations générales'!$C$66:$H$70,5,FALSE)*(AL487/$AM$28)/12,0)*12,IF(C487="3112. Logements",ROUND(VLOOKUP(C487,'Informations générales'!$C$66:$H$70,5,FALSE)*(AL487/$AN$28)/12,0)*12,IF(C487="3113. Logements",ROUND(VLOOKUP(C487,'Informations générales'!$C$66:$H$70,5,FALSE)*(AL487/$AO$28)/12,0)*12,IF(C487="3114. Logements",ROUND(VLOOKUP(C487,'Informations générales'!$C$66:$H$70,5,FALSE)*(AL487/$AP$28)/12,0)*12,IF(C487="3115. Logements",ROUND(VLOOKUP(C487,'Informations générales'!$C$66:$H$70,5,FALSE)*(AL487/$AQ$28)/12,0)*12,"")))))</f>
        <v/>
      </c>
      <c r="AI487" s="114"/>
      <c r="AJ487" s="114"/>
      <c r="AK487" s="76"/>
      <c r="AL487" s="58">
        <f t="shared" si="111"/>
        <v>0</v>
      </c>
      <c r="AM487" s="58"/>
      <c r="AN487" s="58"/>
      <c r="AO487" s="58"/>
      <c r="AP487" s="58"/>
      <c r="AQ487" s="58"/>
      <c r="AR487" s="58">
        <f t="shared" si="101"/>
        <v>0</v>
      </c>
      <c r="AS487" s="58">
        <f t="shared" si="102"/>
        <v>0</v>
      </c>
      <c r="AT487" s="58">
        <f t="shared" si="103"/>
        <v>0</v>
      </c>
      <c r="AU487" s="58">
        <f t="shared" si="104"/>
        <v>0</v>
      </c>
      <c r="AV487" s="58">
        <f t="shared" si="105"/>
        <v>0</v>
      </c>
      <c r="AW487" s="58">
        <f t="shared" si="106"/>
        <v>0</v>
      </c>
      <c r="AX487" s="58">
        <f t="shared" si="107"/>
        <v>0</v>
      </c>
      <c r="AY487" s="58">
        <f t="shared" si="112"/>
        <v>0</v>
      </c>
      <c r="AZ487" s="62">
        <f t="shared" si="113"/>
        <v>0</v>
      </c>
      <c r="BA487" s="63">
        <f t="shared" si="115"/>
        <v>0</v>
      </c>
      <c r="BB487" s="63">
        <f t="shared" si="114"/>
        <v>0</v>
      </c>
    </row>
    <row r="488" spans="3:54" s="17" customFormat="1" x14ac:dyDescent="0.25">
      <c r="C488" s="215"/>
      <c r="D488" s="216"/>
      <c r="E488" s="88"/>
      <c r="F488" s="217"/>
      <c r="G488" s="234"/>
      <c r="H488" s="218"/>
      <c r="I488" s="76"/>
      <c r="J488" s="77"/>
      <c r="K488" s="76"/>
      <c r="L488" s="78"/>
      <c r="M488" s="78"/>
      <c r="N488" s="76" t="s">
        <v>39</v>
      </c>
      <c r="O488" s="110"/>
      <c r="P488" s="152"/>
      <c r="Q488" s="111" t="str">
        <f>IFERROR(MIN(VLOOKUP(ROUNDDOWN(P488,0),'Aide calcul'!$B$2:$C$282,2,FALSE),O488+1),"")</f>
        <v/>
      </c>
      <c r="R488" s="112" t="str">
        <f t="shared" si="109"/>
        <v/>
      </c>
      <c r="S488" s="152"/>
      <c r="T488" s="152"/>
      <c r="U488" s="152"/>
      <c r="V488" s="152"/>
      <c r="W488" s="152"/>
      <c r="X488" s="152"/>
      <c r="Y488" s="152"/>
      <c r="Z488" s="76"/>
      <c r="AA488" s="76"/>
      <c r="AB488" s="113" t="str">
        <f>IF(C488="3111. Logements",ROUND(VLOOKUP(C488,'Informations générales'!$C$66:$E$70,3,FALSE)*(AL488/$AM$28)/12,0)*12,IF(C488="3112. Logements",ROUND(VLOOKUP(C488,'Informations générales'!$C$66:$E$70,3,FALSE)*(AL488/$AN$28)/12,0)*12,IF(C488="3113. Logements",ROUND(VLOOKUP(C488,'Informations générales'!$C$66:$E$70,3,FALSE)*(AL488/$AO$28)/12,0)*12,IF(C488="3114. Logements",ROUND(VLOOKUP(C488,'Informations générales'!$C$66:$E$70,3,FALSE)*(AL488/$AP$28)/12,0)*12,IF(C488="3115. Logements",ROUND(VLOOKUP(C488,'Informations générales'!$C$66:$E$70,3,FALSE)*(AL488/$AQ$28)/12,0)*12,"")))))</f>
        <v/>
      </c>
      <c r="AC488" s="114"/>
      <c r="AD488" s="113">
        <f t="shared" si="110"/>
        <v>0</v>
      </c>
      <c r="AE488" s="114"/>
      <c r="AF488" s="203" t="str">
        <f>IF(C488="3111. Logements",ROUND(VLOOKUP(C488,'Informations générales'!$C$66:$E$70,3,FALSE)*(AL488/$AM$28)/12,0)*12,IF(C488="3112. Logements",ROUND(VLOOKUP(C488,'Informations générales'!$C$66:$E$70,3,FALSE)*(AL488/$AN$28)/12,0)*12,IF(C488="3113. Logements",ROUND(VLOOKUP(C488,'Informations générales'!$C$66:$E$70,3,FALSE)*(AL488/$AO$28)/12,0)*12,IF(C488="3114. Logements",ROUND(VLOOKUP(C488,'Informations générales'!$C$66:$E$70,3,FALSE)*(AL488/$AP$28)/12,0)*12,IF(C488="3115. Logements",ROUND(VLOOKUP(C488,'Informations générales'!$C$66:$E$70,3,FALSE)*(AL488/$AQ$28)/12,0)*12,"")))))</f>
        <v/>
      </c>
      <c r="AG488" s="202"/>
      <c r="AH488" s="113" t="str">
        <f>IF(C488="3111. Logements",ROUND(VLOOKUP(C488,'Informations générales'!$C$66:$H$70,5,FALSE)*(AL488/$AM$28)/12,0)*12,IF(C488="3112. Logements",ROUND(VLOOKUP(C488,'Informations générales'!$C$66:$H$70,5,FALSE)*(AL488/$AN$28)/12,0)*12,IF(C488="3113. Logements",ROUND(VLOOKUP(C488,'Informations générales'!$C$66:$H$70,5,FALSE)*(AL488/$AO$28)/12,0)*12,IF(C488="3114. Logements",ROUND(VLOOKUP(C488,'Informations générales'!$C$66:$H$70,5,FALSE)*(AL488/$AP$28)/12,0)*12,IF(C488="3115. Logements",ROUND(VLOOKUP(C488,'Informations générales'!$C$66:$H$70,5,FALSE)*(AL488/$AQ$28)/12,0)*12,"")))))</f>
        <v/>
      </c>
      <c r="AI488" s="114"/>
      <c r="AJ488" s="114"/>
      <c r="AK488" s="76"/>
      <c r="AL488" s="58">
        <f t="shared" si="111"/>
        <v>0</v>
      </c>
      <c r="AM488" s="58"/>
      <c r="AN488" s="58"/>
      <c r="AO488" s="58"/>
      <c r="AP488" s="58"/>
      <c r="AQ488" s="58"/>
      <c r="AR488" s="58">
        <f t="shared" si="101"/>
        <v>0</v>
      </c>
      <c r="AS488" s="58">
        <f t="shared" si="102"/>
        <v>0</v>
      </c>
      <c r="AT488" s="58">
        <f t="shared" si="103"/>
        <v>0</v>
      </c>
      <c r="AU488" s="58">
        <f t="shared" si="104"/>
        <v>0</v>
      </c>
      <c r="AV488" s="58">
        <f t="shared" si="105"/>
        <v>0</v>
      </c>
      <c r="AW488" s="58">
        <f t="shared" si="106"/>
        <v>0</v>
      </c>
      <c r="AX488" s="58">
        <f t="shared" si="107"/>
        <v>0</v>
      </c>
      <c r="AY488" s="58">
        <f t="shared" si="112"/>
        <v>0</v>
      </c>
      <c r="AZ488" s="62">
        <f t="shared" si="113"/>
        <v>0</v>
      </c>
      <c r="BA488" s="63">
        <f t="shared" si="115"/>
        <v>0</v>
      </c>
      <c r="BB488" s="63">
        <f t="shared" si="114"/>
        <v>0</v>
      </c>
    </row>
    <row r="489" spans="3:54" s="17" customFormat="1" x14ac:dyDescent="0.25">
      <c r="C489" s="215"/>
      <c r="D489" s="216"/>
      <c r="E489" s="88"/>
      <c r="F489" s="217"/>
      <c r="G489" s="234"/>
      <c r="H489" s="218"/>
      <c r="I489" s="76"/>
      <c r="J489" s="77"/>
      <c r="K489" s="76"/>
      <c r="L489" s="78"/>
      <c r="M489" s="78"/>
      <c r="N489" s="76" t="s">
        <v>39</v>
      </c>
      <c r="O489" s="110"/>
      <c r="P489" s="152"/>
      <c r="Q489" s="111" t="str">
        <f>IFERROR(MIN(VLOOKUP(ROUNDDOWN(P489,0),'Aide calcul'!$B$2:$C$282,2,FALSE),O489+1),"")</f>
        <v/>
      </c>
      <c r="R489" s="112" t="str">
        <f t="shared" si="109"/>
        <v/>
      </c>
      <c r="S489" s="152"/>
      <c r="T489" s="152"/>
      <c r="U489" s="152"/>
      <c r="V489" s="152"/>
      <c r="W489" s="152"/>
      <c r="X489" s="152"/>
      <c r="Y489" s="152"/>
      <c r="Z489" s="76"/>
      <c r="AA489" s="76"/>
      <c r="AB489" s="113" t="str">
        <f>IF(C489="3111. Logements",ROUND(VLOOKUP(C489,'Informations générales'!$C$66:$E$70,3,FALSE)*(AL489/$AM$28)/12,0)*12,IF(C489="3112. Logements",ROUND(VLOOKUP(C489,'Informations générales'!$C$66:$E$70,3,FALSE)*(AL489/$AN$28)/12,0)*12,IF(C489="3113. Logements",ROUND(VLOOKUP(C489,'Informations générales'!$C$66:$E$70,3,FALSE)*(AL489/$AO$28)/12,0)*12,IF(C489="3114. Logements",ROUND(VLOOKUP(C489,'Informations générales'!$C$66:$E$70,3,FALSE)*(AL489/$AP$28)/12,0)*12,IF(C489="3115. Logements",ROUND(VLOOKUP(C489,'Informations générales'!$C$66:$E$70,3,FALSE)*(AL489/$AQ$28)/12,0)*12,"")))))</f>
        <v/>
      </c>
      <c r="AC489" s="114"/>
      <c r="AD489" s="113">
        <f t="shared" si="110"/>
        <v>0</v>
      </c>
      <c r="AE489" s="114"/>
      <c r="AF489" s="203" t="str">
        <f>IF(C489="3111. Logements",ROUND(VLOOKUP(C489,'Informations générales'!$C$66:$E$70,3,FALSE)*(AL489/$AM$28)/12,0)*12,IF(C489="3112. Logements",ROUND(VLOOKUP(C489,'Informations générales'!$C$66:$E$70,3,FALSE)*(AL489/$AN$28)/12,0)*12,IF(C489="3113. Logements",ROUND(VLOOKUP(C489,'Informations générales'!$C$66:$E$70,3,FALSE)*(AL489/$AO$28)/12,0)*12,IF(C489="3114. Logements",ROUND(VLOOKUP(C489,'Informations générales'!$C$66:$E$70,3,FALSE)*(AL489/$AP$28)/12,0)*12,IF(C489="3115. Logements",ROUND(VLOOKUP(C489,'Informations générales'!$C$66:$E$70,3,FALSE)*(AL489/$AQ$28)/12,0)*12,"")))))</f>
        <v/>
      </c>
      <c r="AG489" s="202"/>
      <c r="AH489" s="113" t="str">
        <f>IF(C489="3111. Logements",ROUND(VLOOKUP(C489,'Informations générales'!$C$66:$H$70,5,FALSE)*(AL489/$AM$28)/12,0)*12,IF(C489="3112. Logements",ROUND(VLOOKUP(C489,'Informations générales'!$C$66:$H$70,5,FALSE)*(AL489/$AN$28)/12,0)*12,IF(C489="3113. Logements",ROUND(VLOOKUP(C489,'Informations générales'!$C$66:$H$70,5,FALSE)*(AL489/$AO$28)/12,0)*12,IF(C489="3114. Logements",ROUND(VLOOKUP(C489,'Informations générales'!$C$66:$H$70,5,FALSE)*(AL489/$AP$28)/12,0)*12,IF(C489="3115. Logements",ROUND(VLOOKUP(C489,'Informations générales'!$C$66:$H$70,5,FALSE)*(AL489/$AQ$28)/12,0)*12,"")))))</f>
        <v/>
      </c>
      <c r="AI489" s="114"/>
      <c r="AJ489" s="114"/>
      <c r="AK489" s="76"/>
      <c r="AL489" s="58">
        <f t="shared" si="111"/>
        <v>0</v>
      </c>
      <c r="AM489" s="58"/>
      <c r="AN489" s="58"/>
      <c r="AO489" s="58"/>
      <c r="AP489" s="58"/>
      <c r="AQ489" s="58"/>
      <c r="AR489" s="58">
        <f t="shared" si="101"/>
        <v>0</v>
      </c>
      <c r="AS489" s="58">
        <f t="shared" si="102"/>
        <v>0</v>
      </c>
      <c r="AT489" s="58">
        <f t="shared" si="103"/>
        <v>0</v>
      </c>
      <c r="AU489" s="58">
        <f t="shared" si="104"/>
        <v>0</v>
      </c>
      <c r="AV489" s="58">
        <f t="shared" si="105"/>
        <v>0</v>
      </c>
      <c r="AW489" s="58">
        <f t="shared" si="106"/>
        <v>0</v>
      </c>
      <c r="AX489" s="58">
        <f t="shared" si="107"/>
        <v>0</v>
      </c>
      <c r="AY489" s="58">
        <f t="shared" si="112"/>
        <v>0</v>
      </c>
      <c r="AZ489" s="62">
        <f t="shared" si="113"/>
        <v>0</v>
      </c>
      <c r="BA489" s="63">
        <f t="shared" si="115"/>
        <v>0</v>
      </c>
      <c r="BB489" s="63">
        <f t="shared" si="114"/>
        <v>0</v>
      </c>
    </row>
    <row r="490" spans="3:54" s="17" customFormat="1" x14ac:dyDescent="0.25">
      <c r="C490" s="215"/>
      <c r="D490" s="216"/>
      <c r="E490" s="88"/>
      <c r="F490" s="217"/>
      <c r="G490" s="234"/>
      <c r="H490" s="218"/>
      <c r="I490" s="76"/>
      <c r="J490" s="77"/>
      <c r="K490" s="76"/>
      <c r="L490" s="78"/>
      <c r="M490" s="78"/>
      <c r="N490" s="76" t="s">
        <v>39</v>
      </c>
      <c r="O490" s="110"/>
      <c r="P490" s="152"/>
      <c r="Q490" s="111" t="str">
        <f>IFERROR(MIN(VLOOKUP(ROUNDDOWN(P490,0),'Aide calcul'!$B$2:$C$282,2,FALSE),O490+1),"")</f>
        <v/>
      </c>
      <c r="R490" s="112" t="str">
        <f t="shared" si="109"/>
        <v/>
      </c>
      <c r="S490" s="152"/>
      <c r="T490" s="152"/>
      <c r="U490" s="152"/>
      <c r="V490" s="152"/>
      <c r="W490" s="152"/>
      <c r="X490" s="152"/>
      <c r="Y490" s="152"/>
      <c r="Z490" s="76"/>
      <c r="AA490" s="76"/>
      <c r="AB490" s="113" t="str">
        <f>IF(C490="3111. Logements",ROUND(VLOOKUP(C490,'Informations générales'!$C$66:$E$70,3,FALSE)*(AL490/$AM$28)/12,0)*12,IF(C490="3112. Logements",ROUND(VLOOKUP(C490,'Informations générales'!$C$66:$E$70,3,FALSE)*(AL490/$AN$28)/12,0)*12,IF(C490="3113. Logements",ROUND(VLOOKUP(C490,'Informations générales'!$C$66:$E$70,3,FALSE)*(AL490/$AO$28)/12,0)*12,IF(C490="3114. Logements",ROUND(VLOOKUP(C490,'Informations générales'!$C$66:$E$70,3,FALSE)*(AL490/$AP$28)/12,0)*12,IF(C490="3115. Logements",ROUND(VLOOKUP(C490,'Informations générales'!$C$66:$E$70,3,FALSE)*(AL490/$AQ$28)/12,0)*12,"")))))</f>
        <v/>
      </c>
      <c r="AC490" s="114"/>
      <c r="AD490" s="113">
        <f t="shared" si="110"/>
        <v>0</v>
      </c>
      <c r="AE490" s="114"/>
      <c r="AF490" s="203" t="str">
        <f>IF(C490="3111. Logements",ROUND(VLOOKUP(C490,'Informations générales'!$C$66:$E$70,3,FALSE)*(AL490/$AM$28)/12,0)*12,IF(C490="3112. Logements",ROUND(VLOOKUP(C490,'Informations générales'!$C$66:$E$70,3,FALSE)*(AL490/$AN$28)/12,0)*12,IF(C490="3113. Logements",ROUND(VLOOKUP(C490,'Informations générales'!$C$66:$E$70,3,FALSE)*(AL490/$AO$28)/12,0)*12,IF(C490="3114. Logements",ROUND(VLOOKUP(C490,'Informations générales'!$C$66:$E$70,3,FALSE)*(AL490/$AP$28)/12,0)*12,IF(C490="3115. Logements",ROUND(VLOOKUP(C490,'Informations générales'!$C$66:$E$70,3,FALSE)*(AL490/$AQ$28)/12,0)*12,"")))))</f>
        <v/>
      </c>
      <c r="AG490" s="202"/>
      <c r="AH490" s="113" t="str">
        <f>IF(C490="3111. Logements",ROUND(VLOOKUP(C490,'Informations générales'!$C$66:$H$70,5,FALSE)*(AL490/$AM$28)/12,0)*12,IF(C490="3112. Logements",ROUND(VLOOKUP(C490,'Informations générales'!$C$66:$H$70,5,FALSE)*(AL490/$AN$28)/12,0)*12,IF(C490="3113. Logements",ROUND(VLOOKUP(C490,'Informations générales'!$C$66:$H$70,5,FALSE)*(AL490/$AO$28)/12,0)*12,IF(C490="3114. Logements",ROUND(VLOOKUP(C490,'Informations générales'!$C$66:$H$70,5,FALSE)*(AL490/$AP$28)/12,0)*12,IF(C490="3115. Logements",ROUND(VLOOKUP(C490,'Informations générales'!$C$66:$H$70,5,FALSE)*(AL490/$AQ$28)/12,0)*12,"")))))</f>
        <v/>
      </c>
      <c r="AI490" s="114"/>
      <c r="AJ490" s="114"/>
      <c r="AK490" s="76"/>
      <c r="AL490" s="58">
        <f t="shared" si="111"/>
        <v>0</v>
      </c>
      <c r="AM490" s="58"/>
      <c r="AN490" s="58"/>
      <c r="AO490" s="58"/>
      <c r="AP490" s="58"/>
      <c r="AQ490" s="58"/>
      <c r="AR490" s="58">
        <f t="shared" si="101"/>
        <v>0</v>
      </c>
      <c r="AS490" s="58">
        <f t="shared" si="102"/>
        <v>0</v>
      </c>
      <c r="AT490" s="58">
        <f t="shared" si="103"/>
        <v>0</v>
      </c>
      <c r="AU490" s="58">
        <f t="shared" si="104"/>
        <v>0</v>
      </c>
      <c r="AV490" s="58">
        <f t="shared" si="105"/>
        <v>0</v>
      </c>
      <c r="AW490" s="58">
        <f t="shared" si="106"/>
        <v>0</v>
      </c>
      <c r="AX490" s="58">
        <f t="shared" si="107"/>
        <v>0</v>
      </c>
      <c r="AY490" s="58">
        <f t="shared" si="112"/>
        <v>0</v>
      </c>
      <c r="AZ490" s="62">
        <f t="shared" si="113"/>
        <v>0</v>
      </c>
      <c r="BA490" s="63">
        <f t="shared" si="115"/>
        <v>0</v>
      </c>
      <c r="BB490" s="63">
        <f t="shared" si="114"/>
        <v>0</v>
      </c>
    </row>
    <row r="491" spans="3:54" s="17" customFormat="1" x14ac:dyDescent="0.25">
      <c r="C491" s="215"/>
      <c r="D491" s="216"/>
      <c r="E491" s="88"/>
      <c r="F491" s="217"/>
      <c r="G491" s="234"/>
      <c r="H491" s="218"/>
      <c r="I491" s="76"/>
      <c r="J491" s="77"/>
      <c r="K491" s="76"/>
      <c r="L491" s="78"/>
      <c r="M491" s="78"/>
      <c r="N491" s="76" t="s">
        <v>39</v>
      </c>
      <c r="O491" s="110"/>
      <c r="P491" s="152"/>
      <c r="Q491" s="111" t="str">
        <f>IFERROR(MIN(VLOOKUP(ROUNDDOWN(P491,0),'Aide calcul'!$B$2:$C$282,2,FALSE),O491+1),"")</f>
        <v/>
      </c>
      <c r="R491" s="112" t="str">
        <f t="shared" si="109"/>
        <v/>
      </c>
      <c r="S491" s="152"/>
      <c r="T491" s="152"/>
      <c r="U491" s="152"/>
      <c r="V491" s="152"/>
      <c r="W491" s="152"/>
      <c r="X491" s="152"/>
      <c r="Y491" s="152"/>
      <c r="Z491" s="76"/>
      <c r="AA491" s="76"/>
      <c r="AB491" s="113" t="str">
        <f>IF(C491="3111. Logements",ROUND(VLOOKUP(C491,'Informations générales'!$C$66:$E$70,3,FALSE)*(AL491/$AM$28)/12,0)*12,IF(C491="3112. Logements",ROUND(VLOOKUP(C491,'Informations générales'!$C$66:$E$70,3,FALSE)*(AL491/$AN$28)/12,0)*12,IF(C491="3113. Logements",ROUND(VLOOKUP(C491,'Informations générales'!$C$66:$E$70,3,FALSE)*(AL491/$AO$28)/12,0)*12,IF(C491="3114. Logements",ROUND(VLOOKUP(C491,'Informations générales'!$C$66:$E$70,3,FALSE)*(AL491/$AP$28)/12,0)*12,IF(C491="3115. Logements",ROUND(VLOOKUP(C491,'Informations générales'!$C$66:$E$70,3,FALSE)*(AL491/$AQ$28)/12,0)*12,"")))))</f>
        <v/>
      </c>
      <c r="AC491" s="114"/>
      <c r="AD491" s="113">
        <f t="shared" si="110"/>
        <v>0</v>
      </c>
      <c r="AE491" s="114"/>
      <c r="AF491" s="203" t="str">
        <f>IF(C491="3111. Logements",ROUND(VLOOKUP(C491,'Informations générales'!$C$66:$E$70,3,FALSE)*(AL491/$AM$28)/12,0)*12,IF(C491="3112. Logements",ROUND(VLOOKUP(C491,'Informations générales'!$C$66:$E$70,3,FALSE)*(AL491/$AN$28)/12,0)*12,IF(C491="3113. Logements",ROUND(VLOOKUP(C491,'Informations générales'!$C$66:$E$70,3,FALSE)*(AL491/$AO$28)/12,0)*12,IF(C491="3114. Logements",ROUND(VLOOKUP(C491,'Informations générales'!$C$66:$E$70,3,FALSE)*(AL491/$AP$28)/12,0)*12,IF(C491="3115. Logements",ROUND(VLOOKUP(C491,'Informations générales'!$C$66:$E$70,3,FALSE)*(AL491/$AQ$28)/12,0)*12,"")))))</f>
        <v/>
      </c>
      <c r="AG491" s="202"/>
      <c r="AH491" s="113" t="str">
        <f>IF(C491="3111. Logements",ROUND(VLOOKUP(C491,'Informations générales'!$C$66:$H$70,5,FALSE)*(AL491/$AM$28)/12,0)*12,IF(C491="3112. Logements",ROUND(VLOOKUP(C491,'Informations générales'!$C$66:$H$70,5,FALSE)*(AL491/$AN$28)/12,0)*12,IF(C491="3113. Logements",ROUND(VLOOKUP(C491,'Informations générales'!$C$66:$H$70,5,FALSE)*(AL491/$AO$28)/12,0)*12,IF(C491="3114. Logements",ROUND(VLOOKUP(C491,'Informations générales'!$C$66:$H$70,5,FALSE)*(AL491/$AP$28)/12,0)*12,IF(C491="3115. Logements",ROUND(VLOOKUP(C491,'Informations générales'!$C$66:$H$70,5,FALSE)*(AL491/$AQ$28)/12,0)*12,"")))))</f>
        <v/>
      </c>
      <c r="AI491" s="114"/>
      <c r="AJ491" s="114"/>
      <c r="AK491" s="76"/>
      <c r="AL491" s="58">
        <f t="shared" si="111"/>
        <v>0</v>
      </c>
      <c r="AM491" s="58"/>
      <c r="AN491" s="58"/>
      <c r="AO491" s="58"/>
      <c r="AP491" s="58"/>
      <c r="AQ491" s="58"/>
      <c r="AR491" s="58">
        <f t="shared" si="101"/>
        <v>0</v>
      </c>
      <c r="AS491" s="58">
        <f t="shared" si="102"/>
        <v>0</v>
      </c>
      <c r="AT491" s="58">
        <f t="shared" si="103"/>
        <v>0</v>
      </c>
      <c r="AU491" s="58">
        <f t="shared" si="104"/>
        <v>0</v>
      </c>
      <c r="AV491" s="58">
        <f t="shared" si="105"/>
        <v>0</v>
      </c>
      <c r="AW491" s="58">
        <f t="shared" si="106"/>
        <v>0</v>
      </c>
      <c r="AX491" s="58">
        <f t="shared" si="107"/>
        <v>0</v>
      </c>
      <c r="AY491" s="58">
        <f t="shared" si="112"/>
        <v>0</v>
      </c>
      <c r="AZ491" s="62">
        <f t="shared" si="113"/>
        <v>0</v>
      </c>
      <c r="BA491" s="63">
        <f t="shared" si="115"/>
        <v>0</v>
      </c>
      <c r="BB491" s="63">
        <f t="shared" si="114"/>
        <v>0</v>
      </c>
    </row>
    <row r="492" spans="3:54" s="17" customFormat="1" x14ac:dyDescent="0.25">
      <c r="C492" s="215"/>
      <c r="D492" s="216"/>
      <c r="E492" s="88"/>
      <c r="F492" s="217"/>
      <c r="G492" s="234"/>
      <c r="H492" s="218"/>
      <c r="I492" s="76"/>
      <c r="J492" s="77"/>
      <c r="K492" s="76"/>
      <c r="L492" s="78"/>
      <c r="M492" s="78"/>
      <c r="N492" s="76" t="s">
        <v>39</v>
      </c>
      <c r="O492" s="110"/>
      <c r="P492" s="152"/>
      <c r="Q492" s="111" t="str">
        <f>IFERROR(MIN(VLOOKUP(ROUNDDOWN(P492,0),'Aide calcul'!$B$2:$C$282,2,FALSE),O492+1),"")</f>
        <v/>
      </c>
      <c r="R492" s="112" t="str">
        <f t="shared" si="109"/>
        <v/>
      </c>
      <c r="S492" s="152"/>
      <c r="T492" s="152"/>
      <c r="U492" s="152"/>
      <c r="V492" s="152"/>
      <c r="W492" s="152"/>
      <c r="X492" s="152"/>
      <c r="Y492" s="152"/>
      <c r="Z492" s="76"/>
      <c r="AA492" s="76"/>
      <c r="AB492" s="113" t="str">
        <f>IF(C492="3111. Logements",ROUND(VLOOKUP(C492,'Informations générales'!$C$66:$E$70,3,FALSE)*(AL492/$AM$28)/12,0)*12,IF(C492="3112. Logements",ROUND(VLOOKUP(C492,'Informations générales'!$C$66:$E$70,3,FALSE)*(AL492/$AN$28)/12,0)*12,IF(C492="3113. Logements",ROUND(VLOOKUP(C492,'Informations générales'!$C$66:$E$70,3,FALSE)*(AL492/$AO$28)/12,0)*12,IF(C492="3114. Logements",ROUND(VLOOKUP(C492,'Informations générales'!$C$66:$E$70,3,FALSE)*(AL492/$AP$28)/12,0)*12,IF(C492="3115. Logements",ROUND(VLOOKUP(C492,'Informations générales'!$C$66:$E$70,3,FALSE)*(AL492/$AQ$28)/12,0)*12,"")))))</f>
        <v/>
      </c>
      <c r="AC492" s="114"/>
      <c r="AD492" s="113">
        <f t="shared" si="110"/>
        <v>0</v>
      </c>
      <c r="AE492" s="114"/>
      <c r="AF492" s="203" t="str">
        <f>IF(C492="3111. Logements",ROUND(VLOOKUP(C492,'Informations générales'!$C$66:$E$70,3,FALSE)*(AL492/$AM$28)/12,0)*12,IF(C492="3112. Logements",ROUND(VLOOKUP(C492,'Informations générales'!$C$66:$E$70,3,FALSE)*(AL492/$AN$28)/12,0)*12,IF(C492="3113. Logements",ROUND(VLOOKUP(C492,'Informations générales'!$C$66:$E$70,3,FALSE)*(AL492/$AO$28)/12,0)*12,IF(C492="3114. Logements",ROUND(VLOOKUP(C492,'Informations générales'!$C$66:$E$70,3,FALSE)*(AL492/$AP$28)/12,0)*12,IF(C492="3115. Logements",ROUND(VLOOKUP(C492,'Informations générales'!$C$66:$E$70,3,FALSE)*(AL492/$AQ$28)/12,0)*12,"")))))</f>
        <v/>
      </c>
      <c r="AG492" s="202"/>
      <c r="AH492" s="113" t="str">
        <f>IF(C492="3111. Logements",ROUND(VLOOKUP(C492,'Informations générales'!$C$66:$H$70,5,FALSE)*(AL492/$AM$28)/12,0)*12,IF(C492="3112. Logements",ROUND(VLOOKUP(C492,'Informations générales'!$C$66:$H$70,5,FALSE)*(AL492/$AN$28)/12,0)*12,IF(C492="3113. Logements",ROUND(VLOOKUP(C492,'Informations générales'!$C$66:$H$70,5,FALSE)*(AL492/$AO$28)/12,0)*12,IF(C492="3114. Logements",ROUND(VLOOKUP(C492,'Informations générales'!$C$66:$H$70,5,FALSE)*(AL492/$AP$28)/12,0)*12,IF(C492="3115. Logements",ROUND(VLOOKUP(C492,'Informations générales'!$C$66:$H$70,5,FALSE)*(AL492/$AQ$28)/12,0)*12,"")))))</f>
        <v/>
      </c>
      <c r="AI492" s="114"/>
      <c r="AJ492" s="114"/>
      <c r="AK492" s="76"/>
      <c r="AL492" s="58">
        <f t="shared" si="111"/>
        <v>0</v>
      </c>
      <c r="AM492" s="58"/>
      <c r="AN492" s="58"/>
      <c r="AO492" s="58"/>
      <c r="AP492" s="58"/>
      <c r="AQ492" s="58"/>
      <c r="AR492" s="58">
        <f t="shared" si="101"/>
        <v>0</v>
      </c>
      <c r="AS492" s="58">
        <f t="shared" si="102"/>
        <v>0</v>
      </c>
      <c r="AT492" s="58">
        <f t="shared" si="103"/>
        <v>0</v>
      </c>
      <c r="AU492" s="58">
        <f t="shared" si="104"/>
        <v>0</v>
      </c>
      <c r="AV492" s="58">
        <f t="shared" si="105"/>
        <v>0</v>
      </c>
      <c r="AW492" s="58">
        <f t="shared" si="106"/>
        <v>0</v>
      </c>
      <c r="AX492" s="58">
        <f t="shared" si="107"/>
        <v>0</v>
      </c>
      <c r="AY492" s="58">
        <f t="shared" si="112"/>
        <v>0</v>
      </c>
      <c r="AZ492" s="62">
        <f t="shared" si="113"/>
        <v>0</v>
      </c>
      <c r="BA492" s="63">
        <f t="shared" si="115"/>
        <v>0</v>
      </c>
      <c r="BB492" s="63">
        <f t="shared" si="114"/>
        <v>0</v>
      </c>
    </row>
    <row r="493" spans="3:54" s="17" customFormat="1" x14ac:dyDescent="0.25">
      <c r="C493" s="215"/>
      <c r="D493" s="216"/>
      <c r="E493" s="88"/>
      <c r="F493" s="217"/>
      <c r="G493" s="234"/>
      <c r="H493" s="218"/>
      <c r="I493" s="76"/>
      <c r="J493" s="77"/>
      <c r="K493" s="76"/>
      <c r="L493" s="78"/>
      <c r="M493" s="78"/>
      <c r="N493" s="76" t="s">
        <v>39</v>
      </c>
      <c r="O493" s="110"/>
      <c r="P493" s="152"/>
      <c r="Q493" s="111" t="str">
        <f>IFERROR(MIN(VLOOKUP(ROUNDDOWN(P493,0),'Aide calcul'!$B$2:$C$282,2,FALSE),O493+1),"")</f>
        <v/>
      </c>
      <c r="R493" s="112" t="str">
        <f t="shared" si="109"/>
        <v/>
      </c>
      <c r="S493" s="152"/>
      <c r="T493" s="152"/>
      <c r="U493" s="152"/>
      <c r="V493" s="152"/>
      <c r="W493" s="152"/>
      <c r="X493" s="152"/>
      <c r="Y493" s="152"/>
      <c r="Z493" s="76"/>
      <c r="AA493" s="76"/>
      <c r="AB493" s="113" t="str">
        <f>IF(C493="3111. Logements",ROUND(VLOOKUP(C493,'Informations générales'!$C$66:$E$70,3,FALSE)*(AL493/$AM$28)/12,0)*12,IF(C493="3112. Logements",ROUND(VLOOKUP(C493,'Informations générales'!$C$66:$E$70,3,FALSE)*(AL493/$AN$28)/12,0)*12,IF(C493="3113. Logements",ROUND(VLOOKUP(C493,'Informations générales'!$C$66:$E$70,3,FALSE)*(AL493/$AO$28)/12,0)*12,IF(C493="3114. Logements",ROUND(VLOOKUP(C493,'Informations générales'!$C$66:$E$70,3,FALSE)*(AL493/$AP$28)/12,0)*12,IF(C493="3115. Logements",ROUND(VLOOKUP(C493,'Informations générales'!$C$66:$E$70,3,FALSE)*(AL493/$AQ$28)/12,0)*12,"")))))</f>
        <v/>
      </c>
      <c r="AC493" s="114"/>
      <c r="AD493" s="113">
        <f t="shared" si="110"/>
        <v>0</v>
      </c>
      <c r="AE493" s="114"/>
      <c r="AF493" s="203" t="str">
        <f>IF(C493="3111. Logements",ROUND(VLOOKUP(C493,'Informations générales'!$C$66:$E$70,3,FALSE)*(AL493/$AM$28)/12,0)*12,IF(C493="3112. Logements",ROUND(VLOOKUP(C493,'Informations générales'!$C$66:$E$70,3,FALSE)*(AL493/$AN$28)/12,0)*12,IF(C493="3113. Logements",ROUND(VLOOKUP(C493,'Informations générales'!$C$66:$E$70,3,FALSE)*(AL493/$AO$28)/12,0)*12,IF(C493="3114. Logements",ROUND(VLOOKUP(C493,'Informations générales'!$C$66:$E$70,3,FALSE)*(AL493/$AP$28)/12,0)*12,IF(C493="3115. Logements",ROUND(VLOOKUP(C493,'Informations générales'!$C$66:$E$70,3,FALSE)*(AL493/$AQ$28)/12,0)*12,"")))))</f>
        <v/>
      </c>
      <c r="AG493" s="202"/>
      <c r="AH493" s="113" t="str">
        <f>IF(C493="3111. Logements",ROUND(VLOOKUP(C493,'Informations générales'!$C$66:$H$70,5,FALSE)*(AL493/$AM$28)/12,0)*12,IF(C493="3112. Logements",ROUND(VLOOKUP(C493,'Informations générales'!$C$66:$H$70,5,FALSE)*(AL493/$AN$28)/12,0)*12,IF(C493="3113. Logements",ROUND(VLOOKUP(C493,'Informations générales'!$C$66:$H$70,5,FALSE)*(AL493/$AO$28)/12,0)*12,IF(C493="3114. Logements",ROUND(VLOOKUP(C493,'Informations générales'!$C$66:$H$70,5,FALSE)*(AL493/$AP$28)/12,0)*12,IF(C493="3115. Logements",ROUND(VLOOKUP(C493,'Informations générales'!$C$66:$H$70,5,FALSE)*(AL493/$AQ$28)/12,0)*12,"")))))</f>
        <v/>
      </c>
      <c r="AI493" s="114"/>
      <c r="AJ493" s="114"/>
      <c r="AK493" s="76"/>
      <c r="AL493" s="58">
        <f t="shared" si="111"/>
        <v>0</v>
      </c>
      <c r="AM493" s="58"/>
      <c r="AN493" s="58"/>
      <c r="AO493" s="58"/>
      <c r="AP493" s="58"/>
      <c r="AQ493" s="58"/>
      <c r="AR493" s="58">
        <f t="shared" si="101"/>
        <v>0</v>
      </c>
      <c r="AS493" s="58">
        <f t="shared" si="102"/>
        <v>0</v>
      </c>
      <c r="AT493" s="58">
        <f t="shared" si="103"/>
        <v>0</v>
      </c>
      <c r="AU493" s="58">
        <f t="shared" si="104"/>
        <v>0</v>
      </c>
      <c r="AV493" s="58">
        <f t="shared" si="105"/>
        <v>0</v>
      </c>
      <c r="AW493" s="58">
        <f t="shared" si="106"/>
        <v>0</v>
      </c>
      <c r="AX493" s="58">
        <f t="shared" si="107"/>
        <v>0</v>
      </c>
      <c r="AY493" s="58">
        <f t="shared" si="112"/>
        <v>0</v>
      </c>
      <c r="AZ493" s="62">
        <f t="shared" si="113"/>
        <v>0</v>
      </c>
      <c r="BA493" s="63">
        <f t="shared" si="115"/>
        <v>0</v>
      </c>
      <c r="BB493" s="63">
        <f t="shared" si="114"/>
        <v>0</v>
      </c>
    </row>
    <row r="494" spans="3:54" s="17" customFormat="1" x14ac:dyDescent="0.25">
      <c r="C494" s="215"/>
      <c r="D494" s="216"/>
      <c r="E494" s="88"/>
      <c r="F494" s="217"/>
      <c r="G494" s="234"/>
      <c r="H494" s="218"/>
      <c r="I494" s="76"/>
      <c r="J494" s="77"/>
      <c r="K494" s="76"/>
      <c r="L494" s="78"/>
      <c r="M494" s="78"/>
      <c r="N494" s="76" t="s">
        <v>39</v>
      </c>
      <c r="O494" s="110"/>
      <c r="P494" s="152"/>
      <c r="Q494" s="111" t="str">
        <f>IFERROR(MIN(VLOOKUP(ROUNDDOWN(P494,0),'Aide calcul'!$B$2:$C$282,2,FALSE),O494+1),"")</f>
        <v/>
      </c>
      <c r="R494" s="112" t="str">
        <f t="shared" si="109"/>
        <v/>
      </c>
      <c r="S494" s="152"/>
      <c r="T494" s="152"/>
      <c r="U494" s="152"/>
      <c r="V494" s="152"/>
      <c r="W494" s="152"/>
      <c r="X494" s="152"/>
      <c r="Y494" s="152"/>
      <c r="Z494" s="76"/>
      <c r="AA494" s="76"/>
      <c r="AB494" s="113" t="str">
        <f>IF(C494="3111. Logements",ROUND(VLOOKUP(C494,'Informations générales'!$C$66:$E$70,3,FALSE)*(AL494/$AM$28)/12,0)*12,IF(C494="3112. Logements",ROUND(VLOOKUP(C494,'Informations générales'!$C$66:$E$70,3,FALSE)*(AL494/$AN$28)/12,0)*12,IF(C494="3113. Logements",ROUND(VLOOKUP(C494,'Informations générales'!$C$66:$E$70,3,FALSE)*(AL494/$AO$28)/12,0)*12,IF(C494="3114. Logements",ROUND(VLOOKUP(C494,'Informations générales'!$C$66:$E$70,3,FALSE)*(AL494/$AP$28)/12,0)*12,IF(C494="3115. Logements",ROUND(VLOOKUP(C494,'Informations générales'!$C$66:$E$70,3,FALSE)*(AL494/$AQ$28)/12,0)*12,"")))))</f>
        <v/>
      </c>
      <c r="AC494" s="114"/>
      <c r="AD494" s="113">
        <f t="shared" si="110"/>
        <v>0</v>
      </c>
      <c r="AE494" s="114"/>
      <c r="AF494" s="203" t="str">
        <f>IF(C494="3111. Logements",ROUND(VLOOKUP(C494,'Informations générales'!$C$66:$E$70,3,FALSE)*(AL494/$AM$28)/12,0)*12,IF(C494="3112. Logements",ROUND(VLOOKUP(C494,'Informations générales'!$C$66:$E$70,3,FALSE)*(AL494/$AN$28)/12,0)*12,IF(C494="3113. Logements",ROUND(VLOOKUP(C494,'Informations générales'!$C$66:$E$70,3,FALSE)*(AL494/$AO$28)/12,0)*12,IF(C494="3114. Logements",ROUND(VLOOKUP(C494,'Informations générales'!$C$66:$E$70,3,FALSE)*(AL494/$AP$28)/12,0)*12,IF(C494="3115. Logements",ROUND(VLOOKUP(C494,'Informations générales'!$C$66:$E$70,3,FALSE)*(AL494/$AQ$28)/12,0)*12,"")))))</f>
        <v/>
      </c>
      <c r="AG494" s="202"/>
      <c r="AH494" s="113" t="str">
        <f>IF(C494="3111. Logements",ROUND(VLOOKUP(C494,'Informations générales'!$C$66:$H$70,5,FALSE)*(AL494/$AM$28)/12,0)*12,IF(C494="3112. Logements",ROUND(VLOOKUP(C494,'Informations générales'!$C$66:$H$70,5,FALSE)*(AL494/$AN$28)/12,0)*12,IF(C494="3113. Logements",ROUND(VLOOKUP(C494,'Informations générales'!$C$66:$H$70,5,FALSE)*(AL494/$AO$28)/12,0)*12,IF(C494="3114. Logements",ROUND(VLOOKUP(C494,'Informations générales'!$C$66:$H$70,5,FALSE)*(AL494/$AP$28)/12,0)*12,IF(C494="3115. Logements",ROUND(VLOOKUP(C494,'Informations générales'!$C$66:$H$70,5,FALSE)*(AL494/$AQ$28)/12,0)*12,"")))))</f>
        <v/>
      </c>
      <c r="AI494" s="114"/>
      <c r="AJ494" s="114"/>
      <c r="AK494" s="76"/>
      <c r="AL494" s="58">
        <f t="shared" si="111"/>
        <v>0</v>
      </c>
      <c r="AM494" s="58"/>
      <c r="AN494" s="58"/>
      <c r="AO494" s="58"/>
      <c r="AP494" s="58"/>
      <c r="AQ494" s="58"/>
      <c r="AR494" s="58">
        <f t="shared" si="101"/>
        <v>0</v>
      </c>
      <c r="AS494" s="58">
        <f t="shared" si="102"/>
        <v>0</v>
      </c>
      <c r="AT494" s="58">
        <f t="shared" si="103"/>
        <v>0</v>
      </c>
      <c r="AU494" s="58">
        <f t="shared" si="104"/>
        <v>0</v>
      </c>
      <c r="AV494" s="58">
        <f t="shared" si="105"/>
        <v>0</v>
      </c>
      <c r="AW494" s="58">
        <f t="shared" si="106"/>
        <v>0</v>
      </c>
      <c r="AX494" s="58">
        <f t="shared" si="107"/>
        <v>0</v>
      </c>
      <c r="AY494" s="58">
        <f t="shared" si="112"/>
        <v>0</v>
      </c>
      <c r="AZ494" s="62">
        <f t="shared" si="113"/>
        <v>0</v>
      </c>
      <c r="BA494" s="63">
        <f t="shared" si="115"/>
        <v>0</v>
      </c>
      <c r="BB494" s="63">
        <f t="shared" si="114"/>
        <v>0</v>
      </c>
    </row>
    <row r="495" spans="3:54" s="17" customFormat="1" x14ac:dyDescent="0.25">
      <c r="C495" s="215"/>
      <c r="D495" s="216"/>
      <c r="E495" s="88"/>
      <c r="F495" s="217"/>
      <c r="G495" s="234"/>
      <c r="H495" s="218"/>
      <c r="I495" s="76"/>
      <c r="J495" s="77"/>
      <c r="K495" s="76"/>
      <c r="L495" s="78"/>
      <c r="M495" s="78"/>
      <c r="N495" s="76" t="s">
        <v>39</v>
      </c>
      <c r="O495" s="110"/>
      <c r="P495" s="152"/>
      <c r="Q495" s="111" t="str">
        <f>IFERROR(MIN(VLOOKUP(ROUNDDOWN(P495,0),'Aide calcul'!$B$2:$C$282,2,FALSE),O495+1),"")</f>
        <v/>
      </c>
      <c r="R495" s="112" t="str">
        <f t="shared" si="109"/>
        <v/>
      </c>
      <c r="S495" s="152"/>
      <c r="T495" s="152"/>
      <c r="U495" s="152"/>
      <c r="V495" s="152"/>
      <c r="W495" s="152"/>
      <c r="X495" s="152"/>
      <c r="Y495" s="152"/>
      <c r="Z495" s="76"/>
      <c r="AA495" s="76"/>
      <c r="AB495" s="113" t="str">
        <f>IF(C495="3111. Logements",ROUND(VLOOKUP(C495,'Informations générales'!$C$66:$E$70,3,FALSE)*(AL495/$AM$28)/12,0)*12,IF(C495="3112. Logements",ROUND(VLOOKUP(C495,'Informations générales'!$C$66:$E$70,3,FALSE)*(AL495/$AN$28)/12,0)*12,IF(C495="3113. Logements",ROUND(VLOOKUP(C495,'Informations générales'!$C$66:$E$70,3,FALSE)*(AL495/$AO$28)/12,0)*12,IF(C495="3114. Logements",ROUND(VLOOKUP(C495,'Informations générales'!$C$66:$E$70,3,FALSE)*(AL495/$AP$28)/12,0)*12,IF(C495="3115. Logements",ROUND(VLOOKUP(C495,'Informations générales'!$C$66:$E$70,3,FALSE)*(AL495/$AQ$28)/12,0)*12,"")))))</f>
        <v/>
      </c>
      <c r="AC495" s="114"/>
      <c r="AD495" s="113">
        <f t="shared" si="110"/>
        <v>0</v>
      </c>
      <c r="AE495" s="114"/>
      <c r="AF495" s="203" t="str">
        <f>IF(C495="3111. Logements",ROUND(VLOOKUP(C495,'Informations générales'!$C$66:$E$70,3,FALSE)*(AL495/$AM$28)/12,0)*12,IF(C495="3112. Logements",ROUND(VLOOKUP(C495,'Informations générales'!$C$66:$E$70,3,FALSE)*(AL495/$AN$28)/12,0)*12,IF(C495="3113. Logements",ROUND(VLOOKUP(C495,'Informations générales'!$C$66:$E$70,3,FALSE)*(AL495/$AO$28)/12,0)*12,IF(C495="3114. Logements",ROUND(VLOOKUP(C495,'Informations générales'!$C$66:$E$70,3,FALSE)*(AL495/$AP$28)/12,0)*12,IF(C495="3115. Logements",ROUND(VLOOKUP(C495,'Informations générales'!$C$66:$E$70,3,FALSE)*(AL495/$AQ$28)/12,0)*12,"")))))</f>
        <v/>
      </c>
      <c r="AG495" s="202"/>
      <c r="AH495" s="113" t="str">
        <f>IF(C495="3111. Logements",ROUND(VLOOKUP(C495,'Informations générales'!$C$66:$H$70,5,FALSE)*(AL495/$AM$28)/12,0)*12,IF(C495="3112. Logements",ROUND(VLOOKUP(C495,'Informations générales'!$C$66:$H$70,5,FALSE)*(AL495/$AN$28)/12,0)*12,IF(C495="3113. Logements",ROUND(VLOOKUP(C495,'Informations générales'!$C$66:$H$70,5,FALSE)*(AL495/$AO$28)/12,0)*12,IF(C495="3114. Logements",ROUND(VLOOKUP(C495,'Informations générales'!$C$66:$H$70,5,FALSE)*(AL495/$AP$28)/12,0)*12,IF(C495="3115. Logements",ROUND(VLOOKUP(C495,'Informations générales'!$C$66:$H$70,5,FALSE)*(AL495/$AQ$28)/12,0)*12,"")))))</f>
        <v/>
      </c>
      <c r="AI495" s="114"/>
      <c r="AJ495" s="114"/>
      <c r="AK495" s="76"/>
      <c r="AL495" s="58">
        <f t="shared" si="111"/>
        <v>0</v>
      </c>
      <c r="AM495" s="58"/>
      <c r="AN495" s="58"/>
      <c r="AO495" s="58"/>
      <c r="AP495" s="58"/>
      <c r="AQ495" s="58"/>
      <c r="AR495" s="58">
        <f t="shared" si="101"/>
        <v>0</v>
      </c>
      <c r="AS495" s="58">
        <f t="shared" si="102"/>
        <v>0</v>
      </c>
      <c r="AT495" s="58">
        <f t="shared" si="103"/>
        <v>0</v>
      </c>
      <c r="AU495" s="58">
        <f t="shared" si="104"/>
        <v>0</v>
      </c>
      <c r="AV495" s="58">
        <f t="shared" si="105"/>
        <v>0</v>
      </c>
      <c r="AW495" s="58">
        <f t="shared" si="106"/>
        <v>0</v>
      </c>
      <c r="AX495" s="58">
        <f t="shared" si="107"/>
        <v>0</v>
      </c>
      <c r="AY495" s="58">
        <f t="shared" si="112"/>
        <v>0</v>
      </c>
      <c r="AZ495" s="62">
        <f t="shared" si="113"/>
        <v>0</v>
      </c>
      <c r="BA495" s="63">
        <f t="shared" si="115"/>
        <v>0</v>
      </c>
      <c r="BB495" s="63">
        <f t="shared" si="114"/>
        <v>0</v>
      </c>
    </row>
    <row r="496" spans="3:54" s="17" customFormat="1" x14ac:dyDescent="0.25">
      <c r="C496" s="215"/>
      <c r="D496" s="216"/>
      <c r="E496" s="88"/>
      <c r="F496" s="217"/>
      <c r="G496" s="234"/>
      <c r="H496" s="218"/>
      <c r="I496" s="76"/>
      <c r="J496" s="77"/>
      <c r="K496" s="76"/>
      <c r="L496" s="78"/>
      <c r="M496" s="78"/>
      <c r="N496" s="76" t="s">
        <v>39</v>
      </c>
      <c r="O496" s="110"/>
      <c r="P496" s="152"/>
      <c r="Q496" s="111" t="str">
        <f>IFERROR(MIN(VLOOKUP(ROUNDDOWN(P496,0),'Aide calcul'!$B$2:$C$282,2,FALSE),O496+1),"")</f>
        <v/>
      </c>
      <c r="R496" s="112" t="str">
        <f t="shared" si="109"/>
        <v/>
      </c>
      <c r="S496" s="152"/>
      <c r="T496" s="152"/>
      <c r="U496" s="152"/>
      <c r="V496" s="152"/>
      <c r="W496" s="152"/>
      <c r="X496" s="152"/>
      <c r="Y496" s="152"/>
      <c r="Z496" s="76"/>
      <c r="AA496" s="76"/>
      <c r="AB496" s="113" t="str">
        <f>IF(C496="3111. Logements",ROUND(VLOOKUP(C496,'Informations générales'!$C$66:$E$70,3,FALSE)*(AL496/$AM$28)/12,0)*12,IF(C496="3112. Logements",ROUND(VLOOKUP(C496,'Informations générales'!$C$66:$E$70,3,FALSE)*(AL496/$AN$28)/12,0)*12,IF(C496="3113. Logements",ROUND(VLOOKUP(C496,'Informations générales'!$C$66:$E$70,3,FALSE)*(AL496/$AO$28)/12,0)*12,IF(C496="3114. Logements",ROUND(VLOOKUP(C496,'Informations générales'!$C$66:$E$70,3,FALSE)*(AL496/$AP$28)/12,0)*12,IF(C496="3115. Logements",ROUND(VLOOKUP(C496,'Informations générales'!$C$66:$E$70,3,FALSE)*(AL496/$AQ$28)/12,0)*12,"")))))</f>
        <v/>
      </c>
      <c r="AC496" s="114"/>
      <c r="AD496" s="113">
        <f t="shared" si="110"/>
        <v>0</v>
      </c>
      <c r="AE496" s="114"/>
      <c r="AF496" s="203" t="str">
        <f>IF(C496="3111. Logements",ROUND(VLOOKUP(C496,'Informations générales'!$C$66:$E$70,3,FALSE)*(AL496/$AM$28)/12,0)*12,IF(C496="3112. Logements",ROUND(VLOOKUP(C496,'Informations générales'!$C$66:$E$70,3,FALSE)*(AL496/$AN$28)/12,0)*12,IF(C496="3113. Logements",ROUND(VLOOKUP(C496,'Informations générales'!$C$66:$E$70,3,FALSE)*(AL496/$AO$28)/12,0)*12,IF(C496="3114. Logements",ROUND(VLOOKUP(C496,'Informations générales'!$C$66:$E$70,3,FALSE)*(AL496/$AP$28)/12,0)*12,IF(C496="3115. Logements",ROUND(VLOOKUP(C496,'Informations générales'!$C$66:$E$70,3,FALSE)*(AL496/$AQ$28)/12,0)*12,"")))))</f>
        <v/>
      </c>
      <c r="AG496" s="202"/>
      <c r="AH496" s="113" t="str">
        <f>IF(C496="3111. Logements",ROUND(VLOOKUP(C496,'Informations générales'!$C$66:$H$70,5,FALSE)*(AL496/$AM$28)/12,0)*12,IF(C496="3112. Logements",ROUND(VLOOKUP(C496,'Informations générales'!$C$66:$H$70,5,FALSE)*(AL496/$AN$28)/12,0)*12,IF(C496="3113. Logements",ROUND(VLOOKUP(C496,'Informations générales'!$C$66:$H$70,5,FALSE)*(AL496/$AO$28)/12,0)*12,IF(C496="3114. Logements",ROUND(VLOOKUP(C496,'Informations générales'!$C$66:$H$70,5,FALSE)*(AL496/$AP$28)/12,0)*12,IF(C496="3115. Logements",ROUND(VLOOKUP(C496,'Informations générales'!$C$66:$H$70,5,FALSE)*(AL496/$AQ$28)/12,0)*12,"")))))</f>
        <v/>
      </c>
      <c r="AI496" s="114"/>
      <c r="AJ496" s="114"/>
      <c r="AK496" s="76"/>
      <c r="AL496" s="58">
        <f t="shared" si="111"/>
        <v>0</v>
      </c>
      <c r="AM496" s="58"/>
      <c r="AN496" s="58"/>
      <c r="AO496" s="58"/>
      <c r="AP496" s="58"/>
      <c r="AQ496" s="58"/>
      <c r="AR496" s="58">
        <f t="shared" si="101"/>
        <v>0</v>
      </c>
      <c r="AS496" s="58">
        <f t="shared" si="102"/>
        <v>0</v>
      </c>
      <c r="AT496" s="58">
        <f t="shared" si="103"/>
        <v>0</v>
      </c>
      <c r="AU496" s="58">
        <f t="shared" si="104"/>
        <v>0</v>
      </c>
      <c r="AV496" s="58">
        <f t="shared" si="105"/>
        <v>0</v>
      </c>
      <c r="AW496" s="58">
        <f t="shared" si="106"/>
        <v>0</v>
      </c>
      <c r="AX496" s="58">
        <f t="shared" si="107"/>
        <v>0</v>
      </c>
      <c r="AY496" s="58">
        <f t="shared" si="112"/>
        <v>0</v>
      </c>
      <c r="AZ496" s="62">
        <f t="shared" si="113"/>
        <v>0</v>
      </c>
      <c r="BA496" s="63">
        <f t="shared" ref="BA496:BA527" si="116">IFERROR(VLOOKUP(Z496,$H$12:$I$22,2,FALSE),0)</f>
        <v>0</v>
      </c>
      <c r="BB496" s="63">
        <f t="shared" si="114"/>
        <v>0</v>
      </c>
    </row>
    <row r="497" spans="3:54" s="17" customFormat="1" x14ac:dyDescent="0.25">
      <c r="C497" s="215"/>
      <c r="D497" s="216"/>
      <c r="E497" s="88"/>
      <c r="F497" s="217"/>
      <c r="G497" s="234"/>
      <c r="H497" s="218"/>
      <c r="I497" s="76"/>
      <c r="J497" s="77"/>
      <c r="K497" s="76"/>
      <c r="L497" s="78"/>
      <c r="M497" s="78"/>
      <c r="N497" s="76" t="s">
        <v>39</v>
      </c>
      <c r="O497" s="110"/>
      <c r="P497" s="152"/>
      <c r="Q497" s="111" t="str">
        <f>IFERROR(MIN(VLOOKUP(ROUNDDOWN(P497,0),'Aide calcul'!$B$2:$C$282,2,FALSE),O497+1),"")</f>
        <v/>
      </c>
      <c r="R497" s="112" t="str">
        <f t="shared" si="109"/>
        <v/>
      </c>
      <c r="S497" s="152"/>
      <c r="T497" s="152"/>
      <c r="U497" s="152"/>
      <c r="V497" s="152"/>
      <c r="W497" s="152"/>
      <c r="X497" s="152"/>
      <c r="Y497" s="152"/>
      <c r="Z497" s="76"/>
      <c r="AA497" s="76"/>
      <c r="AB497" s="113" t="str">
        <f>IF(C497="3111. Logements",ROUND(VLOOKUP(C497,'Informations générales'!$C$66:$E$70,3,FALSE)*(AL497/$AM$28)/12,0)*12,IF(C497="3112. Logements",ROUND(VLOOKUP(C497,'Informations générales'!$C$66:$E$70,3,FALSE)*(AL497/$AN$28)/12,0)*12,IF(C497="3113. Logements",ROUND(VLOOKUP(C497,'Informations générales'!$C$66:$E$70,3,FALSE)*(AL497/$AO$28)/12,0)*12,IF(C497="3114. Logements",ROUND(VLOOKUP(C497,'Informations générales'!$C$66:$E$70,3,FALSE)*(AL497/$AP$28)/12,0)*12,IF(C497="3115. Logements",ROUND(VLOOKUP(C497,'Informations générales'!$C$66:$E$70,3,FALSE)*(AL497/$AQ$28)/12,0)*12,"")))))</f>
        <v/>
      </c>
      <c r="AC497" s="114"/>
      <c r="AD497" s="113">
        <f t="shared" si="110"/>
        <v>0</v>
      </c>
      <c r="AE497" s="114"/>
      <c r="AF497" s="203" t="str">
        <f>IF(C497="3111. Logements",ROUND(VLOOKUP(C497,'Informations générales'!$C$66:$E$70,3,FALSE)*(AL497/$AM$28)/12,0)*12,IF(C497="3112. Logements",ROUND(VLOOKUP(C497,'Informations générales'!$C$66:$E$70,3,FALSE)*(AL497/$AN$28)/12,0)*12,IF(C497="3113. Logements",ROUND(VLOOKUP(C497,'Informations générales'!$C$66:$E$70,3,FALSE)*(AL497/$AO$28)/12,0)*12,IF(C497="3114. Logements",ROUND(VLOOKUP(C497,'Informations générales'!$C$66:$E$70,3,FALSE)*(AL497/$AP$28)/12,0)*12,IF(C497="3115. Logements",ROUND(VLOOKUP(C497,'Informations générales'!$C$66:$E$70,3,FALSE)*(AL497/$AQ$28)/12,0)*12,"")))))</f>
        <v/>
      </c>
      <c r="AG497" s="202"/>
      <c r="AH497" s="113" t="str">
        <f>IF(C497="3111. Logements",ROUND(VLOOKUP(C497,'Informations générales'!$C$66:$H$70,5,FALSE)*(AL497/$AM$28)/12,0)*12,IF(C497="3112. Logements",ROUND(VLOOKUP(C497,'Informations générales'!$C$66:$H$70,5,FALSE)*(AL497/$AN$28)/12,0)*12,IF(C497="3113. Logements",ROUND(VLOOKUP(C497,'Informations générales'!$C$66:$H$70,5,FALSE)*(AL497/$AO$28)/12,0)*12,IF(C497="3114. Logements",ROUND(VLOOKUP(C497,'Informations générales'!$C$66:$H$70,5,FALSE)*(AL497/$AP$28)/12,0)*12,IF(C497="3115. Logements",ROUND(VLOOKUP(C497,'Informations générales'!$C$66:$H$70,5,FALSE)*(AL497/$AQ$28)/12,0)*12,"")))))</f>
        <v/>
      </c>
      <c r="AI497" s="114"/>
      <c r="AJ497" s="114"/>
      <c r="AK497" s="76"/>
      <c r="AL497" s="58">
        <f t="shared" si="111"/>
        <v>0</v>
      </c>
      <c r="AM497" s="58"/>
      <c r="AN497" s="58"/>
      <c r="AO497" s="58"/>
      <c r="AP497" s="58"/>
      <c r="AQ497" s="58"/>
      <c r="AR497" s="58">
        <f t="shared" si="101"/>
        <v>0</v>
      </c>
      <c r="AS497" s="58">
        <f t="shared" si="102"/>
        <v>0</v>
      </c>
      <c r="AT497" s="58">
        <f t="shared" si="103"/>
        <v>0</v>
      </c>
      <c r="AU497" s="58">
        <f t="shared" si="104"/>
        <v>0</v>
      </c>
      <c r="AV497" s="58">
        <f t="shared" si="105"/>
        <v>0</v>
      </c>
      <c r="AW497" s="58">
        <f t="shared" si="106"/>
        <v>0</v>
      </c>
      <c r="AX497" s="58">
        <f t="shared" si="107"/>
        <v>0</v>
      </c>
      <c r="AY497" s="58">
        <f t="shared" si="112"/>
        <v>0</v>
      </c>
      <c r="AZ497" s="62">
        <f t="shared" si="113"/>
        <v>0</v>
      </c>
      <c r="BA497" s="63">
        <f t="shared" si="116"/>
        <v>0</v>
      </c>
      <c r="BB497" s="63">
        <f t="shared" si="114"/>
        <v>0</v>
      </c>
    </row>
    <row r="498" spans="3:54" s="17" customFormat="1" x14ac:dyDescent="0.25">
      <c r="C498" s="215"/>
      <c r="D498" s="216"/>
      <c r="E498" s="88"/>
      <c r="F498" s="217"/>
      <c r="G498" s="234"/>
      <c r="H498" s="218"/>
      <c r="I498" s="76"/>
      <c r="J498" s="77"/>
      <c r="K498" s="76"/>
      <c r="L498" s="78"/>
      <c r="M498" s="78"/>
      <c r="N498" s="76" t="s">
        <v>39</v>
      </c>
      <c r="O498" s="110"/>
      <c r="P498" s="152"/>
      <c r="Q498" s="111" t="str">
        <f>IFERROR(MIN(VLOOKUP(ROUNDDOWN(P498,0),'Aide calcul'!$B$2:$C$282,2,FALSE),O498+1),"")</f>
        <v/>
      </c>
      <c r="R498" s="112" t="str">
        <f t="shared" si="109"/>
        <v/>
      </c>
      <c r="S498" s="152"/>
      <c r="T498" s="152"/>
      <c r="U498" s="152"/>
      <c r="V498" s="152"/>
      <c r="W498" s="152"/>
      <c r="X498" s="152"/>
      <c r="Y498" s="152"/>
      <c r="Z498" s="76"/>
      <c r="AA498" s="76"/>
      <c r="AB498" s="113" t="str">
        <f>IF(C498="3111. Logements",ROUND(VLOOKUP(C498,'Informations générales'!$C$66:$E$70,3,FALSE)*(AL498/$AM$28)/12,0)*12,IF(C498="3112. Logements",ROUND(VLOOKUP(C498,'Informations générales'!$C$66:$E$70,3,FALSE)*(AL498/$AN$28)/12,0)*12,IF(C498="3113. Logements",ROUND(VLOOKUP(C498,'Informations générales'!$C$66:$E$70,3,FALSE)*(AL498/$AO$28)/12,0)*12,IF(C498="3114. Logements",ROUND(VLOOKUP(C498,'Informations générales'!$C$66:$E$70,3,FALSE)*(AL498/$AP$28)/12,0)*12,IF(C498="3115. Logements",ROUND(VLOOKUP(C498,'Informations générales'!$C$66:$E$70,3,FALSE)*(AL498/$AQ$28)/12,0)*12,"")))))</f>
        <v/>
      </c>
      <c r="AC498" s="114"/>
      <c r="AD498" s="113">
        <f t="shared" si="110"/>
        <v>0</v>
      </c>
      <c r="AE498" s="114"/>
      <c r="AF498" s="203" t="str">
        <f>IF(C498="3111. Logements",ROUND(VLOOKUP(C498,'Informations générales'!$C$66:$E$70,3,FALSE)*(AL498/$AM$28)/12,0)*12,IF(C498="3112. Logements",ROUND(VLOOKUP(C498,'Informations générales'!$C$66:$E$70,3,FALSE)*(AL498/$AN$28)/12,0)*12,IF(C498="3113. Logements",ROUND(VLOOKUP(C498,'Informations générales'!$C$66:$E$70,3,FALSE)*(AL498/$AO$28)/12,0)*12,IF(C498="3114. Logements",ROUND(VLOOKUP(C498,'Informations générales'!$C$66:$E$70,3,FALSE)*(AL498/$AP$28)/12,0)*12,IF(C498="3115. Logements",ROUND(VLOOKUP(C498,'Informations générales'!$C$66:$E$70,3,FALSE)*(AL498/$AQ$28)/12,0)*12,"")))))</f>
        <v/>
      </c>
      <c r="AG498" s="202"/>
      <c r="AH498" s="113" t="str">
        <f>IF(C498="3111. Logements",ROUND(VLOOKUP(C498,'Informations générales'!$C$66:$H$70,5,FALSE)*(AL498/$AM$28)/12,0)*12,IF(C498="3112. Logements",ROUND(VLOOKUP(C498,'Informations générales'!$C$66:$H$70,5,FALSE)*(AL498/$AN$28)/12,0)*12,IF(C498="3113. Logements",ROUND(VLOOKUP(C498,'Informations générales'!$C$66:$H$70,5,FALSE)*(AL498/$AO$28)/12,0)*12,IF(C498="3114. Logements",ROUND(VLOOKUP(C498,'Informations générales'!$C$66:$H$70,5,FALSE)*(AL498/$AP$28)/12,0)*12,IF(C498="3115. Logements",ROUND(VLOOKUP(C498,'Informations générales'!$C$66:$H$70,5,FALSE)*(AL498/$AQ$28)/12,0)*12,"")))))</f>
        <v/>
      </c>
      <c r="AI498" s="114"/>
      <c r="AJ498" s="114"/>
      <c r="AK498" s="76"/>
      <c r="AL498" s="58">
        <f t="shared" si="111"/>
        <v>0</v>
      </c>
      <c r="AM498" s="58"/>
      <c r="AN498" s="58"/>
      <c r="AO498" s="58"/>
      <c r="AP498" s="58"/>
      <c r="AQ498" s="58"/>
      <c r="AR498" s="58">
        <f t="shared" si="101"/>
        <v>0</v>
      </c>
      <c r="AS498" s="58">
        <f t="shared" si="102"/>
        <v>0</v>
      </c>
      <c r="AT498" s="58">
        <f t="shared" si="103"/>
        <v>0</v>
      </c>
      <c r="AU498" s="58">
        <f t="shared" si="104"/>
        <v>0</v>
      </c>
      <c r="AV498" s="58">
        <f t="shared" si="105"/>
        <v>0</v>
      </c>
      <c r="AW498" s="58">
        <f t="shared" si="106"/>
        <v>0</v>
      </c>
      <c r="AX498" s="58">
        <f t="shared" si="107"/>
        <v>0</v>
      </c>
      <c r="AY498" s="58">
        <f t="shared" si="112"/>
        <v>0</v>
      </c>
      <c r="AZ498" s="62">
        <f t="shared" si="113"/>
        <v>0</v>
      </c>
      <c r="BA498" s="63">
        <f t="shared" si="116"/>
        <v>0</v>
      </c>
      <c r="BB498" s="63">
        <f t="shared" si="114"/>
        <v>0</v>
      </c>
    </row>
    <row r="499" spans="3:54" s="17" customFormat="1" x14ac:dyDescent="0.25">
      <c r="C499" s="215"/>
      <c r="D499" s="216"/>
      <c r="E499" s="88"/>
      <c r="F499" s="217"/>
      <c r="G499" s="234"/>
      <c r="H499" s="218"/>
      <c r="I499" s="76"/>
      <c r="J499" s="77"/>
      <c r="K499" s="76"/>
      <c r="L499" s="78"/>
      <c r="M499" s="78"/>
      <c r="N499" s="76" t="s">
        <v>39</v>
      </c>
      <c r="O499" s="110"/>
      <c r="P499" s="152"/>
      <c r="Q499" s="111" t="str">
        <f>IFERROR(MIN(VLOOKUP(ROUNDDOWN(P499,0),'Aide calcul'!$B$2:$C$282,2,FALSE),O499+1),"")</f>
        <v/>
      </c>
      <c r="R499" s="112" t="str">
        <f t="shared" si="109"/>
        <v/>
      </c>
      <c r="S499" s="152"/>
      <c r="T499" s="152"/>
      <c r="U499" s="152"/>
      <c r="V499" s="152"/>
      <c r="W499" s="152"/>
      <c r="X499" s="152"/>
      <c r="Y499" s="152"/>
      <c r="Z499" s="76"/>
      <c r="AA499" s="76"/>
      <c r="AB499" s="113" t="str">
        <f>IF(C499="3111. Logements",ROUND(VLOOKUP(C499,'Informations générales'!$C$66:$E$70,3,FALSE)*(AL499/$AM$28)/12,0)*12,IF(C499="3112. Logements",ROUND(VLOOKUP(C499,'Informations générales'!$C$66:$E$70,3,FALSE)*(AL499/$AN$28)/12,0)*12,IF(C499="3113. Logements",ROUND(VLOOKUP(C499,'Informations générales'!$C$66:$E$70,3,FALSE)*(AL499/$AO$28)/12,0)*12,IF(C499="3114. Logements",ROUND(VLOOKUP(C499,'Informations générales'!$C$66:$E$70,3,FALSE)*(AL499/$AP$28)/12,0)*12,IF(C499="3115. Logements",ROUND(VLOOKUP(C499,'Informations générales'!$C$66:$E$70,3,FALSE)*(AL499/$AQ$28)/12,0)*12,"")))))</f>
        <v/>
      </c>
      <c r="AC499" s="114"/>
      <c r="AD499" s="113">
        <f t="shared" si="110"/>
        <v>0</v>
      </c>
      <c r="AE499" s="114"/>
      <c r="AF499" s="203" t="str">
        <f>IF(C499="3111. Logements",ROUND(VLOOKUP(C499,'Informations générales'!$C$66:$E$70,3,FALSE)*(AL499/$AM$28)/12,0)*12,IF(C499="3112. Logements",ROUND(VLOOKUP(C499,'Informations générales'!$C$66:$E$70,3,FALSE)*(AL499/$AN$28)/12,0)*12,IF(C499="3113. Logements",ROUND(VLOOKUP(C499,'Informations générales'!$C$66:$E$70,3,FALSE)*(AL499/$AO$28)/12,0)*12,IF(C499="3114. Logements",ROUND(VLOOKUP(C499,'Informations générales'!$C$66:$E$70,3,FALSE)*(AL499/$AP$28)/12,0)*12,IF(C499="3115. Logements",ROUND(VLOOKUP(C499,'Informations générales'!$C$66:$E$70,3,FALSE)*(AL499/$AQ$28)/12,0)*12,"")))))</f>
        <v/>
      </c>
      <c r="AG499" s="202"/>
      <c r="AH499" s="113" t="str">
        <f>IF(C499="3111. Logements",ROUND(VLOOKUP(C499,'Informations générales'!$C$66:$H$70,5,FALSE)*(AL499/$AM$28)/12,0)*12,IF(C499="3112. Logements",ROUND(VLOOKUP(C499,'Informations générales'!$C$66:$H$70,5,FALSE)*(AL499/$AN$28)/12,0)*12,IF(C499="3113. Logements",ROUND(VLOOKUP(C499,'Informations générales'!$C$66:$H$70,5,FALSE)*(AL499/$AO$28)/12,0)*12,IF(C499="3114. Logements",ROUND(VLOOKUP(C499,'Informations générales'!$C$66:$H$70,5,FALSE)*(AL499/$AP$28)/12,0)*12,IF(C499="3115. Logements",ROUND(VLOOKUP(C499,'Informations générales'!$C$66:$H$70,5,FALSE)*(AL499/$AQ$28)/12,0)*12,"")))))</f>
        <v/>
      </c>
      <c r="AI499" s="114"/>
      <c r="AJ499" s="114"/>
      <c r="AK499" s="76"/>
      <c r="AL499" s="58">
        <f t="shared" si="111"/>
        <v>0</v>
      </c>
      <c r="AM499" s="58"/>
      <c r="AN499" s="58"/>
      <c r="AO499" s="58"/>
      <c r="AP499" s="58"/>
      <c r="AQ499" s="58"/>
      <c r="AR499" s="58">
        <f t="shared" si="101"/>
        <v>0</v>
      </c>
      <c r="AS499" s="58">
        <f t="shared" si="102"/>
        <v>0</v>
      </c>
      <c r="AT499" s="58">
        <f t="shared" si="103"/>
        <v>0</v>
      </c>
      <c r="AU499" s="58">
        <f t="shared" si="104"/>
        <v>0</v>
      </c>
      <c r="AV499" s="58">
        <f t="shared" si="105"/>
        <v>0</v>
      </c>
      <c r="AW499" s="58">
        <f t="shared" si="106"/>
        <v>0</v>
      </c>
      <c r="AX499" s="58">
        <f t="shared" si="107"/>
        <v>0</v>
      </c>
      <c r="AY499" s="58">
        <f t="shared" si="112"/>
        <v>0</v>
      </c>
      <c r="AZ499" s="62">
        <f t="shared" si="113"/>
        <v>0</v>
      </c>
      <c r="BA499" s="63">
        <f t="shared" si="116"/>
        <v>0</v>
      </c>
      <c r="BB499" s="63">
        <f t="shared" si="114"/>
        <v>0</v>
      </c>
    </row>
    <row r="500" spans="3:54" s="17" customFormat="1" x14ac:dyDescent="0.25">
      <c r="C500" s="215"/>
      <c r="D500" s="216"/>
      <c r="E500" s="88"/>
      <c r="F500" s="217"/>
      <c r="G500" s="234"/>
      <c r="H500" s="218"/>
      <c r="I500" s="76"/>
      <c r="J500" s="77"/>
      <c r="K500" s="76"/>
      <c r="L500" s="78"/>
      <c r="M500" s="78"/>
      <c r="N500" s="76" t="s">
        <v>39</v>
      </c>
      <c r="O500" s="110"/>
      <c r="P500" s="152"/>
      <c r="Q500" s="111" t="str">
        <f>IFERROR(MIN(VLOOKUP(ROUNDDOWN(P500,0),'Aide calcul'!$B$2:$C$282,2,FALSE),O500+1),"")</f>
        <v/>
      </c>
      <c r="R500" s="112" t="str">
        <f t="shared" si="109"/>
        <v/>
      </c>
      <c r="S500" s="152"/>
      <c r="T500" s="152"/>
      <c r="U500" s="152"/>
      <c r="V500" s="152"/>
      <c r="W500" s="152"/>
      <c r="X500" s="152"/>
      <c r="Y500" s="152"/>
      <c r="Z500" s="76"/>
      <c r="AA500" s="76"/>
      <c r="AB500" s="113" t="str">
        <f>IF(C500="3111. Logements",ROUND(VLOOKUP(C500,'Informations générales'!$C$66:$E$70,3,FALSE)*(AL500/$AM$28)/12,0)*12,IF(C500="3112. Logements",ROUND(VLOOKUP(C500,'Informations générales'!$C$66:$E$70,3,FALSE)*(AL500/$AN$28)/12,0)*12,IF(C500="3113. Logements",ROUND(VLOOKUP(C500,'Informations générales'!$C$66:$E$70,3,FALSE)*(AL500/$AO$28)/12,0)*12,IF(C500="3114. Logements",ROUND(VLOOKUP(C500,'Informations générales'!$C$66:$E$70,3,FALSE)*(AL500/$AP$28)/12,0)*12,IF(C500="3115. Logements",ROUND(VLOOKUP(C500,'Informations générales'!$C$66:$E$70,3,FALSE)*(AL500/$AQ$28)/12,0)*12,"")))))</f>
        <v/>
      </c>
      <c r="AC500" s="114"/>
      <c r="AD500" s="113">
        <f t="shared" si="110"/>
        <v>0</v>
      </c>
      <c r="AE500" s="114"/>
      <c r="AF500" s="203" t="str">
        <f>IF(C500="3111. Logements",ROUND(VLOOKUP(C500,'Informations générales'!$C$66:$E$70,3,FALSE)*(AL500/$AM$28)/12,0)*12,IF(C500="3112. Logements",ROUND(VLOOKUP(C500,'Informations générales'!$C$66:$E$70,3,FALSE)*(AL500/$AN$28)/12,0)*12,IF(C500="3113. Logements",ROUND(VLOOKUP(C500,'Informations générales'!$C$66:$E$70,3,FALSE)*(AL500/$AO$28)/12,0)*12,IF(C500="3114. Logements",ROUND(VLOOKUP(C500,'Informations générales'!$C$66:$E$70,3,FALSE)*(AL500/$AP$28)/12,0)*12,IF(C500="3115. Logements",ROUND(VLOOKUP(C500,'Informations générales'!$C$66:$E$70,3,FALSE)*(AL500/$AQ$28)/12,0)*12,"")))))</f>
        <v/>
      </c>
      <c r="AG500" s="202"/>
      <c r="AH500" s="113" t="str">
        <f>IF(C500="3111. Logements",ROUND(VLOOKUP(C500,'Informations générales'!$C$66:$H$70,5,FALSE)*(AL500/$AM$28)/12,0)*12,IF(C500="3112. Logements",ROUND(VLOOKUP(C500,'Informations générales'!$C$66:$H$70,5,FALSE)*(AL500/$AN$28)/12,0)*12,IF(C500="3113. Logements",ROUND(VLOOKUP(C500,'Informations générales'!$C$66:$H$70,5,FALSE)*(AL500/$AO$28)/12,0)*12,IF(C500="3114. Logements",ROUND(VLOOKUP(C500,'Informations générales'!$C$66:$H$70,5,FALSE)*(AL500/$AP$28)/12,0)*12,IF(C500="3115. Logements",ROUND(VLOOKUP(C500,'Informations générales'!$C$66:$H$70,5,FALSE)*(AL500/$AQ$28)/12,0)*12,"")))))</f>
        <v/>
      </c>
      <c r="AI500" s="114"/>
      <c r="AJ500" s="114"/>
      <c r="AK500" s="76"/>
      <c r="AL500" s="58">
        <f t="shared" si="111"/>
        <v>0</v>
      </c>
      <c r="AM500" s="58"/>
      <c r="AN500" s="58"/>
      <c r="AO500" s="58"/>
      <c r="AP500" s="58"/>
      <c r="AQ500" s="58"/>
      <c r="AR500" s="58">
        <f t="shared" si="101"/>
        <v>0</v>
      </c>
      <c r="AS500" s="58">
        <f t="shared" si="102"/>
        <v>0</v>
      </c>
      <c r="AT500" s="58">
        <f t="shared" si="103"/>
        <v>0</v>
      </c>
      <c r="AU500" s="58">
        <f t="shared" si="104"/>
        <v>0</v>
      </c>
      <c r="AV500" s="58">
        <f t="shared" si="105"/>
        <v>0</v>
      </c>
      <c r="AW500" s="58">
        <f t="shared" si="106"/>
        <v>0</v>
      </c>
      <c r="AX500" s="58">
        <f t="shared" si="107"/>
        <v>0</v>
      </c>
      <c r="AY500" s="58">
        <f t="shared" si="112"/>
        <v>0</v>
      </c>
      <c r="AZ500" s="62">
        <f t="shared" si="113"/>
        <v>0</v>
      </c>
      <c r="BA500" s="63">
        <f t="shared" si="116"/>
        <v>0</v>
      </c>
      <c r="BB500" s="63">
        <f t="shared" si="114"/>
        <v>0</v>
      </c>
    </row>
    <row r="501" spans="3:54" s="17" customFormat="1" x14ac:dyDescent="0.25">
      <c r="C501" s="215"/>
      <c r="D501" s="216"/>
      <c r="E501" s="88"/>
      <c r="F501" s="217"/>
      <c r="G501" s="234"/>
      <c r="H501" s="218"/>
      <c r="I501" s="76"/>
      <c r="J501" s="77"/>
      <c r="K501" s="76"/>
      <c r="L501" s="78"/>
      <c r="M501" s="78"/>
      <c r="N501" s="76" t="s">
        <v>39</v>
      </c>
      <c r="O501" s="110"/>
      <c r="P501" s="152"/>
      <c r="Q501" s="111" t="str">
        <f>IFERROR(MIN(VLOOKUP(ROUNDDOWN(P501,0),'Aide calcul'!$B$2:$C$282,2,FALSE),O501+1),"")</f>
        <v/>
      </c>
      <c r="R501" s="112" t="str">
        <f t="shared" si="109"/>
        <v/>
      </c>
      <c r="S501" s="152"/>
      <c r="T501" s="152"/>
      <c r="U501" s="152"/>
      <c r="V501" s="152"/>
      <c r="W501" s="152"/>
      <c r="X501" s="152"/>
      <c r="Y501" s="152"/>
      <c r="Z501" s="76"/>
      <c r="AA501" s="76"/>
      <c r="AB501" s="113" t="str">
        <f>IF(C501="3111. Logements",ROUND(VLOOKUP(C501,'Informations générales'!$C$66:$E$70,3,FALSE)*(AL501/$AM$28)/12,0)*12,IF(C501="3112. Logements",ROUND(VLOOKUP(C501,'Informations générales'!$C$66:$E$70,3,FALSE)*(AL501/$AN$28)/12,0)*12,IF(C501="3113. Logements",ROUND(VLOOKUP(C501,'Informations générales'!$C$66:$E$70,3,FALSE)*(AL501/$AO$28)/12,0)*12,IF(C501="3114. Logements",ROUND(VLOOKUP(C501,'Informations générales'!$C$66:$E$70,3,FALSE)*(AL501/$AP$28)/12,0)*12,IF(C501="3115. Logements",ROUND(VLOOKUP(C501,'Informations générales'!$C$66:$E$70,3,FALSE)*(AL501/$AQ$28)/12,0)*12,"")))))</f>
        <v/>
      </c>
      <c r="AC501" s="114"/>
      <c r="AD501" s="113">
        <f t="shared" si="110"/>
        <v>0</v>
      </c>
      <c r="AE501" s="114"/>
      <c r="AF501" s="203" t="str">
        <f>IF(C501="3111. Logements",ROUND(VLOOKUP(C501,'Informations générales'!$C$66:$E$70,3,FALSE)*(AL501/$AM$28)/12,0)*12,IF(C501="3112. Logements",ROUND(VLOOKUP(C501,'Informations générales'!$C$66:$E$70,3,FALSE)*(AL501/$AN$28)/12,0)*12,IF(C501="3113. Logements",ROUND(VLOOKUP(C501,'Informations générales'!$C$66:$E$70,3,FALSE)*(AL501/$AO$28)/12,0)*12,IF(C501="3114. Logements",ROUND(VLOOKUP(C501,'Informations générales'!$C$66:$E$70,3,FALSE)*(AL501/$AP$28)/12,0)*12,IF(C501="3115. Logements",ROUND(VLOOKUP(C501,'Informations générales'!$C$66:$E$70,3,FALSE)*(AL501/$AQ$28)/12,0)*12,"")))))</f>
        <v/>
      </c>
      <c r="AG501" s="202"/>
      <c r="AH501" s="113" t="str">
        <f>IF(C501="3111. Logements",ROUND(VLOOKUP(C501,'Informations générales'!$C$66:$H$70,5,FALSE)*(AL501/$AM$28)/12,0)*12,IF(C501="3112. Logements",ROUND(VLOOKUP(C501,'Informations générales'!$C$66:$H$70,5,FALSE)*(AL501/$AN$28)/12,0)*12,IF(C501="3113. Logements",ROUND(VLOOKUP(C501,'Informations générales'!$C$66:$H$70,5,FALSE)*(AL501/$AO$28)/12,0)*12,IF(C501="3114. Logements",ROUND(VLOOKUP(C501,'Informations générales'!$C$66:$H$70,5,FALSE)*(AL501/$AP$28)/12,0)*12,IF(C501="3115. Logements",ROUND(VLOOKUP(C501,'Informations générales'!$C$66:$H$70,5,FALSE)*(AL501/$AQ$28)/12,0)*12,"")))))</f>
        <v/>
      </c>
      <c r="AI501" s="114"/>
      <c r="AJ501" s="114"/>
      <c r="AK501" s="76"/>
      <c r="AL501" s="58">
        <f t="shared" si="111"/>
        <v>0</v>
      </c>
      <c r="AM501" s="58"/>
      <c r="AN501" s="58"/>
      <c r="AO501" s="58"/>
      <c r="AP501" s="58"/>
      <c r="AQ501" s="58"/>
      <c r="AR501" s="58">
        <f t="shared" si="101"/>
        <v>0</v>
      </c>
      <c r="AS501" s="58">
        <f t="shared" si="102"/>
        <v>0</v>
      </c>
      <c r="AT501" s="58">
        <f t="shared" si="103"/>
        <v>0</v>
      </c>
      <c r="AU501" s="58">
        <f t="shared" si="104"/>
        <v>0</v>
      </c>
      <c r="AV501" s="58">
        <f t="shared" si="105"/>
        <v>0</v>
      </c>
      <c r="AW501" s="58">
        <f t="shared" si="106"/>
        <v>0</v>
      </c>
      <c r="AX501" s="58">
        <f t="shared" si="107"/>
        <v>0</v>
      </c>
      <c r="AY501" s="58">
        <f t="shared" si="112"/>
        <v>0</v>
      </c>
      <c r="AZ501" s="62">
        <f t="shared" si="113"/>
        <v>0</v>
      </c>
      <c r="BA501" s="63">
        <f t="shared" si="116"/>
        <v>0</v>
      </c>
      <c r="BB501" s="63">
        <f t="shared" si="114"/>
        <v>0</v>
      </c>
    </row>
    <row r="502" spans="3:54" s="17" customFormat="1" x14ac:dyDescent="0.25">
      <c r="C502" s="215"/>
      <c r="D502" s="216"/>
      <c r="E502" s="88"/>
      <c r="F502" s="217"/>
      <c r="G502" s="234"/>
      <c r="H502" s="218"/>
      <c r="I502" s="76"/>
      <c r="J502" s="77"/>
      <c r="K502" s="76"/>
      <c r="L502" s="78"/>
      <c r="M502" s="78"/>
      <c r="N502" s="76" t="s">
        <v>39</v>
      </c>
      <c r="O502" s="110"/>
      <c r="P502" s="152"/>
      <c r="Q502" s="111" t="str">
        <f>IFERROR(MIN(VLOOKUP(ROUNDDOWN(P502,0),'Aide calcul'!$B$2:$C$282,2,FALSE),O502+1),"")</f>
        <v/>
      </c>
      <c r="R502" s="112" t="str">
        <f t="shared" si="109"/>
        <v/>
      </c>
      <c r="S502" s="152"/>
      <c r="T502" s="152"/>
      <c r="U502" s="152"/>
      <c r="V502" s="152"/>
      <c r="W502" s="152"/>
      <c r="X502" s="152"/>
      <c r="Y502" s="152"/>
      <c r="Z502" s="76"/>
      <c r="AA502" s="76"/>
      <c r="AB502" s="113" t="str">
        <f>IF(C502="3111. Logements",ROUND(VLOOKUP(C502,'Informations générales'!$C$66:$E$70,3,FALSE)*(AL502/$AM$28)/12,0)*12,IF(C502="3112. Logements",ROUND(VLOOKUP(C502,'Informations générales'!$C$66:$E$70,3,FALSE)*(AL502/$AN$28)/12,0)*12,IF(C502="3113. Logements",ROUND(VLOOKUP(C502,'Informations générales'!$C$66:$E$70,3,FALSE)*(AL502/$AO$28)/12,0)*12,IF(C502="3114. Logements",ROUND(VLOOKUP(C502,'Informations générales'!$C$66:$E$70,3,FALSE)*(AL502/$AP$28)/12,0)*12,IF(C502="3115. Logements",ROUND(VLOOKUP(C502,'Informations générales'!$C$66:$E$70,3,FALSE)*(AL502/$AQ$28)/12,0)*12,"")))))</f>
        <v/>
      </c>
      <c r="AC502" s="114"/>
      <c r="AD502" s="113">
        <f t="shared" si="110"/>
        <v>0</v>
      </c>
      <c r="AE502" s="114"/>
      <c r="AF502" s="203" t="str">
        <f>IF(C502="3111. Logements",ROUND(VLOOKUP(C502,'Informations générales'!$C$66:$E$70,3,FALSE)*(AL502/$AM$28)/12,0)*12,IF(C502="3112. Logements",ROUND(VLOOKUP(C502,'Informations générales'!$C$66:$E$70,3,FALSE)*(AL502/$AN$28)/12,0)*12,IF(C502="3113. Logements",ROUND(VLOOKUP(C502,'Informations générales'!$C$66:$E$70,3,FALSE)*(AL502/$AO$28)/12,0)*12,IF(C502="3114. Logements",ROUND(VLOOKUP(C502,'Informations générales'!$C$66:$E$70,3,FALSE)*(AL502/$AP$28)/12,0)*12,IF(C502="3115. Logements",ROUND(VLOOKUP(C502,'Informations générales'!$C$66:$E$70,3,FALSE)*(AL502/$AQ$28)/12,0)*12,"")))))</f>
        <v/>
      </c>
      <c r="AG502" s="202"/>
      <c r="AH502" s="113" t="str">
        <f>IF(C502="3111. Logements",ROUND(VLOOKUP(C502,'Informations générales'!$C$66:$H$70,5,FALSE)*(AL502/$AM$28)/12,0)*12,IF(C502="3112. Logements",ROUND(VLOOKUP(C502,'Informations générales'!$C$66:$H$70,5,FALSE)*(AL502/$AN$28)/12,0)*12,IF(C502="3113. Logements",ROUND(VLOOKUP(C502,'Informations générales'!$C$66:$H$70,5,FALSE)*(AL502/$AO$28)/12,0)*12,IF(C502="3114. Logements",ROUND(VLOOKUP(C502,'Informations générales'!$C$66:$H$70,5,FALSE)*(AL502/$AP$28)/12,0)*12,IF(C502="3115. Logements",ROUND(VLOOKUP(C502,'Informations générales'!$C$66:$H$70,5,FALSE)*(AL502/$AQ$28)/12,0)*12,"")))))</f>
        <v/>
      </c>
      <c r="AI502" s="114"/>
      <c r="AJ502" s="114"/>
      <c r="AK502" s="76"/>
      <c r="AL502" s="58">
        <f t="shared" si="111"/>
        <v>0</v>
      </c>
      <c r="AM502" s="58"/>
      <c r="AN502" s="58"/>
      <c r="AO502" s="58"/>
      <c r="AP502" s="58"/>
      <c r="AQ502" s="58"/>
      <c r="AR502" s="58">
        <f t="shared" si="101"/>
        <v>0</v>
      </c>
      <c r="AS502" s="58">
        <f t="shared" si="102"/>
        <v>0</v>
      </c>
      <c r="AT502" s="58">
        <f t="shared" si="103"/>
        <v>0</v>
      </c>
      <c r="AU502" s="58">
        <f t="shared" si="104"/>
        <v>0</v>
      </c>
      <c r="AV502" s="58">
        <f t="shared" si="105"/>
        <v>0</v>
      </c>
      <c r="AW502" s="58">
        <f t="shared" si="106"/>
        <v>0</v>
      </c>
      <c r="AX502" s="58">
        <f t="shared" si="107"/>
        <v>0</v>
      </c>
      <c r="AY502" s="58">
        <f t="shared" si="112"/>
        <v>0</v>
      </c>
      <c r="AZ502" s="62">
        <f t="shared" si="113"/>
        <v>0</v>
      </c>
      <c r="BA502" s="63">
        <f t="shared" si="116"/>
        <v>0</v>
      </c>
      <c r="BB502" s="63">
        <f t="shared" si="114"/>
        <v>0</v>
      </c>
    </row>
    <row r="503" spans="3:54" s="17" customFormat="1" x14ac:dyDescent="0.25">
      <c r="C503" s="215"/>
      <c r="D503" s="216"/>
      <c r="E503" s="88"/>
      <c r="F503" s="217"/>
      <c r="G503" s="234"/>
      <c r="H503" s="218"/>
      <c r="I503" s="76"/>
      <c r="J503" s="77"/>
      <c r="K503" s="76"/>
      <c r="L503" s="78"/>
      <c r="M503" s="78"/>
      <c r="N503" s="76" t="s">
        <v>39</v>
      </c>
      <c r="O503" s="110"/>
      <c r="P503" s="152"/>
      <c r="Q503" s="111" t="str">
        <f>IFERROR(MIN(VLOOKUP(ROUNDDOWN(P503,0),'Aide calcul'!$B$2:$C$282,2,FALSE),O503+1),"")</f>
        <v/>
      </c>
      <c r="R503" s="112" t="str">
        <f t="shared" si="109"/>
        <v/>
      </c>
      <c r="S503" s="152"/>
      <c r="T503" s="152"/>
      <c r="U503" s="152"/>
      <c r="V503" s="152"/>
      <c r="W503" s="152"/>
      <c r="X503" s="152"/>
      <c r="Y503" s="152"/>
      <c r="Z503" s="76"/>
      <c r="AA503" s="76"/>
      <c r="AB503" s="113" t="str">
        <f>IF(C503="3111. Logements",ROUND(VLOOKUP(C503,'Informations générales'!$C$66:$E$70,3,FALSE)*(AL503/$AM$28)/12,0)*12,IF(C503="3112. Logements",ROUND(VLOOKUP(C503,'Informations générales'!$C$66:$E$70,3,FALSE)*(AL503/$AN$28)/12,0)*12,IF(C503="3113. Logements",ROUND(VLOOKUP(C503,'Informations générales'!$C$66:$E$70,3,FALSE)*(AL503/$AO$28)/12,0)*12,IF(C503="3114. Logements",ROUND(VLOOKUP(C503,'Informations générales'!$C$66:$E$70,3,FALSE)*(AL503/$AP$28)/12,0)*12,IF(C503="3115. Logements",ROUND(VLOOKUP(C503,'Informations générales'!$C$66:$E$70,3,FALSE)*(AL503/$AQ$28)/12,0)*12,"")))))</f>
        <v/>
      </c>
      <c r="AC503" s="114"/>
      <c r="AD503" s="113">
        <f t="shared" si="110"/>
        <v>0</v>
      </c>
      <c r="AE503" s="114"/>
      <c r="AF503" s="203" t="str">
        <f>IF(C503="3111. Logements",ROUND(VLOOKUP(C503,'Informations générales'!$C$66:$E$70,3,FALSE)*(AL503/$AM$28)/12,0)*12,IF(C503="3112. Logements",ROUND(VLOOKUP(C503,'Informations générales'!$C$66:$E$70,3,FALSE)*(AL503/$AN$28)/12,0)*12,IF(C503="3113. Logements",ROUND(VLOOKUP(C503,'Informations générales'!$C$66:$E$70,3,FALSE)*(AL503/$AO$28)/12,0)*12,IF(C503="3114. Logements",ROUND(VLOOKUP(C503,'Informations générales'!$C$66:$E$70,3,FALSE)*(AL503/$AP$28)/12,0)*12,IF(C503="3115. Logements",ROUND(VLOOKUP(C503,'Informations générales'!$C$66:$E$70,3,FALSE)*(AL503/$AQ$28)/12,0)*12,"")))))</f>
        <v/>
      </c>
      <c r="AG503" s="202"/>
      <c r="AH503" s="113" t="str">
        <f>IF(C503="3111. Logements",ROUND(VLOOKUP(C503,'Informations générales'!$C$66:$H$70,5,FALSE)*(AL503/$AM$28)/12,0)*12,IF(C503="3112. Logements",ROUND(VLOOKUP(C503,'Informations générales'!$C$66:$H$70,5,FALSE)*(AL503/$AN$28)/12,0)*12,IF(C503="3113. Logements",ROUND(VLOOKUP(C503,'Informations générales'!$C$66:$H$70,5,FALSE)*(AL503/$AO$28)/12,0)*12,IF(C503="3114. Logements",ROUND(VLOOKUP(C503,'Informations générales'!$C$66:$H$70,5,FALSE)*(AL503/$AP$28)/12,0)*12,IF(C503="3115. Logements",ROUND(VLOOKUP(C503,'Informations générales'!$C$66:$H$70,5,FALSE)*(AL503/$AQ$28)/12,0)*12,"")))))</f>
        <v/>
      </c>
      <c r="AI503" s="114"/>
      <c r="AJ503" s="114"/>
      <c r="AK503" s="76"/>
      <c r="AL503" s="58">
        <f t="shared" si="111"/>
        <v>0</v>
      </c>
      <c r="AM503" s="58"/>
      <c r="AN503" s="58"/>
      <c r="AO503" s="58"/>
      <c r="AP503" s="58"/>
      <c r="AQ503" s="58"/>
      <c r="AR503" s="58">
        <f t="shared" si="101"/>
        <v>0</v>
      </c>
      <c r="AS503" s="58">
        <f t="shared" si="102"/>
        <v>0</v>
      </c>
      <c r="AT503" s="58">
        <f t="shared" si="103"/>
        <v>0</v>
      </c>
      <c r="AU503" s="58">
        <f t="shared" si="104"/>
        <v>0</v>
      </c>
      <c r="AV503" s="58">
        <f t="shared" si="105"/>
        <v>0</v>
      </c>
      <c r="AW503" s="58">
        <f t="shared" si="106"/>
        <v>0</v>
      </c>
      <c r="AX503" s="58">
        <f t="shared" si="107"/>
        <v>0</v>
      </c>
      <c r="AY503" s="58">
        <f t="shared" si="112"/>
        <v>0</v>
      </c>
      <c r="AZ503" s="62">
        <f t="shared" si="113"/>
        <v>0</v>
      </c>
      <c r="BA503" s="63">
        <f t="shared" si="116"/>
        <v>0</v>
      </c>
      <c r="BB503" s="63">
        <f t="shared" si="114"/>
        <v>0</v>
      </c>
    </row>
    <row r="504" spans="3:54" s="17" customFormat="1" x14ac:dyDescent="0.25">
      <c r="C504" s="215"/>
      <c r="D504" s="216"/>
      <c r="E504" s="88"/>
      <c r="F504" s="217"/>
      <c r="G504" s="234"/>
      <c r="H504" s="218"/>
      <c r="I504" s="76"/>
      <c r="J504" s="77"/>
      <c r="K504" s="76"/>
      <c r="L504" s="78"/>
      <c r="M504" s="78"/>
      <c r="N504" s="76" t="s">
        <v>39</v>
      </c>
      <c r="O504" s="110"/>
      <c r="P504" s="152"/>
      <c r="Q504" s="111" t="str">
        <f>IFERROR(MIN(VLOOKUP(ROUNDDOWN(P504,0),'Aide calcul'!$B$2:$C$282,2,FALSE),O504+1),"")</f>
        <v/>
      </c>
      <c r="R504" s="112" t="str">
        <f t="shared" si="109"/>
        <v/>
      </c>
      <c r="S504" s="152"/>
      <c r="T504" s="152"/>
      <c r="U504" s="152"/>
      <c r="V504" s="152"/>
      <c r="W504" s="152"/>
      <c r="X504" s="152"/>
      <c r="Y504" s="152"/>
      <c r="Z504" s="76"/>
      <c r="AA504" s="76"/>
      <c r="AB504" s="113" t="str">
        <f>IF(C504="3111. Logements",ROUND(VLOOKUP(C504,'Informations générales'!$C$66:$E$70,3,FALSE)*(AL504/$AM$28)/12,0)*12,IF(C504="3112. Logements",ROUND(VLOOKUP(C504,'Informations générales'!$C$66:$E$70,3,FALSE)*(AL504/$AN$28)/12,0)*12,IF(C504="3113. Logements",ROUND(VLOOKUP(C504,'Informations générales'!$C$66:$E$70,3,FALSE)*(AL504/$AO$28)/12,0)*12,IF(C504="3114. Logements",ROUND(VLOOKUP(C504,'Informations générales'!$C$66:$E$70,3,FALSE)*(AL504/$AP$28)/12,0)*12,IF(C504="3115. Logements",ROUND(VLOOKUP(C504,'Informations générales'!$C$66:$E$70,3,FALSE)*(AL504/$AQ$28)/12,0)*12,"")))))</f>
        <v/>
      </c>
      <c r="AC504" s="114"/>
      <c r="AD504" s="113">
        <f t="shared" si="110"/>
        <v>0</v>
      </c>
      <c r="AE504" s="114"/>
      <c r="AF504" s="203" t="str">
        <f>IF(C504="3111. Logements",ROUND(VLOOKUP(C504,'Informations générales'!$C$66:$E$70,3,FALSE)*(AL504/$AM$28)/12,0)*12,IF(C504="3112. Logements",ROUND(VLOOKUP(C504,'Informations générales'!$C$66:$E$70,3,FALSE)*(AL504/$AN$28)/12,0)*12,IF(C504="3113. Logements",ROUND(VLOOKUP(C504,'Informations générales'!$C$66:$E$70,3,FALSE)*(AL504/$AO$28)/12,0)*12,IF(C504="3114. Logements",ROUND(VLOOKUP(C504,'Informations générales'!$C$66:$E$70,3,FALSE)*(AL504/$AP$28)/12,0)*12,IF(C504="3115. Logements",ROUND(VLOOKUP(C504,'Informations générales'!$C$66:$E$70,3,FALSE)*(AL504/$AQ$28)/12,0)*12,"")))))</f>
        <v/>
      </c>
      <c r="AG504" s="202"/>
      <c r="AH504" s="113" t="str">
        <f>IF(C504="3111. Logements",ROUND(VLOOKUP(C504,'Informations générales'!$C$66:$H$70,5,FALSE)*(AL504/$AM$28)/12,0)*12,IF(C504="3112. Logements",ROUND(VLOOKUP(C504,'Informations générales'!$C$66:$H$70,5,FALSE)*(AL504/$AN$28)/12,0)*12,IF(C504="3113. Logements",ROUND(VLOOKUP(C504,'Informations générales'!$C$66:$H$70,5,FALSE)*(AL504/$AO$28)/12,0)*12,IF(C504="3114. Logements",ROUND(VLOOKUP(C504,'Informations générales'!$C$66:$H$70,5,FALSE)*(AL504/$AP$28)/12,0)*12,IF(C504="3115. Logements",ROUND(VLOOKUP(C504,'Informations générales'!$C$66:$H$70,5,FALSE)*(AL504/$AQ$28)/12,0)*12,"")))))</f>
        <v/>
      </c>
      <c r="AI504" s="114"/>
      <c r="AJ504" s="114"/>
      <c r="AK504" s="76"/>
      <c r="AL504" s="58">
        <f t="shared" si="111"/>
        <v>0</v>
      </c>
      <c r="AM504" s="58"/>
      <c r="AN504" s="58"/>
      <c r="AO504" s="58"/>
      <c r="AP504" s="58"/>
      <c r="AQ504" s="58"/>
      <c r="AR504" s="58">
        <f t="shared" si="101"/>
        <v>0</v>
      </c>
      <c r="AS504" s="58">
        <f t="shared" si="102"/>
        <v>0</v>
      </c>
      <c r="AT504" s="58">
        <f t="shared" si="103"/>
        <v>0</v>
      </c>
      <c r="AU504" s="58">
        <f t="shared" si="104"/>
        <v>0</v>
      </c>
      <c r="AV504" s="58">
        <f t="shared" si="105"/>
        <v>0</v>
      </c>
      <c r="AW504" s="58">
        <f t="shared" si="106"/>
        <v>0</v>
      </c>
      <c r="AX504" s="58">
        <f t="shared" si="107"/>
        <v>0</v>
      </c>
      <c r="AY504" s="58">
        <f t="shared" si="112"/>
        <v>0</v>
      </c>
      <c r="AZ504" s="62">
        <f t="shared" si="113"/>
        <v>0</v>
      </c>
      <c r="BA504" s="63">
        <f t="shared" si="116"/>
        <v>0</v>
      </c>
      <c r="BB504" s="63">
        <f t="shared" si="114"/>
        <v>0</v>
      </c>
    </row>
    <row r="505" spans="3:54" s="17" customFormat="1" x14ac:dyDescent="0.25">
      <c r="C505" s="215"/>
      <c r="D505" s="216"/>
      <c r="E505" s="88"/>
      <c r="F505" s="217"/>
      <c r="G505" s="234"/>
      <c r="H505" s="218"/>
      <c r="I505" s="76"/>
      <c r="J505" s="77"/>
      <c r="K505" s="76"/>
      <c r="L505" s="78"/>
      <c r="M505" s="78"/>
      <c r="N505" s="76" t="s">
        <v>39</v>
      </c>
      <c r="O505" s="110"/>
      <c r="P505" s="152"/>
      <c r="Q505" s="111" t="str">
        <f>IFERROR(MIN(VLOOKUP(ROUNDDOWN(P505,0),'Aide calcul'!$B$2:$C$282,2,FALSE),O505+1),"")</f>
        <v/>
      </c>
      <c r="R505" s="112" t="str">
        <f t="shared" si="109"/>
        <v/>
      </c>
      <c r="S505" s="152"/>
      <c r="T505" s="152"/>
      <c r="U505" s="152"/>
      <c r="V505" s="152"/>
      <c r="W505" s="152"/>
      <c r="X505" s="152"/>
      <c r="Y505" s="152"/>
      <c r="Z505" s="76"/>
      <c r="AA505" s="76"/>
      <c r="AB505" s="113" t="str">
        <f>IF(C505="3111. Logements",ROUND(VLOOKUP(C505,'Informations générales'!$C$66:$E$70,3,FALSE)*(AL505/$AM$28)/12,0)*12,IF(C505="3112. Logements",ROUND(VLOOKUP(C505,'Informations générales'!$C$66:$E$70,3,FALSE)*(AL505/$AN$28)/12,0)*12,IF(C505="3113. Logements",ROUND(VLOOKUP(C505,'Informations générales'!$C$66:$E$70,3,FALSE)*(AL505/$AO$28)/12,0)*12,IF(C505="3114. Logements",ROUND(VLOOKUP(C505,'Informations générales'!$C$66:$E$70,3,FALSE)*(AL505/$AP$28)/12,0)*12,IF(C505="3115. Logements",ROUND(VLOOKUP(C505,'Informations générales'!$C$66:$E$70,3,FALSE)*(AL505/$AQ$28)/12,0)*12,"")))))</f>
        <v/>
      </c>
      <c r="AC505" s="114"/>
      <c r="AD505" s="113">
        <f t="shared" si="110"/>
        <v>0</v>
      </c>
      <c r="AE505" s="114"/>
      <c r="AF505" s="203" t="str">
        <f>IF(C505="3111. Logements",ROUND(VLOOKUP(C505,'Informations générales'!$C$66:$E$70,3,FALSE)*(AL505/$AM$28)/12,0)*12,IF(C505="3112. Logements",ROUND(VLOOKUP(C505,'Informations générales'!$C$66:$E$70,3,FALSE)*(AL505/$AN$28)/12,0)*12,IF(C505="3113. Logements",ROUND(VLOOKUP(C505,'Informations générales'!$C$66:$E$70,3,FALSE)*(AL505/$AO$28)/12,0)*12,IF(C505="3114. Logements",ROUND(VLOOKUP(C505,'Informations générales'!$C$66:$E$70,3,FALSE)*(AL505/$AP$28)/12,0)*12,IF(C505="3115. Logements",ROUND(VLOOKUP(C505,'Informations générales'!$C$66:$E$70,3,FALSE)*(AL505/$AQ$28)/12,0)*12,"")))))</f>
        <v/>
      </c>
      <c r="AG505" s="202"/>
      <c r="AH505" s="113" t="str">
        <f>IF(C505="3111. Logements",ROUND(VLOOKUP(C505,'Informations générales'!$C$66:$H$70,5,FALSE)*(AL505/$AM$28)/12,0)*12,IF(C505="3112. Logements",ROUND(VLOOKUP(C505,'Informations générales'!$C$66:$H$70,5,FALSE)*(AL505/$AN$28)/12,0)*12,IF(C505="3113. Logements",ROUND(VLOOKUP(C505,'Informations générales'!$C$66:$H$70,5,FALSE)*(AL505/$AO$28)/12,0)*12,IF(C505="3114. Logements",ROUND(VLOOKUP(C505,'Informations générales'!$C$66:$H$70,5,FALSE)*(AL505/$AP$28)/12,0)*12,IF(C505="3115. Logements",ROUND(VLOOKUP(C505,'Informations générales'!$C$66:$H$70,5,FALSE)*(AL505/$AQ$28)/12,0)*12,"")))))</f>
        <v/>
      </c>
      <c r="AI505" s="114"/>
      <c r="AJ505" s="114"/>
      <c r="AK505" s="76"/>
      <c r="AL505" s="58">
        <f t="shared" si="111"/>
        <v>0</v>
      </c>
      <c r="AM505" s="58"/>
      <c r="AN505" s="58"/>
      <c r="AO505" s="58"/>
      <c r="AP505" s="58"/>
      <c r="AQ505" s="58"/>
      <c r="AR505" s="58">
        <f t="shared" si="101"/>
        <v>0</v>
      </c>
      <c r="AS505" s="58">
        <f t="shared" si="102"/>
        <v>0</v>
      </c>
      <c r="AT505" s="58">
        <f t="shared" si="103"/>
        <v>0</v>
      </c>
      <c r="AU505" s="58">
        <f t="shared" si="104"/>
        <v>0</v>
      </c>
      <c r="AV505" s="58">
        <f t="shared" si="105"/>
        <v>0</v>
      </c>
      <c r="AW505" s="58">
        <f t="shared" si="106"/>
        <v>0</v>
      </c>
      <c r="AX505" s="58">
        <f t="shared" si="107"/>
        <v>0</v>
      </c>
      <c r="AY505" s="58">
        <f t="shared" si="112"/>
        <v>0</v>
      </c>
      <c r="AZ505" s="62">
        <f t="shared" si="113"/>
        <v>0</v>
      </c>
      <c r="BA505" s="63">
        <f t="shared" si="116"/>
        <v>0</v>
      </c>
      <c r="BB505" s="63">
        <f t="shared" si="114"/>
        <v>0</v>
      </c>
    </row>
    <row r="506" spans="3:54" s="17" customFormat="1" x14ac:dyDescent="0.25">
      <c r="C506" s="215"/>
      <c r="D506" s="216"/>
      <c r="E506" s="88"/>
      <c r="F506" s="217"/>
      <c r="G506" s="234"/>
      <c r="H506" s="218"/>
      <c r="I506" s="76"/>
      <c r="J506" s="77"/>
      <c r="K506" s="76"/>
      <c r="L506" s="78"/>
      <c r="M506" s="78"/>
      <c r="N506" s="76" t="s">
        <v>39</v>
      </c>
      <c r="O506" s="110"/>
      <c r="P506" s="152"/>
      <c r="Q506" s="111" t="str">
        <f>IFERROR(MIN(VLOOKUP(ROUNDDOWN(P506,0),'Aide calcul'!$B$2:$C$282,2,FALSE),O506+1),"")</f>
        <v/>
      </c>
      <c r="R506" s="112" t="str">
        <f t="shared" si="109"/>
        <v/>
      </c>
      <c r="S506" s="152"/>
      <c r="T506" s="152"/>
      <c r="U506" s="152"/>
      <c r="V506" s="152"/>
      <c r="W506" s="152"/>
      <c r="X506" s="152"/>
      <c r="Y506" s="152"/>
      <c r="Z506" s="76"/>
      <c r="AA506" s="76"/>
      <c r="AB506" s="113" t="str">
        <f>IF(C506="3111. Logements",ROUND(VLOOKUP(C506,'Informations générales'!$C$66:$E$70,3,FALSE)*(AL506/$AM$28)/12,0)*12,IF(C506="3112. Logements",ROUND(VLOOKUP(C506,'Informations générales'!$C$66:$E$70,3,FALSE)*(AL506/$AN$28)/12,0)*12,IF(C506="3113. Logements",ROUND(VLOOKUP(C506,'Informations générales'!$C$66:$E$70,3,FALSE)*(AL506/$AO$28)/12,0)*12,IF(C506="3114. Logements",ROUND(VLOOKUP(C506,'Informations générales'!$C$66:$E$70,3,FALSE)*(AL506/$AP$28)/12,0)*12,IF(C506="3115. Logements",ROUND(VLOOKUP(C506,'Informations générales'!$C$66:$E$70,3,FALSE)*(AL506/$AQ$28)/12,0)*12,"")))))</f>
        <v/>
      </c>
      <c r="AC506" s="114"/>
      <c r="AD506" s="113">
        <f t="shared" si="110"/>
        <v>0</v>
      </c>
      <c r="AE506" s="114"/>
      <c r="AF506" s="203" t="str">
        <f>IF(C506="3111. Logements",ROUND(VLOOKUP(C506,'Informations générales'!$C$66:$E$70,3,FALSE)*(AL506/$AM$28)/12,0)*12,IF(C506="3112. Logements",ROUND(VLOOKUP(C506,'Informations générales'!$C$66:$E$70,3,FALSE)*(AL506/$AN$28)/12,0)*12,IF(C506="3113. Logements",ROUND(VLOOKUP(C506,'Informations générales'!$C$66:$E$70,3,FALSE)*(AL506/$AO$28)/12,0)*12,IF(C506="3114. Logements",ROUND(VLOOKUP(C506,'Informations générales'!$C$66:$E$70,3,FALSE)*(AL506/$AP$28)/12,0)*12,IF(C506="3115. Logements",ROUND(VLOOKUP(C506,'Informations générales'!$C$66:$E$70,3,FALSE)*(AL506/$AQ$28)/12,0)*12,"")))))</f>
        <v/>
      </c>
      <c r="AG506" s="202"/>
      <c r="AH506" s="113" t="str">
        <f>IF(C506="3111. Logements",ROUND(VLOOKUP(C506,'Informations générales'!$C$66:$H$70,5,FALSE)*(AL506/$AM$28)/12,0)*12,IF(C506="3112. Logements",ROUND(VLOOKUP(C506,'Informations générales'!$C$66:$H$70,5,FALSE)*(AL506/$AN$28)/12,0)*12,IF(C506="3113. Logements",ROUND(VLOOKUP(C506,'Informations générales'!$C$66:$H$70,5,FALSE)*(AL506/$AO$28)/12,0)*12,IF(C506="3114. Logements",ROUND(VLOOKUP(C506,'Informations générales'!$C$66:$H$70,5,FALSE)*(AL506/$AP$28)/12,0)*12,IF(C506="3115. Logements",ROUND(VLOOKUP(C506,'Informations générales'!$C$66:$H$70,5,FALSE)*(AL506/$AQ$28)/12,0)*12,"")))))</f>
        <v/>
      </c>
      <c r="AI506" s="114"/>
      <c r="AJ506" s="114"/>
      <c r="AK506" s="76"/>
      <c r="AL506" s="58">
        <f t="shared" si="111"/>
        <v>0</v>
      </c>
      <c r="AM506" s="58"/>
      <c r="AN506" s="58"/>
      <c r="AO506" s="58"/>
      <c r="AP506" s="58"/>
      <c r="AQ506" s="58"/>
      <c r="AR506" s="58">
        <f t="shared" si="101"/>
        <v>0</v>
      </c>
      <c r="AS506" s="58">
        <f t="shared" si="102"/>
        <v>0</v>
      </c>
      <c r="AT506" s="58">
        <f t="shared" si="103"/>
        <v>0</v>
      </c>
      <c r="AU506" s="58">
        <f t="shared" si="104"/>
        <v>0</v>
      </c>
      <c r="AV506" s="58">
        <f t="shared" si="105"/>
        <v>0</v>
      </c>
      <c r="AW506" s="58">
        <f t="shared" si="106"/>
        <v>0</v>
      </c>
      <c r="AX506" s="58">
        <f t="shared" si="107"/>
        <v>0</v>
      </c>
      <c r="AY506" s="58">
        <f t="shared" si="112"/>
        <v>0</v>
      </c>
      <c r="AZ506" s="62">
        <f t="shared" si="113"/>
        <v>0</v>
      </c>
      <c r="BA506" s="63">
        <f t="shared" si="116"/>
        <v>0</v>
      </c>
      <c r="BB506" s="63">
        <f t="shared" si="114"/>
        <v>0</v>
      </c>
    </row>
    <row r="507" spans="3:54" s="17" customFormat="1" x14ac:dyDescent="0.25">
      <c r="C507" s="215"/>
      <c r="D507" s="216"/>
      <c r="E507" s="88"/>
      <c r="F507" s="217"/>
      <c r="G507" s="234"/>
      <c r="H507" s="218"/>
      <c r="I507" s="76"/>
      <c r="J507" s="77"/>
      <c r="K507" s="76"/>
      <c r="L507" s="78"/>
      <c r="M507" s="78"/>
      <c r="N507" s="76" t="s">
        <v>39</v>
      </c>
      <c r="O507" s="110"/>
      <c r="P507" s="152"/>
      <c r="Q507" s="111" t="str">
        <f>IFERROR(MIN(VLOOKUP(ROUNDDOWN(P507,0),'Aide calcul'!$B$2:$C$282,2,FALSE),O507+1),"")</f>
        <v/>
      </c>
      <c r="R507" s="112" t="str">
        <f t="shared" si="109"/>
        <v/>
      </c>
      <c r="S507" s="152"/>
      <c r="T507" s="152"/>
      <c r="U507" s="152"/>
      <c r="V507" s="152"/>
      <c r="W507" s="152"/>
      <c r="X507" s="152"/>
      <c r="Y507" s="152"/>
      <c r="Z507" s="76"/>
      <c r="AA507" s="76"/>
      <c r="AB507" s="113" t="str">
        <f>IF(C507="3111. Logements",ROUND(VLOOKUP(C507,'Informations générales'!$C$66:$E$70,3,FALSE)*(AL507/$AM$28)/12,0)*12,IF(C507="3112. Logements",ROUND(VLOOKUP(C507,'Informations générales'!$C$66:$E$70,3,FALSE)*(AL507/$AN$28)/12,0)*12,IF(C507="3113. Logements",ROUND(VLOOKUP(C507,'Informations générales'!$C$66:$E$70,3,FALSE)*(AL507/$AO$28)/12,0)*12,IF(C507="3114. Logements",ROUND(VLOOKUP(C507,'Informations générales'!$C$66:$E$70,3,FALSE)*(AL507/$AP$28)/12,0)*12,IF(C507="3115. Logements",ROUND(VLOOKUP(C507,'Informations générales'!$C$66:$E$70,3,FALSE)*(AL507/$AQ$28)/12,0)*12,"")))))</f>
        <v/>
      </c>
      <c r="AC507" s="114"/>
      <c r="AD507" s="113">
        <f t="shared" si="110"/>
        <v>0</v>
      </c>
      <c r="AE507" s="114"/>
      <c r="AF507" s="203" t="str">
        <f>IF(C507="3111. Logements",ROUND(VLOOKUP(C507,'Informations générales'!$C$66:$E$70,3,FALSE)*(AL507/$AM$28)/12,0)*12,IF(C507="3112. Logements",ROUND(VLOOKUP(C507,'Informations générales'!$C$66:$E$70,3,FALSE)*(AL507/$AN$28)/12,0)*12,IF(C507="3113. Logements",ROUND(VLOOKUP(C507,'Informations générales'!$C$66:$E$70,3,FALSE)*(AL507/$AO$28)/12,0)*12,IF(C507="3114. Logements",ROUND(VLOOKUP(C507,'Informations générales'!$C$66:$E$70,3,FALSE)*(AL507/$AP$28)/12,0)*12,IF(C507="3115. Logements",ROUND(VLOOKUP(C507,'Informations générales'!$C$66:$E$70,3,FALSE)*(AL507/$AQ$28)/12,0)*12,"")))))</f>
        <v/>
      </c>
      <c r="AG507" s="202"/>
      <c r="AH507" s="113" t="str">
        <f>IF(C507="3111. Logements",ROUND(VLOOKUP(C507,'Informations générales'!$C$66:$H$70,5,FALSE)*(AL507/$AM$28)/12,0)*12,IF(C507="3112. Logements",ROUND(VLOOKUP(C507,'Informations générales'!$C$66:$H$70,5,FALSE)*(AL507/$AN$28)/12,0)*12,IF(C507="3113. Logements",ROUND(VLOOKUP(C507,'Informations générales'!$C$66:$H$70,5,FALSE)*(AL507/$AO$28)/12,0)*12,IF(C507="3114. Logements",ROUND(VLOOKUP(C507,'Informations générales'!$C$66:$H$70,5,FALSE)*(AL507/$AP$28)/12,0)*12,IF(C507="3115. Logements",ROUND(VLOOKUP(C507,'Informations générales'!$C$66:$H$70,5,FALSE)*(AL507/$AQ$28)/12,0)*12,"")))))</f>
        <v/>
      </c>
      <c r="AI507" s="114"/>
      <c r="AJ507" s="114"/>
      <c r="AK507" s="76"/>
      <c r="AL507" s="58">
        <f t="shared" si="111"/>
        <v>0</v>
      </c>
      <c r="AM507" s="58"/>
      <c r="AN507" s="58"/>
      <c r="AO507" s="58"/>
      <c r="AP507" s="58"/>
      <c r="AQ507" s="58"/>
      <c r="AR507" s="58">
        <f t="shared" si="101"/>
        <v>0</v>
      </c>
      <c r="AS507" s="58">
        <f t="shared" si="102"/>
        <v>0</v>
      </c>
      <c r="AT507" s="58">
        <f t="shared" si="103"/>
        <v>0</v>
      </c>
      <c r="AU507" s="58">
        <f t="shared" si="104"/>
        <v>0</v>
      </c>
      <c r="AV507" s="58">
        <f t="shared" si="105"/>
        <v>0</v>
      </c>
      <c r="AW507" s="58">
        <f t="shared" si="106"/>
        <v>0</v>
      </c>
      <c r="AX507" s="58">
        <f t="shared" si="107"/>
        <v>0</v>
      </c>
      <c r="AY507" s="58">
        <f t="shared" si="112"/>
        <v>0</v>
      </c>
      <c r="AZ507" s="62">
        <f t="shared" si="113"/>
        <v>0</v>
      </c>
      <c r="BA507" s="63">
        <f t="shared" si="116"/>
        <v>0</v>
      </c>
      <c r="BB507" s="63">
        <f t="shared" si="114"/>
        <v>0</v>
      </c>
    </row>
    <row r="508" spans="3:54" s="17" customFormat="1" x14ac:dyDescent="0.25">
      <c r="C508" s="215"/>
      <c r="D508" s="216"/>
      <c r="E508" s="88"/>
      <c r="F508" s="217"/>
      <c r="G508" s="234"/>
      <c r="H508" s="218"/>
      <c r="I508" s="76"/>
      <c r="J508" s="77"/>
      <c r="K508" s="76"/>
      <c r="L508" s="78"/>
      <c r="M508" s="78"/>
      <c r="N508" s="76" t="s">
        <v>39</v>
      </c>
      <c r="O508" s="110"/>
      <c r="P508" s="152"/>
      <c r="Q508" s="111" t="str">
        <f>IFERROR(MIN(VLOOKUP(ROUNDDOWN(P508,0),'Aide calcul'!$B$2:$C$282,2,FALSE),O508+1),"")</f>
        <v/>
      </c>
      <c r="R508" s="112" t="str">
        <f t="shared" si="109"/>
        <v/>
      </c>
      <c r="S508" s="152"/>
      <c r="T508" s="152"/>
      <c r="U508" s="152"/>
      <c r="V508" s="152"/>
      <c r="W508" s="152"/>
      <c r="X508" s="152"/>
      <c r="Y508" s="152"/>
      <c r="Z508" s="76"/>
      <c r="AA508" s="76"/>
      <c r="AB508" s="113" t="str">
        <f>IF(C508="3111. Logements",ROUND(VLOOKUP(C508,'Informations générales'!$C$66:$E$70,3,FALSE)*(AL508/$AM$28)/12,0)*12,IF(C508="3112. Logements",ROUND(VLOOKUP(C508,'Informations générales'!$C$66:$E$70,3,FALSE)*(AL508/$AN$28)/12,0)*12,IF(C508="3113. Logements",ROUND(VLOOKUP(C508,'Informations générales'!$C$66:$E$70,3,FALSE)*(AL508/$AO$28)/12,0)*12,IF(C508="3114. Logements",ROUND(VLOOKUP(C508,'Informations générales'!$C$66:$E$70,3,FALSE)*(AL508/$AP$28)/12,0)*12,IF(C508="3115. Logements",ROUND(VLOOKUP(C508,'Informations générales'!$C$66:$E$70,3,FALSE)*(AL508/$AQ$28)/12,0)*12,"")))))</f>
        <v/>
      </c>
      <c r="AC508" s="114"/>
      <c r="AD508" s="113">
        <f t="shared" si="110"/>
        <v>0</v>
      </c>
      <c r="AE508" s="114"/>
      <c r="AF508" s="203" t="str">
        <f>IF(C508="3111. Logements",ROUND(VLOOKUP(C508,'Informations générales'!$C$66:$E$70,3,FALSE)*(AL508/$AM$28)/12,0)*12,IF(C508="3112. Logements",ROUND(VLOOKUP(C508,'Informations générales'!$C$66:$E$70,3,FALSE)*(AL508/$AN$28)/12,0)*12,IF(C508="3113. Logements",ROUND(VLOOKUP(C508,'Informations générales'!$C$66:$E$70,3,FALSE)*(AL508/$AO$28)/12,0)*12,IF(C508="3114. Logements",ROUND(VLOOKUP(C508,'Informations générales'!$C$66:$E$70,3,FALSE)*(AL508/$AP$28)/12,0)*12,IF(C508="3115. Logements",ROUND(VLOOKUP(C508,'Informations générales'!$C$66:$E$70,3,FALSE)*(AL508/$AQ$28)/12,0)*12,"")))))</f>
        <v/>
      </c>
      <c r="AG508" s="202"/>
      <c r="AH508" s="113" t="str">
        <f>IF(C508="3111. Logements",ROUND(VLOOKUP(C508,'Informations générales'!$C$66:$H$70,5,FALSE)*(AL508/$AM$28)/12,0)*12,IF(C508="3112. Logements",ROUND(VLOOKUP(C508,'Informations générales'!$C$66:$H$70,5,FALSE)*(AL508/$AN$28)/12,0)*12,IF(C508="3113. Logements",ROUND(VLOOKUP(C508,'Informations générales'!$C$66:$H$70,5,FALSE)*(AL508/$AO$28)/12,0)*12,IF(C508="3114. Logements",ROUND(VLOOKUP(C508,'Informations générales'!$C$66:$H$70,5,FALSE)*(AL508/$AP$28)/12,0)*12,IF(C508="3115. Logements",ROUND(VLOOKUP(C508,'Informations générales'!$C$66:$H$70,5,FALSE)*(AL508/$AQ$28)/12,0)*12,"")))))</f>
        <v/>
      </c>
      <c r="AI508" s="114"/>
      <c r="AJ508" s="114"/>
      <c r="AK508" s="76"/>
      <c r="AL508" s="58">
        <f t="shared" si="111"/>
        <v>0</v>
      </c>
      <c r="AM508" s="58"/>
      <c r="AN508" s="58"/>
      <c r="AO508" s="58"/>
      <c r="AP508" s="58"/>
      <c r="AQ508" s="58"/>
      <c r="AR508" s="58">
        <f t="shared" si="101"/>
        <v>0</v>
      </c>
      <c r="AS508" s="58">
        <f t="shared" si="102"/>
        <v>0</v>
      </c>
      <c r="AT508" s="58">
        <f t="shared" si="103"/>
        <v>0</v>
      </c>
      <c r="AU508" s="58">
        <f t="shared" si="104"/>
        <v>0</v>
      </c>
      <c r="AV508" s="58">
        <f t="shared" si="105"/>
        <v>0</v>
      </c>
      <c r="AW508" s="58">
        <f t="shared" si="106"/>
        <v>0</v>
      </c>
      <c r="AX508" s="58">
        <f t="shared" si="107"/>
        <v>0</v>
      </c>
      <c r="AY508" s="58">
        <f t="shared" si="112"/>
        <v>0</v>
      </c>
      <c r="AZ508" s="62">
        <f t="shared" si="113"/>
        <v>0</v>
      </c>
      <c r="BA508" s="63">
        <f t="shared" si="116"/>
        <v>0</v>
      </c>
      <c r="BB508" s="63">
        <f t="shared" si="114"/>
        <v>0</v>
      </c>
    </row>
    <row r="509" spans="3:54" s="17" customFormat="1" x14ac:dyDescent="0.25">
      <c r="C509" s="215"/>
      <c r="D509" s="216"/>
      <c r="E509" s="88"/>
      <c r="F509" s="217"/>
      <c r="G509" s="234"/>
      <c r="H509" s="218"/>
      <c r="I509" s="76"/>
      <c r="J509" s="77"/>
      <c r="K509" s="76"/>
      <c r="L509" s="78"/>
      <c r="M509" s="78"/>
      <c r="N509" s="76" t="s">
        <v>39</v>
      </c>
      <c r="O509" s="110"/>
      <c r="P509" s="152"/>
      <c r="Q509" s="111" t="str">
        <f>IFERROR(MIN(VLOOKUP(ROUNDDOWN(P509,0),'Aide calcul'!$B$2:$C$282,2,FALSE),O509+1),"")</f>
        <v/>
      </c>
      <c r="R509" s="112" t="str">
        <f t="shared" si="109"/>
        <v/>
      </c>
      <c r="S509" s="152"/>
      <c r="T509" s="152"/>
      <c r="U509" s="152"/>
      <c r="V509" s="152"/>
      <c r="W509" s="152"/>
      <c r="X509" s="152"/>
      <c r="Y509" s="152"/>
      <c r="Z509" s="76"/>
      <c r="AA509" s="76"/>
      <c r="AB509" s="113" t="str">
        <f>IF(C509="3111. Logements",ROUND(VLOOKUP(C509,'Informations générales'!$C$66:$E$70,3,FALSE)*(AL509/$AM$28)/12,0)*12,IF(C509="3112. Logements",ROUND(VLOOKUP(C509,'Informations générales'!$C$66:$E$70,3,FALSE)*(AL509/$AN$28)/12,0)*12,IF(C509="3113. Logements",ROUND(VLOOKUP(C509,'Informations générales'!$C$66:$E$70,3,FALSE)*(AL509/$AO$28)/12,0)*12,IF(C509="3114. Logements",ROUND(VLOOKUP(C509,'Informations générales'!$C$66:$E$70,3,FALSE)*(AL509/$AP$28)/12,0)*12,IF(C509="3115. Logements",ROUND(VLOOKUP(C509,'Informations générales'!$C$66:$E$70,3,FALSE)*(AL509/$AQ$28)/12,0)*12,"")))))</f>
        <v/>
      </c>
      <c r="AC509" s="114"/>
      <c r="AD509" s="113">
        <f t="shared" si="110"/>
        <v>0</v>
      </c>
      <c r="AE509" s="114"/>
      <c r="AF509" s="203" t="str">
        <f>IF(C509="3111. Logements",ROUND(VLOOKUP(C509,'Informations générales'!$C$66:$E$70,3,FALSE)*(AL509/$AM$28)/12,0)*12,IF(C509="3112. Logements",ROUND(VLOOKUP(C509,'Informations générales'!$C$66:$E$70,3,FALSE)*(AL509/$AN$28)/12,0)*12,IF(C509="3113. Logements",ROUND(VLOOKUP(C509,'Informations générales'!$C$66:$E$70,3,FALSE)*(AL509/$AO$28)/12,0)*12,IF(C509="3114. Logements",ROUND(VLOOKUP(C509,'Informations générales'!$C$66:$E$70,3,FALSE)*(AL509/$AP$28)/12,0)*12,IF(C509="3115. Logements",ROUND(VLOOKUP(C509,'Informations générales'!$C$66:$E$70,3,FALSE)*(AL509/$AQ$28)/12,0)*12,"")))))</f>
        <v/>
      </c>
      <c r="AG509" s="202"/>
      <c r="AH509" s="113" t="str">
        <f>IF(C509="3111. Logements",ROUND(VLOOKUP(C509,'Informations générales'!$C$66:$H$70,5,FALSE)*(AL509/$AM$28)/12,0)*12,IF(C509="3112. Logements",ROUND(VLOOKUP(C509,'Informations générales'!$C$66:$H$70,5,FALSE)*(AL509/$AN$28)/12,0)*12,IF(C509="3113. Logements",ROUND(VLOOKUP(C509,'Informations générales'!$C$66:$H$70,5,FALSE)*(AL509/$AO$28)/12,0)*12,IF(C509="3114. Logements",ROUND(VLOOKUP(C509,'Informations générales'!$C$66:$H$70,5,FALSE)*(AL509/$AP$28)/12,0)*12,IF(C509="3115. Logements",ROUND(VLOOKUP(C509,'Informations générales'!$C$66:$H$70,5,FALSE)*(AL509/$AQ$28)/12,0)*12,"")))))</f>
        <v/>
      </c>
      <c r="AI509" s="114"/>
      <c r="AJ509" s="114"/>
      <c r="AK509" s="76"/>
      <c r="AL509" s="58">
        <f t="shared" si="111"/>
        <v>0</v>
      </c>
      <c r="AM509" s="58"/>
      <c r="AN509" s="58"/>
      <c r="AO509" s="58"/>
      <c r="AP509" s="58"/>
      <c r="AQ509" s="58"/>
      <c r="AR509" s="58">
        <f t="shared" si="101"/>
        <v>0</v>
      </c>
      <c r="AS509" s="58">
        <f t="shared" si="102"/>
        <v>0</v>
      </c>
      <c r="AT509" s="58">
        <f t="shared" si="103"/>
        <v>0</v>
      </c>
      <c r="AU509" s="58">
        <f t="shared" si="104"/>
        <v>0</v>
      </c>
      <c r="AV509" s="58">
        <f t="shared" si="105"/>
        <v>0</v>
      </c>
      <c r="AW509" s="58">
        <f t="shared" si="106"/>
        <v>0</v>
      </c>
      <c r="AX509" s="58">
        <f t="shared" si="107"/>
        <v>0</v>
      </c>
      <c r="AY509" s="58">
        <f t="shared" si="112"/>
        <v>0</v>
      </c>
      <c r="AZ509" s="62">
        <f t="shared" si="113"/>
        <v>0</v>
      </c>
      <c r="BA509" s="63">
        <f t="shared" si="116"/>
        <v>0</v>
      </c>
      <c r="BB509" s="63">
        <f t="shared" si="114"/>
        <v>0</v>
      </c>
    </row>
    <row r="510" spans="3:54" s="17" customFormat="1" x14ac:dyDescent="0.25">
      <c r="C510" s="215"/>
      <c r="D510" s="216"/>
      <c r="E510" s="88"/>
      <c r="F510" s="217"/>
      <c r="G510" s="234"/>
      <c r="H510" s="218"/>
      <c r="I510" s="76"/>
      <c r="J510" s="77"/>
      <c r="K510" s="76"/>
      <c r="L510" s="78"/>
      <c r="M510" s="78"/>
      <c r="N510" s="76" t="s">
        <v>39</v>
      </c>
      <c r="O510" s="110"/>
      <c r="P510" s="152"/>
      <c r="Q510" s="111" t="str">
        <f>IFERROR(MIN(VLOOKUP(ROUNDDOWN(P510,0),'Aide calcul'!$B$2:$C$282,2,FALSE),O510+1),"")</f>
        <v/>
      </c>
      <c r="R510" s="112" t="str">
        <f t="shared" si="109"/>
        <v/>
      </c>
      <c r="S510" s="152"/>
      <c r="T510" s="152"/>
      <c r="U510" s="152"/>
      <c r="V510" s="152"/>
      <c r="W510" s="152"/>
      <c r="X510" s="152"/>
      <c r="Y510" s="152"/>
      <c r="Z510" s="76"/>
      <c r="AA510" s="76"/>
      <c r="AB510" s="113" t="str">
        <f>IF(C510="3111. Logements",ROUND(VLOOKUP(C510,'Informations générales'!$C$66:$E$70,3,FALSE)*(AL510/$AM$28)/12,0)*12,IF(C510="3112. Logements",ROUND(VLOOKUP(C510,'Informations générales'!$C$66:$E$70,3,FALSE)*(AL510/$AN$28)/12,0)*12,IF(C510="3113. Logements",ROUND(VLOOKUP(C510,'Informations générales'!$C$66:$E$70,3,FALSE)*(AL510/$AO$28)/12,0)*12,IF(C510="3114. Logements",ROUND(VLOOKUP(C510,'Informations générales'!$C$66:$E$70,3,FALSE)*(AL510/$AP$28)/12,0)*12,IF(C510="3115. Logements",ROUND(VLOOKUP(C510,'Informations générales'!$C$66:$E$70,3,FALSE)*(AL510/$AQ$28)/12,0)*12,"")))))</f>
        <v/>
      </c>
      <c r="AC510" s="114"/>
      <c r="AD510" s="113">
        <f t="shared" si="110"/>
        <v>0</v>
      </c>
      <c r="AE510" s="114"/>
      <c r="AF510" s="203" t="str">
        <f>IF(C510="3111. Logements",ROUND(VLOOKUP(C510,'Informations générales'!$C$66:$E$70,3,FALSE)*(AL510/$AM$28)/12,0)*12,IF(C510="3112. Logements",ROUND(VLOOKUP(C510,'Informations générales'!$C$66:$E$70,3,FALSE)*(AL510/$AN$28)/12,0)*12,IF(C510="3113. Logements",ROUND(VLOOKUP(C510,'Informations générales'!$C$66:$E$70,3,FALSE)*(AL510/$AO$28)/12,0)*12,IF(C510="3114. Logements",ROUND(VLOOKUP(C510,'Informations générales'!$C$66:$E$70,3,FALSE)*(AL510/$AP$28)/12,0)*12,IF(C510="3115. Logements",ROUND(VLOOKUP(C510,'Informations générales'!$C$66:$E$70,3,FALSE)*(AL510/$AQ$28)/12,0)*12,"")))))</f>
        <v/>
      </c>
      <c r="AG510" s="202"/>
      <c r="AH510" s="113" t="str">
        <f>IF(C510="3111. Logements",ROUND(VLOOKUP(C510,'Informations générales'!$C$66:$H$70,5,FALSE)*(AL510/$AM$28)/12,0)*12,IF(C510="3112. Logements",ROUND(VLOOKUP(C510,'Informations générales'!$C$66:$H$70,5,FALSE)*(AL510/$AN$28)/12,0)*12,IF(C510="3113. Logements",ROUND(VLOOKUP(C510,'Informations générales'!$C$66:$H$70,5,FALSE)*(AL510/$AO$28)/12,0)*12,IF(C510="3114. Logements",ROUND(VLOOKUP(C510,'Informations générales'!$C$66:$H$70,5,FALSE)*(AL510/$AP$28)/12,0)*12,IF(C510="3115. Logements",ROUND(VLOOKUP(C510,'Informations générales'!$C$66:$H$70,5,FALSE)*(AL510/$AQ$28)/12,0)*12,"")))))</f>
        <v/>
      </c>
      <c r="AI510" s="114"/>
      <c r="AJ510" s="114"/>
      <c r="AK510" s="76"/>
      <c r="AL510" s="58">
        <f t="shared" si="111"/>
        <v>0</v>
      </c>
      <c r="AM510" s="58"/>
      <c r="AN510" s="58"/>
      <c r="AO510" s="58"/>
      <c r="AP510" s="58"/>
      <c r="AQ510" s="58"/>
      <c r="AR510" s="58">
        <f t="shared" si="101"/>
        <v>0</v>
      </c>
      <c r="AS510" s="58">
        <f t="shared" si="102"/>
        <v>0</v>
      </c>
      <c r="AT510" s="58">
        <f t="shared" si="103"/>
        <v>0</v>
      </c>
      <c r="AU510" s="58">
        <f t="shared" si="104"/>
        <v>0</v>
      </c>
      <c r="AV510" s="58">
        <f t="shared" si="105"/>
        <v>0</v>
      </c>
      <c r="AW510" s="58">
        <f t="shared" si="106"/>
        <v>0</v>
      </c>
      <c r="AX510" s="58">
        <f t="shared" si="107"/>
        <v>0</v>
      </c>
      <c r="AY510" s="58">
        <f t="shared" si="112"/>
        <v>0</v>
      </c>
      <c r="AZ510" s="62">
        <f t="shared" si="113"/>
        <v>0</v>
      </c>
      <c r="BA510" s="63">
        <f t="shared" si="116"/>
        <v>0</v>
      </c>
      <c r="BB510" s="63">
        <f t="shared" si="114"/>
        <v>0</v>
      </c>
    </row>
    <row r="511" spans="3:54" s="17" customFormat="1" x14ac:dyDescent="0.25">
      <c r="C511" s="215"/>
      <c r="D511" s="216"/>
      <c r="E511" s="88"/>
      <c r="F511" s="217"/>
      <c r="G511" s="234"/>
      <c r="H511" s="218"/>
      <c r="I511" s="76"/>
      <c r="J511" s="77"/>
      <c r="K511" s="76"/>
      <c r="L511" s="78"/>
      <c r="M511" s="78"/>
      <c r="N511" s="76" t="s">
        <v>39</v>
      </c>
      <c r="O511" s="110"/>
      <c r="P511" s="152"/>
      <c r="Q511" s="111" t="str">
        <f>IFERROR(MIN(VLOOKUP(ROUNDDOWN(P511,0),'Aide calcul'!$B$2:$C$282,2,FALSE),O511+1),"")</f>
        <v/>
      </c>
      <c r="R511" s="112" t="str">
        <f t="shared" si="109"/>
        <v/>
      </c>
      <c r="S511" s="152"/>
      <c r="T511" s="152"/>
      <c r="U511" s="152"/>
      <c r="V511" s="152"/>
      <c r="W511" s="152"/>
      <c r="X511" s="152"/>
      <c r="Y511" s="152"/>
      <c r="Z511" s="76"/>
      <c r="AA511" s="76"/>
      <c r="AB511" s="113" t="str">
        <f>IF(C511="3111. Logements",ROUND(VLOOKUP(C511,'Informations générales'!$C$66:$E$70,3,FALSE)*(AL511/$AM$28)/12,0)*12,IF(C511="3112. Logements",ROUND(VLOOKUP(C511,'Informations générales'!$C$66:$E$70,3,FALSE)*(AL511/$AN$28)/12,0)*12,IF(C511="3113. Logements",ROUND(VLOOKUP(C511,'Informations générales'!$C$66:$E$70,3,FALSE)*(AL511/$AO$28)/12,0)*12,IF(C511="3114. Logements",ROUND(VLOOKUP(C511,'Informations générales'!$C$66:$E$70,3,FALSE)*(AL511/$AP$28)/12,0)*12,IF(C511="3115. Logements",ROUND(VLOOKUP(C511,'Informations générales'!$C$66:$E$70,3,FALSE)*(AL511/$AQ$28)/12,0)*12,"")))))</f>
        <v/>
      </c>
      <c r="AC511" s="114"/>
      <c r="AD511" s="113">
        <f t="shared" si="110"/>
        <v>0</v>
      </c>
      <c r="AE511" s="114"/>
      <c r="AF511" s="203" t="str">
        <f>IF(C511="3111. Logements",ROUND(VLOOKUP(C511,'Informations générales'!$C$66:$E$70,3,FALSE)*(AL511/$AM$28)/12,0)*12,IF(C511="3112. Logements",ROUND(VLOOKUP(C511,'Informations générales'!$C$66:$E$70,3,FALSE)*(AL511/$AN$28)/12,0)*12,IF(C511="3113. Logements",ROUND(VLOOKUP(C511,'Informations générales'!$C$66:$E$70,3,FALSE)*(AL511/$AO$28)/12,0)*12,IF(C511="3114. Logements",ROUND(VLOOKUP(C511,'Informations générales'!$C$66:$E$70,3,FALSE)*(AL511/$AP$28)/12,0)*12,IF(C511="3115. Logements",ROUND(VLOOKUP(C511,'Informations générales'!$C$66:$E$70,3,FALSE)*(AL511/$AQ$28)/12,0)*12,"")))))</f>
        <v/>
      </c>
      <c r="AG511" s="202"/>
      <c r="AH511" s="113" t="str">
        <f>IF(C511="3111. Logements",ROUND(VLOOKUP(C511,'Informations générales'!$C$66:$H$70,5,FALSE)*(AL511/$AM$28)/12,0)*12,IF(C511="3112. Logements",ROUND(VLOOKUP(C511,'Informations générales'!$C$66:$H$70,5,FALSE)*(AL511/$AN$28)/12,0)*12,IF(C511="3113. Logements",ROUND(VLOOKUP(C511,'Informations générales'!$C$66:$H$70,5,FALSE)*(AL511/$AO$28)/12,0)*12,IF(C511="3114. Logements",ROUND(VLOOKUP(C511,'Informations générales'!$C$66:$H$70,5,FALSE)*(AL511/$AP$28)/12,0)*12,IF(C511="3115. Logements",ROUND(VLOOKUP(C511,'Informations générales'!$C$66:$H$70,5,FALSE)*(AL511/$AQ$28)/12,0)*12,"")))))</f>
        <v/>
      </c>
      <c r="AI511" s="114"/>
      <c r="AJ511" s="114"/>
      <c r="AK511" s="76"/>
      <c r="AL511" s="58">
        <f t="shared" si="111"/>
        <v>0</v>
      </c>
      <c r="AM511" s="58"/>
      <c r="AN511" s="58"/>
      <c r="AO511" s="58"/>
      <c r="AP511" s="58"/>
      <c r="AQ511" s="58"/>
      <c r="AR511" s="58">
        <f t="shared" si="101"/>
        <v>0</v>
      </c>
      <c r="AS511" s="58">
        <f t="shared" si="102"/>
        <v>0</v>
      </c>
      <c r="AT511" s="58">
        <f t="shared" si="103"/>
        <v>0</v>
      </c>
      <c r="AU511" s="58">
        <f t="shared" si="104"/>
        <v>0</v>
      </c>
      <c r="AV511" s="58">
        <f t="shared" si="105"/>
        <v>0</v>
      </c>
      <c r="AW511" s="58">
        <f t="shared" si="106"/>
        <v>0</v>
      </c>
      <c r="AX511" s="58">
        <f t="shared" si="107"/>
        <v>0</v>
      </c>
      <c r="AY511" s="58">
        <f t="shared" si="112"/>
        <v>0</v>
      </c>
      <c r="AZ511" s="62">
        <f t="shared" si="113"/>
        <v>0</v>
      </c>
      <c r="BA511" s="63">
        <f t="shared" si="116"/>
        <v>0</v>
      </c>
      <c r="BB511" s="63">
        <f t="shared" si="114"/>
        <v>0</v>
      </c>
    </row>
    <row r="512" spans="3:54" s="17" customFormat="1" x14ac:dyDescent="0.25">
      <c r="C512" s="215"/>
      <c r="D512" s="216"/>
      <c r="E512" s="88"/>
      <c r="F512" s="217"/>
      <c r="G512" s="234"/>
      <c r="H512" s="218"/>
      <c r="I512" s="76"/>
      <c r="J512" s="77"/>
      <c r="K512" s="76"/>
      <c r="L512" s="78"/>
      <c r="M512" s="78"/>
      <c r="N512" s="76" t="s">
        <v>39</v>
      </c>
      <c r="O512" s="110"/>
      <c r="P512" s="152"/>
      <c r="Q512" s="111" t="str">
        <f>IFERROR(MIN(VLOOKUP(ROUNDDOWN(P512,0),'Aide calcul'!$B$2:$C$282,2,FALSE),O512+1),"")</f>
        <v/>
      </c>
      <c r="R512" s="112" t="str">
        <f t="shared" si="109"/>
        <v/>
      </c>
      <c r="S512" s="152"/>
      <c r="T512" s="152"/>
      <c r="U512" s="152"/>
      <c r="V512" s="152"/>
      <c r="W512" s="152"/>
      <c r="X512" s="152"/>
      <c r="Y512" s="152"/>
      <c r="Z512" s="76"/>
      <c r="AA512" s="76"/>
      <c r="AB512" s="113" t="str">
        <f>IF(C512="3111. Logements",ROUND(VLOOKUP(C512,'Informations générales'!$C$66:$E$70,3,FALSE)*(AL512/$AM$28)/12,0)*12,IF(C512="3112. Logements",ROUND(VLOOKUP(C512,'Informations générales'!$C$66:$E$70,3,FALSE)*(AL512/$AN$28)/12,0)*12,IF(C512="3113. Logements",ROUND(VLOOKUP(C512,'Informations générales'!$C$66:$E$70,3,FALSE)*(AL512/$AO$28)/12,0)*12,IF(C512="3114. Logements",ROUND(VLOOKUP(C512,'Informations générales'!$C$66:$E$70,3,FALSE)*(AL512/$AP$28)/12,0)*12,IF(C512="3115. Logements",ROUND(VLOOKUP(C512,'Informations générales'!$C$66:$E$70,3,FALSE)*(AL512/$AQ$28)/12,0)*12,"")))))</f>
        <v/>
      </c>
      <c r="AC512" s="114"/>
      <c r="AD512" s="113">
        <f t="shared" si="110"/>
        <v>0</v>
      </c>
      <c r="AE512" s="114"/>
      <c r="AF512" s="203" t="str">
        <f>IF(C512="3111. Logements",ROUND(VLOOKUP(C512,'Informations générales'!$C$66:$E$70,3,FALSE)*(AL512/$AM$28)/12,0)*12,IF(C512="3112. Logements",ROUND(VLOOKUP(C512,'Informations générales'!$C$66:$E$70,3,FALSE)*(AL512/$AN$28)/12,0)*12,IF(C512="3113. Logements",ROUND(VLOOKUP(C512,'Informations générales'!$C$66:$E$70,3,FALSE)*(AL512/$AO$28)/12,0)*12,IF(C512="3114. Logements",ROUND(VLOOKUP(C512,'Informations générales'!$C$66:$E$70,3,FALSE)*(AL512/$AP$28)/12,0)*12,IF(C512="3115. Logements",ROUND(VLOOKUP(C512,'Informations générales'!$C$66:$E$70,3,FALSE)*(AL512/$AQ$28)/12,0)*12,"")))))</f>
        <v/>
      </c>
      <c r="AG512" s="202"/>
      <c r="AH512" s="113" t="str">
        <f>IF(C512="3111. Logements",ROUND(VLOOKUP(C512,'Informations générales'!$C$66:$H$70,5,FALSE)*(AL512/$AM$28)/12,0)*12,IF(C512="3112. Logements",ROUND(VLOOKUP(C512,'Informations générales'!$C$66:$H$70,5,FALSE)*(AL512/$AN$28)/12,0)*12,IF(C512="3113. Logements",ROUND(VLOOKUP(C512,'Informations générales'!$C$66:$H$70,5,FALSE)*(AL512/$AO$28)/12,0)*12,IF(C512="3114. Logements",ROUND(VLOOKUP(C512,'Informations générales'!$C$66:$H$70,5,FALSE)*(AL512/$AP$28)/12,0)*12,IF(C512="3115. Logements",ROUND(VLOOKUP(C512,'Informations générales'!$C$66:$H$70,5,FALSE)*(AL512/$AQ$28)/12,0)*12,"")))))</f>
        <v/>
      </c>
      <c r="AI512" s="114"/>
      <c r="AJ512" s="114"/>
      <c r="AK512" s="76"/>
      <c r="AL512" s="58">
        <f t="shared" si="111"/>
        <v>0</v>
      </c>
      <c r="AM512" s="58"/>
      <c r="AN512" s="58"/>
      <c r="AO512" s="58"/>
      <c r="AP512" s="58"/>
      <c r="AQ512" s="58"/>
      <c r="AR512" s="58">
        <f t="shared" si="101"/>
        <v>0</v>
      </c>
      <c r="AS512" s="58">
        <f t="shared" si="102"/>
        <v>0</v>
      </c>
      <c r="AT512" s="58">
        <f t="shared" si="103"/>
        <v>0</v>
      </c>
      <c r="AU512" s="58">
        <f t="shared" si="104"/>
        <v>0</v>
      </c>
      <c r="AV512" s="58">
        <f t="shared" si="105"/>
        <v>0</v>
      </c>
      <c r="AW512" s="58">
        <f t="shared" si="106"/>
        <v>0</v>
      </c>
      <c r="AX512" s="58">
        <f t="shared" si="107"/>
        <v>0</v>
      </c>
      <c r="AY512" s="58">
        <f t="shared" si="112"/>
        <v>0</v>
      </c>
      <c r="AZ512" s="62">
        <f t="shared" si="113"/>
        <v>0</v>
      </c>
      <c r="BA512" s="63">
        <f t="shared" si="116"/>
        <v>0</v>
      </c>
      <c r="BB512" s="63">
        <f t="shared" si="114"/>
        <v>0</v>
      </c>
    </row>
    <row r="513" spans="3:54" s="17" customFormat="1" x14ac:dyDescent="0.25">
      <c r="C513" s="215"/>
      <c r="D513" s="216"/>
      <c r="E513" s="88"/>
      <c r="F513" s="217"/>
      <c r="G513" s="234"/>
      <c r="H513" s="218"/>
      <c r="I513" s="76"/>
      <c r="J513" s="77"/>
      <c r="K513" s="76"/>
      <c r="L513" s="78"/>
      <c r="M513" s="78"/>
      <c r="N513" s="76" t="s">
        <v>39</v>
      </c>
      <c r="O513" s="110"/>
      <c r="P513" s="152"/>
      <c r="Q513" s="111" t="str">
        <f>IFERROR(MIN(VLOOKUP(ROUNDDOWN(P513,0),'Aide calcul'!$B$2:$C$282,2,FALSE),O513+1),"")</f>
        <v/>
      </c>
      <c r="R513" s="112" t="str">
        <f t="shared" si="109"/>
        <v/>
      </c>
      <c r="S513" s="152"/>
      <c r="T513" s="152"/>
      <c r="U513" s="152"/>
      <c r="V513" s="152"/>
      <c r="W513" s="152"/>
      <c r="X513" s="152"/>
      <c r="Y513" s="152"/>
      <c r="Z513" s="76"/>
      <c r="AA513" s="76"/>
      <c r="AB513" s="113" t="str">
        <f>IF(C513="3111. Logements",ROUND(VLOOKUP(C513,'Informations générales'!$C$66:$E$70,3,FALSE)*(AL513/$AM$28)/12,0)*12,IF(C513="3112. Logements",ROUND(VLOOKUP(C513,'Informations générales'!$C$66:$E$70,3,FALSE)*(AL513/$AN$28)/12,0)*12,IF(C513="3113. Logements",ROUND(VLOOKUP(C513,'Informations générales'!$C$66:$E$70,3,FALSE)*(AL513/$AO$28)/12,0)*12,IF(C513="3114. Logements",ROUND(VLOOKUP(C513,'Informations générales'!$C$66:$E$70,3,FALSE)*(AL513/$AP$28)/12,0)*12,IF(C513="3115. Logements",ROUND(VLOOKUP(C513,'Informations générales'!$C$66:$E$70,3,FALSE)*(AL513/$AQ$28)/12,0)*12,"")))))</f>
        <v/>
      </c>
      <c r="AC513" s="114"/>
      <c r="AD513" s="113">
        <f t="shared" si="110"/>
        <v>0</v>
      </c>
      <c r="AE513" s="114"/>
      <c r="AF513" s="203" t="str">
        <f>IF(C513="3111. Logements",ROUND(VLOOKUP(C513,'Informations générales'!$C$66:$E$70,3,FALSE)*(AL513/$AM$28)/12,0)*12,IF(C513="3112. Logements",ROUND(VLOOKUP(C513,'Informations générales'!$C$66:$E$70,3,FALSE)*(AL513/$AN$28)/12,0)*12,IF(C513="3113. Logements",ROUND(VLOOKUP(C513,'Informations générales'!$C$66:$E$70,3,FALSE)*(AL513/$AO$28)/12,0)*12,IF(C513="3114. Logements",ROUND(VLOOKUP(C513,'Informations générales'!$C$66:$E$70,3,FALSE)*(AL513/$AP$28)/12,0)*12,IF(C513="3115. Logements",ROUND(VLOOKUP(C513,'Informations générales'!$C$66:$E$70,3,FALSE)*(AL513/$AQ$28)/12,0)*12,"")))))</f>
        <v/>
      </c>
      <c r="AG513" s="202"/>
      <c r="AH513" s="113" t="str">
        <f>IF(C513="3111. Logements",ROUND(VLOOKUP(C513,'Informations générales'!$C$66:$H$70,5,FALSE)*(AL513/$AM$28)/12,0)*12,IF(C513="3112. Logements",ROUND(VLOOKUP(C513,'Informations générales'!$C$66:$H$70,5,FALSE)*(AL513/$AN$28)/12,0)*12,IF(C513="3113. Logements",ROUND(VLOOKUP(C513,'Informations générales'!$C$66:$H$70,5,FALSE)*(AL513/$AO$28)/12,0)*12,IF(C513="3114. Logements",ROUND(VLOOKUP(C513,'Informations générales'!$C$66:$H$70,5,FALSE)*(AL513/$AP$28)/12,0)*12,IF(C513="3115. Logements",ROUND(VLOOKUP(C513,'Informations générales'!$C$66:$H$70,5,FALSE)*(AL513/$AQ$28)/12,0)*12,"")))))</f>
        <v/>
      </c>
      <c r="AI513" s="114"/>
      <c r="AJ513" s="114"/>
      <c r="AK513" s="76"/>
      <c r="AL513" s="58">
        <f t="shared" si="111"/>
        <v>0</v>
      </c>
      <c r="AM513" s="58"/>
      <c r="AN513" s="58"/>
      <c r="AO513" s="58"/>
      <c r="AP513" s="58"/>
      <c r="AQ513" s="58"/>
      <c r="AR513" s="58">
        <f t="shared" si="101"/>
        <v>0</v>
      </c>
      <c r="AS513" s="58">
        <f t="shared" si="102"/>
        <v>0</v>
      </c>
      <c r="AT513" s="58">
        <f t="shared" si="103"/>
        <v>0</v>
      </c>
      <c r="AU513" s="58">
        <f t="shared" si="104"/>
        <v>0</v>
      </c>
      <c r="AV513" s="58">
        <f t="shared" si="105"/>
        <v>0</v>
      </c>
      <c r="AW513" s="58">
        <f t="shared" si="106"/>
        <v>0</v>
      </c>
      <c r="AX513" s="58">
        <f t="shared" si="107"/>
        <v>0</v>
      </c>
      <c r="AY513" s="58">
        <f t="shared" si="112"/>
        <v>0</v>
      </c>
      <c r="AZ513" s="62">
        <f t="shared" si="113"/>
        <v>0</v>
      </c>
      <c r="BA513" s="63">
        <f t="shared" si="116"/>
        <v>0</v>
      </c>
      <c r="BB513" s="63">
        <f t="shared" si="114"/>
        <v>0</v>
      </c>
    </row>
    <row r="514" spans="3:54" s="17" customFormat="1" x14ac:dyDescent="0.25">
      <c r="C514" s="215"/>
      <c r="D514" s="216"/>
      <c r="E514" s="88"/>
      <c r="F514" s="217"/>
      <c r="G514" s="234"/>
      <c r="H514" s="218"/>
      <c r="I514" s="76"/>
      <c r="J514" s="77"/>
      <c r="K514" s="76"/>
      <c r="L514" s="78"/>
      <c r="M514" s="78"/>
      <c r="N514" s="76" t="s">
        <v>39</v>
      </c>
      <c r="O514" s="110"/>
      <c r="P514" s="152"/>
      <c r="Q514" s="111" t="str">
        <f>IFERROR(MIN(VLOOKUP(ROUNDDOWN(P514,0),'Aide calcul'!$B$2:$C$282,2,FALSE),O514+1),"")</f>
        <v/>
      </c>
      <c r="R514" s="112" t="str">
        <f t="shared" si="109"/>
        <v/>
      </c>
      <c r="S514" s="152"/>
      <c r="T514" s="152"/>
      <c r="U514" s="152"/>
      <c r="V514" s="152"/>
      <c r="W514" s="152"/>
      <c r="X514" s="152"/>
      <c r="Y514" s="152"/>
      <c r="Z514" s="76"/>
      <c r="AA514" s="76"/>
      <c r="AB514" s="113" t="str">
        <f>IF(C514="3111. Logements",ROUND(VLOOKUP(C514,'Informations générales'!$C$66:$E$70,3,FALSE)*(AL514/$AM$28)/12,0)*12,IF(C514="3112. Logements",ROUND(VLOOKUP(C514,'Informations générales'!$C$66:$E$70,3,FALSE)*(AL514/$AN$28)/12,0)*12,IF(C514="3113. Logements",ROUND(VLOOKUP(C514,'Informations générales'!$C$66:$E$70,3,FALSE)*(AL514/$AO$28)/12,0)*12,IF(C514="3114. Logements",ROUND(VLOOKUP(C514,'Informations générales'!$C$66:$E$70,3,FALSE)*(AL514/$AP$28)/12,0)*12,IF(C514="3115. Logements",ROUND(VLOOKUP(C514,'Informations générales'!$C$66:$E$70,3,FALSE)*(AL514/$AQ$28)/12,0)*12,"")))))</f>
        <v/>
      </c>
      <c r="AC514" s="114"/>
      <c r="AD514" s="113">
        <f t="shared" si="110"/>
        <v>0</v>
      </c>
      <c r="AE514" s="114"/>
      <c r="AF514" s="203" t="str">
        <f>IF(C514="3111. Logements",ROUND(VLOOKUP(C514,'Informations générales'!$C$66:$E$70,3,FALSE)*(AL514/$AM$28)/12,0)*12,IF(C514="3112. Logements",ROUND(VLOOKUP(C514,'Informations générales'!$C$66:$E$70,3,FALSE)*(AL514/$AN$28)/12,0)*12,IF(C514="3113. Logements",ROUND(VLOOKUP(C514,'Informations générales'!$C$66:$E$70,3,FALSE)*(AL514/$AO$28)/12,0)*12,IF(C514="3114. Logements",ROUND(VLOOKUP(C514,'Informations générales'!$C$66:$E$70,3,FALSE)*(AL514/$AP$28)/12,0)*12,IF(C514="3115. Logements",ROUND(VLOOKUP(C514,'Informations générales'!$C$66:$E$70,3,FALSE)*(AL514/$AQ$28)/12,0)*12,"")))))</f>
        <v/>
      </c>
      <c r="AG514" s="202"/>
      <c r="AH514" s="113" t="str">
        <f>IF(C514="3111. Logements",ROUND(VLOOKUP(C514,'Informations générales'!$C$66:$H$70,5,FALSE)*(AL514/$AM$28)/12,0)*12,IF(C514="3112. Logements",ROUND(VLOOKUP(C514,'Informations générales'!$C$66:$H$70,5,FALSE)*(AL514/$AN$28)/12,0)*12,IF(C514="3113. Logements",ROUND(VLOOKUP(C514,'Informations générales'!$C$66:$H$70,5,FALSE)*(AL514/$AO$28)/12,0)*12,IF(C514="3114. Logements",ROUND(VLOOKUP(C514,'Informations générales'!$C$66:$H$70,5,FALSE)*(AL514/$AP$28)/12,0)*12,IF(C514="3115. Logements",ROUND(VLOOKUP(C514,'Informations générales'!$C$66:$H$70,5,FALSE)*(AL514/$AQ$28)/12,0)*12,"")))))</f>
        <v/>
      </c>
      <c r="AI514" s="114"/>
      <c r="AJ514" s="114"/>
      <c r="AK514" s="76"/>
      <c r="AL514" s="58">
        <f t="shared" si="111"/>
        <v>0</v>
      </c>
      <c r="AM514" s="58"/>
      <c r="AN514" s="58"/>
      <c r="AO514" s="58"/>
      <c r="AP514" s="58"/>
      <c r="AQ514" s="58"/>
      <c r="AR514" s="58">
        <f t="shared" si="101"/>
        <v>0</v>
      </c>
      <c r="AS514" s="58">
        <f t="shared" si="102"/>
        <v>0</v>
      </c>
      <c r="AT514" s="58">
        <f t="shared" si="103"/>
        <v>0</v>
      </c>
      <c r="AU514" s="58">
        <f t="shared" si="104"/>
        <v>0</v>
      </c>
      <c r="AV514" s="58">
        <f t="shared" si="105"/>
        <v>0</v>
      </c>
      <c r="AW514" s="58">
        <f t="shared" si="106"/>
        <v>0</v>
      </c>
      <c r="AX514" s="58">
        <f t="shared" si="107"/>
        <v>0</v>
      </c>
      <c r="AY514" s="58">
        <f t="shared" si="112"/>
        <v>0</v>
      </c>
      <c r="AZ514" s="62">
        <f t="shared" si="113"/>
        <v>0</v>
      </c>
      <c r="BA514" s="63">
        <f t="shared" si="116"/>
        <v>0</v>
      </c>
      <c r="BB514" s="63">
        <f t="shared" si="114"/>
        <v>0</v>
      </c>
    </row>
    <row r="515" spans="3:54" s="17" customFormat="1" x14ac:dyDescent="0.25">
      <c r="C515" s="215"/>
      <c r="D515" s="216"/>
      <c r="E515" s="88"/>
      <c r="F515" s="217"/>
      <c r="G515" s="234"/>
      <c r="H515" s="218"/>
      <c r="I515" s="76"/>
      <c r="J515" s="77"/>
      <c r="K515" s="76"/>
      <c r="L515" s="78"/>
      <c r="M515" s="78"/>
      <c r="N515" s="76" t="s">
        <v>39</v>
      </c>
      <c r="O515" s="110"/>
      <c r="P515" s="152"/>
      <c r="Q515" s="111" t="str">
        <f>IFERROR(MIN(VLOOKUP(ROUNDDOWN(P515,0),'Aide calcul'!$B$2:$C$282,2,FALSE),O515+1),"")</f>
        <v/>
      </c>
      <c r="R515" s="112" t="str">
        <f t="shared" si="109"/>
        <v/>
      </c>
      <c r="S515" s="152"/>
      <c r="T515" s="152"/>
      <c r="U515" s="152"/>
      <c r="V515" s="152"/>
      <c r="W515" s="152"/>
      <c r="X515" s="152"/>
      <c r="Y515" s="152"/>
      <c r="Z515" s="76"/>
      <c r="AA515" s="76"/>
      <c r="AB515" s="113" t="str">
        <f>IF(C515="3111. Logements",ROUND(VLOOKUP(C515,'Informations générales'!$C$66:$E$70,3,FALSE)*(AL515/$AM$28)/12,0)*12,IF(C515="3112. Logements",ROUND(VLOOKUP(C515,'Informations générales'!$C$66:$E$70,3,FALSE)*(AL515/$AN$28)/12,0)*12,IF(C515="3113. Logements",ROUND(VLOOKUP(C515,'Informations générales'!$C$66:$E$70,3,FALSE)*(AL515/$AO$28)/12,0)*12,IF(C515="3114. Logements",ROUND(VLOOKUP(C515,'Informations générales'!$C$66:$E$70,3,FALSE)*(AL515/$AP$28)/12,0)*12,IF(C515="3115. Logements",ROUND(VLOOKUP(C515,'Informations générales'!$C$66:$E$70,3,FALSE)*(AL515/$AQ$28)/12,0)*12,"")))))</f>
        <v/>
      </c>
      <c r="AC515" s="114"/>
      <c r="AD515" s="113">
        <f t="shared" si="110"/>
        <v>0</v>
      </c>
      <c r="AE515" s="114"/>
      <c r="AF515" s="203" t="str">
        <f>IF(C515="3111. Logements",ROUND(VLOOKUP(C515,'Informations générales'!$C$66:$E$70,3,FALSE)*(AL515/$AM$28)/12,0)*12,IF(C515="3112. Logements",ROUND(VLOOKUP(C515,'Informations générales'!$C$66:$E$70,3,FALSE)*(AL515/$AN$28)/12,0)*12,IF(C515="3113. Logements",ROUND(VLOOKUP(C515,'Informations générales'!$C$66:$E$70,3,FALSE)*(AL515/$AO$28)/12,0)*12,IF(C515="3114. Logements",ROUND(VLOOKUP(C515,'Informations générales'!$C$66:$E$70,3,FALSE)*(AL515/$AP$28)/12,0)*12,IF(C515="3115. Logements",ROUND(VLOOKUP(C515,'Informations générales'!$C$66:$E$70,3,FALSE)*(AL515/$AQ$28)/12,0)*12,"")))))</f>
        <v/>
      </c>
      <c r="AG515" s="202"/>
      <c r="AH515" s="113" t="str">
        <f>IF(C515="3111. Logements",ROUND(VLOOKUP(C515,'Informations générales'!$C$66:$H$70,5,FALSE)*(AL515/$AM$28)/12,0)*12,IF(C515="3112. Logements",ROUND(VLOOKUP(C515,'Informations générales'!$C$66:$H$70,5,FALSE)*(AL515/$AN$28)/12,0)*12,IF(C515="3113. Logements",ROUND(VLOOKUP(C515,'Informations générales'!$C$66:$H$70,5,FALSE)*(AL515/$AO$28)/12,0)*12,IF(C515="3114. Logements",ROUND(VLOOKUP(C515,'Informations générales'!$C$66:$H$70,5,FALSE)*(AL515/$AP$28)/12,0)*12,IF(C515="3115. Logements",ROUND(VLOOKUP(C515,'Informations générales'!$C$66:$H$70,5,FALSE)*(AL515/$AQ$28)/12,0)*12,"")))))</f>
        <v/>
      </c>
      <c r="AI515" s="114"/>
      <c r="AJ515" s="114"/>
      <c r="AK515" s="76"/>
      <c r="AL515" s="58">
        <f t="shared" si="111"/>
        <v>0</v>
      </c>
      <c r="AM515" s="58"/>
      <c r="AN515" s="58"/>
      <c r="AO515" s="58"/>
      <c r="AP515" s="58"/>
      <c r="AQ515" s="58"/>
      <c r="AR515" s="58">
        <f t="shared" si="101"/>
        <v>0</v>
      </c>
      <c r="AS515" s="58">
        <f t="shared" si="102"/>
        <v>0</v>
      </c>
      <c r="AT515" s="58">
        <f t="shared" si="103"/>
        <v>0</v>
      </c>
      <c r="AU515" s="58">
        <f t="shared" si="104"/>
        <v>0</v>
      </c>
      <c r="AV515" s="58">
        <f t="shared" si="105"/>
        <v>0</v>
      </c>
      <c r="AW515" s="58">
        <f t="shared" si="106"/>
        <v>0</v>
      </c>
      <c r="AX515" s="58">
        <f t="shared" si="107"/>
        <v>0</v>
      </c>
      <c r="AY515" s="58">
        <f t="shared" si="112"/>
        <v>0</v>
      </c>
      <c r="AZ515" s="62">
        <f t="shared" si="113"/>
        <v>0</v>
      </c>
      <c r="BA515" s="63">
        <f t="shared" si="116"/>
        <v>0</v>
      </c>
      <c r="BB515" s="63">
        <f t="shared" si="114"/>
        <v>0</v>
      </c>
    </row>
    <row r="516" spans="3:54" s="17" customFormat="1" x14ac:dyDescent="0.25">
      <c r="C516" s="215"/>
      <c r="D516" s="216"/>
      <c r="E516" s="88"/>
      <c r="F516" s="217"/>
      <c r="G516" s="234"/>
      <c r="H516" s="218"/>
      <c r="I516" s="76"/>
      <c r="J516" s="77"/>
      <c r="K516" s="76"/>
      <c r="L516" s="78"/>
      <c r="M516" s="78"/>
      <c r="N516" s="76" t="s">
        <v>39</v>
      </c>
      <c r="O516" s="110"/>
      <c r="P516" s="152"/>
      <c r="Q516" s="111" t="str">
        <f>IFERROR(MIN(VLOOKUP(ROUNDDOWN(P516,0),'Aide calcul'!$B$2:$C$282,2,FALSE),O516+1),"")</f>
        <v/>
      </c>
      <c r="R516" s="112" t="str">
        <f t="shared" si="109"/>
        <v/>
      </c>
      <c r="S516" s="152"/>
      <c r="T516" s="152"/>
      <c r="U516" s="152"/>
      <c r="V516" s="152"/>
      <c r="W516" s="152"/>
      <c r="X516" s="152"/>
      <c r="Y516" s="152"/>
      <c r="Z516" s="76"/>
      <c r="AA516" s="76"/>
      <c r="AB516" s="113" t="str">
        <f>IF(C516="3111. Logements",ROUND(VLOOKUP(C516,'Informations générales'!$C$66:$E$70,3,FALSE)*(AL516/$AM$28)/12,0)*12,IF(C516="3112. Logements",ROUND(VLOOKUP(C516,'Informations générales'!$C$66:$E$70,3,FALSE)*(AL516/$AN$28)/12,0)*12,IF(C516="3113. Logements",ROUND(VLOOKUP(C516,'Informations générales'!$C$66:$E$70,3,FALSE)*(AL516/$AO$28)/12,0)*12,IF(C516="3114. Logements",ROUND(VLOOKUP(C516,'Informations générales'!$C$66:$E$70,3,FALSE)*(AL516/$AP$28)/12,0)*12,IF(C516="3115. Logements",ROUND(VLOOKUP(C516,'Informations générales'!$C$66:$E$70,3,FALSE)*(AL516/$AQ$28)/12,0)*12,"")))))</f>
        <v/>
      </c>
      <c r="AC516" s="114"/>
      <c r="AD516" s="113">
        <f t="shared" si="110"/>
        <v>0</v>
      </c>
      <c r="AE516" s="114"/>
      <c r="AF516" s="203" t="str">
        <f>IF(C516="3111. Logements",ROUND(VLOOKUP(C516,'Informations générales'!$C$66:$E$70,3,FALSE)*(AL516/$AM$28)/12,0)*12,IF(C516="3112. Logements",ROUND(VLOOKUP(C516,'Informations générales'!$C$66:$E$70,3,FALSE)*(AL516/$AN$28)/12,0)*12,IF(C516="3113. Logements",ROUND(VLOOKUP(C516,'Informations générales'!$C$66:$E$70,3,FALSE)*(AL516/$AO$28)/12,0)*12,IF(C516="3114. Logements",ROUND(VLOOKUP(C516,'Informations générales'!$C$66:$E$70,3,FALSE)*(AL516/$AP$28)/12,0)*12,IF(C516="3115. Logements",ROUND(VLOOKUP(C516,'Informations générales'!$C$66:$E$70,3,FALSE)*(AL516/$AQ$28)/12,0)*12,"")))))</f>
        <v/>
      </c>
      <c r="AG516" s="202"/>
      <c r="AH516" s="113" t="str">
        <f>IF(C516="3111. Logements",ROUND(VLOOKUP(C516,'Informations générales'!$C$66:$H$70,5,FALSE)*(AL516/$AM$28)/12,0)*12,IF(C516="3112. Logements",ROUND(VLOOKUP(C516,'Informations générales'!$C$66:$H$70,5,FALSE)*(AL516/$AN$28)/12,0)*12,IF(C516="3113. Logements",ROUND(VLOOKUP(C516,'Informations générales'!$C$66:$H$70,5,FALSE)*(AL516/$AO$28)/12,0)*12,IF(C516="3114. Logements",ROUND(VLOOKUP(C516,'Informations générales'!$C$66:$H$70,5,FALSE)*(AL516/$AP$28)/12,0)*12,IF(C516="3115. Logements",ROUND(VLOOKUP(C516,'Informations générales'!$C$66:$H$70,5,FALSE)*(AL516/$AQ$28)/12,0)*12,"")))))</f>
        <v/>
      </c>
      <c r="AI516" s="114"/>
      <c r="AJ516" s="114"/>
      <c r="AK516" s="76"/>
      <c r="AL516" s="58">
        <f t="shared" si="111"/>
        <v>0</v>
      </c>
      <c r="AM516" s="58"/>
      <c r="AN516" s="58"/>
      <c r="AO516" s="58"/>
      <c r="AP516" s="58"/>
      <c r="AQ516" s="58"/>
      <c r="AR516" s="58">
        <f t="shared" si="101"/>
        <v>0</v>
      </c>
      <c r="AS516" s="58">
        <f t="shared" si="102"/>
        <v>0</v>
      </c>
      <c r="AT516" s="58">
        <f t="shared" si="103"/>
        <v>0</v>
      </c>
      <c r="AU516" s="58">
        <f t="shared" si="104"/>
        <v>0</v>
      </c>
      <c r="AV516" s="58">
        <f t="shared" si="105"/>
        <v>0</v>
      </c>
      <c r="AW516" s="58">
        <f t="shared" si="106"/>
        <v>0</v>
      </c>
      <c r="AX516" s="58">
        <f t="shared" si="107"/>
        <v>0</v>
      </c>
      <c r="AY516" s="58">
        <f t="shared" si="112"/>
        <v>0</v>
      </c>
      <c r="AZ516" s="62">
        <f t="shared" si="113"/>
        <v>0</v>
      </c>
      <c r="BA516" s="63">
        <f t="shared" si="116"/>
        <v>0</v>
      </c>
      <c r="BB516" s="63">
        <f t="shared" si="114"/>
        <v>0</v>
      </c>
    </row>
    <row r="517" spans="3:54" s="17" customFormat="1" x14ac:dyDescent="0.25">
      <c r="C517" s="215"/>
      <c r="D517" s="216"/>
      <c r="E517" s="88"/>
      <c r="F517" s="217"/>
      <c r="G517" s="234"/>
      <c r="H517" s="218"/>
      <c r="I517" s="76"/>
      <c r="J517" s="77"/>
      <c r="K517" s="76"/>
      <c r="L517" s="78"/>
      <c r="M517" s="78"/>
      <c r="N517" s="76" t="s">
        <v>39</v>
      </c>
      <c r="O517" s="110"/>
      <c r="P517" s="152"/>
      <c r="Q517" s="111" t="str">
        <f>IFERROR(MIN(VLOOKUP(ROUNDDOWN(P517,0),'Aide calcul'!$B$2:$C$282,2,FALSE),O517+1),"")</f>
        <v/>
      </c>
      <c r="R517" s="112" t="str">
        <f t="shared" si="109"/>
        <v/>
      </c>
      <c r="S517" s="152"/>
      <c r="T517" s="152"/>
      <c r="U517" s="152"/>
      <c r="V517" s="152"/>
      <c r="W517" s="152"/>
      <c r="X517" s="152"/>
      <c r="Y517" s="152"/>
      <c r="Z517" s="76"/>
      <c r="AA517" s="76"/>
      <c r="AB517" s="113" t="str">
        <f>IF(C517="3111. Logements",ROUND(VLOOKUP(C517,'Informations générales'!$C$66:$E$70,3,FALSE)*(AL517/$AM$28)/12,0)*12,IF(C517="3112. Logements",ROUND(VLOOKUP(C517,'Informations générales'!$C$66:$E$70,3,FALSE)*(AL517/$AN$28)/12,0)*12,IF(C517="3113. Logements",ROUND(VLOOKUP(C517,'Informations générales'!$C$66:$E$70,3,FALSE)*(AL517/$AO$28)/12,0)*12,IF(C517="3114. Logements",ROUND(VLOOKUP(C517,'Informations générales'!$C$66:$E$70,3,FALSE)*(AL517/$AP$28)/12,0)*12,IF(C517="3115. Logements",ROUND(VLOOKUP(C517,'Informations générales'!$C$66:$E$70,3,FALSE)*(AL517/$AQ$28)/12,0)*12,"")))))</f>
        <v/>
      </c>
      <c r="AC517" s="114"/>
      <c r="AD517" s="113">
        <f t="shared" si="110"/>
        <v>0</v>
      </c>
      <c r="AE517" s="114"/>
      <c r="AF517" s="203" t="str">
        <f>IF(C517="3111. Logements",ROUND(VLOOKUP(C517,'Informations générales'!$C$66:$E$70,3,FALSE)*(AL517/$AM$28)/12,0)*12,IF(C517="3112. Logements",ROUND(VLOOKUP(C517,'Informations générales'!$C$66:$E$70,3,FALSE)*(AL517/$AN$28)/12,0)*12,IF(C517="3113. Logements",ROUND(VLOOKUP(C517,'Informations générales'!$C$66:$E$70,3,FALSE)*(AL517/$AO$28)/12,0)*12,IF(C517="3114. Logements",ROUND(VLOOKUP(C517,'Informations générales'!$C$66:$E$70,3,FALSE)*(AL517/$AP$28)/12,0)*12,IF(C517="3115. Logements",ROUND(VLOOKUP(C517,'Informations générales'!$C$66:$E$70,3,FALSE)*(AL517/$AQ$28)/12,0)*12,"")))))</f>
        <v/>
      </c>
      <c r="AG517" s="202"/>
      <c r="AH517" s="113" t="str">
        <f>IF(C517="3111. Logements",ROUND(VLOOKUP(C517,'Informations générales'!$C$66:$H$70,5,FALSE)*(AL517/$AM$28)/12,0)*12,IF(C517="3112. Logements",ROUND(VLOOKUP(C517,'Informations générales'!$C$66:$H$70,5,FALSE)*(AL517/$AN$28)/12,0)*12,IF(C517="3113. Logements",ROUND(VLOOKUP(C517,'Informations générales'!$C$66:$H$70,5,FALSE)*(AL517/$AO$28)/12,0)*12,IF(C517="3114. Logements",ROUND(VLOOKUP(C517,'Informations générales'!$C$66:$H$70,5,FALSE)*(AL517/$AP$28)/12,0)*12,IF(C517="3115. Logements",ROUND(VLOOKUP(C517,'Informations générales'!$C$66:$H$70,5,FALSE)*(AL517/$AQ$28)/12,0)*12,"")))))</f>
        <v/>
      </c>
      <c r="AI517" s="114"/>
      <c r="AJ517" s="114"/>
      <c r="AK517" s="76"/>
      <c r="AL517" s="58">
        <f t="shared" si="111"/>
        <v>0</v>
      </c>
      <c r="AM517" s="58"/>
      <c r="AN517" s="58"/>
      <c r="AO517" s="58"/>
      <c r="AP517" s="58"/>
      <c r="AQ517" s="58"/>
      <c r="AR517" s="58">
        <f t="shared" si="101"/>
        <v>0</v>
      </c>
      <c r="AS517" s="58">
        <f t="shared" si="102"/>
        <v>0</v>
      </c>
      <c r="AT517" s="58">
        <f t="shared" si="103"/>
        <v>0</v>
      </c>
      <c r="AU517" s="58">
        <f t="shared" si="104"/>
        <v>0</v>
      </c>
      <c r="AV517" s="58">
        <f t="shared" si="105"/>
        <v>0</v>
      </c>
      <c r="AW517" s="58">
        <f t="shared" si="106"/>
        <v>0</v>
      </c>
      <c r="AX517" s="58">
        <f t="shared" si="107"/>
        <v>0</v>
      </c>
      <c r="AY517" s="58">
        <f t="shared" si="112"/>
        <v>0</v>
      </c>
      <c r="AZ517" s="62">
        <f t="shared" si="113"/>
        <v>0</v>
      </c>
      <c r="BA517" s="63">
        <f t="shared" si="116"/>
        <v>0</v>
      </c>
      <c r="BB517" s="63">
        <f t="shared" si="114"/>
        <v>0</v>
      </c>
    </row>
    <row r="518" spans="3:54" s="17" customFormat="1" x14ac:dyDescent="0.25">
      <c r="C518" s="215"/>
      <c r="D518" s="216"/>
      <c r="E518" s="88"/>
      <c r="F518" s="217"/>
      <c r="G518" s="234"/>
      <c r="H518" s="218"/>
      <c r="I518" s="76"/>
      <c r="J518" s="77"/>
      <c r="K518" s="76"/>
      <c r="L518" s="78"/>
      <c r="M518" s="78"/>
      <c r="N518" s="76" t="s">
        <v>39</v>
      </c>
      <c r="O518" s="110"/>
      <c r="P518" s="152"/>
      <c r="Q518" s="111" t="str">
        <f>IFERROR(MIN(VLOOKUP(ROUNDDOWN(P518,0),'Aide calcul'!$B$2:$C$282,2,FALSE),O518+1),"")</f>
        <v/>
      </c>
      <c r="R518" s="112" t="str">
        <f t="shared" si="109"/>
        <v/>
      </c>
      <c r="S518" s="152"/>
      <c r="T518" s="152"/>
      <c r="U518" s="152"/>
      <c r="V518" s="152"/>
      <c r="W518" s="152"/>
      <c r="X518" s="152"/>
      <c r="Y518" s="152"/>
      <c r="Z518" s="76"/>
      <c r="AA518" s="76"/>
      <c r="AB518" s="113" t="str">
        <f>IF(C518="3111. Logements",ROUND(VLOOKUP(C518,'Informations générales'!$C$66:$E$70,3,FALSE)*(AL518/$AM$28)/12,0)*12,IF(C518="3112. Logements",ROUND(VLOOKUP(C518,'Informations générales'!$C$66:$E$70,3,FALSE)*(AL518/$AN$28)/12,0)*12,IF(C518="3113. Logements",ROUND(VLOOKUP(C518,'Informations générales'!$C$66:$E$70,3,FALSE)*(AL518/$AO$28)/12,0)*12,IF(C518="3114. Logements",ROUND(VLOOKUP(C518,'Informations générales'!$C$66:$E$70,3,FALSE)*(AL518/$AP$28)/12,0)*12,IF(C518="3115. Logements",ROUND(VLOOKUP(C518,'Informations générales'!$C$66:$E$70,3,FALSE)*(AL518/$AQ$28)/12,0)*12,"")))))</f>
        <v/>
      </c>
      <c r="AC518" s="114"/>
      <c r="AD518" s="113">
        <f t="shared" si="110"/>
        <v>0</v>
      </c>
      <c r="AE518" s="114"/>
      <c r="AF518" s="203" t="str">
        <f>IF(C518="3111. Logements",ROUND(VLOOKUP(C518,'Informations générales'!$C$66:$E$70,3,FALSE)*(AL518/$AM$28)/12,0)*12,IF(C518="3112. Logements",ROUND(VLOOKUP(C518,'Informations générales'!$C$66:$E$70,3,FALSE)*(AL518/$AN$28)/12,0)*12,IF(C518="3113. Logements",ROUND(VLOOKUP(C518,'Informations générales'!$C$66:$E$70,3,FALSE)*(AL518/$AO$28)/12,0)*12,IF(C518="3114. Logements",ROUND(VLOOKUP(C518,'Informations générales'!$C$66:$E$70,3,FALSE)*(AL518/$AP$28)/12,0)*12,IF(C518="3115. Logements",ROUND(VLOOKUP(C518,'Informations générales'!$C$66:$E$70,3,FALSE)*(AL518/$AQ$28)/12,0)*12,"")))))</f>
        <v/>
      </c>
      <c r="AG518" s="202"/>
      <c r="AH518" s="113" t="str">
        <f>IF(C518="3111. Logements",ROUND(VLOOKUP(C518,'Informations générales'!$C$66:$H$70,5,FALSE)*(AL518/$AM$28)/12,0)*12,IF(C518="3112. Logements",ROUND(VLOOKUP(C518,'Informations générales'!$C$66:$H$70,5,FALSE)*(AL518/$AN$28)/12,0)*12,IF(C518="3113. Logements",ROUND(VLOOKUP(C518,'Informations générales'!$C$66:$H$70,5,FALSE)*(AL518/$AO$28)/12,0)*12,IF(C518="3114. Logements",ROUND(VLOOKUP(C518,'Informations générales'!$C$66:$H$70,5,FALSE)*(AL518/$AP$28)/12,0)*12,IF(C518="3115. Logements",ROUND(VLOOKUP(C518,'Informations générales'!$C$66:$H$70,5,FALSE)*(AL518/$AQ$28)/12,0)*12,"")))))</f>
        <v/>
      </c>
      <c r="AI518" s="114"/>
      <c r="AJ518" s="114"/>
      <c r="AK518" s="76"/>
      <c r="AL518" s="58">
        <f t="shared" si="111"/>
        <v>0</v>
      </c>
      <c r="AM518" s="58"/>
      <c r="AN518" s="58"/>
      <c r="AO518" s="58"/>
      <c r="AP518" s="58"/>
      <c r="AQ518" s="58"/>
      <c r="AR518" s="58">
        <f t="shared" si="101"/>
        <v>0</v>
      </c>
      <c r="AS518" s="58">
        <f t="shared" si="102"/>
        <v>0</v>
      </c>
      <c r="AT518" s="58">
        <f t="shared" si="103"/>
        <v>0</v>
      </c>
      <c r="AU518" s="58">
        <f t="shared" si="104"/>
        <v>0</v>
      </c>
      <c r="AV518" s="58">
        <f t="shared" si="105"/>
        <v>0</v>
      </c>
      <c r="AW518" s="58">
        <f t="shared" si="106"/>
        <v>0</v>
      </c>
      <c r="AX518" s="58">
        <f t="shared" si="107"/>
        <v>0</v>
      </c>
      <c r="AY518" s="58">
        <f t="shared" si="112"/>
        <v>0</v>
      </c>
      <c r="AZ518" s="62">
        <f t="shared" si="113"/>
        <v>0</v>
      </c>
      <c r="BA518" s="63">
        <f t="shared" si="116"/>
        <v>0</v>
      </c>
      <c r="BB518" s="63">
        <f t="shared" si="114"/>
        <v>0</v>
      </c>
    </row>
    <row r="519" spans="3:54" s="17" customFormat="1" x14ac:dyDescent="0.25">
      <c r="C519" s="215"/>
      <c r="D519" s="216"/>
      <c r="E519" s="88"/>
      <c r="F519" s="217"/>
      <c r="G519" s="234"/>
      <c r="H519" s="218"/>
      <c r="I519" s="76"/>
      <c r="J519" s="77"/>
      <c r="K519" s="76"/>
      <c r="L519" s="78"/>
      <c r="M519" s="78"/>
      <c r="N519" s="76" t="s">
        <v>39</v>
      </c>
      <c r="O519" s="110"/>
      <c r="P519" s="152"/>
      <c r="Q519" s="111" t="str">
        <f>IFERROR(MIN(VLOOKUP(ROUNDDOWN(P519,0),'Aide calcul'!$B$2:$C$282,2,FALSE),O519+1),"")</f>
        <v/>
      </c>
      <c r="R519" s="112" t="str">
        <f t="shared" si="109"/>
        <v/>
      </c>
      <c r="S519" s="152"/>
      <c r="T519" s="152"/>
      <c r="U519" s="152"/>
      <c r="V519" s="152"/>
      <c r="W519" s="152"/>
      <c r="X519" s="152"/>
      <c r="Y519" s="152"/>
      <c r="Z519" s="76"/>
      <c r="AA519" s="76"/>
      <c r="AB519" s="113" t="str">
        <f>IF(C519="3111. Logements",ROUND(VLOOKUP(C519,'Informations générales'!$C$66:$E$70,3,FALSE)*(AL519/$AM$28)/12,0)*12,IF(C519="3112. Logements",ROUND(VLOOKUP(C519,'Informations générales'!$C$66:$E$70,3,FALSE)*(AL519/$AN$28)/12,0)*12,IF(C519="3113. Logements",ROUND(VLOOKUP(C519,'Informations générales'!$C$66:$E$70,3,FALSE)*(AL519/$AO$28)/12,0)*12,IF(C519="3114. Logements",ROUND(VLOOKUP(C519,'Informations générales'!$C$66:$E$70,3,FALSE)*(AL519/$AP$28)/12,0)*12,IF(C519="3115. Logements",ROUND(VLOOKUP(C519,'Informations générales'!$C$66:$E$70,3,FALSE)*(AL519/$AQ$28)/12,0)*12,"")))))</f>
        <v/>
      </c>
      <c r="AC519" s="114"/>
      <c r="AD519" s="113">
        <f t="shared" si="110"/>
        <v>0</v>
      </c>
      <c r="AE519" s="114"/>
      <c r="AF519" s="203" t="str">
        <f>IF(C519="3111. Logements",ROUND(VLOOKUP(C519,'Informations générales'!$C$66:$E$70,3,FALSE)*(AL519/$AM$28)/12,0)*12,IF(C519="3112. Logements",ROUND(VLOOKUP(C519,'Informations générales'!$C$66:$E$70,3,FALSE)*(AL519/$AN$28)/12,0)*12,IF(C519="3113. Logements",ROUND(VLOOKUP(C519,'Informations générales'!$C$66:$E$70,3,FALSE)*(AL519/$AO$28)/12,0)*12,IF(C519="3114. Logements",ROUND(VLOOKUP(C519,'Informations générales'!$C$66:$E$70,3,FALSE)*(AL519/$AP$28)/12,0)*12,IF(C519="3115. Logements",ROUND(VLOOKUP(C519,'Informations générales'!$C$66:$E$70,3,FALSE)*(AL519/$AQ$28)/12,0)*12,"")))))</f>
        <v/>
      </c>
      <c r="AG519" s="202"/>
      <c r="AH519" s="113" t="str">
        <f>IF(C519="3111. Logements",ROUND(VLOOKUP(C519,'Informations générales'!$C$66:$H$70,5,FALSE)*(AL519/$AM$28)/12,0)*12,IF(C519="3112. Logements",ROUND(VLOOKUP(C519,'Informations générales'!$C$66:$H$70,5,FALSE)*(AL519/$AN$28)/12,0)*12,IF(C519="3113. Logements",ROUND(VLOOKUP(C519,'Informations générales'!$C$66:$H$70,5,FALSE)*(AL519/$AO$28)/12,0)*12,IF(C519="3114. Logements",ROUND(VLOOKUP(C519,'Informations générales'!$C$66:$H$70,5,FALSE)*(AL519/$AP$28)/12,0)*12,IF(C519="3115. Logements",ROUND(VLOOKUP(C519,'Informations générales'!$C$66:$H$70,5,FALSE)*(AL519/$AQ$28)/12,0)*12,"")))))</f>
        <v/>
      </c>
      <c r="AI519" s="114"/>
      <c r="AJ519" s="114"/>
      <c r="AK519" s="76"/>
      <c r="AL519" s="58">
        <f t="shared" si="111"/>
        <v>0</v>
      </c>
      <c r="AM519" s="58"/>
      <c r="AN519" s="58"/>
      <c r="AO519" s="58"/>
      <c r="AP519" s="58"/>
      <c r="AQ519" s="58"/>
      <c r="AR519" s="58">
        <f t="shared" si="101"/>
        <v>0</v>
      </c>
      <c r="AS519" s="58">
        <f t="shared" si="102"/>
        <v>0</v>
      </c>
      <c r="AT519" s="58">
        <f t="shared" si="103"/>
        <v>0</v>
      </c>
      <c r="AU519" s="58">
        <f t="shared" si="104"/>
        <v>0</v>
      </c>
      <c r="AV519" s="58">
        <f t="shared" si="105"/>
        <v>0</v>
      </c>
      <c r="AW519" s="58">
        <f t="shared" si="106"/>
        <v>0</v>
      </c>
      <c r="AX519" s="58">
        <f t="shared" si="107"/>
        <v>0</v>
      </c>
      <c r="AY519" s="58">
        <f t="shared" si="112"/>
        <v>0</v>
      </c>
      <c r="AZ519" s="62">
        <f t="shared" si="113"/>
        <v>0</v>
      </c>
      <c r="BA519" s="63">
        <f t="shared" si="116"/>
        <v>0</v>
      </c>
      <c r="BB519" s="63">
        <f t="shared" si="114"/>
        <v>0</v>
      </c>
    </row>
    <row r="520" spans="3:54" s="17" customFormat="1" x14ac:dyDescent="0.25">
      <c r="C520" s="215"/>
      <c r="D520" s="216"/>
      <c r="E520" s="88"/>
      <c r="F520" s="217"/>
      <c r="G520" s="234"/>
      <c r="H520" s="218"/>
      <c r="I520" s="76"/>
      <c r="J520" s="77"/>
      <c r="K520" s="76"/>
      <c r="L520" s="78"/>
      <c r="M520" s="78"/>
      <c r="N520" s="76" t="s">
        <v>39</v>
      </c>
      <c r="O520" s="110"/>
      <c r="P520" s="152"/>
      <c r="Q520" s="111" t="str">
        <f>IFERROR(MIN(VLOOKUP(ROUNDDOWN(P520,0),'Aide calcul'!$B$2:$C$282,2,FALSE),O520+1),"")</f>
        <v/>
      </c>
      <c r="R520" s="112" t="str">
        <f t="shared" si="109"/>
        <v/>
      </c>
      <c r="S520" s="152"/>
      <c r="T520" s="152"/>
      <c r="U520" s="152"/>
      <c r="V520" s="152"/>
      <c r="W520" s="152"/>
      <c r="X520" s="152"/>
      <c r="Y520" s="152"/>
      <c r="Z520" s="76"/>
      <c r="AA520" s="76"/>
      <c r="AB520" s="113" t="str">
        <f>IF(C520="3111. Logements",ROUND(VLOOKUP(C520,'Informations générales'!$C$66:$E$70,3,FALSE)*(AL520/$AM$28)/12,0)*12,IF(C520="3112. Logements",ROUND(VLOOKUP(C520,'Informations générales'!$C$66:$E$70,3,FALSE)*(AL520/$AN$28)/12,0)*12,IF(C520="3113. Logements",ROUND(VLOOKUP(C520,'Informations générales'!$C$66:$E$70,3,FALSE)*(AL520/$AO$28)/12,0)*12,IF(C520="3114. Logements",ROUND(VLOOKUP(C520,'Informations générales'!$C$66:$E$70,3,FALSE)*(AL520/$AP$28)/12,0)*12,IF(C520="3115. Logements",ROUND(VLOOKUP(C520,'Informations générales'!$C$66:$E$70,3,FALSE)*(AL520/$AQ$28)/12,0)*12,"")))))</f>
        <v/>
      </c>
      <c r="AC520" s="114"/>
      <c r="AD520" s="113">
        <f t="shared" si="110"/>
        <v>0</v>
      </c>
      <c r="AE520" s="114"/>
      <c r="AF520" s="203" t="str">
        <f>IF(C520="3111. Logements",ROUND(VLOOKUP(C520,'Informations générales'!$C$66:$E$70,3,FALSE)*(AL520/$AM$28)/12,0)*12,IF(C520="3112. Logements",ROUND(VLOOKUP(C520,'Informations générales'!$C$66:$E$70,3,FALSE)*(AL520/$AN$28)/12,0)*12,IF(C520="3113. Logements",ROUND(VLOOKUP(C520,'Informations générales'!$C$66:$E$70,3,FALSE)*(AL520/$AO$28)/12,0)*12,IF(C520="3114. Logements",ROUND(VLOOKUP(C520,'Informations générales'!$C$66:$E$70,3,FALSE)*(AL520/$AP$28)/12,0)*12,IF(C520="3115. Logements",ROUND(VLOOKUP(C520,'Informations générales'!$C$66:$E$70,3,FALSE)*(AL520/$AQ$28)/12,0)*12,"")))))</f>
        <v/>
      </c>
      <c r="AG520" s="202"/>
      <c r="AH520" s="113" t="str">
        <f>IF(C520="3111. Logements",ROUND(VLOOKUP(C520,'Informations générales'!$C$66:$H$70,5,FALSE)*(AL520/$AM$28)/12,0)*12,IF(C520="3112. Logements",ROUND(VLOOKUP(C520,'Informations générales'!$C$66:$H$70,5,FALSE)*(AL520/$AN$28)/12,0)*12,IF(C520="3113. Logements",ROUND(VLOOKUP(C520,'Informations générales'!$C$66:$H$70,5,FALSE)*(AL520/$AO$28)/12,0)*12,IF(C520="3114. Logements",ROUND(VLOOKUP(C520,'Informations générales'!$C$66:$H$70,5,FALSE)*(AL520/$AP$28)/12,0)*12,IF(C520="3115. Logements",ROUND(VLOOKUP(C520,'Informations générales'!$C$66:$H$70,5,FALSE)*(AL520/$AQ$28)/12,0)*12,"")))))</f>
        <v/>
      </c>
      <c r="AI520" s="114"/>
      <c r="AJ520" s="114"/>
      <c r="AK520" s="76"/>
      <c r="AL520" s="58">
        <f t="shared" si="111"/>
        <v>0</v>
      </c>
      <c r="AM520" s="58"/>
      <c r="AN520" s="58"/>
      <c r="AO520" s="58"/>
      <c r="AP520" s="58"/>
      <c r="AQ520" s="58"/>
      <c r="AR520" s="58">
        <f t="shared" si="101"/>
        <v>0</v>
      </c>
      <c r="AS520" s="58">
        <f t="shared" si="102"/>
        <v>0</v>
      </c>
      <c r="AT520" s="58">
        <f t="shared" si="103"/>
        <v>0</v>
      </c>
      <c r="AU520" s="58">
        <f t="shared" si="104"/>
        <v>0</v>
      </c>
      <c r="AV520" s="58">
        <f t="shared" si="105"/>
        <v>0</v>
      </c>
      <c r="AW520" s="58">
        <f t="shared" si="106"/>
        <v>0</v>
      </c>
      <c r="AX520" s="58">
        <f t="shared" si="107"/>
        <v>0</v>
      </c>
      <c r="AY520" s="58">
        <f t="shared" si="112"/>
        <v>0</v>
      </c>
      <c r="AZ520" s="62">
        <f t="shared" si="113"/>
        <v>0</v>
      </c>
      <c r="BA520" s="63">
        <f t="shared" si="116"/>
        <v>0</v>
      </c>
      <c r="BB520" s="63">
        <f t="shared" si="114"/>
        <v>0</v>
      </c>
    </row>
    <row r="521" spans="3:54" s="17" customFormat="1" x14ac:dyDescent="0.25">
      <c r="C521" s="215"/>
      <c r="D521" s="216"/>
      <c r="E521" s="88"/>
      <c r="F521" s="217"/>
      <c r="G521" s="234"/>
      <c r="H521" s="218"/>
      <c r="I521" s="76"/>
      <c r="J521" s="77"/>
      <c r="K521" s="76"/>
      <c r="L521" s="78"/>
      <c r="M521" s="78"/>
      <c r="N521" s="76" t="s">
        <v>39</v>
      </c>
      <c r="O521" s="110"/>
      <c r="P521" s="152"/>
      <c r="Q521" s="111" t="str">
        <f>IFERROR(MIN(VLOOKUP(ROUNDDOWN(P521,0),'Aide calcul'!$B$2:$C$282,2,FALSE),O521+1),"")</f>
        <v/>
      </c>
      <c r="R521" s="112" t="str">
        <f t="shared" si="109"/>
        <v/>
      </c>
      <c r="S521" s="152"/>
      <c r="T521" s="152"/>
      <c r="U521" s="152"/>
      <c r="V521" s="152"/>
      <c r="W521" s="152"/>
      <c r="X521" s="152"/>
      <c r="Y521" s="152"/>
      <c r="Z521" s="76"/>
      <c r="AA521" s="76"/>
      <c r="AB521" s="113" t="str">
        <f>IF(C521="3111. Logements",ROUND(VLOOKUP(C521,'Informations générales'!$C$66:$E$70,3,FALSE)*(AL521/$AM$28)/12,0)*12,IF(C521="3112. Logements",ROUND(VLOOKUP(C521,'Informations générales'!$C$66:$E$70,3,FALSE)*(AL521/$AN$28)/12,0)*12,IF(C521="3113. Logements",ROUND(VLOOKUP(C521,'Informations générales'!$C$66:$E$70,3,FALSE)*(AL521/$AO$28)/12,0)*12,IF(C521="3114. Logements",ROUND(VLOOKUP(C521,'Informations générales'!$C$66:$E$70,3,FALSE)*(AL521/$AP$28)/12,0)*12,IF(C521="3115. Logements",ROUND(VLOOKUP(C521,'Informations générales'!$C$66:$E$70,3,FALSE)*(AL521/$AQ$28)/12,0)*12,"")))))</f>
        <v/>
      </c>
      <c r="AC521" s="114"/>
      <c r="AD521" s="113">
        <f t="shared" si="110"/>
        <v>0</v>
      </c>
      <c r="AE521" s="114"/>
      <c r="AF521" s="203" t="str">
        <f>IF(C521="3111. Logements",ROUND(VLOOKUP(C521,'Informations générales'!$C$66:$E$70,3,FALSE)*(AL521/$AM$28)/12,0)*12,IF(C521="3112. Logements",ROUND(VLOOKUP(C521,'Informations générales'!$C$66:$E$70,3,FALSE)*(AL521/$AN$28)/12,0)*12,IF(C521="3113. Logements",ROUND(VLOOKUP(C521,'Informations générales'!$C$66:$E$70,3,FALSE)*(AL521/$AO$28)/12,0)*12,IF(C521="3114. Logements",ROUND(VLOOKUP(C521,'Informations générales'!$C$66:$E$70,3,FALSE)*(AL521/$AP$28)/12,0)*12,IF(C521="3115. Logements",ROUND(VLOOKUP(C521,'Informations générales'!$C$66:$E$70,3,FALSE)*(AL521/$AQ$28)/12,0)*12,"")))))</f>
        <v/>
      </c>
      <c r="AG521" s="202"/>
      <c r="AH521" s="113" t="str">
        <f>IF(C521="3111. Logements",ROUND(VLOOKUP(C521,'Informations générales'!$C$66:$H$70,5,FALSE)*(AL521/$AM$28)/12,0)*12,IF(C521="3112. Logements",ROUND(VLOOKUP(C521,'Informations générales'!$C$66:$H$70,5,FALSE)*(AL521/$AN$28)/12,0)*12,IF(C521="3113. Logements",ROUND(VLOOKUP(C521,'Informations générales'!$C$66:$H$70,5,FALSE)*(AL521/$AO$28)/12,0)*12,IF(C521="3114. Logements",ROUND(VLOOKUP(C521,'Informations générales'!$C$66:$H$70,5,FALSE)*(AL521/$AP$28)/12,0)*12,IF(C521="3115. Logements",ROUND(VLOOKUP(C521,'Informations générales'!$C$66:$H$70,5,FALSE)*(AL521/$AQ$28)/12,0)*12,"")))))</f>
        <v/>
      </c>
      <c r="AI521" s="114"/>
      <c r="AJ521" s="114"/>
      <c r="AK521" s="76"/>
      <c r="AL521" s="58">
        <f t="shared" si="111"/>
        <v>0</v>
      </c>
      <c r="AM521" s="58"/>
      <c r="AN521" s="58"/>
      <c r="AO521" s="58"/>
      <c r="AP521" s="58"/>
      <c r="AQ521" s="58"/>
      <c r="AR521" s="58">
        <f t="shared" si="101"/>
        <v>0</v>
      </c>
      <c r="AS521" s="58">
        <f t="shared" si="102"/>
        <v>0</v>
      </c>
      <c r="AT521" s="58">
        <f t="shared" si="103"/>
        <v>0</v>
      </c>
      <c r="AU521" s="58">
        <f t="shared" si="104"/>
        <v>0</v>
      </c>
      <c r="AV521" s="58">
        <f t="shared" si="105"/>
        <v>0</v>
      </c>
      <c r="AW521" s="58">
        <f t="shared" si="106"/>
        <v>0</v>
      </c>
      <c r="AX521" s="58">
        <f t="shared" si="107"/>
        <v>0</v>
      </c>
      <c r="AY521" s="58">
        <f t="shared" si="112"/>
        <v>0</v>
      </c>
      <c r="AZ521" s="62">
        <f t="shared" si="113"/>
        <v>0</v>
      </c>
      <c r="BA521" s="63">
        <f t="shared" si="116"/>
        <v>0</v>
      </c>
      <c r="BB521" s="63">
        <f t="shared" si="114"/>
        <v>0</v>
      </c>
    </row>
    <row r="522" spans="3:54" s="17" customFormat="1" x14ac:dyDescent="0.25">
      <c r="C522" s="215"/>
      <c r="D522" s="216"/>
      <c r="E522" s="88"/>
      <c r="F522" s="217"/>
      <c r="G522" s="234"/>
      <c r="H522" s="218"/>
      <c r="I522" s="76"/>
      <c r="J522" s="77"/>
      <c r="K522" s="76"/>
      <c r="L522" s="78"/>
      <c r="M522" s="78"/>
      <c r="N522" s="76" t="s">
        <v>39</v>
      </c>
      <c r="O522" s="110"/>
      <c r="P522" s="152"/>
      <c r="Q522" s="111" t="str">
        <f>IFERROR(MIN(VLOOKUP(ROUNDDOWN(P522,0),'Aide calcul'!$B$2:$C$282,2,FALSE),O522+1),"")</f>
        <v/>
      </c>
      <c r="R522" s="112" t="str">
        <f t="shared" si="109"/>
        <v/>
      </c>
      <c r="S522" s="152"/>
      <c r="T522" s="152"/>
      <c r="U522" s="152"/>
      <c r="V522" s="152"/>
      <c r="W522" s="152"/>
      <c r="X522" s="152"/>
      <c r="Y522" s="152"/>
      <c r="Z522" s="76"/>
      <c r="AA522" s="76"/>
      <c r="AB522" s="113" t="str">
        <f>IF(C522="3111. Logements",ROUND(VLOOKUP(C522,'Informations générales'!$C$66:$E$70,3,FALSE)*(AL522/$AM$28)/12,0)*12,IF(C522="3112. Logements",ROUND(VLOOKUP(C522,'Informations générales'!$C$66:$E$70,3,FALSE)*(AL522/$AN$28)/12,0)*12,IF(C522="3113. Logements",ROUND(VLOOKUP(C522,'Informations générales'!$C$66:$E$70,3,FALSE)*(AL522/$AO$28)/12,0)*12,IF(C522="3114. Logements",ROUND(VLOOKUP(C522,'Informations générales'!$C$66:$E$70,3,FALSE)*(AL522/$AP$28)/12,0)*12,IF(C522="3115. Logements",ROUND(VLOOKUP(C522,'Informations générales'!$C$66:$E$70,3,FALSE)*(AL522/$AQ$28)/12,0)*12,"")))))</f>
        <v/>
      </c>
      <c r="AC522" s="114"/>
      <c r="AD522" s="113">
        <f t="shared" si="110"/>
        <v>0</v>
      </c>
      <c r="AE522" s="114"/>
      <c r="AF522" s="203" t="str">
        <f>IF(C522="3111. Logements",ROUND(VLOOKUP(C522,'Informations générales'!$C$66:$E$70,3,FALSE)*(AL522/$AM$28)/12,0)*12,IF(C522="3112. Logements",ROUND(VLOOKUP(C522,'Informations générales'!$C$66:$E$70,3,FALSE)*(AL522/$AN$28)/12,0)*12,IF(C522="3113. Logements",ROUND(VLOOKUP(C522,'Informations générales'!$C$66:$E$70,3,FALSE)*(AL522/$AO$28)/12,0)*12,IF(C522="3114. Logements",ROUND(VLOOKUP(C522,'Informations générales'!$C$66:$E$70,3,FALSE)*(AL522/$AP$28)/12,0)*12,IF(C522="3115. Logements",ROUND(VLOOKUP(C522,'Informations générales'!$C$66:$E$70,3,FALSE)*(AL522/$AQ$28)/12,0)*12,"")))))</f>
        <v/>
      </c>
      <c r="AG522" s="202"/>
      <c r="AH522" s="113" t="str">
        <f>IF(C522="3111. Logements",ROUND(VLOOKUP(C522,'Informations générales'!$C$66:$H$70,5,FALSE)*(AL522/$AM$28)/12,0)*12,IF(C522="3112. Logements",ROUND(VLOOKUP(C522,'Informations générales'!$C$66:$H$70,5,FALSE)*(AL522/$AN$28)/12,0)*12,IF(C522="3113. Logements",ROUND(VLOOKUP(C522,'Informations générales'!$C$66:$H$70,5,FALSE)*(AL522/$AO$28)/12,0)*12,IF(C522="3114. Logements",ROUND(VLOOKUP(C522,'Informations générales'!$C$66:$H$70,5,FALSE)*(AL522/$AP$28)/12,0)*12,IF(C522="3115. Logements",ROUND(VLOOKUP(C522,'Informations générales'!$C$66:$H$70,5,FALSE)*(AL522/$AQ$28)/12,0)*12,"")))))</f>
        <v/>
      </c>
      <c r="AI522" s="114"/>
      <c r="AJ522" s="114"/>
      <c r="AK522" s="76"/>
      <c r="AL522" s="58">
        <f t="shared" si="111"/>
        <v>0</v>
      </c>
      <c r="AM522" s="58"/>
      <c r="AN522" s="58"/>
      <c r="AO522" s="58"/>
      <c r="AP522" s="58"/>
      <c r="AQ522" s="58"/>
      <c r="AR522" s="58">
        <f t="shared" si="101"/>
        <v>0</v>
      </c>
      <c r="AS522" s="58">
        <f t="shared" si="102"/>
        <v>0</v>
      </c>
      <c r="AT522" s="58">
        <f t="shared" si="103"/>
        <v>0</v>
      </c>
      <c r="AU522" s="58">
        <f t="shared" si="104"/>
        <v>0</v>
      </c>
      <c r="AV522" s="58">
        <f t="shared" si="105"/>
        <v>0</v>
      </c>
      <c r="AW522" s="58">
        <f t="shared" si="106"/>
        <v>0</v>
      </c>
      <c r="AX522" s="58">
        <f t="shared" si="107"/>
        <v>0</v>
      </c>
      <c r="AY522" s="58">
        <f t="shared" si="112"/>
        <v>0</v>
      </c>
      <c r="AZ522" s="62">
        <f t="shared" si="113"/>
        <v>0</v>
      </c>
      <c r="BA522" s="63">
        <f t="shared" si="116"/>
        <v>0</v>
      </c>
      <c r="BB522" s="63">
        <f t="shared" si="114"/>
        <v>0</v>
      </c>
    </row>
    <row r="523" spans="3:54" s="17" customFormat="1" x14ac:dyDescent="0.25">
      <c r="C523" s="215"/>
      <c r="D523" s="216"/>
      <c r="E523" s="88"/>
      <c r="F523" s="217"/>
      <c r="G523" s="234"/>
      <c r="H523" s="218"/>
      <c r="I523" s="76"/>
      <c r="J523" s="77"/>
      <c r="K523" s="76"/>
      <c r="L523" s="78"/>
      <c r="M523" s="78"/>
      <c r="N523" s="76" t="s">
        <v>39</v>
      </c>
      <c r="O523" s="110"/>
      <c r="P523" s="152"/>
      <c r="Q523" s="111" t="str">
        <f>IFERROR(MIN(VLOOKUP(ROUNDDOWN(P523,0),'Aide calcul'!$B$2:$C$282,2,FALSE),O523+1),"")</f>
        <v/>
      </c>
      <c r="R523" s="112" t="str">
        <f t="shared" si="109"/>
        <v/>
      </c>
      <c r="S523" s="152"/>
      <c r="T523" s="152"/>
      <c r="U523" s="152"/>
      <c r="V523" s="152"/>
      <c r="W523" s="152"/>
      <c r="X523" s="152"/>
      <c r="Y523" s="152"/>
      <c r="Z523" s="76"/>
      <c r="AA523" s="76"/>
      <c r="AB523" s="113" t="str">
        <f>IF(C523="3111. Logements",ROUND(VLOOKUP(C523,'Informations générales'!$C$66:$E$70,3,FALSE)*(AL523/$AM$28)/12,0)*12,IF(C523="3112. Logements",ROUND(VLOOKUP(C523,'Informations générales'!$C$66:$E$70,3,FALSE)*(AL523/$AN$28)/12,0)*12,IF(C523="3113. Logements",ROUND(VLOOKUP(C523,'Informations générales'!$C$66:$E$70,3,FALSE)*(AL523/$AO$28)/12,0)*12,IF(C523="3114. Logements",ROUND(VLOOKUP(C523,'Informations générales'!$C$66:$E$70,3,FALSE)*(AL523/$AP$28)/12,0)*12,IF(C523="3115. Logements",ROUND(VLOOKUP(C523,'Informations générales'!$C$66:$E$70,3,FALSE)*(AL523/$AQ$28)/12,0)*12,"")))))</f>
        <v/>
      </c>
      <c r="AC523" s="114"/>
      <c r="AD523" s="113">
        <f t="shared" si="110"/>
        <v>0</v>
      </c>
      <c r="AE523" s="114"/>
      <c r="AF523" s="203" t="str">
        <f>IF(C523="3111. Logements",ROUND(VLOOKUP(C523,'Informations générales'!$C$66:$E$70,3,FALSE)*(AL523/$AM$28)/12,0)*12,IF(C523="3112. Logements",ROUND(VLOOKUP(C523,'Informations générales'!$C$66:$E$70,3,FALSE)*(AL523/$AN$28)/12,0)*12,IF(C523="3113. Logements",ROUND(VLOOKUP(C523,'Informations générales'!$C$66:$E$70,3,FALSE)*(AL523/$AO$28)/12,0)*12,IF(C523="3114. Logements",ROUND(VLOOKUP(C523,'Informations générales'!$C$66:$E$70,3,FALSE)*(AL523/$AP$28)/12,0)*12,IF(C523="3115. Logements",ROUND(VLOOKUP(C523,'Informations générales'!$C$66:$E$70,3,FALSE)*(AL523/$AQ$28)/12,0)*12,"")))))</f>
        <v/>
      </c>
      <c r="AG523" s="202"/>
      <c r="AH523" s="113" t="str">
        <f>IF(C523="3111. Logements",ROUND(VLOOKUP(C523,'Informations générales'!$C$66:$H$70,5,FALSE)*(AL523/$AM$28)/12,0)*12,IF(C523="3112. Logements",ROUND(VLOOKUP(C523,'Informations générales'!$C$66:$H$70,5,FALSE)*(AL523/$AN$28)/12,0)*12,IF(C523="3113. Logements",ROUND(VLOOKUP(C523,'Informations générales'!$C$66:$H$70,5,FALSE)*(AL523/$AO$28)/12,0)*12,IF(C523="3114. Logements",ROUND(VLOOKUP(C523,'Informations générales'!$C$66:$H$70,5,FALSE)*(AL523/$AP$28)/12,0)*12,IF(C523="3115. Logements",ROUND(VLOOKUP(C523,'Informations générales'!$C$66:$H$70,5,FALSE)*(AL523/$AQ$28)/12,0)*12,"")))))</f>
        <v/>
      </c>
      <c r="AI523" s="114"/>
      <c r="AJ523" s="114"/>
      <c r="AK523" s="76"/>
      <c r="AL523" s="58">
        <f t="shared" si="111"/>
        <v>0</v>
      </c>
      <c r="AM523" s="58"/>
      <c r="AN523" s="58"/>
      <c r="AO523" s="58"/>
      <c r="AP523" s="58"/>
      <c r="AQ523" s="58"/>
      <c r="AR523" s="58">
        <f t="shared" si="101"/>
        <v>0</v>
      </c>
      <c r="AS523" s="58">
        <f t="shared" si="102"/>
        <v>0</v>
      </c>
      <c r="AT523" s="58">
        <f t="shared" si="103"/>
        <v>0</v>
      </c>
      <c r="AU523" s="58">
        <f t="shared" si="104"/>
        <v>0</v>
      </c>
      <c r="AV523" s="58">
        <f t="shared" si="105"/>
        <v>0</v>
      </c>
      <c r="AW523" s="58">
        <f t="shared" si="106"/>
        <v>0</v>
      </c>
      <c r="AX523" s="58">
        <f t="shared" si="107"/>
        <v>0</v>
      </c>
      <c r="AY523" s="58">
        <f t="shared" si="112"/>
        <v>0</v>
      </c>
      <c r="AZ523" s="62">
        <f t="shared" si="113"/>
        <v>0</v>
      </c>
      <c r="BA523" s="63">
        <f t="shared" si="116"/>
        <v>0</v>
      </c>
      <c r="BB523" s="63">
        <f t="shared" si="114"/>
        <v>0</v>
      </c>
    </row>
    <row r="524" spans="3:54" s="17" customFormat="1" x14ac:dyDescent="0.25">
      <c r="C524" s="215"/>
      <c r="D524" s="216"/>
      <c r="E524" s="88"/>
      <c r="F524" s="217"/>
      <c r="G524" s="234"/>
      <c r="H524" s="218"/>
      <c r="I524" s="76"/>
      <c r="J524" s="77"/>
      <c r="K524" s="76"/>
      <c r="L524" s="78"/>
      <c r="M524" s="78"/>
      <c r="N524" s="76" t="s">
        <v>39</v>
      </c>
      <c r="O524" s="110"/>
      <c r="P524" s="152"/>
      <c r="Q524" s="111" t="str">
        <f>IFERROR(MIN(VLOOKUP(ROUNDDOWN(P524,0),'Aide calcul'!$B$2:$C$282,2,FALSE),O524+1),"")</f>
        <v/>
      </c>
      <c r="R524" s="112" t="str">
        <f t="shared" si="109"/>
        <v/>
      </c>
      <c r="S524" s="152"/>
      <c r="T524" s="152"/>
      <c r="U524" s="152"/>
      <c r="V524" s="152"/>
      <c r="W524" s="152"/>
      <c r="X524" s="152"/>
      <c r="Y524" s="152"/>
      <c r="Z524" s="76"/>
      <c r="AA524" s="76"/>
      <c r="AB524" s="113" t="str">
        <f>IF(C524="3111. Logements",ROUND(VLOOKUP(C524,'Informations générales'!$C$66:$E$70,3,FALSE)*(AL524/$AM$28)/12,0)*12,IF(C524="3112. Logements",ROUND(VLOOKUP(C524,'Informations générales'!$C$66:$E$70,3,FALSE)*(AL524/$AN$28)/12,0)*12,IF(C524="3113. Logements",ROUND(VLOOKUP(C524,'Informations générales'!$C$66:$E$70,3,FALSE)*(AL524/$AO$28)/12,0)*12,IF(C524="3114. Logements",ROUND(VLOOKUP(C524,'Informations générales'!$C$66:$E$70,3,FALSE)*(AL524/$AP$28)/12,0)*12,IF(C524="3115. Logements",ROUND(VLOOKUP(C524,'Informations générales'!$C$66:$E$70,3,FALSE)*(AL524/$AQ$28)/12,0)*12,"")))))</f>
        <v/>
      </c>
      <c r="AC524" s="114"/>
      <c r="AD524" s="113">
        <f t="shared" si="110"/>
        <v>0</v>
      </c>
      <c r="AE524" s="114"/>
      <c r="AF524" s="203" t="str">
        <f>IF(C524="3111. Logements",ROUND(VLOOKUP(C524,'Informations générales'!$C$66:$E$70,3,FALSE)*(AL524/$AM$28)/12,0)*12,IF(C524="3112. Logements",ROUND(VLOOKUP(C524,'Informations générales'!$C$66:$E$70,3,FALSE)*(AL524/$AN$28)/12,0)*12,IF(C524="3113. Logements",ROUND(VLOOKUP(C524,'Informations générales'!$C$66:$E$70,3,FALSE)*(AL524/$AO$28)/12,0)*12,IF(C524="3114. Logements",ROUND(VLOOKUP(C524,'Informations générales'!$C$66:$E$70,3,FALSE)*(AL524/$AP$28)/12,0)*12,IF(C524="3115. Logements",ROUND(VLOOKUP(C524,'Informations générales'!$C$66:$E$70,3,FALSE)*(AL524/$AQ$28)/12,0)*12,"")))))</f>
        <v/>
      </c>
      <c r="AG524" s="202"/>
      <c r="AH524" s="113" t="str">
        <f>IF(C524="3111. Logements",ROUND(VLOOKUP(C524,'Informations générales'!$C$66:$H$70,5,FALSE)*(AL524/$AM$28)/12,0)*12,IF(C524="3112. Logements",ROUND(VLOOKUP(C524,'Informations générales'!$C$66:$H$70,5,FALSE)*(AL524/$AN$28)/12,0)*12,IF(C524="3113. Logements",ROUND(VLOOKUP(C524,'Informations générales'!$C$66:$H$70,5,FALSE)*(AL524/$AO$28)/12,0)*12,IF(C524="3114. Logements",ROUND(VLOOKUP(C524,'Informations générales'!$C$66:$H$70,5,FALSE)*(AL524/$AP$28)/12,0)*12,IF(C524="3115. Logements",ROUND(VLOOKUP(C524,'Informations générales'!$C$66:$H$70,5,FALSE)*(AL524/$AQ$28)/12,0)*12,"")))))</f>
        <v/>
      </c>
      <c r="AI524" s="114"/>
      <c r="AJ524" s="114"/>
      <c r="AK524" s="76"/>
      <c r="AL524" s="58">
        <f>AY524*(SUM(1,AZ524,BA524,BB524))</f>
        <v>0</v>
      </c>
      <c r="AM524" s="58"/>
      <c r="AN524" s="58"/>
      <c r="AO524" s="58"/>
      <c r="AP524" s="58"/>
      <c r="AQ524" s="58"/>
      <c r="AR524" s="58">
        <f t="shared" si="101"/>
        <v>0</v>
      </c>
      <c r="AS524" s="58">
        <f t="shared" si="102"/>
        <v>0</v>
      </c>
      <c r="AT524" s="58">
        <f t="shared" si="103"/>
        <v>0</v>
      </c>
      <c r="AU524" s="58">
        <f t="shared" si="104"/>
        <v>0</v>
      </c>
      <c r="AV524" s="58">
        <f t="shared" si="105"/>
        <v>0</v>
      </c>
      <c r="AW524" s="58">
        <f t="shared" si="106"/>
        <v>0</v>
      </c>
      <c r="AX524" s="58">
        <f t="shared" si="107"/>
        <v>0</v>
      </c>
      <c r="AY524" s="58">
        <f t="shared" si="112"/>
        <v>0</v>
      </c>
      <c r="AZ524" s="62">
        <f t="shared" si="113"/>
        <v>0</v>
      </c>
      <c r="BA524" s="63">
        <f t="shared" si="116"/>
        <v>0</v>
      </c>
      <c r="BB524" s="63">
        <f t="shared" si="114"/>
        <v>0</v>
      </c>
    </row>
    <row r="525" spans="3:54" s="17" customFormat="1" x14ac:dyDescent="0.25">
      <c r="C525" s="215"/>
      <c r="D525" s="216"/>
      <c r="E525" s="88"/>
      <c r="F525" s="217"/>
      <c r="G525" s="234"/>
      <c r="H525" s="218"/>
      <c r="I525" s="76"/>
      <c r="J525" s="77"/>
      <c r="K525" s="76"/>
      <c r="L525" s="78"/>
      <c r="M525" s="78"/>
      <c r="N525" s="76" t="s">
        <v>39</v>
      </c>
      <c r="O525" s="110"/>
      <c r="P525" s="152"/>
      <c r="Q525" s="111" t="str">
        <f>IFERROR(MIN(VLOOKUP(ROUNDDOWN(P525,0),'Aide calcul'!$B$2:$C$282,2,FALSE),O525+1),"")</f>
        <v/>
      </c>
      <c r="R525" s="112" t="str">
        <f t="shared" si="109"/>
        <v/>
      </c>
      <c r="S525" s="152"/>
      <c r="T525" s="152"/>
      <c r="U525" s="152"/>
      <c r="V525" s="152"/>
      <c r="W525" s="152"/>
      <c r="X525" s="152"/>
      <c r="Y525" s="152"/>
      <c r="Z525" s="76"/>
      <c r="AA525" s="76"/>
      <c r="AB525" s="113" t="str">
        <f>IF(C525="3111. Logements",ROUND(VLOOKUP(C525,'Informations générales'!$C$66:$E$70,3,FALSE)*(AL525/$AM$28)/12,0)*12,IF(C525="3112. Logements",ROUND(VLOOKUP(C525,'Informations générales'!$C$66:$E$70,3,FALSE)*(AL525/$AN$28)/12,0)*12,IF(C525="3113. Logements",ROUND(VLOOKUP(C525,'Informations générales'!$C$66:$E$70,3,FALSE)*(AL525/$AO$28)/12,0)*12,IF(C525="3114. Logements",ROUND(VLOOKUP(C525,'Informations générales'!$C$66:$E$70,3,FALSE)*(AL525/$AP$28)/12,0)*12,IF(C525="3115. Logements",ROUND(VLOOKUP(C525,'Informations générales'!$C$66:$E$70,3,FALSE)*(AL525/$AQ$28)/12,0)*12,"")))))</f>
        <v/>
      </c>
      <c r="AC525" s="114"/>
      <c r="AD525" s="113">
        <f t="shared" si="110"/>
        <v>0</v>
      </c>
      <c r="AE525" s="114"/>
      <c r="AF525" s="203" t="str">
        <f>IF(C525="3111. Logements",ROUND(VLOOKUP(C525,'Informations générales'!$C$66:$E$70,3,FALSE)*(AL525/$AM$28)/12,0)*12,IF(C525="3112. Logements",ROUND(VLOOKUP(C525,'Informations générales'!$C$66:$E$70,3,FALSE)*(AL525/$AN$28)/12,0)*12,IF(C525="3113. Logements",ROUND(VLOOKUP(C525,'Informations générales'!$C$66:$E$70,3,FALSE)*(AL525/$AO$28)/12,0)*12,IF(C525="3114. Logements",ROUND(VLOOKUP(C525,'Informations générales'!$C$66:$E$70,3,FALSE)*(AL525/$AP$28)/12,0)*12,IF(C525="3115. Logements",ROUND(VLOOKUP(C525,'Informations générales'!$C$66:$E$70,3,FALSE)*(AL525/$AQ$28)/12,0)*12,"")))))</f>
        <v/>
      </c>
      <c r="AG525" s="202"/>
      <c r="AH525" s="113" t="str">
        <f>IF(C525="3111. Logements",ROUND(VLOOKUP(C525,'Informations générales'!$C$66:$H$70,5,FALSE)*(AL525/$AM$28)/12,0)*12,IF(C525="3112. Logements",ROUND(VLOOKUP(C525,'Informations générales'!$C$66:$H$70,5,FALSE)*(AL525/$AN$28)/12,0)*12,IF(C525="3113. Logements",ROUND(VLOOKUP(C525,'Informations générales'!$C$66:$H$70,5,FALSE)*(AL525/$AO$28)/12,0)*12,IF(C525="3114. Logements",ROUND(VLOOKUP(C525,'Informations générales'!$C$66:$H$70,5,FALSE)*(AL525/$AP$28)/12,0)*12,IF(C525="3115. Logements",ROUND(VLOOKUP(C525,'Informations générales'!$C$66:$H$70,5,FALSE)*(AL525/$AQ$28)/12,0)*12,"")))))</f>
        <v/>
      </c>
      <c r="AI525" s="114"/>
      <c r="AJ525" s="114"/>
      <c r="AK525" s="76"/>
      <c r="AL525" s="58">
        <f t="shared" si="111"/>
        <v>0</v>
      </c>
      <c r="AM525" s="58"/>
      <c r="AN525" s="58"/>
      <c r="AO525" s="58"/>
      <c r="AP525" s="58"/>
      <c r="AQ525" s="58"/>
      <c r="AR525" s="58">
        <f t="shared" si="101"/>
        <v>0</v>
      </c>
      <c r="AS525" s="58">
        <f t="shared" si="102"/>
        <v>0</v>
      </c>
      <c r="AT525" s="58">
        <f t="shared" si="103"/>
        <v>0</v>
      </c>
      <c r="AU525" s="58">
        <f t="shared" si="104"/>
        <v>0</v>
      </c>
      <c r="AV525" s="58">
        <f t="shared" si="105"/>
        <v>0</v>
      </c>
      <c r="AW525" s="58">
        <f t="shared" si="106"/>
        <v>0</v>
      </c>
      <c r="AX525" s="58">
        <f t="shared" si="107"/>
        <v>0</v>
      </c>
      <c r="AY525" s="58">
        <f t="shared" si="112"/>
        <v>0</v>
      </c>
      <c r="AZ525" s="62">
        <f t="shared" si="113"/>
        <v>0</v>
      </c>
      <c r="BA525" s="63">
        <f t="shared" si="116"/>
        <v>0</v>
      </c>
      <c r="BB525" s="63">
        <f t="shared" si="114"/>
        <v>0</v>
      </c>
    </row>
    <row r="526" spans="3:54" s="17" customFormat="1" x14ac:dyDescent="0.25">
      <c r="C526" s="215"/>
      <c r="D526" s="216"/>
      <c r="E526" s="88"/>
      <c r="F526" s="217"/>
      <c r="G526" s="234"/>
      <c r="H526" s="218"/>
      <c r="I526" s="76"/>
      <c r="J526" s="77"/>
      <c r="K526" s="76"/>
      <c r="L526" s="78"/>
      <c r="M526" s="78"/>
      <c r="N526" s="76" t="s">
        <v>39</v>
      </c>
      <c r="O526" s="110"/>
      <c r="P526" s="152"/>
      <c r="Q526" s="111" t="str">
        <f>IFERROR(MIN(VLOOKUP(ROUNDDOWN(P526,0),'Aide calcul'!$B$2:$C$282,2,FALSE),O526+1),"")</f>
        <v/>
      </c>
      <c r="R526" s="112" t="str">
        <f t="shared" si="109"/>
        <v/>
      </c>
      <c r="S526" s="152"/>
      <c r="T526" s="152"/>
      <c r="U526" s="152"/>
      <c r="V526" s="152"/>
      <c r="W526" s="152"/>
      <c r="X526" s="152"/>
      <c r="Y526" s="152"/>
      <c r="Z526" s="76"/>
      <c r="AA526" s="76"/>
      <c r="AB526" s="113" t="str">
        <f>IF(C526="3111. Logements",ROUND(VLOOKUP(C526,'Informations générales'!$C$66:$E$70,3,FALSE)*(AL526/$AM$28)/12,0)*12,IF(C526="3112. Logements",ROUND(VLOOKUP(C526,'Informations générales'!$C$66:$E$70,3,FALSE)*(AL526/$AN$28)/12,0)*12,IF(C526="3113. Logements",ROUND(VLOOKUP(C526,'Informations générales'!$C$66:$E$70,3,FALSE)*(AL526/$AO$28)/12,0)*12,IF(C526="3114. Logements",ROUND(VLOOKUP(C526,'Informations générales'!$C$66:$E$70,3,FALSE)*(AL526/$AP$28)/12,0)*12,IF(C526="3115. Logements",ROUND(VLOOKUP(C526,'Informations générales'!$C$66:$E$70,3,FALSE)*(AL526/$AQ$28)/12,0)*12,"")))))</f>
        <v/>
      </c>
      <c r="AC526" s="114"/>
      <c r="AD526" s="113">
        <f t="shared" si="110"/>
        <v>0</v>
      </c>
      <c r="AE526" s="114"/>
      <c r="AF526" s="203" t="str">
        <f>IF(C526="3111. Logements",ROUND(VLOOKUP(C526,'Informations générales'!$C$66:$E$70,3,FALSE)*(AL526/$AM$28)/12,0)*12,IF(C526="3112. Logements",ROUND(VLOOKUP(C526,'Informations générales'!$C$66:$E$70,3,FALSE)*(AL526/$AN$28)/12,0)*12,IF(C526="3113. Logements",ROUND(VLOOKUP(C526,'Informations générales'!$C$66:$E$70,3,FALSE)*(AL526/$AO$28)/12,0)*12,IF(C526="3114. Logements",ROUND(VLOOKUP(C526,'Informations générales'!$C$66:$E$70,3,FALSE)*(AL526/$AP$28)/12,0)*12,IF(C526="3115. Logements",ROUND(VLOOKUP(C526,'Informations générales'!$C$66:$E$70,3,FALSE)*(AL526/$AQ$28)/12,0)*12,"")))))</f>
        <v/>
      </c>
      <c r="AG526" s="202"/>
      <c r="AH526" s="113" t="str">
        <f>IF(C526="3111. Logements",ROUND(VLOOKUP(C526,'Informations générales'!$C$66:$H$70,5,FALSE)*(AL526/$AM$28)/12,0)*12,IF(C526="3112. Logements",ROUND(VLOOKUP(C526,'Informations générales'!$C$66:$H$70,5,FALSE)*(AL526/$AN$28)/12,0)*12,IF(C526="3113. Logements",ROUND(VLOOKUP(C526,'Informations générales'!$C$66:$H$70,5,FALSE)*(AL526/$AO$28)/12,0)*12,IF(C526="3114. Logements",ROUND(VLOOKUP(C526,'Informations générales'!$C$66:$H$70,5,FALSE)*(AL526/$AP$28)/12,0)*12,IF(C526="3115. Logements",ROUND(VLOOKUP(C526,'Informations générales'!$C$66:$H$70,5,FALSE)*(AL526/$AQ$28)/12,0)*12,"")))))</f>
        <v/>
      </c>
      <c r="AI526" s="114"/>
      <c r="AJ526" s="114"/>
      <c r="AK526" s="76"/>
      <c r="AL526" s="58">
        <f t="shared" si="111"/>
        <v>0</v>
      </c>
      <c r="AM526" s="58"/>
      <c r="AN526" s="58"/>
      <c r="AO526" s="58"/>
      <c r="AP526" s="58"/>
      <c r="AQ526" s="58"/>
      <c r="AR526" s="58">
        <f t="shared" si="101"/>
        <v>0</v>
      </c>
      <c r="AS526" s="58">
        <f t="shared" si="102"/>
        <v>0</v>
      </c>
      <c r="AT526" s="58">
        <f t="shared" si="103"/>
        <v>0</v>
      </c>
      <c r="AU526" s="58">
        <f t="shared" si="104"/>
        <v>0</v>
      </c>
      <c r="AV526" s="58">
        <f t="shared" si="105"/>
        <v>0</v>
      </c>
      <c r="AW526" s="58">
        <f t="shared" si="106"/>
        <v>0</v>
      </c>
      <c r="AX526" s="58">
        <f t="shared" si="107"/>
        <v>0</v>
      </c>
      <c r="AY526" s="58">
        <f t="shared" si="112"/>
        <v>0</v>
      </c>
      <c r="AZ526" s="62">
        <f t="shared" si="113"/>
        <v>0</v>
      </c>
      <c r="BA526" s="63">
        <f t="shared" si="116"/>
        <v>0</v>
      </c>
      <c r="BB526" s="63">
        <f t="shared" si="114"/>
        <v>0</v>
      </c>
    </row>
    <row r="527" spans="3:54" s="17" customFormat="1" x14ac:dyDescent="0.25">
      <c r="C527" s="215"/>
      <c r="D527" s="216"/>
      <c r="E527" s="88"/>
      <c r="F527" s="217"/>
      <c r="G527" s="234"/>
      <c r="H527" s="218"/>
      <c r="I527" s="76"/>
      <c r="J527" s="77"/>
      <c r="K527" s="76"/>
      <c r="L527" s="78"/>
      <c r="M527" s="78"/>
      <c r="N527" s="76" t="s">
        <v>39</v>
      </c>
      <c r="O527" s="110"/>
      <c r="P527" s="152"/>
      <c r="Q527" s="111" t="str">
        <f>IFERROR(MIN(VLOOKUP(ROUNDDOWN(P527,0),'Aide calcul'!$B$2:$C$282,2,FALSE),O527+1),"")</f>
        <v/>
      </c>
      <c r="R527" s="112" t="str">
        <f t="shared" si="109"/>
        <v/>
      </c>
      <c r="S527" s="152"/>
      <c r="T527" s="152"/>
      <c r="U527" s="152"/>
      <c r="V527" s="152"/>
      <c r="W527" s="152"/>
      <c r="X527" s="152"/>
      <c r="Y527" s="152"/>
      <c r="Z527" s="76"/>
      <c r="AA527" s="76"/>
      <c r="AB527" s="113" t="str">
        <f>IF(C527="3111. Logements",ROUND(VLOOKUP(C527,'Informations générales'!$C$66:$E$70,3,FALSE)*(AL527/$AM$28)/12,0)*12,IF(C527="3112. Logements",ROUND(VLOOKUP(C527,'Informations générales'!$C$66:$E$70,3,FALSE)*(AL527/$AN$28)/12,0)*12,IF(C527="3113. Logements",ROUND(VLOOKUP(C527,'Informations générales'!$C$66:$E$70,3,FALSE)*(AL527/$AO$28)/12,0)*12,IF(C527="3114. Logements",ROUND(VLOOKUP(C527,'Informations générales'!$C$66:$E$70,3,FALSE)*(AL527/$AP$28)/12,0)*12,IF(C527="3115. Logements",ROUND(VLOOKUP(C527,'Informations générales'!$C$66:$E$70,3,FALSE)*(AL527/$AQ$28)/12,0)*12,"")))))</f>
        <v/>
      </c>
      <c r="AC527" s="114"/>
      <c r="AD527" s="113">
        <f t="shared" si="110"/>
        <v>0</v>
      </c>
      <c r="AE527" s="114"/>
      <c r="AF527" s="203" t="str">
        <f>IF(C527="3111. Logements",ROUND(VLOOKUP(C527,'Informations générales'!$C$66:$E$70,3,FALSE)*(AL527/$AM$28)/12,0)*12,IF(C527="3112. Logements",ROUND(VLOOKUP(C527,'Informations générales'!$C$66:$E$70,3,FALSE)*(AL527/$AN$28)/12,0)*12,IF(C527="3113. Logements",ROUND(VLOOKUP(C527,'Informations générales'!$C$66:$E$70,3,FALSE)*(AL527/$AO$28)/12,0)*12,IF(C527="3114. Logements",ROUND(VLOOKUP(C527,'Informations générales'!$C$66:$E$70,3,FALSE)*(AL527/$AP$28)/12,0)*12,IF(C527="3115. Logements",ROUND(VLOOKUP(C527,'Informations générales'!$C$66:$E$70,3,FALSE)*(AL527/$AQ$28)/12,0)*12,"")))))</f>
        <v/>
      </c>
      <c r="AG527" s="202"/>
      <c r="AH527" s="113" t="str">
        <f>IF(C527="3111. Logements",ROUND(VLOOKUP(C527,'Informations générales'!$C$66:$H$70,5,FALSE)*(AL527/$AM$28)/12,0)*12,IF(C527="3112. Logements",ROUND(VLOOKUP(C527,'Informations générales'!$C$66:$H$70,5,FALSE)*(AL527/$AN$28)/12,0)*12,IF(C527="3113. Logements",ROUND(VLOOKUP(C527,'Informations générales'!$C$66:$H$70,5,FALSE)*(AL527/$AO$28)/12,0)*12,IF(C527="3114. Logements",ROUND(VLOOKUP(C527,'Informations générales'!$C$66:$H$70,5,FALSE)*(AL527/$AP$28)/12,0)*12,IF(C527="3115. Logements",ROUND(VLOOKUP(C527,'Informations générales'!$C$66:$H$70,5,FALSE)*(AL527/$AQ$28)/12,0)*12,"")))))</f>
        <v/>
      </c>
      <c r="AI527" s="114"/>
      <c r="AJ527" s="114"/>
      <c r="AK527" s="76"/>
      <c r="AL527" s="58">
        <f t="shared" si="111"/>
        <v>0</v>
      </c>
      <c r="AM527" s="58"/>
      <c r="AN527" s="58"/>
      <c r="AO527" s="58"/>
      <c r="AP527" s="58"/>
      <c r="AQ527" s="58"/>
      <c r="AR527" s="58">
        <f t="shared" si="101"/>
        <v>0</v>
      </c>
      <c r="AS527" s="58">
        <f t="shared" si="102"/>
        <v>0</v>
      </c>
      <c r="AT527" s="58">
        <f t="shared" si="103"/>
        <v>0</v>
      </c>
      <c r="AU527" s="58">
        <f t="shared" si="104"/>
        <v>0</v>
      </c>
      <c r="AV527" s="58">
        <f t="shared" si="105"/>
        <v>0</v>
      </c>
      <c r="AW527" s="58">
        <f t="shared" si="106"/>
        <v>0</v>
      </c>
      <c r="AX527" s="58">
        <f t="shared" si="107"/>
        <v>0</v>
      </c>
      <c r="AY527" s="58">
        <f t="shared" si="112"/>
        <v>0</v>
      </c>
      <c r="AZ527" s="62">
        <f t="shared" si="113"/>
        <v>0</v>
      </c>
      <c r="BA527" s="63">
        <f t="shared" si="116"/>
        <v>0</v>
      </c>
      <c r="BB527" s="63">
        <f t="shared" si="114"/>
        <v>0</v>
      </c>
    </row>
  </sheetData>
  <sheetProtection algorithmName="SHA-512" hashValue="U0LBQdRokb7gjp++Fto912SXxSZeetJc90Nl7rl3Kfy846jvhki7gz1y39BTemFyM7rXo27+o5/MOQ9BHKKLsg==" saltValue="1O0Nu8tEqInlRJS7lJMrQA==" spinCount="100000" sheet="1" objects="1" scenarios="1"/>
  <mergeCells count="1005">
    <mergeCell ref="F26:H26"/>
    <mergeCell ref="F28:H28"/>
    <mergeCell ref="F29:H29"/>
    <mergeCell ref="F30:H30"/>
    <mergeCell ref="F31:H31"/>
    <mergeCell ref="F32:H32"/>
    <mergeCell ref="F33:H33"/>
    <mergeCell ref="F34:H34"/>
    <mergeCell ref="C26:D26"/>
    <mergeCell ref="C28:D28"/>
    <mergeCell ref="C29:D29"/>
    <mergeCell ref="C30:D30"/>
    <mergeCell ref="C31:D31"/>
    <mergeCell ref="AB25:AD25"/>
    <mergeCell ref="AE25:AI25"/>
    <mergeCell ref="C40:D40"/>
    <mergeCell ref="F40:H40"/>
    <mergeCell ref="C41:D41"/>
    <mergeCell ref="F41:H41"/>
    <mergeCell ref="C42:D42"/>
    <mergeCell ref="F42:H42"/>
    <mergeCell ref="C37:D37"/>
    <mergeCell ref="F37:H37"/>
    <mergeCell ref="C38:D38"/>
    <mergeCell ref="F38:H38"/>
    <mergeCell ref="C39:D39"/>
    <mergeCell ref="F39:H39"/>
    <mergeCell ref="C35:D35"/>
    <mergeCell ref="F35:H35"/>
    <mergeCell ref="C36:D36"/>
    <mergeCell ref="F36:H36"/>
    <mergeCell ref="C32:D32"/>
    <mergeCell ref="C33:D33"/>
    <mergeCell ref="C34:D34"/>
    <mergeCell ref="C49:D49"/>
    <mergeCell ref="F49:H49"/>
    <mergeCell ref="C50:D50"/>
    <mergeCell ref="F50:H50"/>
    <mergeCell ref="C51:D51"/>
    <mergeCell ref="F51:H51"/>
    <mergeCell ref="C46:D46"/>
    <mergeCell ref="F46:H46"/>
    <mergeCell ref="C47:D47"/>
    <mergeCell ref="F47:H47"/>
    <mergeCell ref="C48:D48"/>
    <mergeCell ref="F48:H48"/>
    <mergeCell ref="C43:D43"/>
    <mergeCell ref="F43:H43"/>
    <mergeCell ref="C44:D44"/>
    <mergeCell ref="F44:H44"/>
    <mergeCell ref="C45:D45"/>
    <mergeCell ref="F45:H45"/>
    <mergeCell ref="C58:D58"/>
    <mergeCell ref="F58:H58"/>
    <mergeCell ref="C59:D59"/>
    <mergeCell ref="F59:H59"/>
    <mergeCell ref="C60:D60"/>
    <mergeCell ref="F60:H60"/>
    <mergeCell ref="C55:D55"/>
    <mergeCell ref="F55:H55"/>
    <mergeCell ref="C56:D56"/>
    <mergeCell ref="F56:H56"/>
    <mergeCell ref="C57:D57"/>
    <mergeCell ref="F57:H57"/>
    <mergeCell ref="C52:D52"/>
    <mergeCell ref="F52:H52"/>
    <mergeCell ref="C53:D53"/>
    <mergeCell ref="F53:H53"/>
    <mergeCell ref="C54:D54"/>
    <mergeCell ref="F54:H54"/>
    <mergeCell ref="C67:D67"/>
    <mergeCell ref="F67:H67"/>
    <mergeCell ref="C68:D68"/>
    <mergeCell ref="F68:H68"/>
    <mergeCell ref="C69:D69"/>
    <mergeCell ref="F69:H69"/>
    <mergeCell ref="C64:D64"/>
    <mergeCell ref="F64:H64"/>
    <mergeCell ref="C65:D65"/>
    <mergeCell ref="F65:H65"/>
    <mergeCell ref="C66:D66"/>
    <mergeCell ref="F66:H66"/>
    <mergeCell ref="C61:D61"/>
    <mergeCell ref="F61:H61"/>
    <mergeCell ref="C62:D62"/>
    <mergeCell ref="F62:H62"/>
    <mergeCell ref="C63:D63"/>
    <mergeCell ref="F63:H63"/>
    <mergeCell ref="C76:D76"/>
    <mergeCell ref="F76:H76"/>
    <mergeCell ref="C77:D77"/>
    <mergeCell ref="F77:H77"/>
    <mergeCell ref="C78:D78"/>
    <mergeCell ref="F78:H78"/>
    <mergeCell ref="C73:D73"/>
    <mergeCell ref="F73:H73"/>
    <mergeCell ref="C74:D74"/>
    <mergeCell ref="F74:H74"/>
    <mergeCell ref="C75:D75"/>
    <mergeCell ref="F75:H75"/>
    <mergeCell ref="C70:D70"/>
    <mergeCell ref="F70:H70"/>
    <mergeCell ref="C71:D71"/>
    <mergeCell ref="F71:H71"/>
    <mergeCell ref="C72:D72"/>
    <mergeCell ref="F72:H72"/>
    <mergeCell ref="C85:D85"/>
    <mergeCell ref="F85:H85"/>
    <mergeCell ref="C86:D86"/>
    <mergeCell ref="F86:H86"/>
    <mergeCell ref="C87:D87"/>
    <mergeCell ref="F87:H87"/>
    <mergeCell ref="C82:D82"/>
    <mergeCell ref="F82:H82"/>
    <mergeCell ref="C83:D83"/>
    <mergeCell ref="F83:H83"/>
    <mergeCell ref="C84:D84"/>
    <mergeCell ref="F84:H84"/>
    <mergeCell ref="C79:D79"/>
    <mergeCell ref="F79:H79"/>
    <mergeCell ref="C80:D80"/>
    <mergeCell ref="F80:H80"/>
    <mergeCell ref="C81:D81"/>
    <mergeCell ref="F81:H81"/>
    <mergeCell ref="C94:D94"/>
    <mergeCell ref="F94:H94"/>
    <mergeCell ref="C95:D95"/>
    <mergeCell ref="F95:H95"/>
    <mergeCell ref="C96:D96"/>
    <mergeCell ref="F96:H96"/>
    <mergeCell ref="C91:D91"/>
    <mergeCell ref="F91:H91"/>
    <mergeCell ref="C92:D92"/>
    <mergeCell ref="F92:H92"/>
    <mergeCell ref="C93:D93"/>
    <mergeCell ref="F93:H93"/>
    <mergeCell ref="C88:D88"/>
    <mergeCell ref="F88:H88"/>
    <mergeCell ref="C89:D89"/>
    <mergeCell ref="F89:H89"/>
    <mergeCell ref="C90:D90"/>
    <mergeCell ref="F90:H90"/>
    <mergeCell ref="C103:D103"/>
    <mergeCell ref="F103:H103"/>
    <mergeCell ref="C104:D104"/>
    <mergeCell ref="F104:H104"/>
    <mergeCell ref="C105:D105"/>
    <mergeCell ref="F105:H105"/>
    <mergeCell ref="C100:D100"/>
    <mergeCell ref="F100:H100"/>
    <mergeCell ref="C101:D101"/>
    <mergeCell ref="F101:H101"/>
    <mergeCell ref="C102:D102"/>
    <mergeCell ref="F102:H102"/>
    <mergeCell ref="C97:D97"/>
    <mergeCell ref="F97:H97"/>
    <mergeCell ref="C98:D98"/>
    <mergeCell ref="F98:H98"/>
    <mergeCell ref="C99:D99"/>
    <mergeCell ref="F99:H99"/>
    <mergeCell ref="C112:D112"/>
    <mergeCell ref="F112:H112"/>
    <mergeCell ref="C113:D113"/>
    <mergeCell ref="F113:H113"/>
    <mergeCell ref="C114:D114"/>
    <mergeCell ref="F114:H114"/>
    <mergeCell ref="C109:D109"/>
    <mergeCell ref="F109:H109"/>
    <mergeCell ref="C110:D110"/>
    <mergeCell ref="F110:H110"/>
    <mergeCell ref="C111:D111"/>
    <mergeCell ref="F111:H111"/>
    <mergeCell ref="C106:D106"/>
    <mergeCell ref="F106:H106"/>
    <mergeCell ref="C107:D107"/>
    <mergeCell ref="F107:H107"/>
    <mergeCell ref="C108:D108"/>
    <mergeCell ref="F108:H108"/>
    <mergeCell ref="C121:D121"/>
    <mergeCell ref="F121:H121"/>
    <mergeCell ref="C122:D122"/>
    <mergeCell ref="F122:H122"/>
    <mergeCell ref="C123:D123"/>
    <mergeCell ref="F123:H123"/>
    <mergeCell ref="C118:D118"/>
    <mergeCell ref="F118:H118"/>
    <mergeCell ref="C119:D119"/>
    <mergeCell ref="F119:H119"/>
    <mergeCell ref="C120:D120"/>
    <mergeCell ref="F120:H120"/>
    <mergeCell ref="C115:D115"/>
    <mergeCell ref="F115:H115"/>
    <mergeCell ref="C116:D116"/>
    <mergeCell ref="F116:H116"/>
    <mergeCell ref="C117:D117"/>
    <mergeCell ref="F117:H117"/>
    <mergeCell ref="C130:D130"/>
    <mergeCell ref="F130:H130"/>
    <mergeCell ref="C131:D131"/>
    <mergeCell ref="F131:H131"/>
    <mergeCell ref="C132:D132"/>
    <mergeCell ref="F132:H132"/>
    <mergeCell ref="C127:D127"/>
    <mergeCell ref="F127:H127"/>
    <mergeCell ref="C128:D128"/>
    <mergeCell ref="F128:H128"/>
    <mergeCell ref="C129:D129"/>
    <mergeCell ref="F129:H129"/>
    <mergeCell ref="C124:D124"/>
    <mergeCell ref="F124:H124"/>
    <mergeCell ref="C125:D125"/>
    <mergeCell ref="F125:H125"/>
    <mergeCell ref="C126:D126"/>
    <mergeCell ref="F126:H126"/>
    <mergeCell ref="C139:D139"/>
    <mergeCell ref="F139:H139"/>
    <mergeCell ref="C140:D140"/>
    <mergeCell ref="F140:H140"/>
    <mergeCell ref="C141:D141"/>
    <mergeCell ref="F141:H141"/>
    <mergeCell ref="C136:D136"/>
    <mergeCell ref="F136:H136"/>
    <mergeCell ref="C137:D137"/>
    <mergeCell ref="F137:H137"/>
    <mergeCell ref="C138:D138"/>
    <mergeCell ref="F138:H138"/>
    <mergeCell ref="C133:D133"/>
    <mergeCell ref="F133:H133"/>
    <mergeCell ref="C134:D134"/>
    <mergeCell ref="F134:H134"/>
    <mergeCell ref="C135:D135"/>
    <mergeCell ref="F135:H135"/>
    <mergeCell ref="C148:D148"/>
    <mergeCell ref="F148:H148"/>
    <mergeCell ref="C149:D149"/>
    <mergeCell ref="F149:H149"/>
    <mergeCell ref="C150:D150"/>
    <mergeCell ref="F150:H150"/>
    <mergeCell ref="C145:D145"/>
    <mergeCell ref="F145:H145"/>
    <mergeCell ref="C146:D146"/>
    <mergeCell ref="F146:H146"/>
    <mergeCell ref="C147:D147"/>
    <mergeCell ref="F147:H147"/>
    <mergeCell ref="C142:D142"/>
    <mergeCell ref="F142:H142"/>
    <mergeCell ref="C143:D143"/>
    <mergeCell ref="F143:H143"/>
    <mergeCell ref="C144:D144"/>
    <mergeCell ref="F144:H144"/>
    <mergeCell ref="C157:D157"/>
    <mergeCell ref="F157:H157"/>
    <mergeCell ref="C158:D158"/>
    <mergeCell ref="F158:H158"/>
    <mergeCell ref="C159:D159"/>
    <mergeCell ref="F159:H159"/>
    <mergeCell ref="C154:D154"/>
    <mergeCell ref="F154:H154"/>
    <mergeCell ref="C155:D155"/>
    <mergeCell ref="F155:H155"/>
    <mergeCell ref="C156:D156"/>
    <mergeCell ref="F156:H156"/>
    <mergeCell ref="C151:D151"/>
    <mergeCell ref="F151:H151"/>
    <mergeCell ref="C152:D152"/>
    <mergeCell ref="F152:H152"/>
    <mergeCell ref="C153:D153"/>
    <mergeCell ref="F153:H153"/>
    <mergeCell ref="C166:D166"/>
    <mergeCell ref="F166:H166"/>
    <mergeCell ref="C167:D167"/>
    <mergeCell ref="F167:H167"/>
    <mergeCell ref="C168:D168"/>
    <mergeCell ref="F168:H168"/>
    <mergeCell ref="C163:D163"/>
    <mergeCell ref="F163:H163"/>
    <mergeCell ref="C164:D164"/>
    <mergeCell ref="F164:H164"/>
    <mergeCell ref="C165:D165"/>
    <mergeCell ref="F165:H165"/>
    <mergeCell ref="C160:D160"/>
    <mergeCell ref="F160:H160"/>
    <mergeCell ref="C161:D161"/>
    <mergeCell ref="F161:H161"/>
    <mergeCell ref="C162:D162"/>
    <mergeCell ref="F162:H162"/>
    <mergeCell ref="C175:D175"/>
    <mergeCell ref="F175:H175"/>
    <mergeCell ref="C176:D176"/>
    <mergeCell ref="F176:H176"/>
    <mergeCell ref="C177:D177"/>
    <mergeCell ref="F177:H177"/>
    <mergeCell ref="C172:D172"/>
    <mergeCell ref="F172:H172"/>
    <mergeCell ref="C173:D173"/>
    <mergeCell ref="F173:H173"/>
    <mergeCell ref="C174:D174"/>
    <mergeCell ref="F174:H174"/>
    <mergeCell ref="C169:D169"/>
    <mergeCell ref="F169:H169"/>
    <mergeCell ref="C170:D170"/>
    <mergeCell ref="F170:H170"/>
    <mergeCell ref="C171:D171"/>
    <mergeCell ref="F171:H171"/>
    <mergeCell ref="C184:D184"/>
    <mergeCell ref="F184:H184"/>
    <mergeCell ref="C185:D185"/>
    <mergeCell ref="F185:H185"/>
    <mergeCell ref="C186:D186"/>
    <mergeCell ref="F186:H186"/>
    <mergeCell ref="C181:D181"/>
    <mergeCell ref="F181:H181"/>
    <mergeCell ref="C182:D182"/>
    <mergeCell ref="F182:H182"/>
    <mergeCell ref="C183:D183"/>
    <mergeCell ref="F183:H183"/>
    <mergeCell ref="C178:D178"/>
    <mergeCell ref="F178:H178"/>
    <mergeCell ref="C179:D179"/>
    <mergeCell ref="F179:H179"/>
    <mergeCell ref="C180:D180"/>
    <mergeCell ref="F180:H180"/>
    <mergeCell ref="C193:D193"/>
    <mergeCell ref="F193:H193"/>
    <mergeCell ref="C194:D194"/>
    <mergeCell ref="F194:H194"/>
    <mergeCell ref="C195:D195"/>
    <mergeCell ref="F195:H195"/>
    <mergeCell ref="C190:D190"/>
    <mergeCell ref="F190:H190"/>
    <mergeCell ref="C191:D191"/>
    <mergeCell ref="F191:H191"/>
    <mergeCell ref="C192:D192"/>
    <mergeCell ref="F192:H192"/>
    <mergeCell ref="C187:D187"/>
    <mergeCell ref="F187:H187"/>
    <mergeCell ref="C188:D188"/>
    <mergeCell ref="F188:H188"/>
    <mergeCell ref="C189:D189"/>
    <mergeCell ref="F189:H189"/>
    <mergeCell ref="C202:D202"/>
    <mergeCell ref="F202:H202"/>
    <mergeCell ref="C203:D203"/>
    <mergeCell ref="F203:H203"/>
    <mergeCell ref="C204:D204"/>
    <mergeCell ref="F204:H204"/>
    <mergeCell ref="C199:D199"/>
    <mergeCell ref="F199:H199"/>
    <mergeCell ref="C200:D200"/>
    <mergeCell ref="F200:H200"/>
    <mergeCell ref="C201:D201"/>
    <mergeCell ref="F201:H201"/>
    <mergeCell ref="C196:D196"/>
    <mergeCell ref="F196:H196"/>
    <mergeCell ref="C197:D197"/>
    <mergeCell ref="F197:H197"/>
    <mergeCell ref="C198:D198"/>
    <mergeCell ref="F198:H198"/>
    <mergeCell ref="C227:D227"/>
    <mergeCell ref="F227:H227"/>
    <mergeCell ref="C211:D211"/>
    <mergeCell ref="F211:H211"/>
    <mergeCell ref="C212:D212"/>
    <mergeCell ref="F212:H212"/>
    <mergeCell ref="C213:D213"/>
    <mergeCell ref="F213:H213"/>
    <mergeCell ref="C208:D208"/>
    <mergeCell ref="F208:H208"/>
    <mergeCell ref="C209:D209"/>
    <mergeCell ref="F209:H209"/>
    <mergeCell ref="C210:D210"/>
    <mergeCell ref="F210:H210"/>
    <mergeCell ref="C205:D205"/>
    <mergeCell ref="F205:H205"/>
    <mergeCell ref="C206:D206"/>
    <mergeCell ref="F206:H206"/>
    <mergeCell ref="C207:D207"/>
    <mergeCell ref="F207:H207"/>
    <mergeCell ref="C220:D220"/>
    <mergeCell ref="F220:H220"/>
    <mergeCell ref="C237:D237"/>
    <mergeCell ref="F237:H237"/>
    <mergeCell ref="C215:D215"/>
    <mergeCell ref="F215:H215"/>
    <mergeCell ref="C216:D216"/>
    <mergeCell ref="F216:H216"/>
    <mergeCell ref="C217:D217"/>
    <mergeCell ref="F217:H217"/>
    <mergeCell ref="C218:D218"/>
    <mergeCell ref="F218:H218"/>
    <mergeCell ref="C219:D219"/>
    <mergeCell ref="F219:H219"/>
    <mergeCell ref="C404:D404"/>
    <mergeCell ref="F404:H404"/>
    <mergeCell ref="C214:D214"/>
    <mergeCell ref="F214:H214"/>
    <mergeCell ref="C402:D402"/>
    <mergeCell ref="F402:H402"/>
    <mergeCell ref="C403:D403"/>
    <mergeCell ref="F403:H403"/>
    <mergeCell ref="C221:D221"/>
    <mergeCell ref="F221:H221"/>
    <mergeCell ref="C222:D222"/>
    <mergeCell ref="F222:H222"/>
    <mergeCell ref="C223:D223"/>
    <mergeCell ref="F223:H223"/>
    <mergeCell ref="C224:D224"/>
    <mergeCell ref="F224:H224"/>
    <mergeCell ref="C225:D225"/>
    <mergeCell ref="F225:H225"/>
    <mergeCell ref="C226:D226"/>
    <mergeCell ref="F226:H226"/>
    <mergeCell ref="C232:D232"/>
    <mergeCell ref="F232:H232"/>
    <mergeCell ref="C233:D233"/>
    <mergeCell ref="F233:H233"/>
    <mergeCell ref="C234:D234"/>
    <mergeCell ref="F234:H234"/>
    <mergeCell ref="C229:D229"/>
    <mergeCell ref="F229:H229"/>
    <mergeCell ref="C230:D230"/>
    <mergeCell ref="F230:H230"/>
    <mergeCell ref="C231:D231"/>
    <mergeCell ref="F231:H231"/>
    <mergeCell ref="C228:D228"/>
    <mergeCell ref="F228:H228"/>
    <mergeCell ref="C250:D250"/>
    <mergeCell ref="F250:H250"/>
    <mergeCell ref="C235:D235"/>
    <mergeCell ref="F235:H235"/>
    <mergeCell ref="C241:D241"/>
    <mergeCell ref="F241:H241"/>
    <mergeCell ref="C242:D242"/>
    <mergeCell ref="F242:H242"/>
    <mergeCell ref="C243:D243"/>
    <mergeCell ref="F243:H243"/>
    <mergeCell ref="C238:D238"/>
    <mergeCell ref="F238:H238"/>
    <mergeCell ref="C239:D239"/>
    <mergeCell ref="F239:H239"/>
    <mergeCell ref="C240:D240"/>
    <mergeCell ref="F240:H240"/>
    <mergeCell ref="C236:D236"/>
    <mergeCell ref="F236:H236"/>
    <mergeCell ref="C251:D251"/>
    <mergeCell ref="F251:H251"/>
    <mergeCell ref="C252:D252"/>
    <mergeCell ref="F252:H252"/>
    <mergeCell ref="C247:D247"/>
    <mergeCell ref="F247:H247"/>
    <mergeCell ref="C248:D248"/>
    <mergeCell ref="F248:H248"/>
    <mergeCell ref="C249:D249"/>
    <mergeCell ref="F249:H249"/>
    <mergeCell ref="C244:D244"/>
    <mergeCell ref="F244:H244"/>
    <mergeCell ref="C245:D245"/>
    <mergeCell ref="F245:H245"/>
    <mergeCell ref="C246:D246"/>
    <mergeCell ref="F246:H246"/>
    <mergeCell ref="C259:D259"/>
    <mergeCell ref="F259:H259"/>
    <mergeCell ref="C260:D260"/>
    <mergeCell ref="F260:H260"/>
    <mergeCell ref="C261:D261"/>
    <mergeCell ref="F261:H261"/>
    <mergeCell ref="C256:D256"/>
    <mergeCell ref="F256:H256"/>
    <mergeCell ref="C257:D257"/>
    <mergeCell ref="F257:H257"/>
    <mergeCell ref="C258:D258"/>
    <mergeCell ref="F258:H258"/>
    <mergeCell ref="C253:D253"/>
    <mergeCell ref="F253:H253"/>
    <mergeCell ref="C254:D254"/>
    <mergeCell ref="F254:H254"/>
    <mergeCell ref="C255:D255"/>
    <mergeCell ref="F255:H255"/>
    <mergeCell ref="C268:D268"/>
    <mergeCell ref="F268:H268"/>
    <mergeCell ref="C269:D269"/>
    <mergeCell ref="F269:H269"/>
    <mergeCell ref="C270:D270"/>
    <mergeCell ref="F270:H270"/>
    <mergeCell ref="C265:D265"/>
    <mergeCell ref="F265:H265"/>
    <mergeCell ref="C266:D266"/>
    <mergeCell ref="F266:H266"/>
    <mergeCell ref="C267:D267"/>
    <mergeCell ref="F267:H267"/>
    <mergeCell ref="C262:D262"/>
    <mergeCell ref="F262:H262"/>
    <mergeCell ref="C263:D263"/>
    <mergeCell ref="F263:H263"/>
    <mergeCell ref="C264:D264"/>
    <mergeCell ref="F264:H264"/>
    <mergeCell ref="C277:D277"/>
    <mergeCell ref="F277:H277"/>
    <mergeCell ref="C278:D278"/>
    <mergeCell ref="F278:H278"/>
    <mergeCell ref="C279:D279"/>
    <mergeCell ref="F279:H279"/>
    <mergeCell ref="C274:D274"/>
    <mergeCell ref="F274:H274"/>
    <mergeCell ref="C275:D275"/>
    <mergeCell ref="F275:H275"/>
    <mergeCell ref="C276:D276"/>
    <mergeCell ref="F276:H276"/>
    <mergeCell ref="C271:D271"/>
    <mergeCell ref="F271:H271"/>
    <mergeCell ref="C272:D272"/>
    <mergeCell ref="F272:H272"/>
    <mergeCell ref="C273:D273"/>
    <mergeCell ref="F273:H273"/>
    <mergeCell ref="C286:D286"/>
    <mergeCell ref="F286:H286"/>
    <mergeCell ref="C287:D287"/>
    <mergeCell ref="F287:H287"/>
    <mergeCell ref="C288:D288"/>
    <mergeCell ref="F288:H288"/>
    <mergeCell ref="C283:D283"/>
    <mergeCell ref="F283:H283"/>
    <mergeCell ref="C284:D284"/>
    <mergeCell ref="F284:H284"/>
    <mergeCell ref="C285:D285"/>
    <mergeCell ref="F285:H285"/>
    <mergeCell ref="C280:D280"/>
    <mergeCell ref="F280:H280"/>
    <mergeCell ref="C281:D281"/>
    <mergeCell ref="F281:H281"/>
    <mergeCell ref="C282:D282"/>
    <mergeCell ref="F282:H282"/>
    <mergeCell ref="C295:D295"/>
    <mergeCell ref="F295:H295"/>
    <mergeCell ref="C296:D296"/>
    <mergeCell ref="F296:H296"/>
    <mergeCell ref="C297:D297"/>
    <mergeCell ref="F297:H297"/>
    <mergeCell ref="C292:D292"/>
    <mergeCell ref="F292:H292"/>
    <mergeCell ref="C293:D293"/>
    <mergeCell ref="F293:H293"/>
    <mergeCell ref="C294:D294"/>
    <mergeCell ref="F294:H294"/>
    <mergeCell ref="C289:D289"/>
    <mergeCell ref="F289:H289"/>
    <mergeCell ref="C290:D290"/>
    <mergeCell ref="F290:H290"/>
    <mergeCell ref="C291:D291"/>
    <mergeCell ref="F291:H291"/>
    <mergeCell ref="C304:D304"/>
    <mergeCell ref="F304:H304"/>
    <mergeCell ref="C305:D305"/>
    <mergeCell ref="F305:H305"/>
    <mergeCell ref="C306:D306"/>
    <mergeCell ref="F306:H306"/>
    <mergeCell ref="C301:D301"/>
    <mergeCell ref="F301:H301"/>
    <mergeCell ref="C302:D302"/>
    <mergeCell ref="F302:H302"/>
    <mergeCell ref="C303:D303"/>
    <mergeCell ref="F303:H303"/>
    <mergeCell ref="C298:D298"/>
    <mergeCell ref="F298:H298"/>
    <mergeCell ref="C299:D299"/>
    <mergeCell ref="F299:H299"/>
    <mergeCell ref="C300:D300"/>
    <mergeCell ref="F300:H300"/>
    <mergeCell ref="C313:D313"/>
    <mergeCell ref="F313:H313"/>
    <mergeCell ref="C314:D314"/>
    <mergeCell ref="F314:H314"/>
    <mergeCell ref="C315:D315"/>
    <mergeCell ref="F315:H315"/>
    <mergeCell ref="C310:D310"/>
    <mergeCell ref="F310:H310"/>
    <mergeCell ref="C311:D311"/>
    <mergeCell ref="F311:H311"/>
    <mergeCell ref="C312:D312"/>
    <mergeCell ref="F312:H312"/>
    <mergeCell ref="C307:D307"/>
    <mergeCell ref="F307:H307"/>
    <mergeCell ref="C308:D308"/>
    <mergeCell ref="F308:H308"/>
    <mergeCell ref="C309:D309"/>
    <mergeCell ref="F309:H309"/>
    <mergeCell ref="C322:D322"/>
    <mergeCell ref="F322:H322"/>
    <mergeCell ref="C323:D323"/>
    <mergeCell ref="F323:H323"/>
    <mergeCell ref="C324:D324"/>
    <mergeCell ref="F324:H324"/>
    <mergeCell ref="C319:D319"/>
    <mergeCell ref="F319:H319"/>
    <mergeCell ref="C320:D320"/>
    <mergeCell ref="F320:H320"/>
    <mergeCell ref="C321:D321"/>
    <mergeCell ref="F321:H321"/>
    <mergeCell ref="C316:D316"/>
    <mergeCell ref="F316:H316"/>
    <mergeCell ref="C317:D317"/>
    <mergeCell ref="F317:H317"/>
    <mergeCell ref="C318:D318"/>
    <mergeCell ref="F318:H318"/>
    <mergeCell ref="C331:D331"/>
    <mergeCell ref="F331:H331"/>
    <mergeCell ref="C332:D332"/>
    <mergeCell ref="F332:H332"/>
    <mergeCell ref="C333:D333"/>
    <mergeCell ref="F333:H333"/>
    <mergeCell ref="C328:D328"/>
    <mergeCell ref="F328:H328"/>
    <mergeCell ref="C329:D329"/>
    <mergeCell ref="F329:H329"/>
    <mergeCell ref="C330:D330"/>
    <mergeCell ref="F330:H330"/>
    <mergeCell ref="C325:D325"/>
    <mergeCell ref="F325:H325"/>
    <mergeCell ref="C326:D326"/>
    <mergeCell ref="F326:H326"/>
    <mergeCell ref="C327:D327"/>
    <mergeCell ref="F327:H327"/>
    <mergeCell ref="C340:D340"/>
    <mergeCell ref="F340:H340"/>
    <mergeCell ref="C341:D341"/>
    <mergeCell ref="F341:H341"/>
    <mergeCell ref="C342:D342"/>
    <mergeCell ref="F342:H342"/>
    <mergeCell ref="C337:D337"/>
    <mergeCell ref="F337:H337"/>
    <mergeCell ref="C338:D338"/>
    <mergeCell ref="F338:H338"/>
    <mergeCell ref="C339:D339"/>
    <mergeCell ref="F339:H339"/>
    <mergeCell ref="C334:D334"/>
    <mergeCell ref="F334:H334"/>
    <mergeCell ref="C335:D335"/>
    <mergeCell ref="F335:H335"/>
    <mergeCell ref="C336:D336"/>
    <mergeCell ref="F336:H336"/>
    <mergeCell ref="C349:D349"/>
    <mergeCell ref="F349:H349"/>
    <mergeCell ref="C350:D350"/>
    <mergeCell ref="F350:H350"/>
    <mergeCell ref="C351:D351"/>
    <mergeCell ref="F351:H351"/>
    <mergeCell ref="C346:D346"/>
    <mergeCell ref="F346:H346"/>
    <mergeCell ref="C347:D347"/>
    <mergeCell ref="F347:H347"/>
    <mergeCell ref="C348:D348"/>
    <mergeCell ref="F348:H348"/>
    <mergeCell ref="C343:D343"/>
    <mergeCell ref="F343:H343"/>
    <mergeCell ref="C344:D344"/>
    <mergeCell ref="F344:H344"/>
    <mergeCell ref="C345:D345"/>
    <mergeCell ref="F345:H345"/>
    <mergeCell ref="C358:D358"/>
    <mergeCell ref="F358:H358"/>
    <mergeCell ref="C359:D359"/>
    <mergeCell ref="F359:H359"/>
    <mergeCell ref="C360:D360"/>
    <mergeCell ref="F360:H360"/>
    <mergeCell ref="C355:D355"/>
    <mergeCell ref="F355:H355"/>
    <mergeCell ref="C356:D356"/>
    <mergeCell ref="F356:H356"/>
    <mergeCell ref="C357:D357"/>
    <mergeCell ref="F357:H357"/>
    <mergeCell ref="C352:D352"/>
    <mergeCell ref="F352:H352"/>
    <mergeCell ref="C353:D353"/>
    <mergeCell ref="F353:H353"/>
    <mergeCell ref="C354:D354"/>
    <mergeCell ref="F354:H354"/>
    <mergeCell ref="C367:D367"/>
    <mergeCell ref="F367:H367"/>
    <mergeCell ref="C368:D368"/>
    <mergeCell ref="F368:H368"/>
    <mergeCell ref="C369:D369"/>
    <mergeCell ref="F369:H369"/>
    <mergeCell ref="C364:D364"/>
    <mergeCell ref="F364:H364"/>
    <mergeCell ref="C365:D365"/>
    <mergeCell ref="F365:H365"/>
    <mergeCell ref="C366:D366"/>
    <mergeCell ref="F366:H366"/>
    <mergeCell ref="C361:D361"/>
    <mergeCell ref="F361:H361"/>
    <mergeCell ref="C362:D362"/>
    <mergeCell ref="F362:H362"/>
    <mergeCell ref="C363:D363"/>
    <mergeCell ref="F363:H363"/>
    <mergeCell ref="C376:D376"/>
    <mergeCell ref="F376:H376"/>
    <mergeCell ref="C377:D377"/>
    <mergeCell ref="F377:H377"/>
    <mergeCell ref="C378:D378"/>
    <mergeCell ref="F378:H378"/>
    <mergeCell ref="C373:D373"/>
    <mergeCell ref="F373:H373"/>
    <mergeCell ref="C374:D374"/>
    <mergeCell ref="F374:H374"/>
    <mergeCell ref="C375:D375"/>
    <mergeCell ref="F375:H375"/>
    <mergeCell ref="C370:D370"/>
    <mergeCell ref="F370:H370"/>
    <mergeCell ref="C371:D371"/>
    <mergeCell ref="F371:H371"/>
    <mergeCell ref="C372:D372"/>
    <mergeCell ref="F372:H372"/>
    <mergeCell ref="C385:D385"/>
    <mergeCell ref="F385:H385"/>
    <mergeCell ref="C386:D386"/>
    <mergeCell ref="F386:H386"/>
    <mergeCell ref="C387:D387"/>
    <mergeCell ref="F387:H387"/>
    <mergeCell ref="C382:D382"/>
    <mergeCell ref="F382:H382"/>
    <mergeCell ref="C383:D383"/>
    <mergeCell ref="F383:H383"/>
    <mergeCell ref="C384:D384"/>
    <mergeCell ref="F384:H384"/>
    <mergeCell ref="C379:D379"/>
    <mergeCell ref="F379:H379"/>
    <mergeCell ref="C380:D380"/>
    <mergeCell ref="F380:H380"/>
    <mergeCell ref="C381:D381"/>
    <mergeCell ref="F381:H381"/>
    <mergeCell ref="C394:D394"/>
    <mergeCell ref="F394:H394"/>
    <mergeCell ref="C395:D395"/>
    <mergeCell ref="F395:H395"/>
    <mergeCell ref="C396:D396"/>
    <mergeCell ref="F396:H396"/>
    <mergeCell ref="C391:D391"/>
    <mergeCell ref="F391:H391"/>
    <mergeCell ref="C392:D392"/>
    <mergeCell ref="F392:H392"/>
    <mergeCell ref="C393:D393"/>
    <mergeCell ref="F393:H393"/>
    <mergeCell ref="C388:D388"/>
    <mergeCell ref="F388:H388"/>
    <mergeCell ref="C389:D389"/>
    <mergeCell ref="F389:H389"/>
    <mergeCell ref="C390:D390"/>
    <mergeCell ref="F390:H390"/>
    <mergeCell ref="C405:D405"/>
    <mergeCell ref="F405:H405"/>
    <mergeCell ref="C406:D406"/>
    <mergeCell ref="F406:H406"/>
    <mergeCell ref="C407:D407"/>
    <mergeCell ref="F407:H407"/>
    <mergeCell ref="C408:D408"/>
    <mergeCell ref="F408:H408"/>
    <mergeCell ref="C409:D409"/>
    <mergeCell ref="F409:H409"/>
    <mergeCell ref="C400:D400"/>
    <mergeCell ref="F400:H400"/>
    <mergeCell ref="C401:D401"/>
    <mergeCell ref="F401:H401"/>
    <mergeCell ref="C397:D397"/>
    <mergeCell ref="F397:H397"/>
    <mergeCell ref="C398:D398"/>
    <mergeCell ref="F398:H398"/>
    <mergeCell ref="C399:D399"/>
    <mergeCell ref="F399:H399"/>
    <mergeCell ref="C415:D415"/>
    <mergeCell ref="F415:H415"/>
    <mergeCell ref="C416:D416"/>
    <mergeCell ref="F416:H416"/>
    <mergeCell ref="C417:D417"/>
    <mergeCell ref="F417:H417"/>
    <mergeCell ref="C418:D418"/>
    <mergeCell ref="F418:H418"/>
    <mergeCell ref="C419:D419"/>
    <mergeCell ref="F419:H419"/>
    <mergeCell ref="C410:D410"/>
    <mergeCell ref="F410:H410"/>
    <mergeCell ref="C411:D411"/>
    <mergeCell ref="F411:H411"/>
    <mergeCell ref="C412:D412"/>
    <mergeCell ref="F412:H412"/>
    <mergeCell ref="C413:D413"/>
    <mergeCell ref="F413:H413"/>
    <mergeCell ref="C414:D414"/>
    <mergeCell ref="F414:H414"/>
    <mergeCell ref="C425:D425"/>
    <mergeCell ref="F425:H425"/>
    <mergeCell ref="C426:D426"/>
    <mergeCell ref="F426:H426"/>
    <mergeCell ref="C427:D427"/>
    <mergeCell ref="F427:H427"/>
    <mergeCell ref="C428:D428"/>
    <mergeCell ref="F428:H428"/>
    <mergeCell ref="C429:D429"/>
    <mergeCell ref="F429:H429"/>
    <mergeCell ref="C420:D420"/>
    <mergeCell ref="F420:H420"/>
    <mergeCell ref="C421:D421"/>
    <mergeCell ref="F421:H421"/>
    <mergeCell ref="C422:D422"/>
    <mergeCell ref="F422:H422"/>
    <mergeCell ref="C423:D423"/>
    <mergeCell ref="F423:H423"/>
    <mergeCell ref="C424:D424"/>
    <mergeCell ref="F424:H424"/>
    <mergeCell ref="C435:D435"/>
    <mergeCell ref="F435:H435"/>
    <mergeCell ref="C436:D436"/>
    <mergeCell ref="F436:H436"/>
    <mergeCell ref="C437:D437"/>
    <mergeCell ref="F437:H437"/>
    <mergeCell ref="C438:D438"/>
    <mergeCell ref="F438:H438"/>
    <mergeCell ref="C439:D439"/>
    <mergeCell ref="F439:H439"/>
    <mergeCell ref="C430:D430"/>
    <mergeCell ref="F430:H430"/>
    <mergeCell ref="C431:D431"/>
    <mergeCell ref="F431:H431"/>
    <mergeCell ref="C432:D432"/>
    <mergeCell ref="F432:H432"/>
    <mergeCell ref="C433:D433"/>
    <mergeCell ref="F433:H433"/>
    <mergeCell ref="C434:D434"/>
    <mergeCell ref="F434:H434"/>
    <mergeCell ref="C445:D445"/>
    <mergeCell ref="F445:H445"/>
    <mergeCell ref="C446:D446"/>
    <mergeCell ref="F446:H446"/>
    <mergeCell ref="C447:D447"/>
    <mergeCell ref="F447:H447"/>
    <mergeCell ref="C448:D448"/>
    <mergeCell ref="F448:H448"/>
    <mergeCell ref="C449:D449"/>
    <mergeCell ref="F449:H449"/>
    <mergeCell ref="C440:D440"/>
    <mergeCell ref="F440:H440"/>
    <mergeCell ref="C441:D441"/>
    <mergeCell ref="F441:H441"/>
    <mergeCell ref="C442:D442"/>
    <mergeCell ref="F442:H442"/>
    <mergeCell ref="C443:D443"/>
    <mergeCell ref="F443:H443"/>
    <mergeCell ref="C444:D444"/>
    <mergeCell ref="F444:H444"/>
    <mergeCell ref="C455:D455"/>
    <mergeCell ref="F455:H455"/>
    <mergeCell ref="C456:D456"/>
    <mergeCell ref="F456:H456"/>
    <mergeCell ref="C457:D457"/>
    <mergeCell ref="F457:H457"/>
    <mergeCell ref="C458:D458"/>
    <mergeCell ref="F458:H458"/>
    <mergeCell ref="C459:D459"/>
    <mergeCell ref="F459:H459"/>
    <mergeCell ref="C450:D450"/>
    <mergeCell ref="F450:H450"/>
    <mergeCell ref="C451:D451"/>
    <mergeCell ref="F451:H451"/>
    <mergeCell ref="C452:D452"/>
    <mergeCell ref="F452:H452"/>
    <mergeCell ref="C453:D453"/>
    <mergeCell ref="F453:H453"/>
    <mergeCell ref="C454:D454"/>
    <mergeCell ref="F454:H454"/>
    <mergeCell ref="C465:D465"/>
    <mergeCell ref="F465:H465"/>
    <mergeCell ref="C466:D466"/>
    <mergeCell ref="F466:H466"/>
    <mergeCell ref="C467:D467"/>
    <mergeCell ref="F467:H467"/>
    <mergeCell ref="C468:D468"/>
    <mergeCell ref="F468:H468"/>
    <mergeCell ref="C469:D469"/>
    <mergeCell ref="F469:H469"/>
    <mergeCell ref="C460:D460"/>
    <mergeCell ref="F460:H460"/>
    <mergeCell ref="C461:D461"/>
    <mergeCell ref="F461:H461"/>
    <mergeCell ref="C462:D462"/>
    <mergeCell ref="F462:H462"/>
    <mergeCell ref="C463:D463"/>
    <mergeCell ref="F463:H463"/>
    <mergeCell ref="C464:D464"/>
    <mergeCell ref="F464:H464"/>
    <mergeCell ref="C475:D475"/>
    <mergeCell ref="F475:H475"/>
    <mergeCell ref="C476:D476"/>
    <mergeCell ref="F476:H476"/>
    <mergeCell ref="C477:D477"/>
    <mergeCell ref="F477:H477"/>
    <mergeCell ref="C478:D478"/>
    <mergeCell ref="F478:H478"/>
    <mergeCell ref="C479:D479"/>
    <mergeCell ref="F479:H479"/>
    <mergeCell ref="C470:D470"/>
    <mergeCell ref="F470:H470"/>
    <mergeCell ref="C471:D471"/>
    <mergeCell ref="F471:H471"/>
    <mergeCell ref="C472:D472"/>
    <mergeCell ref="F472:H472"/>
    <mergeCell ref="C473:D473"/>
    <mergeCell ref="F473:H473"/>
    <mergeCell ref="C474:D474"/>
    <mergeCell ref="F474:H474"/>
    <mergeCell ref="C485:D485"/>
    <mergeCell ref="F485:H485"/>
    <mergeCell ref="C486:D486"/>
    <mergeCell ref="F486:H486"/>
    <mergeCell ref="C487:D487"/>
    <mergeCell ref="F487:H487"/>
    <mergeCell ref="C488:D488"/>
    <mergeCell ref="F488:H488"/>
    <mergeCell ref="C489:D489"/>
    <mergeCell ref="F489:H489"/>
    <mergeCell ref="C480:D480"/>
    <mergeCell ref="F480:H480"/>
    <mergeCell ref="C481:D481"/>
    <mergeCell ref="F481:H481"/>
    <mergeCell ref="C482:D482"/>
    <mergeCell ref="F482:H482"/>
    <mergeCell ref="C483:D483"/>
    <mergeCell ref="F483:H483"/>
    <mergeCell ref="C484:D484"/>
    <mergeCell ref="F484:H484"/>
    <mergeCell ref="C495:D495"/>
    <mergeCell ref="F495:H495"/>
    <mergeCell ref="C496:D496"/>
    <mergeCell ref="F496:H496"/>
    <mergeCell ref="C497:D497"/>
    <mergeCell ref="F497:H497"/>
    <mergeCell ref="C498:D498"/>
    <mergeCell ref="F498:H498"/>
    <mergeCell ref="C499:D499"/>
    <mergeCell ref="F499:H499"/>
    <mergeCell ref="C490:D490"/>
    <mergeCell ref="F490:H490"/>
    <mergeCell ref="C491:D491"/>
    <mergeCell ref="F491:H491"/>
    <mergeCell ref="C492:D492"/>
    <mergeCell ref="F492:H492"/>
    <mergeCell ref="C493:D493"/>
    <mergeCell ref="F493:H493"/>
    <mergeCell ref="C494:D494"/>
    <mergeCell ref="F494:H494"/>
    <mergeCell ref="F512:H512"/>
    <mergeCell ref="C513:D513"/>
    <mergeCell ref="F513:H513"/>
    <mergeCell ref="C514:D514"/>
    <mergeCell ref="F514:H514"/>
    <mergeCell ref="C505:D505"/>
    <mergeCell ref="F505:H505"/>
    <mergeCell ref="C506:D506"/>
    <mergeCell ref="F506:H506"/>
    <mergeCell ref="C507:D507"/>
    <mergeCell ref="F507:H507"/>
    <mergeCell ref="C508:D508"/>
    <mergeCell ref="F508:H508"/>
    <mergeCell ref="C509:D509"/>
    <mergeCell ref="F509:H509"/>
    <mergeCell ref="C500:D500"/>
    <mergeCell ref="F500:H500"/>
    <mergeCell ref="C501:D501"/>
    <mergeCell ref="F501:H501"/>
    <mergeCell ref="C502:D502"/>
    <mergeCell ref="F502:H502"/>
    <mergeCell ref="C503:D503"/>
    <mergeCell ref="F503:H503"/>
    <mergeCell ref="C504:D504"/>
    <mergeCell ref="F504:H504"/>
    <mergeCell ref="C11:E11"/>
    <mergeCell ref="C525:D525"/>
    <mergeCell ref="F525:H525"/>
    <mergeCell ref="C526:D526"/>
    <mergeCell ref="F526:H526"/>
    <mergeCell ref="C527:D527"/>
    <mergeCell ref="F527:H527"/>
    <mergeCell ref="C520:D520"/>
    <mergeCell ref="F520:H520"/>
    <mergeCell ref="C521:D521"/>
    <mergeCell ref="F521:H521"/>
    <mergeCell ref="C522:D522"/>
    <mergeCell ref="F522:H522"/>
    <mergeCell ref="C523:D523"/>
    <mergeCell ref="F523:H523"/>
    <mergeCell ref="C524:D524"/>
    <mergeCell ref="F524:H524"/>
    <mergeCell ref="C515:D515"/>
    <mergeCell ref="F515:H515"/>
    <mergeCell ref="C516:D516"/>
    <mergeCell ref="F516:H516"/>
    <mergeCell ref="C517:D517"/>
    <mergeCell ref="F517:H517"/>
    <mergeCell ref="C518:D518"/>
    <mergeCell ref="F518:H518"/>
    <mergeCell ref="C519:D519"/>
    <mergeCell ref="F519:H519"/>
    <mergeCell ref="C510:D510"/>
    <mergeCell ref="F510:H510"/>
    <mergeCell ref="C511:D511"/>
    <mergeCell ref="F511:H511"/>
    <mergeCell ref="C512:D512"/>
  </mergeCells>
  <dataValidations count="2">
    <dataValidation type="list" allowBlank="1" showInputMessage="1" showErrorMessage="1" sqref="Z28:Z527" xr:uid="{00000000-0002-0000-0100-000000000000}">
      <formula1>$H$12:$H$19</formula1>
    </dataValidation>
    <dataValidation type="list" allowBlank="1" showInputMessage="1" showErrorMessage="1" sqref="AA28:AA527" xr:uid="{00000000-0002-0000-0100-000001000000}">
      <formula1>$L$12:$L$19</formula1>
    </dataValidation>
  </dataValidations>
  <pageMargins left="0.70866141732283472" right="0.70866141732283472" top="0.74803149606299213" bottom="0.74803149606299213" header="0.31496062992125984" footer="0.31496062992125984"/>
  <pageSetup paperSize="9" scale="2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2000000}">
          <x14:formula1>
            <xm:f>Listes!$J$19:$J$23</xm:f>
          </x14:formula1>
          <xm:sqref>H12:H21</xm:sqref>
        </x14:dataValidation>
        <x14:dataValidation type="list" allowBlank="1" showInputMessage="1" showErrorMessage="1" xr:uid="{00000000-0002-0000-0100-000003000000}">
          <x14:formula1>
            <xm:f>Listes!$L$4:$L$8</xm:f>
          </x14:formula1>
          <xm:sqref>C28:D527</xm:sqref>
        </x14:dataValidation>
        <x14:dataValidation type="list" allowBlank="1" showInputMessage="1" showErrorMessage="1" xr:uid="{00000000-0002-0000-0100-000004000000}">
          <x14:formula1>
            <xm:f>Listes!$M$4:$M$15</xm:f>
          </x14:formula1>
          <xm:sqref>F28:H527</xm:sqref>
        </x14:dataValidation>
        <x14:dataValidation type="list" allowBlank="1" showInputMessage="1" showErrorMessage="1" xr:uid="{00000000-0002-0000-0100-000005000000}">
          <x14:formula1>
            <xm:f>Listes!$B$19:$B$70</xm:f>
          </x14:formula1>
          <xm:sqref>I28:I527</xm:sqref>
        </x14:dataValidation>
        <x14:dataValidation type="list" allowBlank="1" showInputMessage="1" showErrorMessage="1" xr:uid="{00000000-0002-0000-0100-000006000000}">
          <x14:formula1>
            <xm:f>Listes!$G$4:$G$7</xm:f>
          </x14:formula1>
          <xm:sqref>L28:L527</xm:sqref>
        </x14:dataValidation>
        <x14:dataValidation type="list" allowBlank="1" showInputMessage="1" showErrorMessage="1" xr:uid="{00000000-0002-0000-0100-000007000000}">
          <x14:formula1>
            <xm:f>Listes!$H$4:$H$5</xm:f>
          </x14:formula1>
          <xm:sqref>M28:N527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autoPageBreaks="0" fitToPage="1"/>
  </sheetPr>
  <dimension ref="A1:AP527"/>
  <sheetViews>
    <sheetView showGridLines="0" topLeftCell="A5" zoomScale="90" zoomScaleNormal="90" workbookViewId="0">
      <selection activeCell="H12" sqref="H12"/>
    </sheetView>
  </sheetViews>
  <sheetFormatPr baseColWidth="10" defaultRowHeight="15" x14ac:dyDescent="0.25"/>
  <cols>
    <col min="1" max="1" width="8.7109375" customWidth="1"/>
    <col min="4" max="4" width="17.5703125" customWidth="1"/>
    <col min="5" max="5" width="16.7109375" customWidth="1"/>
    <col min="6" max="7" width="3.7109375" customWidth="1"/>
    <col min="8" max="8" width="33.7109375" customWidth="1"/>
    <col min="9" max="9" width="16.7109375" customWidth="1"/>
    <col min="10" max="11" width="14.85546875" customWidth="1"/>
    <col min="12" max="12" width="13.7109375" customWidth="1"/>
    <col min="13" max="13" width="16.7109375" customWidth="1"/>
    <col min="14" max="14" width="13.7109375" customWidth="1"/>
    <col min="15" max="15" width="16.7109375" customWidth="1"/>
    <col min="16" max="23" width="13.7109375" customWidth="1"/>
    <col min="24" max="25" width="33.7109375" customWidth="1"/>
    <col min="26" max="27" width="16.7109375" style="107" customWidth="1"/>
    <col min="28" max="28" width="13.7109375" style="107" customWidth="1"/>
    <col min="29" max="29" width="18.7109375" customWidth="1"/>
    <col min="30" max="30" width="39.7109375" customWidth="1"/>
    <col min="31" max="42" width="11.42578125" hidden="1" customWidth="1"/>
    <col min="43" max="43" width="0" hidden="1" customWidth="1"/>
  </cols>
  <sheetData>
    <row r="1" spans="1:31" s="8" customFormat="1" x14ac:dyDescent="0.25">
      <c r="A1" s="13"/>
      <c r="B1" s="14" t="s">
        <v>10</v>
      </c>
      <c r="K1" s="184"/>
      <c r="Z1" s="107"/>
      <c r="AA1" s="107"/>
      <c r="AB1" s="107"/>
      <c r="AC1" s="18"/>
    </row>
    <row r="2" spans="1:31" s="8" customFormat="1" x14ac:dyDescent="0.25">
      <c r="A2" s="13"/>
      <c r="B2" s="14" t="s">
        <v>11</v>
      </c>
      <c r="K2" s="184"/>
      <c r="Z2" s="107"/>
      <c r="AA2" s="107"/>
      <c r="AB2" s="107"/>
      <c r="AC2" s="18"/>
    </row>
    <row r="3" spans="1:31" s="8" customFormat="1" x14ac:dyDescent="0.25">
      <c r="A3" s="13"/>
      <c r="B3" s="15" t="s">
        <v>12</v>
      </c>
      <c r="I3" s="179">
        <f ca="1">NOW()</f>
        <v>46029.499411574077</v>
      </c>
      <c r="K3" s="184"/>
      <c r="Z3" s="107"/>
      <c r="AA3" s="107"/>
      <c r="AB3" s="107"/>
      <c r="AC3" s="18"/>
    </row>
    <row r="4" spans="1:31" ht="7.5" customHeight="1" x14ac:dyDescent="0.25"/>
    <row r="5" spans="1:31" ht="20.25" customHeight="1" x14ac:dyDescent="0.25">
      <c r="B5" s="36"/>
    </row>
    <row r="6" spans="1:31" ht="23.25" x14ac:dyDescent="0.35">
      <c r="B6" s="2" t="s">
        <v>273</v>
      </c>
    </row>
    <row r="7" spans="1:31" ht="9" customHeight="1" x14ac:dyDescent="0.35">
      <c r="B7" s="2"/>
    </row>
    <row r="8" spans="1:31" s="3" customFormat="1" ht="14.25" customHeight="1" x14ac:dyDescent="0.3">
      <c r="B8" s="172" t="s">
        <v>66</v>
      </c>
      <c r="E8" s="45" t="str">
        <f>IF('Informations générales'!E14="ZDPPE","","NON APPLICABLE")</f>
        <v>NON APPLICABLE</v>
      </c>
      <c r="Z8" s="108"/>
      <c r="AA8" s="108"/>
      <c r="AB8" s="108"/>
    </row>
    <row r="10" spans="1:31" s="17" customFormat="1" ht="18.75" customHeight="1" x14ac:dyDescent="0.3">
      <c r="B10" s="11" t="s">
        <v>70</v>
      </c>
      <c r="C10" s="9"/>
      <c r="D10" s="9"/>
      <c r="E10" s="9"/>
      <c r="F10" s="9"/>
      <c r="G10" s="9"/>
      <c r="H10" s="10"/>
      <c r="I10" s="10"/>
      <c r="J10" s="10"/>
      <c r="K10" s="10"/>
      <c r="L10" s="9"/>
      <c r="M10" s="9"/>
      <c r="N10" s="9"/>
      <c r="O10" s="9"/>
      <c r="P10" s="18"/>
      <c r="Q10" s="50"/>
      <c r="R10" s="50"/>
      <c r="S10" s="50"/>
      <c r="T10" s="50"/>
      <c r="U10" s="50"/>
      <c r="V10" s="50"/>
      <c r="W10" s="50"/>
      <c r="X10" s="50"/>
      <c r="Y10" s="50"/>
      <c r="Z10" s="108"/>
      <c r="AA10" s="107"/>
      <c r="AB10" s="107"/>
      <c r="AC10" s="18"/>
      <c r="AD10" s="18"/>
      <c r="AE10" s="18"/>
    </row>
    <row r="11" spans="1:31" s="18" customFormat="1" ht="44.25" customHeight="1" x14ac:dyDescent="0.25">
      <c r="C11" s="233" t="s">
        <v>277</v>
      </c>
      <c r="D11" s="233"/>
      <c r="E11" s="233"/>
      <c r="H11" s="18" t="s">
        <v>122</v>
      </c>
      <c r="K11" s="184"/>
      <c r="L11" s="18" t="s">
        <v>123</v>
      </c>
      <c r="Z11" s="107"/>
      <c r="AA11" s="107"/>
      <c r="AB11" s="107"/>
    </row>
    <row r="12" spans="1:31" s="18" customFormat="1" ht="17.25" customHeight="1" x14ac:dyDescent="0.25">
      <c r="C12" s="17" t="s">
        <v>13</v>
      </c>
      <c r="D12" s="17"/>
      <c r="E12" s="104">
        <v>0.01</v>
      </c>
      <c r="F12" s="17"/>
      <c r="H12" s="84"/>
      <c r="I12" s="104"/>
      <c r="K12" s="184"/>
      <c r="L12" s="215"/>
      <c r="M12" s="216"/>
      <c r="N12" s="104"/>
      <c r="Z12" s="107"/>
      <c r="AA12" s="107"/>
      <c r="AB12" s="107"/>
    </row>
    <row r="13" spans="1:31" s="18" customFormat="1" ht="15.6" customHeight="1" x14ac:dyDescent="0.25">
      <c r="C13" s="17" t="s">
        <v>207</v>
      </c>
      <c r="D13" s="17"/>
      <c r="E13" s="103">
        <v>1</v>
      </c>
      <c r="F13" s="17"/>
      <c r="H13" s="84"/>
      <c r="I13" s="104"/>
      <c r="K13" s="184"/>
      <c r="L13" s="215"/>
      <c r="M13" s="216"/>
      <c r="N13" s="104"/>
      <c r="Z13" s="107"/>
      <c r="AA13" s="107"/>
      <c r="AB13" s="107"/>
    </row>
    <row r="14" spans="1:31" s="18" customFormat="1" x14ac:dyDescent="0.25">
      <c r="C14" s="17" t="s">
        <v>208</v>
      </c>
      <c r="D14" s="17"/>
      <c r="E14" s="103">
        <v>0.5</v>
      </c>
      <c r="F14" s="17"/>
      <c r="H14" s="84"/>
      <c r="I14" s="104"/>
      <c r="K14" s="184"/>
      <c r="L14" s="215"/>
      <c r="M14" s="216"/>
      <c r="N14" s="104"/>
      <c r="Z14" s="107"/>
      <c r="AA14" s="107"/>
      <c r="AB14" s="107"/>
    </row>
    <row r="15" spans="1:31" s="18" customFormat="1" x14ac:dyDescent="0.25">
      <c r="C15" s="17" t="s">
        <v>209</v>
      </c>
      <c r="D15" s="17"/>
      <c r="E15" s="104">
        <v>0.1</v>
      </c>
      <c r="F15" s="17"/>
      <c r="H15" s="84"/>
      <c r="I15" s="104"/>
      <c r="K15" s="184"/>
      <c r="L15" s="215"/>
      <c r="M15" s="216"/>
      <c r="N15" s="104"/>
      <c r="Z15" s="107"/>
      <c r="AA15" s="107"/>
      <c r="AB15" s="107"/>
    </row>
    <row r="16" spans="1:31" s="18" customFormat="1" x14ac:dyDescent="0.25">
      <c r="C16" s="17" t="s">
        <v>5</v>
      </c>
      <c r="D16" s="17"/>
      <c r="E16" s="104">
        <v>0.5</v>
      </c>
      <c r="F16" s="17"/>
      <c r="H16" s="84"/>
      <c r="I16" s="104"/>
      <c r="K16" s="184"/>
      <c r="L16" s="215"/>
      <c r="M16" s="216"/>
      <c r="N16" s="104"/>
      <c r="Z16" s="107"/>
      <c r="AA16" s="107"/>
      <c r="AB16" s="107"/>
    </row>
    <row r="17" spans="2:42" s="18" customFormat="1" x14ac:dyDescent="0.25">
      <c r="C17" s="17" t="s">
        <v>6</v>
      </c>
      <c r="D17" s="17"/>
      <c r="E17" s="104">
        <v>0.3</v>
      </c>
      <c r="F17" s="17"/>
      <c r="H17" s="84"/>
      <c r="I17" s="104"/>
      <c r="K17" s="184"/>
      <c r="L17" s="215"/>
      <c r="M17" s="216"/>
      <c r="N17" s="104"/>
      <c r="Z17" s="107"/>
      <c r="AA17" s="107"/>
      <c r="AB17" s="107"/>
    </row>
    <row r="18" spans="2:42" s="18" customFormat="1" x14ac:dyDescent="0.25">
      <c r="C18" s="17" t="s">
        <v>7</v>
      </c>
      <c r="D18" s="17"/>
      <c r="E18" s="104">
        <v>0.1</v>
      </c>
      <c r="F18" s="17"/>
      <c r="H18" s="84"/>
      <c r="I18" s="104"/>
      <c r="K18" s="184"/>
      <c r="L18" s="215"/>
      <c r="M18" s="216"/>
      <c r="N18" s="104"/>
      <c r="Z18" s="107"/>
      <c r="AA18" s="107"/>
      <c r="AB18" s="107"/>
    </row>
    <row r="19" spans="2:42" s="18" customFormat="1" x14ac:dyDescent="0.25">
      <c r="C19" s="17" t="s">
        <v>68</v>
      </c>
      <c r="D19" s="17"/>
      <c r="E19" s="104">
        <v>0.1</v>
      </c>
      <c r="F19" s="17"/>
      <c r="H19" s="84"/>
      <c r="I19" s="104"/>
      <c r="K19" s="184"/>
      <c r="L19" s="215"/>
      <c r="M19" s="216"/>
      <c r="N19" s="104"/>
      <c r="Z19" s="107"/>
      <c r="AA19" s="107"/>
      <c r="AB19" s="107"/>
    </row>
    <row r="20" spans="2:42" s="18" customFormat="1" x14ac:dyDescent="0.25">
      <c r="C20" s="17"/>
      <c r="D20" s="17"/>
      <c r="E20" s="121"/>
      <c r="F20" s="17"/>
      <c r="H20" s="102"/>
      <c r="I20" s="104"/>
      <c r="K20" s="184"/>
      <c r="L20" s="215"/>
      <c r="M20" s="216"/>
      <c r="N20" s="104"/>
      <c r="Z20" s="107"/>
      <c r="AA20" s="107"/>
      <c r="AB20" s="107"/>
    </row>
    <row r="21" spans="2:42" s="18" customFormat="1" x14ac:dyDescent="0.25">
      <c r="C21" s="17"/>
      <c r="D21" s="17"/>
      <c r="E21" s="121"/>
      <c r="F21" s="17"/>
      <c r="H21" s="102"/>
      <c r="I21" s="104"/>
      <c r="K21" s="184"/>
      <c r="L21" s="215"/>
      <c r="M21" s="216"/>
      <c r="N21" s="104"/>
      <c r="Z21" s="107"/>
      <c r="AA21" s="107"/>
      <c r="AB21" s="107"/>
    </row>
    <row r="22" spans="2:42" s="18" customFormat="1" x14ac:dyDescent="0.25">
      <c r="C22" s="17"/>
      <c r="D22" s="17"/>
      <c r="E22" s="17"/>
      <c r="F22" s="17"/>
      <c r="K22" s="184"/>
      <c r="Z22" s="107"/>
      <c r="AA22" s="107"/>
      <c r="AB22" s="107"/>
    </row>
    <row r="23" spans="2:42" s="17" customFormat="1" ht="18.75" customHeight="1" x14ac:dyDescent="0.25">
      <c r="B23" s="11" t="s">
        <v>71</v>
      </c>
      <c r="C23" s="9"/>
      <c r="D23" s="9"/>
      <c r="E23" s="9"/>
      <c r="F23" s="9"/>
      <c r="G23" s="9"/>
      <c r="H23" s="10"/>
      <c r="I23" s="10"/>
      <c r="J23" s="10"/>
      <c r="K23" s="10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09"/>
      <c r="AA23" s="109"/>
      <c r="AB23" s="109"/>
      <c r="AC23" s="9"/>
      <c r="AD23" s="9"/>
      <c r="AE23" s="9"/>
      <c r="AF23" s="61"/>
      <c r="AG23" s="61"/>
      <c r="AH23" s="61"/>
    </row>
    <row r="24" spans="2:42" s="17" customFormat="1" ht="18.75" customHeight="1" x14ac:dyDescent="0.25">
      <c r="B24" s="190"/>
      <c r="C24" s="61"/>
      <c r="D24" s="61"/>
      <c r="E24" s="61"/>
      <c r="F24" s="61"/>
      <c r="G24" s="61"/>
      <c r="H24" s="191"/>
      <c r="I24" s="191"/>
      <c r="J24" s="191"/>
      <c r="K24" s="19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192"/>
      <c r="AA24" s="192"/>
      <c r="AB24" s="192"/>
      <c r="AC24" s="61"/>
      <c r="AD24" s="61"/>
      <c r="AE24" s="61"/>
      <c r="AF24" s="61"/>
      <c r="AG24" s="61"/>
      <c r="AH24" s="61"/>
    </row>
    <row r="25" spans="2:42" s="18" customFormat="1" x14ac:dyDescent="0.25">
      <c r="B25" s="197"/>
      <c r="K25" s="184"/>
      <c r="L25" s="196"/>
      <c r="Z25" s="196"/>
      <c r="AA25" s="194" t="s">
        <v>300</v>
      </c>
      <c r="AB25" s="107"/>
      <c r="AC25" s="194" t="s">
        <v>300</v>
      </c>
    </row>
    <row r="26" spans="2:42" s="22" customFormat="1" ht="58.5" customHeight="1" x14ac:dyDescent="0.25">
      <c r="C26" s="235" t="s">
        <v>61</v>
      </c>
      <c r="D26" s="237"/>
      <c r="E26" s="21" t="s">
        <v>279</v>
      </c>
      <c r="F26" s="235" t="s">
        <v>164</v>
      </c>
      <c r="G26" s="236"/>
      <c r="H26" s="237"/>
      <c r="I26" s="19" t="s">
        <v>165</v>
      </c>
      <c r="J26" s="21" t="s">
        <v>299</v>
      </c>
      <c r="K26" s="21" t="s">
        <v>126</v>
      </c>
      <c r="L26" s="193" t="s">
        <v>267</v>
      </c>
      <c r="M26" s="38" t="s">
        <v>167</v>
      </c>
      <c r="N26" s="38" t="s">
        <v>168</v>
      </c>
      <c r="O26" s="38" t="s">
        <v>129</v>
      </c>
      <c r="P26" s="38" t="s">
        <v>130</v>
      </c>
      <c r="Q26" s="38" t="s">
        <v>169</v>
      </c>
      <c r="R26" s="38" t="s">
        <v>284</v>
      </c>
      <c r="S26" s="38" t="s">
        <v>283</v>
      </c>
      <c r="T26" s="38" t="s">
        <v>5</v>
      </c>
      <c r="U26" s="38" t="s">
        <v>6</v>
      </c>
      <c r="V26" s="38" t="s">
        <v>7</v>
      </c>
      <c r="W26" s="38" t="s">
        <v>68</v>
      </c>
      <c r="X26" s="37" t="s">
        <v>122</v>
      </c>
      <c r="Y26" s="37" t="s">
        <v>123</v>
      </c>
      <c r="Z26" s="195" t="s">
        <v>170</v>
      </c>
      <c r="AA26" s="198" t="s">
        <v>171</v>
      </c>
      <c r="AB26" s="38" t="s">
        <v>163</v>
      </c>
      <c r="AC26" s="195" t="s">
        <v>133</v>
      </c>
      <c r="AD26" s="37" t="s">
        <v>134</v>
      </c>
      <c r="AE26" s="57" t="s">
        <v>147</v>
      </c>
      <c r="AF26" s="57" t="s">
        <v>148</v>
      </c>
      <c r="AG26" s="57" t="s">
        <v>149</v>
      </c>
      <c r="AH26" s="57" t="s">
        <v>150</v>
      </c>
      <c r="AI26" s="57" t="s">
        <v>151</v>
      </c>
      <c r="AJ26" s="57" t="s">
        <v>152</v>
      </c>
      <c r="AK26" s="57" t="s">
        <v>153</v>
      </c>
      <c r="AL26" s="57" t="s">
        <v>154</v>
      </c>
      <c r="AM26" s="57" t="s">
        <v>155</v>
      </c>
      <c r="AN26" s="57" t="s">
        <v>157</v>
      </c>
      <c r="AO26" s="57" t="s">
        <v>69</v>
      </c>
      <c r="AP26" s="57" t="s">
        <v>156</v>
      </c>
    </row>
    <row r="27" spans="2:42" s="135" customFormat="1" ht="14.25" customHeight="1" x14ac:dyDescent="0.25">
      <c r="B27" s="122" t="s">
        <v>218</v>
      </c>
      <c r="C27" s="123"/>
      <c r="D27" s="124"/>
      <c r="E27" s="124"/>
      <c r="F27" s="124"/>
      <c r="G27" s="125"/>
      <c r="H27" s="126"/>
      <c r="I27" s="127"/>
      <c r="J27" s="128">
        <f>COUNTA(J28:J527)</f>
        <v>0</v>
      </c>
      <c r="K27" s="128"/>
      <c r="L27" s="136"/>
      <c r="M27" s="130"/>
      <c r="N27" s="151">
        <f>SUM(N28:N527)</f>
        <v>0</v>
      </c>
      <c r="O27" s="155">
        <f>SUM(O28:O527)</f>
        <v>0</v>
      </c>
      <c r="P27" s="131"/>
      <c r="Q27" s="169">
        <f t="shared" ref="Q27:W27" si="0">SUM(Q28:Q527)</f>
        <v>0</v>
      </c>
      <c r="R27" s="169">
        <f t="shared" si="0"/>
        <v>0</v>
      </c>
      <c r="S27" s="169">
        <f t="shared" si="0"/>
        <v>0</v>
      </c>
      <c r="T27" s="169">
        <f t="shared" si="0"/>
        <v>0</v>
      </c>
      <c r="U27" s="169">
        <f t="shared" si="0"/>
        <v>0</v>
      </c>
      <c r="V27" s="169">
        <f t="shared" si="0"/>
        <v>0</v>
      </c>
      <c r="W27" s="169">
        <f t="shared" si="0"/>
        <v>0</v>
      </c>
      <c r="X27" s="124"/>
      <c r="Y27" s="124"/>
      <c r="Z27" s="132">
        <f>SUM(Z28:Z527)</f>
        <v>0</v>
      </c>
      <c r="AA27" s="132">
        <f>SUM(AA28:AA527)</f>
        <v>0</v>
      </c>
      <c r="AB27" s="132" t="str">
        <f>IFERROR(SUM(AB28:AB527)/COUNT(AB28:AB527), "")</f>
        <v/>
      </c>
      <c r="AC27" s="124"/>
      <c r="AD27" s="133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</row>
    <row r="28" spans="2:42" s="17" customFormat="1" x14ac:dyDescent="0.25">
      <c r="C28" s="241" t="s">
        <v>213</v>
      </c>
      <c r="D28" s="242"/>
      <c r="E28" s="88"/>
      <c r="F28" s="217"/>
      <c r="G28" s="234"/>
      <c r="H28" s="218"/>
      <c r="I28" s="76"/>
      <c r="J28" s="77"/>
      <c r="K28" s="77"/>
      <c r="L28" s="76"/>
      <c r="M28" s="110"/>
      <c r="N28" s="152"/>
      <c r="O28" s="111" t="str">
        <f>IFERROR(MIN(VLOOKUP(ROUNDDOWN(N28,0),'Aide calcul'!$B$2:$C$282,2,FALSE),M28+1),"")</f>
        <v/>
      </c>
      <c r="P28" s="112" t="str">
        <f>IFERROR(TRUNC(O28-0.5),"")</f>
        <v/>
      </c>
      <c r="Q28" s="170"/>
      <c r="R28" s="170"/>
      <c r="S28" s="170"/>
      <c r="T28" s="170"/>
      <c r="U28" s="170"/>
      <c r="V28" s="170"/>
      <c r="W28" s="170"/>
      <c r="X28" s="76"/>
      <c r="Y28" s="76"/>
      <c r="Z28" s="113" t="str">
        <f>IFERROR(ROUND('Informations générales'!$E$66*(AE28/SUM($AE$28:$AE$404))/12,0)*12,"")</f>
        <v/>
      </c>
      <c r="AA28" s="114"/>
      <c r="AB28" s="113" t="str">
        <f t="shared" ref="AB28:AB91" si="1">IFERROR(Z28/AM28,"")</f>
        <v/>
      </c>
      <c r="AC28" s="89"/>
      <c r="AD28" s="76"/>
      <c r="AE28" s="56">
        <f>AM28*(SUM(1,AN28,AO28,AP28))</f>
        <v>0</v>
      </c>
      <c r="AF28" s="56">
        <f t="shared" ref="AF28:AF91" si="2">Q28*$E$13</f>
        <v>0</v>
      </c>
      <c r="AG28" s="56">
        <f t="shared" ref="AG28:AG91" si="3">R28*$E$14</f>
        <v>0</v>
      </c>
      <c r="AH28" s="56">
        <f t="shared" ref="AH28:AH91" si="4">S28*$E$15</f>
        <v>0</v>
      </c>
      <c r="AI28" s="56">
        <f t="shared" ref="AI28:AI91" si="5">T28*$E$16</f>
        <v>0</v>
      </c>
      <c r="AJ28" s="56">
        <f t="shared" ref="AJ28:AJ91" si="6">U28*$E$17</f>
        <v>0</v>
      </c>
      <c r="AK28" s="56">
        <f t="shared" ref="AK28:AK91" si="7">V28*$E$18</f>
        <v>0</v>
      </c>
      <c r="AL28" s="56">
        <f t="shared" ref="AL28:AL91" si="8">W28*$E$19</f>
        <v>0</v>
      </c>
      <c r="AM28" s="56">
        <f>SUM(AF28:AL28)</f>
        <v>0</v>
      </c>
      <c r="AN28" s="60">
        <f t="shared" ref="AN28:AN91" si="9">IFERROR(I28*$E$12,0)</f>
        <v>0</v>
      </c>
      <c r="AO28" s="59">
        <f t="shared" ref="AO28:AO91" si="10">IFERROR(VLOOKUP(X28,$H$12:$I$22,2,FALSE),0)</f>
        <v>0</v>
      </c>
      <c r="AP28" s="59">
        <f t="shared" ref="AP28:AP91" si="11">IFERROR(VLOOKUP(Y28,$L$12:$N$19,3,FALSE),0)</f>
        <v>0</v>
      </c>
    </row>
    <row r="29" spans="2:42" s="17" customFormat="1" ht="15" customHeight="1" x14ac:dyDescent="0.25">
      <c r="C29" s="241" t="s">
        <v>213</v>
      </c>
      <c r="D29" s="242"/>
      <c r="E29" s="88"/>
      <c r="F29" s="217"/>
      <c r="G29" s="234"/>
      <c r="H29" s="218"/>
      <c r="I29" s="76"/>
      <c r="J29" s="77"/>
      <c r="K29" s="77"/>
      <c r="L29" s="76"/>
      <c r="M29" s="110"/>
      <c r="N29" s="152"/>
      <c r="O29" s="111" t="str">
        <f>IFERROR(MIN(VLOOKUP(ROUNDDOWN(N29,0),'Aide calcul'!$B$2:$C$282,2,FALSE),M29+1),"")</f>
        <v/>
      </c>
      <c r="P29" s="112" t="str">
        <f t="shared" ref="P29:P92" si="12">IFERROR(TRUNC(O29-0.5),"")</f>
        <v/>
      </c>
      <c r="Q29" s="170"/>
      <c r="R29" s="170"/>
      <c r="S29" s="170"/>
      <c r="T29" s="170"/>
      <c r="U29" s="170"/>
      <c r="V29" s="170"/>
      <c r="W29" s="170"/>
      <c r="X29" s="76"/>
      <c r="Y29" s="76"/>
      <c r="Z29" s="113" t="str">
        <f>IFERROR(ROUND('Informations générales'!$E$66*(AE29/SUM($AE$28:$AE$404))/12,0)*12,"")</f>
        <v/>
      </c>
      <c r="AA29" s="114"/>
      <c r="AB29" s="113" t="str">
        <f t="shared" si="1"/>
        <v/>
      </c>
      <c r="AC29" s="89"/>
      <c r="AD29" s="76"/>
      <c r="AE29" s="56">
        <f t="shared" ref="AE29:AE92" si="13">AM29*(SUM(1,AN29,AO29,AP29))</f>
        <v>0</v>
      </c>
      <c r="AF29" s="56">
        <f t="shared" si="2"/>
        <v>0</v>
      </c>
      <c r="AG29" s="56">
        <f t="shared" si="3"/>
        <v>0</v>
      </c>
      <c r="AH29" s="56">
        <f t="shared" si="4"/>
        <v>0</v>
      </c>
      <c r="AI29" s="56">
        <f t="shared" si="5"/>
        <v>0</v>
      </c>
      <c r="AJ29" s="56">
        <f t="shared" si="6"/>
        <v>0</v>
      </c>
      <c r="AK29" s="56">
        <f t="shared" si="7"/>
        <v>0</v>
      </c>
      <c r="AL29" s="56">
        <f t="shared" si="8"/>
        <v>0</v>
      </c>
      <c r="AM29" s="56">
        <f t="shared" ref="AM29:AM92" si="14">SUM(AF29:AL29)</f>
        <v>0</v>
      </c>
      <c r="AN29" s="60">
        <f t="shared" si="9"/>
        <v>0</v>
      </c>
      <c r="AO29" s="59">
        <f t="shared" si="10"/>
        <v>0</v>
      </c>
      <c r="AP29" s="59">
        <f t="shared" si="11"/>
        <v>0</v>
      </c>
    </row>
    <row r="30" spans="2:42" s="17" customFormat="1" ht="14.45" customHeight="1" x14ac:dyDescent="0.25">
      <c r="C30" s="241" t="s">
        <v>213</v>
      </c>
      <c r="D30" s="242"/>
      <c r="E30" s="88"/>
      <c r="F30" s="217"/>
      <c r="G30" s="234"/>
      <c r="H30" s="218"/>
      <c r="I30" s="76"/>
      <c r="J30" s="77"/>
      <c r="K30" s="77"/>
      <c r="L30" s="76"/>
      <c r="M30" s="110"/>
      <c r="N30" s="152"/>
      <c r="O30" s="111" t="str">
        <f>IFERROR(MIN(VLOOKUP(ROUNDDOWN(N30,0),'Aide calcul'!$B$2:$C$282,2,FALSE),M30+1),"")</f>
        <v/>
      </c>
      <c r="P30" s="112" t="str">
        <f t="shared" si="12"/>
        <v/>
      </c>
      <c r="Q30" s="170"/>
      <c r="R30" s="170"/>
      <c r="S30" s="170"/>
      <c r="T30" s="170"/>
      <c r="U30" s="170"/>
      <c r="V30" s="170"/>
      <c r="W30" s="170"/>
      <c r="X30" s="76"/>
      <c r="Y30" s="76"/>
      <c r="Z30" s="113" t="str">
        <f>IFERROR(ROUND('Informations générales'!$E$66*(AE30/SUM($AE$28:$AE$404))/12,0)*12,"")</f>
        <v/>
      </c>
      <c r="AA30" s="114"/>
      <c r="AB30" s="113" t="str">
        <f t="shared" si="1"/>
        <v/>
      </c>
      <c r="AC30" s="89"/>
      <c r="AD30" s="76"/>
      <c r="AE30" s="56">
        <f t="shared" si="13"/>
        <v>0</v>
      </c>
      <c r="AF30" s="56">
        <f t="shared" si="2"/>
        <v>0</v>
      </c>
      <c r="AG30" s="56">
        <f t="shared" si="3"/>
        <v>0</v>
      </c>
      <c r="AH30" s="56">
        <f t="shared" si="4"/>
        <v>0</v>
      </c>
      <c r="AI30" s="56">
        <f t="shared" si="5"/>
        <v>0</v>
      </c>
      <c r="AJ30" s="56">
        <f t="shared" si="6"/>
        <v>0</v>
      </c>
      <c r="AK30" s="56">
        <f t="shared" si="7"/>
        <v>0</v>
      </c>
      <c r="AL30" s="56">
        <f t="shared" si="8"/>
        <v>0</v>
      </c>
      <c r="AM30" s="56">
        <f t="shared" si="14"/>
        <v>0</v>
      </c>
      <c r="AN30" s="60">
        <f t="shared" si="9"/>
        <v>0</v>
      </c>
      <c r="AO30" s="59">
        <f t="shared" si="10"/>
        <v>0</v>
      </c>
      <c r="AP30" s="59">
        <f t="shared" si="11"/>
        <v>0</v>
      </c>
    </row>
    <row r="31" spans="2:42" s="17" customFormat="1" x14ac:dyDescent="0.25">
      <c r="C31" s="241" t="s">
        <v>213</v>
      </c>
      <c r="D31" s="242"/>
      <c r="E31" s="88"/>
      <c r="F31" s="217"/>
      <c r="G31" s="234"/>
      <c r="H31" s="218"/>
      <c r="I31" s="76"/>
      <c r="J31" s="77"/>
      <c r="K31" s="77"/>
      <c r="L31" s="76"/>
      <c r="M31" s="110"/>
      <c r="N31" s="152"/>
      <c r="O31" s="111" t="str">
        <f>IFERROR(MIN(VLOOKUP(ROUNDDOWN(N31,0),'Aide calcul'!$B$2:$C$282,2,FALSE),M31+1),"")</f>
        <v/>
      </c>
      <c r="P31" s="112" t="str">
        <f t="shared" si="12"/>
        <v/>
      </c>
      <c r="Q31" s="170"/>
      <c r="R31" s="170"/>
      <c r="S31" s="170"/>
      <c r="T31" s="170"/>
      <c r="U31" s="170"/>
      <c r="V31" s="170"/>
      <c r="W31" s="170"/>
      <c r="X31" s="76"/>
      <c r="Y31" s="76"/>
      <c r="Z31" s="113" t="str">
        <f>IFERROR(ROUND('Informations générales'!$E$66*(AE31/SUM($AE$28:$AE$404))/12,0)*12,"")</f>
        <v/>
      </c>
      <c r="AA31" s="114"/>
      <c r="AB31" s="113" t="str">
        <f t="shared" si="1"/>
        <v/>
      </c>
      <c r="AC31" s="89"/>
      <c r="AD31" s="76"/>
      <c r="AE31" s="56">
        <f t="shared" si="13"/>
        <v>0</v>
      </c>
      <c r="AF31" s="56">
        <f t="shared" si="2"/>
        <v>0</v>
      </c>
      <c r="AG31" s="56">
        <f t="shared" si="3"/>
        <v>0</v>
      </c>
      <c r="AH31" s="56">
        <f t="shared" si="4"/>
        <v>0</v>
      </c>
      <c r="AI31" s="56">
        <f t="shared" si="5"/>
        <v>0</v>
      </c>
      <c r="AJ31" s="56">
        <f t="shared" si="6"/>
        <v>0</v>
      </c>
      <c r="AK31" s="56">
        <f t="shared" si="7"/>
        <v>0</v>
      </c>
      <c r="AL31" s="56">
        <f t="shared" si="8"/>
        <v>0</v>
      </c>
      <c r="AM31" s="56">
        <f t="shared" si="14"/>
        <v>0</v>
      </c>
      <c r="AN31" s="60">
        <f t="shared" si="9"/>
        <v>0</v>
      </c>
      <c r="AO31" s="59">
        <f t="shared" si="10"/>
        <v>0</v>
      </c>
      <c r="AP31" s="59">
        <f t="shared" si="11"/>
        <v>0</v>
      </c>
    </row>
    <row r="32" spans="2:42" s="17" customFormat="1" ht="14.45" customHeight="1" x14ac:dyDescent="0.25">
      <c r="C32" s="241" t="s">
        <v>213</v>
      </c>
      <c r="D32" s="242"/>
      <c r="E32" s="88"/>
      <c r="F32" s="217"/>
      <c r="G32" s="234"/>
      <c r="H32" s="218"/>
      <c r="I32" s="76"/>
      <c r="J32" s="77"/>
      <c r="K32" s="77"/>
      <c r="L32" s="76"/>
      <c r="M32" s="110"/>
      <c r="N32" s="152"/>
      <c r="O32" s="111" t="str">
        <f>IFERROR(MIN(VLOOKUP(ROUNDDOWN(N32,0),'Aide calcul'!$B$2:$C$282,2,FALSE),M32+1),"")</f>
        <v/>
      </c>
      <c r="P32" s="112" t="str">
        <f t="shared" si="12"/>
        <v/>
      </c>
      <c r="Q32" s="170"/>
      <c r="R32" s="170"/>
      <c r="S32" s="170"/>
      <c r="T32" s="170"/>
      <c r="U32" s="170"/>
      <c r="V32" s="170"/>
      <c r="W32" s="170"/>
      <c r="X32" s="76"/>
      <c r="Y32" s="76"/>
      <c r="Z32" s="113" t="str">
        <f>IFERROR(ROUND('Informations générales'!$E$66*(AE32/SUM($AE$28:$AE$404))/12,0)*12,"")</f>
        <v/>
      </c>
      <c r="AA32" s="114"/>
      <c r="AB32" s="113" t="str">
        <f t="shared" si="1"/>
        <v/>
      </c>
      <c r="AC32" s="89"/>
      <c r="AD32" s="76"/>
      <c r="AE32" s="56">
        <f t="shared" si="13"/>
        <v>0</v>
      </c>
      <c r="AF32" s="56">
        <f t="shared" si="2"/>
        <v>0</v>
      </c>
      <c r="AG32" s="56">
        <f t="shared" si="3"/>
        <v>0</v>
      </c>
      <c r="AH32" s="56">
        <f t="shared" si="4"/>
        <v>0</v>
      </c>
      <c r="AI32" s="56">
        <f t="shared" si="5"/>
        <v>0</v>
      </c>
      <c r="AJ32" s="56">
        <f t="shared" si="6"/>
        <v>0</v>
      </c>
      <c r="AK32" s="56">
        <f t="shared" si="7"/>
        <v>0</v>
      </c>
      <c r="AL32" s="56">
        <f t="shared" si="8"/>
        <v>0</v>
      </c>
      <c r="AM32" s="56">
        <f t="shared" si="14"/>
        <v>0</v>
      </c>
      <c r="AN32" s="60">
        <f t="shared" si="9"/>
        <v>0</v>
      </c>
      <c r="AO32" s="59">
        <f t="shared" si="10"/>
        <v>0</v>
      </c>
      <c r="AP32" s="59">
        <f t="shared" si="11"/>
        <v>0</v>
      </c>
    </row>
    <row r="33" spans="3:42" s="17" customFormat="1" x14ac:dyDescent="0.25">
      <c r="C33" s="241" t="s">
        <v>213</v>
      </c>
      <c r="D33" s="242"/>
      <c r="E33" s="88"/>
      <c r="F33" s="217"/>
      <c r="G33" s="234"/>
      <c r="H33" s="218"/>
      <c r="I33" s="76"/>
      <c r="J33" s="77"/>
      <c r="K33" s="77"/>
      <c r="L33" s="76"/>
      <c r="M33" s="110"/>
      <c r="N33" s="152"/>
      <c r="O33" s="111" t="str">
        <f>IFERROR(MIN(VLOOKUP(ROUNDDOWN(N33,0),'Aide calcul'!$B$2:$C$282,2,FALSE),M33+1),"")</f>
        <v/>
      </c>
      <c r="P33" s="112" t="str">
        <f t="shared" si="12"/>
        <v/>
      </c>
      <c r="Q33" s="170"/>
      <c r="R33" s="170"/>
      <c r="S33" s="170"/>
      <c r="T33" s="170"/>
      <c r="U33" s="170"/>
      <c r="V33" s="170"/>
      <c r="W33" s="170"/>
      <c r="X33" s="76"/>
      <c r="Y33" s="76"/>
      <c r="Z33" s="113" t="str">
        <f>IFERROR(ROUND('Informations générales'!$E$66*(AE33/SUM($AE$28:$AE$404))/12,0)*12,"")</f>
        <v/>
      </c>
      <c r="AA33" s="114"/>
      <c r="AB33" s="113" t="str">
        <f t="shared" si="1"/>
        <v/>
      </c>
      <c r="AC33" s="89"/>
      <c r="AD33" s="76"/>
      <c r="AE33" s="56">
        <f t="shared" si="13"/>
        <v>0</v>
      </c>
      <c r="AF33" s="56">
        <f t="shared" si="2"/>
        <v>0</v>
      </c>
      <c r="AG33" s="56">
        <f t="shared" si="3"/>
        <v>0</v>
      </c>
      <c r="AH33" s="56">
        <f t="shared" si="4"/>
        <v>0</v>
      </c>
      <c r="AI33" s="56">
        <f t="shared" si="5"/>
        <v>0</v>
      </c>
      <c r="AJ33" s="56">
        <f t="shared" si="6"/>
        <v>0</v>
      </c>
      <c r="AK33" s="56">
        <f t="shared" si="7"/>
        <v>0</v>
      </c>
      <c r="AL33" s="56">
        <f t="shared" si="8"/>
        <v>0</v>
      </c>
      <c r="AM33" s="56">
        <f t="shared" si="14"/>
        <v>0</v>
      </c>
      <c r="AN33" s="60">
        <f t="shared" si="9"/>
        <v>0</v>
      </c>
      <c r="AO33" s="59">
        <f t="shared" si="10"/>
        <v>0</v>
      </c>
      <c r="AP33" s="59">
        <f t="shared" si="11"/>
        <v>0</v>
      </c>
    </row>
    <row r="34" spans="3:42" s="17" customFormat="1" x14ac:dyDescent="0.25">
      <c r="C34" s="241" t="s">
        <v>213</v>
      </c>
      <c r="D34" s="242"/>
      <c r="E34" s="88"/>
      <c r="F34" s="217"/>
      <c r="G34" s="234"/>
      <c r="H34" s="218"/>
      <c r="I34" s="76"/>
      <c r="J34" s="77"/>
      <c r="K34" s="77"/>
      <c r="L34" s="76"/>
      <c r="M34" s="110"/>
      <c r="N34" s="152"/>
      <c r="O34" s="111" t="str">
        <f>IFERROR(MIN(VLOOKUP(ROUNDDOWN(N34,0),'Aide calcul'!$B$2:$C$282,2,FALSE),M34+1),"")</f>
        <v/>
      </c>
      <c r="P34" s="112" t="str">
        <f t="shared" si="12"/>
        <v/>
      </c>
      <c r="Q34" s="170"/>
      <c r="R34" s="170"/>
      <c r="S34" s="170"/>
      <c r="T34" s="170"/>
      <c r="U34" s="170"/>
      <c r="V34" s="170"/>
      <c r="W34" s="170"/>
      <c r="X34" s="76"/>
      <c r="Y34" s="76"/>
      <c r="Z34" s="113" t="str">
        <f>IFERROR(ROUND('Informations générales'!$E$66*(AE34/SUM($AE$28:$AE$404))/12,0)*12,"")</f>
        <v/>
      </c>
      <c r="AA34" s="114"/>
      <c r="AB34" s="113" t="str">
        <f t="shared" si="1"/>
        <v/>
      </c>
      <c r="AC34" s="89"/>
      <c r="AD34" s="76"/>
      <c r="AE34" s="56">
        <f t="shared" si="13"/>
        <v>0</v>
      </c>
      <c r="AF34" s="56">
        <f t="shared" si="2"/>
        <v>0</v>
      </c>
      <c r="AG34" s="56">
        <f t="shared" si="3"/>
        <v>0</v>
      </c>
      <c r="AH34" s="56">
        <f t="shared" si="4"/>
        <v>0</v>
      </c>
      <c r="AI34" s="56">
        <f t="shared" si="5"/>
        <v>0</v>
      </c>
      <c r="AJ34" s="56">
        <f t="shared" si="6"/>
        <v>0</v>
      </c>
      <c r="AK34" s="56">
        <f t="shared" si="7"/>
        <v>0</v>
      </c>
      <c r="AL34" s="56">
        <f t="shared" si="8"/>
        <v>0</v>
      </c>
      <c r="AM34" s="56">
        <f t="shared" si="14"/>
        <v>0</v>
      </c>
      <c r="AN34" s="60">
        <f t="shared" si="9"/>
        <v>0</v>
      </c>
      <c r="AO34" s="59">
        <f t="shared" si="10"/>
        <v>0</v>
      </c>
      <c r="AP34" s="59">
        <f t="shared" si="11"/>
        <v>0</v>
      </c>
    </row>
    <row r="35" spans="3:42" s="17" customFormat="1" x14ac:dyDescent="0.25">
      <c r="C35" s="241" t="s">
        <v>213</v>
      </c>
      <c r="D35" s="242"/>
      <c r="E35" s="88"/>
      <c r="F35" s="217"/>
      <c r="G35" s="234"/>
      <c r="H35" s="218"/>
      <c r="I35" s="76"/>
      <c r="J35" s="77"/>
      <c r="K35" s="77"/>
      <c r="L35" s="76"/>
      <c r="M35" s="110"/>
      <c r="N35" s="152"/>
      <c r="O35" s="111" t="str">
        <f>IFERROR(MIN(VLOOKUP(ROUNDDOWN(N35,0),'Aide calcul'!$B$2:$C$282,2,FALSE),M35+1),"")</f>
        <v/>
      </c>
      <c r="P35" s="112" t="str">
        <f t="shared" si="12"/>
        <v/>
      </c>
      <c r="Q35" s="170"/>
      <c r="R35" s="170"/>
      <c r="S35" s="170"/>
      <c r="T35" s="170"/>
      <c r="U35" s="170"/>
      <c r="V35" s="170"/>
      <c r="W35" s="170"/>
      <c r="X35" s="76"/>
      <c r="Y35" s="76"/>
      <c r="Z35" s="113" t="str">
        <f>IFERROR(ROUND('Informations générales'!$E$66*(AE35/SUM($AE$28:$AE$404))/12,0)*12,"")</f>
        <v/>
      </c>
      <c r="AA35" s="114"/>
      <c r="AB35" s="113" t="str">
        <f t="shared" si="1"/>
        <v/>
      </c>
      <c r="AC35" s="89"/>
      <c r="AD35" s="76"/>
      <c r="AE35" s="56">
        <f t="shared" si="13"/>
        <v>0</v>
      </c>
      <c r="AF35" s="56">
        <f t="shared" si="2"/>
        <v>0</v>
      </c>
      <c r="AG35" s="56">
        <f t="shared" si="3"/>
        <v>0</v>
      </c>
      <c r="AH35" s="56">
        <f t="shared" si="4"/>
        <v>0</v>
      </c>
      <c r="AI35" s="56">
        <f t="shared" si="5"/>
        <v>0</v>
      </c>
      <c r="AJ35" s="56">
        <f t="shared" si="6"/>
        <v>0</v>
      </c>
      <c r="AK35" s="56">
        <f t="shared" si="7"/>
        <v>0</v>
      </c>
      <c r="AL35" s="56">
        <f t="shared" si="8"/>
        <v>0</v>
      </c>
      <c r="AM35" s="56">
        <f t="shared" si="14"/>
        <v>0</v>
      </c>
      <c r="AN35" s="60">
        <f t="shared" si="9"/>
        <v>0</v>
      </c>
      <c r="AO35" s="59">
        <f t="shared" si="10"/>
        <v>0</v>
      </c>
      <c r="AP35" s="59">
        <f t="shared" si="11"/>
        <v>0</v>
      </c>
    </row>
    <row r="36" spans="3:42" s="17" customFormat="1" x14ac:dyDescent="0.25">
      <c r="C36" s="241" t="s">
        <v>213</v>
      </c>
      <c r="D36" s="242"/>
      <c r="E36" s="88"/>
      <c r="F36" s="217"/>
      <c r="G36" s="234"/>
      <c r="H36" s="218"/>
      <c r="I36" s="76"/>
      <c r="J36" s="77"/>
      <c r="K36" s="77"/>
      <c r="L36" s="76"/>
      <c r="M36" s="110"/>
      <c r="N36" s="152"/>
      <c r="O36" s="111" t="str">
        <f>IFERROR(MIN(VLOOKUP(ROUNDDOWN(N36,0),'Aide calcul'!$B$2:$C$282,2,FALSE),M36+1),"")</f>
        <v/>
      </c>
      <c r="P36" s="112" t="str">
        <f t="shared" si="12"/>
        <v/>
      </c>
      <c r="Q36" s="170"/>
      <c r="R36" s="170"/>
      <c r="S36" s="170"/>
      <c r="T36" s="170"/>
      <c r="U36" s="170"/>
      <c r="V36" s="170"/>
      <c r="W36" s="170"/>
      <c r="X36" s="76"/>
      <c r="Y36" s="76"/>
      <c r="Z36" s="113" t="str">
        <f>IFERROR(ROUND('Informations générales'!$E$66*(AE36/SUM($AE$28:$AE$404))/12,0)*12,"")</f>
        <v/>
      </c>
      <c r="AA36" s="114"/>
      <c r="AB36" s="113" t="str">
        <f t="shared" si="1"/>
        <v/>
      </c>
      <c r="AC36" s="89"/>
      <c r="AD36" s="76"/>
      <c r="AE36" s="56">
        <f t="shared" si="13"/>
        <v>0</v>
      </c>
      <c r="AF36" s="56">
        <f t="shared" si="2"/>
        <v>0</v>
      </c>
      <c r="AG36" s="56">
        <f t="shared" si="3"/>
        <v>0</v>
      </c>
      <c r="AH36" s="56">
        <f t="shared" si="4"/>
        <v>0</v>
      </c>
      <c r="AI36" s="56">
        <f t="shared" si="5"/>
        <v>0</v>
      </c>
      <c r="AJ36" s="56">
        <f t="shared" si="6"/>
        <v>0</v>
      </c>
      <c r="AK36" s="56">
        <f t="shared" si="7"/>
        <v>0</v>
      </c>
      <c r="AL36" s="56">
        <f t="shared" si="8"/>
        <v>0</v>
      </c>
      <c r="AM36" s="56">
        <f t="shared" si="14"/>
        <v>0</v>
      </c>
      <c r="AN36" s="60">
        <f t="shared" si="9"/>
        <v>0</v>
      </c>
      <c r="AO36" s="59">
        <f t="shared" si="10"/>
        <v>0</v>
      </c>
      <c r="AP36" s="59">
        <f t="shared" si="11"/>
        <v>0</v>
      </c>
    </row>
    <row r="37" spans="3:42" s="17" customFormat="1" x14ac:dyDescent="0.25">
      <c r="C37" s="241" t="s">
        <v>213</v>
      </c>
      <c r="D37" s="242"/>
      <c r="E37" s="88"/>
      <c r="F37" s="217"/>
      <c r="G37" s="234"/>
      <c r="H37" s="218"/>
      <c r="I37" s="76"/>
      <c r="J37" s="77"/>
      <c r="K37" s="77"/>
      <c r="L37" s="76"/>
      <c r="M37" s="110"/>
      <c r="N37" s="152"/>
      <c r="O37" s="111" t="str">
        <f>IFERROR(MIN(VLOOKUP(ROUNDDOWN(N37,0),'Aide calcul'!$B$2:$C$282,2,FALSE),M37+1),"")</f>
        <v/>
      </c>
      <c r="P37" s="112" t="str">
        <f t="shared" si="12"/>
        <v/>
      </c>
      <c r="Q37" s="170"/>
      <c r="R37" s="170"/>
      <c r="S37" s="170"/>
      <c r="T37" s="170"/>
      <c r="U37" s="170"/>
      <c r="V37" s="170"/>
      <c r="W37" s="170"/>
      <c r="X37" s="76"/>
      <c r="Y37" s="76"/>
      <c r="Z37" s="113" t="str">
        <f>IFERROR(ROUND('Informations générales'!$E$66*(AE37/SUM($AE$28:$AE$404))/12,0)*12,"")</f>
        <v/>
      </c>
      <c r="AA37" s="114"/>
      <c r="AB37" s="113" t="str">
        <f t="shared" si="1"/>
        <v/>
      </c>
      <c r="AC37" s="89"/>
      <c r="AD37" s="76"/>
      <c r="AE37" s="56">
        <f t="shared" si="13"/>
        <v>0</v>
      </c>
      <c r="AF37" s="56">
        <f t="shared" si="2"/>
        <v>0</v>
      </c>
      <c r="AG37" s="56">
        <f t="shared" si="3"/>
        <v>0</v>
      </c>
      <c r="AH37" s="56">
        <f t="shared" si="4"/>
        <v>0</v>
      </c>
      <c r="AI37" s="56">
        <f t="shared" si="5"/>
        <v>0</v>
      </c>
      <c r="AJ37" s="56">
        <f t="shared" si="6"/>
        <v>0</v>
      </c>
      <c r="AK37" s="56">
        <f t="shared" si="7"/>
        <v>0</v>
      </c>
      <c r="AL37" s="56">
        <f t="shared" si="8"/>
        <v>0</v>
      </c>
      <c r="AM37" s="56">
        <f t="shared" si="14"/>
        <v>0</v>
      </c>
      <c r="AN37" s="60">
        <f t="shared" si="9"/>
        <v>0</v>
      </c>
      <c r="AO37" s="59">
        <f t="shared" si="10"/>
        <v>0</v>
      </c>
      <c r="AP37" s="59">
        <f t="shared" si="11"/>
        <v>0</v>
      </c>
    </row>
    <row r="38" spans="3:42" s="17" customFormat="1" x14ac:dyDescent="0.25">
      <c r="C38" s="241" t="s">
        <v>213</v>
      </c>
      <c r="D38" s="242"/>
      <c r="E38" s="88"/>
      <c r="F38" s="217"/>
      <c r="G38" s="234"/>
      <c r="H38" s="218"/>
      <c r="I38" s="76"/>
      <c r="J38" s="77"/>
      <c r="K38" s="77"/>
      <c r="L38" s="76"/>
      <c r="M38" s="110"/>
      <c r="N38" s="152"/>
      <c r="O38" s="111" t="str">
        <f>IFERROR(MIN(VLOOKUP(ROUNDDOWN(N38,0),'Aide calcul'!$B$2:$C$282,2,FALSE),M38+1),"")</f>
        <v/>
      </c>
      <c r="P38" s="112" t="str">
        <f t="shared" si="12"/>
        <v/>
      </c>
      <c r="Q38" s="170"/>
      <c r="R38" s="170"/>
      <c r="S38" s="170"/>
      <c r="T38" s="170"/>
      <c r="U38" s="170"/>
      <c r="V38" s="170"/>
      <c r="W38" s="170"/>
      <c r="X38" s="76"/>
      <c r="Y38" s="76"/>
      <c r="Z38" s="113" t="str">
        <f>IFERROR(ROUND('Informations générales'!$E$66*(AE38/SUM($AE$28:$AE$404))/12,0)*12,"")</f>
        <v/>
      </c>
      <c r="AA38" s="114"/>
      <c r="AB38" s="113" t="str">
        <f t="shared" si="1"/>
        <v/>
      </c>
      <c r="AC38" s="89"/>
      <c r="AD38" s="76"/>
      <c r="AE38" s="56">
        <f t="shared" si="13"/>
        <v>0</v>
      </c>
      <c r="AF38" s="56">
        <f t="shared" si="2"/>
        <v>0</v>
      </c>
      <c r="AG38" s="56">
        <f t="shared" si="3"/>
        <v>0</v>
      </c>
      <c r="AH38" s="56">
        <f t="shared" si="4"/>
        <v>0</v>
      </c>
      <c r="AI38" s="56">
        <f t="shared" si="5"/>
        <v>0</v>
      </c>
      <c r="AJ38" s="56">
        <f t="shared" si="6"/>
        <v>0</v>
      </c>
      <c r="AK38" s="56">
        <f t="shared" si="7"/>
        <v>0</v>
      </c>
      <c r="AL38" s="56">
        <f t="shared" si="8"/>
        <v>0</v>
      </c>
      <c r="AM38" s="56">
        <f t="shared" si="14"/>
        <v>0</v>
      </c>
      <c r="AN38" s="60">
        <f t="shared" si="9"/>
        <v>0</v>
      </c>
      <c r="AO38" s="59">
        <f t="shared" si="10"/>
        <v>0</v>
      </c>
      <c r="AP38" s="59">
        <f t="shared" si="11"/>
        <v>0</v>
      </c>
    </row>
    <row r="39" spans="3:42" s="17" customFormat="1" x14ac:dyDescent="0.25">
      <c r="C39" s="241" t="s">
        <v>213</v>
      </c>
      <c r="D39" s="242"/>
      <c r="E39" s="88"/>
      <c r="F39" s="217"/>
      <c r="G39" s="234"/>
      <c r="H39" s="218"/>
      <c r="I39" s="76"/>
      <c r="J39" s="77"/>
      <c r="K39" s="77"/>
      <c r="L39" s="76"/>
      <c r="M39" s="110"/>
      <c r="N39" s="152"/>
      <c r="O39" s="111" t="str">
        <f>IFERROR(MIN(VLOOKUP(ROUNDDOWN(N39,0),'Aide calcul'!$B$2:$C$282,2,FALSE),M39+1),"")</f>
        <v/>
      </c>
      <c r="P39" s="112" t="str">
        <f t="shared" si="12"/>
        <v/>
      </c>
      <c r="Q39" s="170"/>
      <c r="R39" s="170"/>
      <c r="S39" s="170"/>
      <c r="T39" s="170"/>
      <c r="U39" s="170"/>
      <c r="V39" s="170"/>
      <c r="W39" s="170"/>
      <c r="X39" s="76"/>
      <c r="Y39" s="76"/>
      <c r="Z39" s="113" t="str">
        <f>IFERROR(ROUND('Informations générales'!$E$66*(AE39/SUM($AE$28:$AE$404))/12,0)*12,"")</f>
        <v/>
      </c>
      <c r="AA39" s="114"/>
      <c r="AB39" s="113" t="str">
        <f t="shared" si="1"/>
        <v/>
      </c>
      <c r="AC39" s="89"/>
      <c r="AD39" s="76"/>
      <c r="AE39" s="56">
        <f t="shared" si="13"/>
        <v>0</v>
      </c>
      <c r="AF39" s="56">
        <f t="shared" si="2"/>
        <v>0</v>
      </c>
      <c r="AG39" s="56">
        <f t="shared" si="3"/>
        <v>0</v>
      </c>
      <c r="AH39" s="56">
        <f t="shared" si="4"/>
        <v>0</v>
      </c>
      <c r="AI39" s="56">
        <f t="shared" si="5"/>
        <v>0</v>
      </c>
      <c r="AJ39" s="56">
        <f t="shared" si="6"/>
        <v>0</v>
      </c>
      <c r="AK39" s="56">
        <f t="shared" si="7"/>
        <v>0</v>
      </c>
      <c r="AL39" s="56">
        <f t="shared" si="8"/>
        <v>0</v>
      </c>
      <c r="AM39" s="56">
        <f t="shared" si="14"/>
        <v>0</v>
      </c>
      <c r="AN39" s="60">
        <f t="shared" si="9"/>
        <v>0</v>
      </c>
      <c r="AO39" s="59">
        <f t="shared" si="10"/>
        <v>0</v>
      </c>
      <c r="AP39" s="59">
        <f t="shared" si="11"/>
        <v>0</v>
      </c>
    </row>
    <row r="40" spans="3:42" s="17" customFormat="1" x14ac:dyDescent="0.25">
      <c r="C40" s="241" t="s">
        <v>213</v>
      </c>
      <c r="D40" s="242"/>
      <c r="E40" s="88"/>
      <c r="F40" s="217"/>
      <c r="G40" s="234"/>
      <c r="H40" s="218"/>
      <c r="I40" s="76"/>
      <c r="J40" s="77"/>
      <c r="K40" s="77"/>
      <c r="L40" s="76"/>
      <c r="M40" s="110"/>
      <c r="N40" s="152"/>
      <c r="O40" s="111" t="str">
        <f>IFERROR(MIN(VLOOKUP(ROUNDDOWN(N40,0),'Aide calcul'!$B$2:$C$282,2,FALSE),M40+1),"")</f>
        <v/>
      </c>
      <c r="P40" s="112" t="str">
        <f t="shared" si="12"/>
        <v/>
      </c>
      <c r="Q40" s="170"/>
      <c r="R40" s="170"/>
      <c r="S40" s="170"/>
      <c r="T40" s="170"/>
      <c r="U40" s="170"/>
      <c r="V40" s="170"/>
      <c r="W40" s="170"/>
      <c r="X40" s="76"/>
      <c r="Y40" s="76"/>
      <c r="Z40" s="113" t="str">
        <f>IFERROR(ROUND('Informations générales'!$E$66*(AE40/SUM($AE$28:$AE$404))/12,0)*12,"")</f>
        <v/>
      </c>
      <c r="AA40" s="114"/>
      <c r="AB40" s="113" t="str">
        <f t="shared" si="1"/>
        <v/>
      </c>
      <c r="AC40" s="89"/>
      <c r="AD40" s="76"/>
      <c r="AE40" s="56">
        <f t="shared" si="13"/>
        <v>0</v>
      </c>
      <c r="AF40" s="56">
        <f t="shared" si="2"/>
        <v>0</v>
      </c>
      <c r="AG40" s="56">
        <f t="shared" si="3"/>
        <v>0</v>
      </c>
      <c r="AH40" s="56">
        <f t="shared" si="4"/>
        <v>0</v>
      </c>
      <c r="AI40" s="56">
        <f t="shared" si="5"/>
        <v>0</v>
      </c>
      <c r="AJ40" s="56">
        <f t="shared" si="6"/>
        <v>0</v>
      </c>
      <c r="AK40" s="56">
        <f t="shared" si="7"/>
        <v>0</v>
      </c>
      <c r="AL40" s="56">
        <f t="shared" si="8"/>
        <v>0</v>
      </c>
      <c r="AM40" s="56">
        <f t="shared" si="14"/>
        <v>0</v>
      </c>
      <c r="AN40" s="60">
        <f t="shared" si="9"/>
        <v>0</v>
      </c>
      <c r="AO40" s="59">
        <f t="shared" si="10"/>
        <v>0</v>
      </c>
      <c r="AP40" s="59">
        <f t="shared" si="11"/>
        <v>0</v>
      </c>
    </row>
    <row r="41" spans="3:42" s="17" customFormat="1" x14ac:dyDescent="0.25">
      <c r="C41" s="241" t="s">
        <v>213</v>
      </c>
      <c r="D41" s="242"/>
      <c r="E41" s="88"/>
      <c r="F41" s="217"/>
      <c r="G41" s="234"/>
      <c r="H41" s="218"/>
      <c r="I41" s="76"/>
      <c r="J41" s="77"/>
      <c r="K41" s="77"/>
      <c r="L41" s="76"/>
      <c r="M41" s="110"/>
      <c r="N41" s="152"/>
      <c r="O41" s="111" t="str">
        <f>IFERROR(MIN(VLOOKUP(ROUNDDOWN(N41,0),'Aide calcul'!$B$2:$C$282,2,FALSE),M41+1),"")</f>
        <v/>
      </c>
      <c r="P41" s="112" t="str">
        <f t="shared" si="12"/>
        <v/>
      </c>
      <c r="Q41" s="170"/>
      <c r="R41" s="170"/>
      <c r="S41" s="170"/>
      <c r="T41" s="170"/>
      <c r="U41" s="170"/>
      <c r="V41" s="170"/>
      <c r="W41" s="170"/>
      <c r="X41" s="76"/>
      <c r="Y41" s="76"/>
      <c r="Z41" s="113" t="str">
        <f>IFERROR(ROUND('Informations générales'!$E$66*(AE41/SUM($AE$28:$AE$404))/12,0)*12,"")</f>
        <v/>
      </c>
      <c r="AA41" s="114"/>
      <c r="AB41" s="113" t="str">
        <f t="shared" si="1"/>
        <v/>
      </c>
      <c r="AC41" s="89"/>
      <c r="AD41" s="76"/>
      <c r="AE41" s="56">
        <f t="shared" si="13"/>
        <v>0</v>
      </c>
      <c r="AF41" s="56">
        <f t="shared" si="2"/>
        <v>0</v>
      </c>
      <c r="AG41" s="56">
        <f t="shared" si="3"/>
        <v>0</v>
      </c>
      <c r="AH41" s="56">
        <f t="shared" si="4"/>
        <v>0</v>
      </c>
      <c r="AI41" s="56">
        <f t="shared" si="5"/>
        <v>0</v>
      </c>
      <c r="AJ41" s="56">
        <f t="shared" si="6"/>
        <v>0</v>
      </c>
      <c r="AK41" s="56">
        <f t="shared" si="7"/>
        <v>0</v>
      </c>
      <c r="AL41" s="56">
        <f t="shared" si="8"/>
        <v>0</v>
      </c>
      <c r="AM41" s="56">
        <f t="shared" si="14"/>
        <v>0</v>
      </c>
      <c r="AN41" s="60">
        <f t="shared" si="9"/>
        <v>0</v>
      </c>
      <c r="AO41" s="59">
        <f t="shared" si="10"/>
        <v>0</v>
      </c>
      <c r="AP41" s="59">
        <f t="shared" si="11"/>
        <v>0</v>
      </c>
    </row>
    <row r="42" spans="3:42" s="17" customFormat="1" x14ac:dyDescent="0.25">
      <c r="C42" s="241" t="s">
        <v>213</v>
      </c>
      <c r="D42" s="242"/>
      <c r="E42" s="88"/>
      <c r="F42" s="217"/>
      <c r="G42" s="234"/>
      <c r="H42" s="218"/>
      <c r="I42" s="76"/>
      <c r="J42" s="77"/>
      <c r="K42" s="77"/>
      <c r="L42" s="76"/>
      <c r="M42" s="110"/>
      <c r="N42" s="152"/>
      <c r="O42" s="111" t="str">
        <f>IFERROR(MIN(VLOOKUP(ROUNDDOWN(N42,0),'Aide calcul'!$B$2:$C$282,2,FALSE),M42+1),"")</f>
        <v/>
      </c>
      <c r="P42" s="112" t="str">
        <f t="shared" si="12"/>
        <v/>
      </c>
      <c r="Q42" s="170"/>
      <c r="R42" s="170"/>
      <c r="S42" s="170"/>
      <c r="T42" s="170"/>
      <c r="U42" s="170"/>
      <c r="V42" s="170"/>
      <c r="W42" s="170"/>
      <c r="X42" s="76"/>
      <c r="Y42" s="76"/>
      <c r="Z42" s="113" t="str">
        <f>IFERROR(ROUND('Informations générales'!$E$66*(AE42/SUM($AE$28:$AE$404))/12,0)*12,"")</f>
        <v/>
      </c>
      <c r="AA42" s="114"/>
      <c r="AB42" s="113" t="str">
        <f t="shared" si="1"/>
        <v/>
      </c>
      <c r="AC42" s="89"/>
      <c r="AD42" s="76"/>
      <c r="AE42" s="56">
        <f t="shared" si="13"/>
        <v>0</v>
      </c>
      <c r="AF42" s="56">
        <f t="shared" si="2"/>
        <v>0</v>
      </c>
      <c r="AG42" s="56">
        <f t="shared" si="3"/>
        <v>0</v>
      </c>
      <c r="AH42" s="56">
        <f t="shared" si="4"/>
        <v>0</v>
      </c>
      <c r="AI42" s="56">
        <f t="shared" si="5"/>
        <v>0</v>
      </c>
      <c r="AJ42" s="56">
        <f t="shared" si="6"/>
        <v>0</v>
      </c>
      <c r="AK42" s="56">
        <f t="shared" si="7"/>
        <v>0</v>
      </c>
      <c r="AL42" s="56">
        <f t="shared" si="8"/>
        <v>0</v>
      </c>
      <c r="AM42" s="56">
        <f t="shared" si="14"/>
        <v>0</v>
      </c>
      <c r="AN42" s="60">
        <f t="shared" si="9"/>
        <v>0</v>
      </c>
      <c r="AO42" s="59">
        <f t="shared" si="10"/>
        <v>0</v>
      </c>
      <c r="AP42" s="59">
        <f t="shared" si="11"/>
        <v>0</v>
      </c>
    </row>
    <row r="43" spans="3:42" s="17" customFormat="1" x14ac:dyDescent="0.25">
      <c r="C43" s="241" t="s">
        <v>213</v>
      </c>
      <c r="D43" s="242"/>
      <c r="E43" s="88"/>
      <c r="F43" s="217"/>
      <c r="G43" s="234"/>
      <c r="H43" s="218"/>
      <c r="I43" s="76"/>
      <c r="J43" s="77"/>
      <c r="K43" s="77"/>
      <c r="L43" s="76"/>
      <c r="M43" s="110"/>
      <c r="N43" s="152"/>
      <c r="O43" s="111" t="str">
        <f>IFERROR(MIN(VLOOKUP(ROUNDDOWN(N43,0),'Aide calcul'!$B$2:$C$282,2,FALSE),M43+1),"")</f>
        <v/>
      </c>
      <c r="P43" s="112" t="str">
        <f t="shared" si="12"/>
        <v/>
      </c>
      <c r="Q43" s="170"/>
      <c r="R43" s="170"/>
      <c r="S43" s="170"/>
      <c r="T43" s="170"/>
      <c r="U43" s="170"/>
      <c r="V43" s="170"/>
      <c r="W43" s="170"/>
      <c r="X43" s="76"/>
      <c r="Y43" s="76"/>
      <c r="Z43" s="113" t="str">
        <f>IFERROR(ROUND('Informations générales'!$E$66*(AE43/SUM($AE$28:$AE$404))/12,0)*12,"")</f>
        <v/>
      </c>
      <c r="AA43" s="114"/>
      <c r="AB43" s="113" t="str">
        <f t="shared" si="1"/>
        <v/>
      </c>
      <c r="AC43" s="89"/>
      <c r="AD43" s="76"/>
      <c r="AE43" s="56">
        <f t="shared" si="13"/>
        <v>0</v>
      </c>
      <c r="AF43" s="56">
        <f t="shared" si="2"/>
        <v>0</v>
      </c>
      <c r="AG43" s="56">
        <f t="shared" si="3"/>
        <v>0</v>
      </c>
      <c r="AH43" s="56">
        <f t="shared" si="4"/>
        <v>0</v>
      </c>
      <c r="AI43" s="56">
        <f t="shared" si="5"/>
        <v>0</v>
      </c>
      <c r="AJ43" s="56">
        <f t="shared" si="6"/>
        <v>0</v>
      </c>
      <c r="AK43" s="56">
        <f t="shared" si="7"/>
        <v>0</v>
      </c>
      <c r="AL43" s="56">
        <f t="shared" si="8"/>
        <v>0</v>
      </c>
      <c r="AM43" s="56">
        <f t="shared" si="14"/>
        <v>0</v>
      </c>
      <c r="AN43" s="60">
        <f t="shared" si="9"/>
        <v>0</v>
      </c>
      <c r="AO43" s="59">
        <f t="shared" si="10"/>
        <v>0</v>
      </c>
      <c r="AP43" s="59">
        <f t="shared" si="11"/>
        <v>0</v>
      </c>
    </row>
    <row r="44" spans="3:42" s="17" customFormat="1" x14ac:dyDescent="0.25">
      <c r="C44" s="241" t="s">
        <v>213</v>
      </c>
      <c r="D44" s="242"/>
      <c r="E44" s="88"/>
      <c r="F44" s="217"/>
      <c r="G44" s="234"/>
      <c r="H44" s="218"/>
      <c r="I44" s="76"/>
      <c r="J44" s="77"/>
      <c r="K44" s="77"/>
      <c r="L44" s="76"/>
      <c r="M44" s="110"/>
      <c r="N44" s="152"/>
      <c r="O44" s="111" t="str">
        <f>IFERROR(MIN(VLOOKUP(ROUNDDOWN(N44,0),'Aide calcul'!$B$2:$C$282,2,FALSE),M44+1),"")</f>
        <v/>
      </c>
      <c r="P44" s="112" t="str">
        <f t="shared" si="12"/>
        <v/>
      </c>
      <c r="Q44" s="170"/>
      <c r="R44" s="170"/>
      <c r="S44" s="170"/>
      <c r="T44" s="170"/>
      <c r="U44" s="170"/>
      <c r="V44" s="170"/>
      <c r="W44" s="170"/>
      <c r="X44" s="76"/>
      <c r="Y44" s="76"/>
      <c r="Z44" s="113" t="str">
        <f>IFERROR(ROUND('Informations générales'!$E$66*(AE44/SUM($AE$28:$AE$404))/12,0)*12,"")</f>
        <v/>
      </c>
      <c r="AA44" s="114"/>
      <c r="AB44" s="113" t="str">
        <f t="shared" si="1"/>
        <v/>
      </c>
      <c r="AC44" s="89"/>
      <c r="AD44" s="76"/>
      <c r="AE44" s="56">
        <f t="shared" si="13"/>
        <v>0</v>
      </c>
      <c r="AF44" s="56">
        <f t="shared" si="2"/>
        <v>0</v>
      </c>
      <c r="AG44" s="56">
        <f t="shared" si="3"/>
        <v>0</v>
      </c>
      <c r="AH44" s="56">
        <f t="shared" si="4"/>
        <v>0</v>
      </c>
      <c r="AI44" s="56">
        <f t="shared" si="5"/>
        <v>0</v>
      </c>
      <c r="AJ44" s="56">
        <f t="shared" si="6"/>
        <v>0</v>
      </c>
      <c r="AK44" s="56">
        <f t="shared" si="7"/>
        <v>0</v>
      </c>
      <c r="AL44" s="56">
        <f t="shared" si="8"/>
        <v>0</v>
      </c>
      <c r="AM44" s="56">
        <f t="shared" si="14"/>
        <v>0</v>
      </c>
      <c r="AN44" s="60">
        <f t="shared" si="9"/>
        <v>0</v>
      </c>
      <c r="AO44" s="59">
        <f t="shared" si="10"/>
        <v>0</v>
      </c>
      <c r="AP44" s="59">
        <f t="shared" si="11"/>
        <v>0</v>
      </c>
    </row>
    <row r="45" spans="3:42" s="17" customFormat="1" x14ac:dyDescent="0.25">
      <c r="C45" s="241" t="s">
        <v>213</v>
      </c>
      <c r="D45" s="242"/>
      <c r="E45" s="88"/>
      <c r="F45" s="217"/>
      <c r="G45" s="234"/>
      <c r="H45" s="218"/>
      <c r="I45" s="76"/>
      <c r="J45" s="77"/>
      <c r="K45" s="77"/>
      <c r="L45" s="76"/>
      <c r="M45" s="110"/>
      <c r="N45" s="152"/>
      <c r="O45" s="111" t="str">
        <f>IFERROR(MIN(VLOOKUP(ROUNDDOWN(N45,0),'Aide calcul'!$B$2:$C$282,2,FALSE),M45+1),"")</f>
        <v/>
      </c>
      <c r="P45" s="112" t="str">
        <f t="shared" si="12"/>
        <v/>
      </c>
      <c r="Q45" s="170"/>
      <c r="R45" s="170"/>
      <c r="S45" s="170"/>
      <c r="T45" s="170"/>
      <c r="U45" s="170"/>
      <c r="V45" s="170"/>
      <c r="W45" s="170"/>
      <c r="X45" s="76"/>
      <c r="Y45" s="76"/>
      <c r="Z45" s="113" t="str">
        <f>IFERROR(ROUND('Informations générales'!$E$66*(AE45/SUM($AE$28:$AE$404))/12,0)*12,"")</f>
        <v/>
      </c>
      <c r="AA45" s="114"/>
      <c r="AB45" s="113" t="str">
        <f t="shared" si="1"/>
        <v/>
      </c>
      <c r="AC45" s="89"/>
      <c r="AD45" s="76"/>
      <c r="AE45" s="56">
        <f t="shared" si="13"/>
        <v>0</v>
      </c>
      <c r="AF45" s="56">
        <f t="shared" si="2"/>
        <v>0</v>
      </c>
      <c r="AG45" s="56">
        <f t="shared" si="3"/>
        <v>0</v>
      </c>
      <c r="AH45" s="56">
        <f t="shared" si="4"/>
        <v>0</v>
      </c>
      <c r="AI45" s="56">
        <f t="shared" si="5"/>
        <v>0</v>
      </c>
      <c r="AJ45" s="56">
        <f t="shared" si="6"/>
        <v>0</v>
      </c>
      <c r="AK45" s="56">
        <f t="shared" si="7"/>
        <v>0</v>
      </c>
      <c r="AL45" s="56">
        <f t="shared" si="8"/>
        <v>0</v>
      </c>
      <c r="AM45" s="56">
        <f t="shared" si="14"/>
        <v>0</v>
      </c>
      <c r="AN45" s="60">
        <f t="shared" si="9"/>
        <v>0</v>
      </c>
      <c r="AO45" s="59">
        <f t="shared" si="10"/>
        <v>0</v>
      </c>
      <c r="AP45" s="59">
        <f t="shared" si="11"/>
        <v>0</v>
      </c>
    </row>
    <row r="46" spans="3:42" s="17" customFormat="1" x14ac:dyDescent="0.25">
      <c r="C46" s="241" t="s">
        <v>213</v>
      </c>
      <c r="D46" s="242"/>
      <c r="E46" s="88"/>
      <c r="F46" s="217"/>
      <c r="G46" s="234"/>
      <c r="H46" s="218"/>
      <c r="I46" s="76"/>
      <c r="J46" s="77"/>
      <c r="K46" s="77"/>
      <c r="L46" s="76"/>
      <c r="M46" s="110"/>
      <c r="N46" s="152"/>
      <c r="O46" s="111" t="str">
        <f>IFERROR(MIN(VLOOKUP(ROUNDDOWN(N46,0),'Aide calcul'!$B$2:$C$282,2,FALSE),M46+1),"")</f>
        <v/>
      </c>
      <c r="P46" s="112" t="str">
        <f t="shared" si="12"/>
        <v/>
      </c>
      <c r="Q46" s="170"/>
      <c r="R46" s="170"/>
      <c r="S46" s="170"/>
      <c r="T46" s="170"/>
      <c r="U46" s="170"/>
      <c r="V46" s="170"/>
      <c r="W46" s="170"/>
      <c r="X46" s="76"/>
      <c r="Y46" s="76"/>
      <c r="Z46" s="113" t="str">
        <f>IFERROR(ROUND('Informations générales'!$E$66*(AE46/SUM($AE$28:$AE$404))/12,0)*12,"")</f>
        <v/>
      </c>
      <c r="AA46" s="114"/>
      <c r="AB46" s="113" t="str">
        <f t="shared" si="1"/>
        <v/>
      </c>
      <c r="AC46" s="89"/>
      <c r="AD46" s="76"/>
      <c r="AE46" s="56">
        <f t="shared" si="13"/>
        <v>0</v>
      </c>
      <c r="AF46" s="56">
        <f t="shared" si="2"/>
        <v>0</v>
      </c>
      <c r="AG46" s="56">
        <f t="shared" si="3"/>
        <v>0</v>
      </c>
      <c r="AH46" s="56">
        <f t="shared" si="4"/>
        <v>0</v>
      </c>
      <c r="AI46" s="56">
        <f t="shared" si="5"/>
        <v>0</v>
      </c>
      <c r="AJ46" s="56">
        <f t="shared" si="6"/>
        <v>0</v>
      </c>
      <c r="AK46" s="56">
        <f t="shared" si="7"/>
        <v>0</v>
      </c>
      <c r="AL46" s="56">
        <f t="shared" si="8"/>
        <v>0</v>
      </c>
      <c r="AM46" s="56">
        <f t="shared" si="14"/>
        <v>0</v>
      </c>
      <c r="AN46" s="60">
        <f t="shared" si="9"/>
        <v>0</v>
      </c>
      <c r="AO46" s="59">
        <f t="shared" si="10"/>
        <v>0</v>
      </c>
      <c r="AP46" s="59">
        <f t="shared" si="11"/>
        <v>0</v>
      </c>
    </row>
    <row r="47" spans="3:42" s="17" customFormat="1" x14ac:dyDescent="0.25">
      <c r="C47" s="241" t="s">
        <v>213</v>
      </c>
      <c r="D47" s="242"/>
      <c r="E47" s="88"/>
      <c r="F47" s="217"/>
      <c r="G47" s="234"/>
      <c r="H47" s="218"/>
      <c r="I47" s="76"/>
      <c r="J47" s="77"/>
      <c r="K47" s="77"/>
      <c r="L47" s="76"/>
      <c r="M47" s="110"/>
      <c r="N47" s="152"/>
      <c r="O47" s="111" t="str">
        <f>IFERROR(MIN(VLOOKUP(ROUNDDOWN(N47,0),'Aide calcul'!$B$2:$C$282,2,FALSE),M47+1),"")</f>
        <v/>
      </c>
      <c r="P47" s="112" t="str">
        <f t="shared" si="12"/>
        <v/>
      </c>
      <c r="Q47" s="170"/>
      <c r="R47" s="170"/>
      <c r="S47" s="170"/>
      <c r="T47" s="170"/>
      <c r="U47" s="170"/>
      <c r="V47" s="170"/>
      <c r="W47" s="170"/>
      <c r="X47" s="76"/>
      <c r="Y47" s="76"/>
      <c r="Z47" s="113" t="str">
        <f>IFERROR(ROUND('Informations générales'!$E$66*(AE47/SUM($AE$28:$AE$404))/12,0)*12,"")</f>
        <v/>
      </c>
      <c r="AA47" s="114"/>
      <c r="AB47" s="113" t="str">
        <f t="shared" si="1"/>
        <v/>
      </c>
      <c r="AC47" s="89"/>
      <c r="AD47" s="76"/>
      <c r="AE47" s="56">
        <f t="shared" si="13"/>
        <v>0</v>
      </c>
      <c r="AF47" s="56">
        <f t="shared" si="2"/>
        <v>0</v>
      </c>
      <c r="AG47" s="56">
        <f t="shared" si="3"/>
        <v>0</v>
      </c>
      <c r="AH47" s="56">
        <f t="shared" si="4"/>
        <v>0</v>
      </c>
      <c r="AI47" s="56">
        <f t="shared" si="5"/>
        <v>0</v>
      </c>
      <c r="AJ47" s="56">
        <f t="shared" si="6"/>
        <v>0</v>
      </c>
      <c r="AK47" s="56">
        <f t="shared" si="7"/>
        <v>0</v>
      </c>
      <c r="AL47" s="56">
        <f t="shared" si="8"/>
        <v>0</v>
      </c>
      <c r="AM47" s="56">
        <f t="shared" si="14"/>
        <v>0</v>
      </c>
      <c r="AN47" s="60">
        <f t="shared" si="9"/>
        <v>0</v>
      </c>
      <c r="AO47" s="59">
        <f t="shared" si="10"/>
        <v>0</v>
      </c>
      <c r="AP47" s="59">
        <f t="shared" si="11"/>
        <v>0</v>
      </c>
    </row>
    <row r="48" spans="3:42" s="17" customFormat="1" x14ac:dyDescent="0.25">
      <c r="C48" s="241" t="s">
        <v>213</v>
      </c>
      <c r="D48" s="242"/>
      <c r="E48" s="88"/>
      <c r="F48" s="217"/>
      <c r="G48" s="234"/>
      <c r="H48" s="218"/>
      <c r="I48" s="76"/>
      <c r="J48" s="77"/>
      <c r="K48" s="77"/>
      <c r="L48" s="76"/>
      <c r="M48" s="110"/>
      <c r="N48" s="152"/>
      <c r="O48" s="111" t="str">
        <f>IFERROR(MIN(VLOOKUP(ROUNDDOWN(N48,0),'Aide calcul'!$B$2:$C$282,2,FALSE),M48+1),"")</f>
        <v/>
      </c>
      <c r="P48" s="112" t="str">
        <f t="shared" si="12"/>
        <v/>
      </c>
      <c r="Q48" s="170"/>
      <c r="R48" s="170"/>
      <c r="S48" s="170"/>
      <c r="T48" s="170"/>
      <c r="U48" s="170"/>
      <c r="V48" s="170"/>
      <c r="W48" s="170"/>
      <c r="X48" s="76"/>
      <c r="Y48" s="76"/>
      <c r="Z48" s="113" t="str">
        <f>IFERROR(ROUND('Informations générales'!$E$66*(AE48/SUM($AE$28:$AE$404))/12,0)*12,"")</f>
        <v/>
      </c>
      <c r="AA48" s="114"/>
      <c r="AB48" s="113" t="str">
        <f t="shared" si="1"/>
        <v/>
      </c>
      <c r="AC48" s="89"/>
      <c r="AD48" s="76"/>
      <c r="AE48" s="56">
        <f t="shared" si="13"/>
        <v>0</v>
      </c>
      <c r="AF48" s="56">
        <f t="shared" si="2"/>
        <v>0</v>
      </c>
      <c r="AG48" s="56">
        <f t="shared" si="3"/>
        <v>0</v>
      </c>
      <c r="AH48" s="56">
        <f t="shared" si="4"/>
        <v>0</v>
      </c>
      <c r="AI48" s="56">
        <f t="shared" si="5"/>
        <v>0</v>
      </c>
      <c r="AJ48" s="56">
        <f t="shared" si="6"/>
        <v>0</v>
      </c>
      <c r="AK48" s="56">
        <f t="shared" si="7"/>
        <v>0</v>
      </c>
      <c r="AL48" s="56">
        <f t="shared" si="8"/>
        <v>0</v>
      </c>
      <c r="AM48" s="56">
        <f t="shared" si="14"/>
        <v>0</v>
      </c>
      <c r="AN48" s="60">
        <f t="shared" si="9"/>
        <v>0</v>
      </c>
      <c r="AO48" s="59">
        <f t="shared" si="10"/>
        <v>0</v>
      </c>
      <c r="AP48" s="59">
        <f t="shared" si="11"/>
        <v>0</v>
      </c>
    </row>
    <row r="49" spans="3:42" s="17" customFormat="1" x14ac:dyDescent="0.25">
      <c r="C49" s="241" t="s">
        <v>213</v>
      </c>
      <c r="D49" s="242"/>
      <c r="E49" s="88"/>
      <c r="F49" s="217"/>
      <c r="G49" s="234"/>
      <c r="H49" s="218"/>
      <c r="I49" s="76"/>
      <c r="J49" s="77"/>
      <c r="K49" s="77"/>
      <c r="L49" s="76"/>
      <c r="M49" s="110"/>
      <c r="N49" s="152"/>
      <c r="O49" s="111" t="str">
        <f>IFERROR(MIN(VLOOKUP(ROUNDDOWN(N49,0),'Aide calcul'!$B$2:$C$282,2,FALSE),M49+1),"")</f>
        <v/>
      </c>
      <c r="P49" s="112" t="str">
        <f t="shared" si="12"/>
        <v/>
      </c>
      <c r="Q49" s="170"/>
      <c r="R49" s="170"/>
      <c r="S49" s="170"/>
      <c r="T49" s="170"/>
      <c r="U49" s="170"/>
      <c r="V49" s="170"/>
      <c r="W49" s="170"/>
      <c r="X49" s="76"/>
      <c r="Y49" s="76"/>
      <c r="Z49" s="113" t="str">
        <f>IFERROR(ROUND('Informations générales'!$E$66*(AE49/SUM($AE$28:$AE$404))/12,0)*12,"")</f>
        <v/>
      </c>
      <c r="AA49" s="114"/>
      <c r="AB49" s="113" t="str">
        <f t="shared" si="1"/>
        <v/>
      </c>
      <c r="AC49" s="89"/>
      <c r="AD49" s="76"/>
      <c r="AE49" s="56">
        <f t="shared" si="13"/>
        <v>0</v>
      </c>
      <c r="AF49" s="56">
        <f t="shared" si="2"/>
        <v>0</v>
      </c>
      <c r="AG49" s="56">
        <f t="shared" si="3"/>
        <v>0</v>
      </c>
      <c r="AH49" s="56">
        <f t="shared" si="4"/>
        <v>0</v>
      </c>
      <c r="AI49" s="56">
        <f t="shared" si="5"/>
        <v>0</v>
      </c>
      <c r="AJ49" s="56">
        <f t="shared" si="6"/>
        <v>0</v>
      </c>
      <c r="AK49" s="56">
        <f t="shared" si="7"/>
        <v>0</v>
      </c>
      <c r="AL49" s="56">
        <f t="shared" si="8"/>
        <v>0</v>
      </c>
      <c r="AM49" s="56">
        <f t="shared" si="14"/>
        <v>0</v>
      </c>
      <c r="AN49" s="60">
        <f t="shared" si="9"/>
        <v>0</v>
      </c>
      <c r="AO49" s="59">
        <f t="shared" si="10"/>
        <v>0</v>
      </c>
      <c r="AP49" s="59">
        <f t="shared" si="11"/>
        <v>0</v>
      </c>
    </row>
    <row r="50" spans="3:42" s="17" customFormat="1" x14ac:dyDescent="0.25">
      <c r="C50" s="241" t="s">
        <v>213</v>
      </c>
      <c r="D50" s="242"/>
      <c r="E50" s="88"/>
      <c r="F50" s="217"/>
      <c r="G50" s="234"/>
      <c r="H50" s="218"/>
      <c r="I50" s="76"/>
      <c r="J50" s="77"/>
      <c r="K50" s="77"/>
      <c r="L50" s="76"/>
      <c r="M50" s="110"/>
      <c r="N50" s="152"/>
      <c r="O50" s="111" t="str">
        <f>IFERROR(MIN(VLOOKUP(ROUNDDOWN(N50,0),'Aide calcul'!$B$2:$C$282,2,FALSE),M50+1),"")</f>
        <v/>
      </c>
      <c r="P50" s="112" t="str">
        <f t="shared" si="12"/>
        <v/>
      </c>
      <c r="Q50" s="170"/>
      <c r="R50" s="170"/>
      <c r="S50" s="170"/>
      <c r="T50" s="170"/>
      <c r="U50" s="170"/>
      <c r="V50" s="170"/>
      <c r="W50" s="170"/>
      <c r="X50" s="76"/>
      <c r="Y50" s="76"/>
      <c r="Z50" s="113" t="str">
        <f>IFERROR(ROUND('Informations générales'!$E$66*(AE50/SUM($AE$28:$AE$404))/12,0)*12,"")</f>
        <v/>
      </c>
      <c r="AA50" s="114"/>
      <c r="AB50" s="113" t="str">
        <f t="shared" si="1"/>
        <v/>
      </c>
      <c r="AC50" s="89"/>
      <c r="AD50" s="76"/>
      <c r="AE50" s="56">
        <f t="shared" si="13"/>
        <v>0</v>
      </c>
      <c r="AF50" s="56">
        <f t="shared" si="2"/>
        <v>0</v>
      </c>
      <c r="AG50" s="56">
        <f t="shared" si="3"/>
        <v>0</v>
      </c>
      <c r="AH50" s="56">
        <f t="shared" si="4"/>
        <v>0</v>
      </c>
      <c r="AI50" s="56">
        <f t="shared" si="5"/>
        <v>0</v>
      </c>
      <c r="AJ50" s="56">
        <f t="shared" si="6"/>
        <v>0</v>
      </c>
      <c r="AK50" s="56">
        <f t="shared" si="7"/>
        <v>0</v>
      </c>
      <c r="AL50" s="56">
        <f t="shared" si="8"/>
        <v>0</v>
      </c>
      <c r="AM50" s="56">
        <f t="shared" si="14"/>
        <v>0</v>
      </c>
      <c r="AN50" s="60">
        <f t="shared" si="9"/>
        <v>0</v>
      </c>
      <c r="AO50" s="59">
        <f t="shared" si="10"/>
        <v>0</v>
      </c>
      <c r="AP50" s="59">
        <f t="shared" si="11"/>
        <v>0</v>
      </c>
    </row>
    <row r="51" spans="3:42" s="17" customFormat="1" x14ac:dyDescent="0.25">
      <c r="C51" s="241" t="s">
        <v>213</v>
      </c>
      <c r="D51" s="242"/>
      <c r="E51" s="88"/>
      <c r="F51" s="217"/>
      <c r="G51" s="234"/>
      <c r="H51" s="218"/>
      <c r="I51" s="76"/>
      <c r="J51" s="77"/>
      <c r="K51" s="77"/>
      <c r="L51" s="76"/>
      <c r="M51" s="110"/>
      <c r="N51" s="152"/>
      <c r="O51" s="111" t="str">
        <f>IFERROR(MIN(VLOOKUP(ROUNDDOWN(N51,0),'Aide calcul'!$B$2:$C$282,2,FALSE),M51+1),"")</f>
        <v/>
      </c>
      <c r="P51" s="112" t="str">
        <f t="shared" si="12"/>
        <v/>
      </c>
      <c r="Q51" s="170"/>
      <c r="R51" s="170"/>
      <c r="S51" s="170"/>
      <c r="T51" s="170"/>
      <c r="U51" s="170"/>
      <c r="V51" s="170"/>
      <c r="W51" s="170"/>
      <c r="X51" s="76"/>
      <c r="Y51" s="76"/>
      <c r="Z51" s="113" t="str">
        <f>IFERROR(ROUND('Informations générales'!$E$66*(AE51/SUM($AE$28:$AE$404))/12,0)*12,"")</f>
        <v/>
      </c>
      <c r="AA51" s="114"/>
      <c r="AB51" s="113" t="str">
        <f t="shared" si="1"/>
        <v/>
      </c>
      <c r="AC51" s="89"/>
      <c r="AD51" s="76"/>
      <c r="AE51" s="56">
        <f t="shared" si="13"/>
        <v>0</v>
      </c>
      <c r="AF51" s="56">
        <f t="shared" si="2"/>
        <v>0</v>
      </c>
      <c r="AG51" s="56">
        <f t="shared" si="3"/>
        <v>0</v>
      </c>
      <c r="AH51" s="56">
        <f t="shared" si="4"/>
        <v>0</v>
      </c>
      <c r="AI51" s="56">
        <f t="shared" si="5"/>
        <v>0</v>
      </c>
      <c r="AJ51" s="56">
        <f t="shared" si="6"/>
        <v>0</v>
      </c>
      <c r="AK51" s="56">
        <f t="shared" si="7"/>
        <v>0</v>
      </c>
      <c r="AL51" s="56">
        <f t="shared" si="8"/>
        <v>0</v>
      </c>
      <c r="AM51" s="56">
        <f t="shared" si="14"/>
        <v>0</v>
      </c>
      <c r="AN51" s="60">
        <f t="shared" si="9"/>
        <v>0</v>
      </c>
      <c r="AO51" s="59">
        <f t="shared" si="10"/>
        <v>0</v>
      </c>
      <c r="AP51" s="59">
        <f t="shared" si="11"/>
        <v>0</v>
      </c>
    </row>
    <row r="52" spans="3:42" s="17" customFormat="1" x14ac:dyDescent="0.25">
      <c r="C52" s="241" t="s">
        <v>213</v>
      </c>
      <c r="D52" s="242"/>
      <c r="E52" s="88"/>
      <c r="F52" s="217"/>
      <c r="G52" s="234"/>
      <c r="H52" s="218"/>
      <c r="I52" s="76"/>
      <c r="J52" s="77"/>
      <c r="K52" s="77"/>
      <c r="L52" s="76"/>
      <c r="M52" s="110"/>
      <c r="N52" s="152"/>
      <c r="O52" s="111" t="str">
        <f>IFERROR(MIN(VLOOKUP(ROUNDDOWN(N52,0),'Aide calcul'!$B$2:$C$282,2,FALSE),M52+1),"")</f>
        <v/>
      </c>
      <c r="P52" s="112" t="str">
        <f t="shared" si="12"/>
        <v/>
      </c>
      <c r="Q52" s="170"/>
      <c r="R52" s="170"/>
      <c r="S52" s="170"/>
      <c r="T52" s="170"/>
      <c r="U52" s="170"/>
      <c r="V52" s="170"/>
      <c r="W52" s="170"/>
      <c r="X52" s="76"/>
      <c r="Y52" s="76"/>
      <c r="Z52" s="113" t="str">
        <f>IFERROR(ROUND('Informations générales'!$E$66*(AE52/SUM($AE$28:$AE$404))/12,0)*12,"")</f>
        <v/>
      </c>
      <c r="AA52" s="114"/>
      <c r="AB52" s="113" t="str">
        <f t="shared" si="1"/>
        <v/>
      </c>
      <c r="AC52" s="89"/>
      <c r="AD52" s="76"/>
      <c r="AE52" s="56">
        <f t="shared" si="13"/>
        <v>0</v>
      </c>
      <c r="AF52" s="56">
        <f t="shared" si="2"/>
        <v>0</v>
      </c>
      <c r="AG52" s="56">
        <f t="shared" si="3"/>
        <v>0</v>
      </c>
      <c r="AH52" s="56">
        <f t="shared" si="4"/>
        <v>0</v>
      </c>
      <c r="AI52" s="56">
        <f t="shared" si="5"/>
        <v>0</v>
      </c>
      <c r="AJ52" s="56">
        <f t="shared" si="6"/>
        <v>0</v>
      </c>
      <c r="AK52" s="56">
        <f t="shared" si="7"/>
        <v>0</v>
      </c>
      <c r="AL52" s="56">
        <f t="shared" si="8"/>
        <v>0</v>
      </c>
      <c r="AM52" s="56">
        <f t="shared" si="14"/>
        <v>0</v>
      </c>
      <c r="AN52" s="60">
        <f t="shared" si="9"/>
        <v>0</v>
      </c>
      <c r="AO52" s="59">
        <f t="shared" si="10"/>
        <v>0</v>
      </c>
      <c r="AP52" s="59">
        <f t="shared" si="11"/>
        <v>0</v>
      </c>
    </row>
    <row r="53" spans="3:42" s="17" customFormat="1" x14ac:dyDescent="0.25">
      <c r="C53" s="241" t="s">
        <v>213</v>
      </c>
      <c r="D53" s="242"/>
      <c r="E53" s="88"/>
      <c r="F53" s="217"/>
      <c r="G53" s="234"/>
      <c r="H53" s="218"/>
      <c r="I53" s="76"/>
      <c r="J53" s="77"/>
      <c r="K53" s="77"/>
      <c r="L53" s="76"/>
      <c r="M53" s="110"/>
      <c r="N53" s="152"/>
      <c r="O53" s="111" t="str">
        <f>IFERROR(MIN(VLOOKUP(ROUNDDOWN(N53,0),'Aide calcul'!$B$2:$C$282,2,FALSE),M53+1),"")</f>
        <v/>
      </c>
      <c r="P53" s="112" t="str">
        <f t="shared" si="12"/>
        <v/>
      </c>
      <c r="Q53" s="170"/>
      <c r="R53" s="170"/>
      <c r="S53" s="170"/>
      <c r="T53" s="170"/>
      <c r="U53" s="170"/>
      <c r="V53" s="170"/>
      <c r="W53" s="170"/>
      <c r="X53" s="76"/>
      <c r="Y53" s="76"/>
      <c r="Z53" s="113" t="str">
        <f>IFERROR(ROUND('Informations générales'!$E$66*(AE53/SUM($AE$28:$AE$404))/12,0)*12,"")</f>
        <v/>
      </c>
      <c r="AA53" s="114"/>
      <c r="AB53" s="113" t="str">
        <f t="shared" si="1"/>
        <v/>
      </c>
      <c r="AC53" s="89"/>
      <c r="AD53" s="76"/>
      <c r="AE53" s="56">
        <f t="shared" si="13"/>
        <v>0</v>
      </c>
      <c r="AF53" s="56">
        <f t="shared" si="2"/>
        <v>0</v>
      </c>
      <c r="AG53" s="56">
        <f t="shared" si="3"/>
        <v>0</v>
      </c>
      <c r="AH53" s="56">
        <f t="shared" si="4"/>
        <v>0</v>
      </c>
      <c r="AI53" s="56">
        <f t="shared" si="5"/>
        <v>0</v>
      </c>
      <c r="AJ53" s="56">
        <f t="shared" si="6"/>
        <v>0</v>
      </c>
      <c r="AK53" s="56">
        <f t="shared" si="7"/>
        <v>0</v>
      </c>
      <c r="AL53" s="56">
        <f t="shared" si="8"/>
        <v>0</v>
      </c>
      <c r="AM53" s="56">
        <f t="shared" si="14"/>
        <v>0</v>
      </c>
      <c r="AN53" s="60">
        <f t="shared" si="9"/>
        <v>0</v>
      </c>
      <c r="AO53" s="59">
        <f t="shared" si="10"/>
        <v>0</v>
      </c>
      <c r="AP53" s="59">
        <f t="shared" si="11"/>
        <v>0</v>
      </c>
    </row>
    <row r="54" spans="3:42" s="17" customFormat="1" x14ac:dyDescent="0.25">
      <c r="C54" s="241" t="s">
        <v>213</v>
      </c>
      <c r="D54" s="242"/>
      <c r="E54" s="88"/>
      <c r="F54" s="217"/>
      <c r="G54" s="234"/>
      <c r="H54" s="218"/>
      <c r="I54" s="76"/>
      <c r="J54" s="77"/>
      <c r="K54" s="77"/>
      <c r="L54" s="76"/>
      <c r="M54" s="110"/>
      <c r="N54" s="152"/>
      <c r="O54" s="111" t="str">
        <f>IFERROR(MIN(VLOOKUP(ROUNDDOWN(N54,0),'Aide calcul'!$B$2:$C$282,2,FALSE),M54+1),"")</f>
        <v/>
      </c>
      <c r="P54" s="112" t="str">
        <f t="shared" si="12"/>
        <v/>
      </c>
      <c r="Q54" s="170"/>
      <c r="R54" s="170"/>
      <c r="S54" s="170"/>
      <c r="T54" s="170"/>
      <c r="U54" s="170"/>
      <c r="V54" s="170"/>
      <c r="W54" s="170"/>
      <c r="X54" s="76"/>
      <c r="Y54" s="76"/>
      <c r="Z54" s="113" t="str">
        <f>IFERROR(ROUND('Informations générales'!$E$66*(AE54/SUM($AE$28:$AE$404))/12,0)*12,"")</f>
        <v/>
      </c>
      <c r="AA54" s="114"/>
      <c r="AB54" s="113" t="str">
        <f t="shared" si="1"/>
        <v/>
      </c>
      <c r="AC54" s="89"/>
      <c r="AD54" s="76"/>
      <c r="AE54" s="56">
        <f t="shared" si="13"/>
        <v>0</v>
      </c>
      <c r="AF54" s="56">
        <f t="shared" si="2"/>
        <v>0</v>
      </c>
      <c r="AG54" s="56">
        <f t="shared" si="3"/>
        <v>0</v>
      </c>
      <c r="AH54" s="56">
        <f t="shared" si="4"/>
        <v>0</v>
      </c>
      <c r="AI54" s="56">
        <f t="shared" si="5"/>
        <v>0</v>
      </c>
      <c r="AJ54" s="56">
        <f t="shared" si="6"/>
        <v>0</v>
      </c>
      <c r="AK54" s="56">
        <f t="shared" si="7"/>
        <v>0</v>
      </c>
      <c r="AL54" s="56">
        <f t="shared" si="8"/>
        <v>0</v>
      </c>
      <c r="AM54" s="56">
        <f t="shared" si="14"/>
        <v>0</v>
      </c>
      <c r="AN54" s="60">
        <f t="shared" si="9"/>
        <v>0</v>
      </c>
      <c r="AO54" s="59">
        <f t="shared" si="10"/>
        <v>0</v>
      </c>
      <c r="AP54" s="59">
        <f t="shared" si="11"/>
        <v>0</v>
      </c>
    </row>
    <row r="55" spans="3:42" s="17" customFormat="1" x14ac:dyDescent="0.25">
      <c r="C55" s="241" t="s">
        <v>213</v>
      </c>
      <c r="D55" s="242"/>
      <c r="E55" s="88"/>
      <c r="F55" s="217"/>
      <c r="G55" s="234"/>
      <c r="H55" s="218"/>
      <c r="I55" s="76"/>
      <c r="J55" s="77"/>
      <c r="K55" s="77"/>
      <c r="L55" s="76"/>
      <c r="M55" s="110"/>
      <c r="N55" s="152"/>
      <c r="O55" s="111" t="str">
        <f>IFERROR(MIN(VLOOKUP(ROUNDDOWN(N55,0),'Aide calcul'!$B$2:$C$282,2,FALSE),M55+1),"")</f>
        <v/>
      </c>
      <c r="P55" s="112" t="str">
        <f t="shared" si="12"/>
        <v/>
      </c>
      <c r="Q55" s="170"/>
      <c r="R55" s="170"/>
      <c r="S55" s="170"/>
      <c r="T55" s="170"/>
      <c r="U55" s="170"/>
      <c r="V55" s="170"/>
      <c r="W55" s="170"/>
      <c r="X55" s="76"/>
      <c r="Y55" s="76"/>
      <c r="Z55" s="113" t="str">
        <f>IFERROR(ROUND('Informations générales'!$E$66*(AE55/SUM($AE$28:$AE$404))/12,0)*12,"")</f>
        <v/>
      </c>
      <c r="AA55" s="114"/>
      <c r="AB55" s="113" t="str">
        <f t="shared" si="1"/>
        <v/>
      </c>
      <c r="AC55" s="89"/>
      <c r="AD55" s="76"/>
      <c r="AE55" s="56">
        <f t="shared" si="13"/>
        <v>0</v>
      </c>
      <c r="AF55" s="56">
        <f t="shared" si="2"/>
        <v>0</v>
      </c>
      <c r="AG55" s="56">
        <f t="shared" si="3"/>
        <v>0</v>
      </c>
      <c r="AH55" s="56">
        <f t="shared" si="4"/>
        <v>0</v>
      </c>
      <c r="AI55" s="56">
        <f t="shared" si="5"/>
        <v>0</v>
      </c>
      <c r="AJ55" s="56">
        <f t="shared" si="6"/>
        <v>0</v>
      </c>
      <c r="AK55" s="56">
        <f t="shared" si="7"/>
        <v>0</v>
      </c>
      <c r="AL55" s="56">
        <f t="shared" si="8"/>
        <v>0</v>
      </c>
      <c r="AM55" s="56">
        <f t="shared" si="14"/>
        <v>0</v>
      </c>
      <c r="AN55" s="60">
        <f t="shared" si="9"/>
        <v>0</v>
      </c>
      <c r="AO55" s="59">
        <f t="shared" si="10"/>
        <v>0</v>
      </c>
      <c r="AP55" s="59">
        <f t="shared" si="11"/>
        <v>0</v>
      </c>
    </row>
    <row r="56" spans="3:42" s="17" customFormat="1" x14ac:dyDescent="0.25">
      <c r="C56" s="241" t="s">
        <v>213</v>
      </c>
      <c r="D56" s="242"/>
      <c r="E56" s="88"/>
      <c r="F56" s="217"/>
      <c r="G56" s="234"/>
      <c r="H56" s="218"/>
      <c r="I56" s="76"/>
      <c r="J56" s="77"/>
      <c r="K56" s="77"/>
      <c r="L56" s="76"/>
      <c r="M56" s="110"/>
      <c r="N56" s="152"/>
      <c r="O56" s="111" t="str">
        <f>IFERROR(MIN(VLOOKUP(ROUNDDOWN(N56,0),'Aide calcul'!$B$2:$C$282,2,FALSE),M56+1),"")</f>
        <v/>
      </c>
      <c r="P56" s="112" t="str">
        <f t="shared" si="12"/>
        <v/>
      </c>
      <c r="Q56" s="170"/>
      <c r="R56" s="170"/>
      <c r="S56" s="170"/>
      <c r="T56" s="170"/>
      <c r="U56" s="170"/>
      <c r="V56" s="170"/>
      <c r="W56" s="170"/>
      <c r="X56" s="76"/>
      <c r="Y56" s="76"/>
      <c r="Z56" s="113" t="str">
        <f>IFERROR(ROUND('Informations générales'!$E$66*(AE56/SUM($AE$28:$AE$404))/12,0)*12,"")</f>
        <v/>
      </c>
      <c r="AA56" s="114"/>
      <c r="AB56" s="113" t="str">
        <f t="shared" si="1"/>
        <v/>
      </c>
      <c r="AC56" s="89"/>
      <c r="AD56" s="76"/>
      <c r="AE56" s="56">
        <f t="shared" si="13"/>
        <v>0</v>
      </c>
      <c r="AF56" s="56">
        <f t="shared" si="2"/>
        <v>0</v>
      </c>
      <c r="AG56" s="56">
        <f t="shared" si="3"/>
        <v>0</v>
      </c>
      <c r="AH56" s="56">
        <f t="shared" si="4"/>
        <v>0</v>
      </c>
      <c r="AI56" s="56">
        <f t="shared" si="5"/>
        <v>0</v>
      </c>
      <c r="AJ56" s="56">
        <f t="shared" si="6"/>
        <v>0</v>
      </c>
      <c r="AK56" s="56">
        <f t="shared" si="7"/>
        <v>0</v>
      </c>
      <c r="AL56" s="56">
        <f t="shared" si="8"/>
        <v>0</v>
      </c>
      <c r="AM56" s="56">
        <f t="shared" si="14"/>
        <v>0</v>
      </c>
      <c r="AN56" s="60">
        <f t="shared" si="9"/>
        <v>0</v>
      </c>
      <c r="AO56" s="59">
        <f t="shared" si="10"/>
        <v>0</v>
      </c>
      <c r="AP56" s="59">
        <f t="shared" si="11"/>
        <v>0</v>
      </c>
    </row>
    <row r="57" spans="3:42" s="17" customFormat="1" x14ac:dyDescent="0.25">
      <c r="C57" s="241" t="s">
        <v>213</v>
      </c>
      <c r="D57" s="242"/>
      <c r="E57" s="88"/>
      <c r="F57" s="217"/>
      <c r="G57" s="234"/>
      <c r="H57" s="218"/>
      <c r="I57" s="76"/>
      <c r="J57" s="77"/>
      <c r="K57" s="77"/>
      <c r="L57" s="76"/>
      <c r="M57" s="110"/>
      <c r="N57" s="152"/>
      <c r="O57" s="111" t="str">
        <f>IFERROR(MIN(VLOOKUP(ROUNDDOWN(N57,0),'Aide calcul'!$B$2:$C$282,2,FALSE),M57+1),"")</f>
        <v/>
      </c>
      <c r="P57" s="112" t="str">
        <f t="shared" si="12"/>
        <v/>
      </c>
      <c r="Q57" s="170"/>
      <c r="R57" s="170"/>
      <c r="S57" s="170"/>
      <c r="T57" s="170"/>
      <c r="U57" s="170"/>
      <c r="V57" s="170"/>
      <c r="W57" s="170"/>
      <c r="X57" s="76"/>
      <c r="Y57" s="76"/>
      <c r="Z57" s="113" t="str">
        <f>IFERROR(ROUND('Informations générales'!$E$66*(AE57/SUM($AE$28:$AE$404))/12,0)*12,"")</f>
        <v/>
      </c>
      <c r="AA57" s="114"/>
      <c r="AB57" s="113" t="str">
        <f t="shared" si="1"/>
        <v/>
      </c>
      <c r="AC57" s="89"/>
      <c r="AD57" s="76"/>
      <c r="AE57" s="56">
        <f t="shared" si="13"/>
        <v>0</v>
      </c>
      <c r="AF57" s="56">
        <f t="shared" si="2"/>
        <v>0</v>
      </c>
      <c r="AG57" s="56">
        <f t="shared" si="3"/>
        <v>0</v>
      </c>
      <c r="AH57" s="56">
        <f t="shared" si="4"/>
        <v>0</v>
      </c>
      <c r="AI57" s="56">
        <f t="shared" si="5"/>
        <v>0</v>
      </c>
      <c r="AJ57" s="56">
        <f t="shared" si="6"/>
        <v>0</v>
      </c>
      <c r="AK57" s="56">
        <f t="shared" si="7"/>
        <v>0</v>
      </c>
      <c r="AL57" s="56">
        <f t="shared" si="8"/>
        <v>0</v>
      </c>
      <c r="AM57" s="56">
        <f t="shared" si="14"/>
        <v>0</v>
      </c>
      <c r="AN57" s="60">
        <f t="shared" si="9"/>
        <v>0</v>
      </c>
      <c r="AO57" s="59">
        <f t="shared" si="10"/>
        <v>0</v>
      </c>
      <c r="AP57" s="59">
        <f t="shared" si="11"/>
        <v>0</v>
      </c>
    </row>
    <row r="58" spans="3:42" s="17" customFormat="1" x14ac:dyDescent="0.25">
      <c r="C58" s="241" t="s">
        <v>213</v>
      </c>
      <c r="D58" s="242"/>
      <c r="E58" s="88"/>
      <c r="F58" s="217"/>
      <c r="G58" s="234"/>
      <c r="H58" s="218"/>
      <c r="I58" s="76"/>
      <c r="J58" s="77"/>
      <c r="K58" s="77"/>
      <c r="L58" s="76"/>
      <c r="M58" s="110"/>
      <c r="N58" s="152"/>
      <c r="O58" s="111" t="str">
        <f>IFERROR(MIN(VLOOKUP(ROUNDDOWN(N58,0),'Aide calcul'!$B$2:$C$282,2,FALSE),M58+1),"")</f>
        <v/>
      </c>
      <c r="P58" s="112" t="str">
        <f t="shared" si="12"/>
        <v/>
      </c>
      <c r="Q58" s="170"/>
      <c r="R58" s="170"/>
      <c r="S58" s="170"/>
      <c r="T58" s="170"/>
      <c r="U58" s="170"/>
      <c r="V58" s="170"/>
      <c r="W58" s="170"/>
      <c r="X58" s="76"/>
      <c r="Y58" s="76"/>
      <c r="Z58" s="113" t="str">
        <f>IFERROR(ROUND('Informations générales'!$E$66*(AE58/SUM($AE$28:$AE$404))/12,0)*12,"")</f>
        <v/>
      </c>
      <c r="AA58" s="114"/>
      <c r="AB58" s="113" t="str">
        <f t="shared" si="1"/>
        <v/>
      </c>
      <c r="AC58" s="89"/>
      <c r="AD58" s="76"/>
      <c r="AE58" s="56">
        <f t="shared" si="13"/>
        <v>0</v>
      </c>
      <c r="AF58" s="56">
        <f t="shared" si="2"/>
        <v>0</v>
      </c>
      <c r="AG58" s="56">
        <f t="shared" si="3"/>
        <v>0</v>
      </c>
      <c r="AH58" s="56">
        <f t="shared" si="4"/>
        <v>0</v>
      </c>
      <c r="AI58" s="56">
        <f t="shared" si="5"/>
        <v>0</v>
      </c>
      <c r="AJ58" s="56">
        <f t="shared" si="6"/>
        <v>0</v>
      </c>
      <c r="AK58" s="56">
        <f t="shared" si="7"/>
        <v>0</v>
      </c>
      <c r="AL58" s="56">
        <f t="shared" si="8"/>
        <v>0</v>
      </c>
      <c r="AM58" s="56">
        <f t="shared" si="14"/>
        <v>0</v>
      </c>
      <c r="AN58" s="60">
        <f t="shared" si="9"/>
        <v>0</v>
      </c>
      <c r="AO58" s="59">
        <f t="shared" si="10"/>
        <v>0</v>
      </c>
      <c r="AP58" s="59">
        <f t="shared" si="11"/>
        <v>0</v>
      </c>
    </row>
    <row r="59" spans="3:42" s="17" customFormat="1" x14ac:dyDescent="0.25">
      <c r="C59" s="241" t="s">
        <v>213</v>
      </c>
      <c r="D59" s="242"/>
      <c r="E59" s="88"/>
      <c r="F59" s="217"/>
      <c r="G59" s="234"/>
      <c r="H59" s="218"/>
      <c r="I59" s="76"/>
      <c r="J59" s="77"/>
      <c r="K59" s="77"/>
      <c r="L59" s="76"/>
      <c r="M59" s="110"/>
      <c r="N59" s="152"/>
      <c r="O59" s="111" t="str">
        <f>IFERROR(MIN(VLOOKUP(ROUNDDOWN(N59,0),'Aide calcul'!$B$2:$C$282,2,FALSE),M59+1),"")</f>
        <v/>
      </c>
      <c r="P59" s="112" t="str">
        <f t="shared" si="12"/>
        <v/>
      </c>
      <c r="Q59" s="170"/>
      <c r="R59" s="170"/>
      <c r="S59" s="170"/>
      <c r="T59" s="170"/>
      <c r="U59" s="170"/>
      <c r="V59" s="170"/>
      <c r="W59" s="170"/>
      <c r="X59" s="76"/>
      <c r="Y59" s="76"/>
      <c r="Z59" s="113" t="str">
        <f>IFERROR(ROUND('Informations générales'!$E$66*(AE59/SUM($AE$28:$AE$404))/12,0)*12,"")</f>
        <v/>
      </c>
      <c r="AA59" s="114"/>
      <c r="AB59" s="113" t="str">
        <f t="shared" si="1"/>
        <v/>
      </c>
      <c r="AC59" s="89"/>
      <c r="AD59" s="76"/>
      <c r="AE59" s="56">
        <f t="shared" si="13"/>
        <v>0</v>
      </c>
      <c r="AF59" s="56">
        <f t="shared" si="2"/>
        <v>0</v>
      </c>
      <c r="AG59" s="56">
        <f t="shared" si="3"/>
        <v>0</v>
      </c>
      <c r="AH59" s="56">
        <f t="shared" si="4"/>
        <v>0</v>
      </c>
      <c r="AI59" s="56">
        <f t="shared" si="5"/>
        <v>0</v>
      </c>
      <c r="AJ59" s="56">
        <f t="shared" si="6"/>
        <v>0</v>
      </c>
      <c r="AK59" s="56">
        <f t="shared" si="7"/>
        <v>0</v>
      </c>
      <c r="AL59" s="56">
        <f t="shared" si="8"/>
        <v>0</v>
      </c>
      <c r="AM59" s="56">
        <f t="shared" si="14"/>
        <v>0</v>
      </c>
      <c r="AN59" s="60">
        <f t="shared" si="9"/>
        <v>0</v>
      </c>
      <c r="AO59" s="59">
        <f t="shared" si="10"/>
        <v>0</v>
      </c>
      <c r="AP59" s="59">
        <f t="shared" si="11"/>
        <v>0</v>
      </c>
    </row>
    <row r="60" spans="3:42" s="17" customFormat="1" x14ac:dyDescent="0.25">
      <c r="C60" s="241" t="s">
        <v>213</v>
      </c>
      <c r="D60" s="242"/>
      <c r="E60" s="88"/>
      <c r="F60" s="217"/>
      <c r="G60" s="234"/>
      <c r="H60" s="218"/>
      <c r="I60" s="76"/>
      <c r="J60" s="77"/>
      <c r="K60" s="77"/>
      <c r="L60" s="76"/>
      <c r="M60" s="110"/>
      <c r="N60" s="152"/>
      <c r="O60" s="111" t="str">
        <f>IFERROR(MIN(VLOOKUP(ROUNDDOWN(N60,0),'Aide calcul'!$B$2:$C$282,2,FALSE),M60+1),"")</f>
        <v/>
      </c>
      <c r="P60" s="112" t="str">
        <f t="shared" si="12"/>
        <v/>
      </c>
      <c r="Q60" s="170"/>
      <c r="R60" s="170"/>
      <c r="S60" s="170"/>
      <c r="T60" s="170"/>
      <c r="U60" s="170"/>
      <c r="V60" s="170"/>
      <c r="W60" s="170"/>
      <c r="X60" s="76"/>
      <c r="Y60" s="76"/>
      <c r="Z60" s="113" t="str">
        <f>IFERROR(ROUND('Informations générales'!$E$66*(AE60/SUM($AE$28:$AE$404))/12,0)*12,"")</f>
        <v/>
      </c>
      <c r="AA60" s="114"/>
      <c r="AB60" s="113" t="str">
        <f t="shared" si="1"/>
        <v/>
      </c>
      <c r="AC60" s="89"/>
      <c r="AD60" s="76"/>
      <c r="AE60" s="56">
        <f t="shared" si="13"/>
        <v>0</v>
      </c>
      <c r="AF60" s="56">
        <f t="shared" si="2"/>
        <v>0</v>
      </c>
      <c r="AG60" s="56">
        <f t="shared" si="3"/>
        <v>0</v>
      </c>
      <c r="AH60" s="56">
        <f t="shared" si="4"/>
        <v>0</v>
      </c>
      <c r="AI60" s="56">
        <f t="shared" si="5"/>
        <v>0</v>
      </c>
      <c r="AJ60" s="56">
        <f t="shared" si="6"/>
        <v>0</v>
      </c>
      <c r="AK60" s="56">
        <f t="shared" si="7"/>
        <v>0</v>
      </c>
      <c r="AL60" s="56">
        <f t="shared" si="8"/>
        <v>0</v>
      </c>
      <c r="AM60" s="56">
        <f t="shared" si="14"/>
        <v>0</v>
      </c>
      <c r="AN60" s="60">
        <f t="shared" si="9"/>
        <v>0</v>
      </c>
      <c r="AO60" s="59">
        <f t="shared" si="10"/>
        <v>0</v>
      </c>
      <c r="AP60" s="59">
        <f t="shared" si="11"/>
        <v>0</v>
      </c>
    </row>
    <row r="61" spans="3:42" s="17" customFormat="1" x14ac:dyDescent="0.25">
      <c r="C61" s="241" t="s">
        <v>213</v>
      </c>
      <c r="D61" s="242"/>
      <c r="E61" s="88"/>
      <c r="F61" s="217"/>
      <c r="G61" s="234"/>
      <c r="H61" s="218"/>
      <c r="I61" s="76"/>
      <c r="J61" s="77"/>
      <c r="K61" s="77"/>
      <c r="L61" s="76"/>
      <c r="M61" s="110"/>
      <c r="N61" s="152"/>
      <c r="O61" s="111" t="str">
        <f>IFERROR(MIN(VLOOKUP(ROUNDDOWN(N61,0),'Aide calcul'!$B$2:$C$282,2,FALSE),M61+1),"")</f>
        <v/>
      </c>
      <c r="P61" s="112" t="str">
        <f t="shared" si="12"/>
        <v/>
      </c>
      <c r="Q61" s="170"/>
      <c r="R61" s="170"/>
      <c r="S61" s="170"/>
      <c r="T61" s="170"/>
      <c r="U61" s="170"/>
      <c r="V61" s="170"/>
      <c r="W61" s="170"/>
      <c r="X61" s="76"/>
      <c r="Y61" s="76"/>
      <c r="Z61" s="113" t="str">
        <f>IFERROR(ROUND('Informations générales'!$E$66*(AE61/SUM($AE$28:$AE$404))/12,0)*12,"")</f>
        <v/>
      </c>
      <c r="AA61" s="114"/>
      <c r="AB61" s="113" t="str">
        <f t="shared" si="1"/>
        <v/>
      </c>
      <c r="AC61" s="89"/>
      <c r="AD61" s="76"/>
      <c r="AE61" s="56">
        <f t="shared" si="13"/>
        <v>0</v>
      </c>
      <c r="AF61" s="56">
        <f t="shared" si="2"/>
        <v>0</v>
      </c>
      <c r="AG61" s="56">
        <f t="shared" si="3"/>
        <v>0</v>
      </c>
      <c r="AH61" s="56">
        <f t="shared" si="4"/>
        <v>0</v>
      </c>
      <c r="AI61" s="56">
        <f t="shared" si="5"/>
        <v>0</v>
      </c>
      <c r="AJ61" s="56">
        <f t="shared" si="6"/>
        <v>0</v>
      </c>
      <c r="AK61" s="56">
        <f t="shared" si="7"/>
        <v>0</v>
      </c>
      <c r="AL61" s="56">
        <f t="shared" si="8"/>
        <v>0</v>
      </c>
      <c r="AM61" s="56">
        <f t="shared" si="14"/>
        <v>0</v>
      </c>
      <c r="AN61" s="60">
        <f t="shared" si="9"/>
        <v>0</v>
      </c>
      <c r="AO61" s="59">
        <f t="shared" si="10"/>
        <v>0</v>
      </c>
      <c r="AP61" s="59">
        <f t="shared" si="11"/>
        <v>0</v>
      </c>
    </row>
    <row r="62" spans="3:42" s="17" customFormat="1" x14ac:dyDescent="0.25">
      <c r="C62" s="241" t="s">
        <v>213</v>
      </c>
      <c r="D62" s="242"/>
      <c r="E62" s="88"/>
      <c r="F62" s="217"/>
      <c r="G62" s="234"/>
      <c r="H62" s="218"/>
      <c r="I62" s="76"/>
      <c r="J62" s="77"/>
      <c r="K62" s="77"/>
      <c r="L62" s="76"/>
      <c r="M62" s="110"/>
      <c r="N62" s="152"/>
      <c r="O62" s="111" t="str">
        <f>IFERROR(MIN(VLOOKUP(ROUNDDOWN(N62,0),'Aide calcul'!$B$2:$C$282,2,FALSE),M62+1),"")</f>
        <v/>
      </c>
      <c r="P62" s="112" t="str">
        <f t="shared" si="12"/>
        <v/>
      </c>
      <c r="Q62" s="170"/>
      <c r="R62" s="170"/>
      <c r="S62" s="170"/>
      <c r="T62" s="170"/>
      <c r="U62" s="170"/>
      <c r="V62" s="170"/>
      <c r="W62" s="170"/>
      <c r="X62" s="76"/>
      <c r="Y62" s="76"/>
      <c r="Z62" s="113" t="str">
        <f>IFERROR(ROUND('Informations générales'!$E$66*(AE62/SUM($AE$28:$AE$404))/12,0)*12,"")</f>
        <v/>
      </c>
      <c r="AA62" s="114"/>
      <c r="AB62" s="113" t="str">
        <f t="shared" si="1"/>
        <v/>
      </c>
      <c r="AC62" s="89"/>
      <c r="AD62" s="76"/>
      <c r="AE62" s="56">
        <f t="shared" si="13"/>
        <v>0</v>
      </c>
      <c r="AF62" s="56">
        <f t="shared" si="2"/>
        <v>0</v>
      </c>
      <c r="AG62" s="56">
        <f t="shared" si="3"/>
        <v>0</v>
      </c>
      <c r="AH62" s="56">
        <f t="shared" si="4"/>
        <v>0</v>
      </c>
      <c r="AI62" s="56">
        <f t="shared" si="5"/>
        <v>0</v>
      </c>
      <c r="AJ62" s="56">
        <f t="shared" si="6"/>
        <v>0</v>
      </c>
      <c r="AK62" s="56">
        <f t="shared" si="7"/>
        <v>0</v>
      </c>
      <c r="AL62" s="56">
        <f t="shared" si="8"/>
        <v>0</v>
      </c>
      <c r="AM62" s="56">
        <f t="shared" si="14"/>
        <v>0</v>
      </c>
      <c r="AN62" s="60">
        <f t="shared" si="9"/>
        <v>0</v>
      </c>
      <c r="AO62" s="59">
        <f t="shared" si="10"/>
        <v>0</v>
      </c>
      <c r="AP62" s="59">
        <f t="shared" si="11"/>
        <v>0</v>
      </c>
    </row>
    <row r="63" spans="3:42" s="17" customFormat="1" x14ac:dyDescent="0.25">
      <c r="C63" s="241" t="s">
        <v>213</v>
      </c>
      <c r="D63" s="242"/>
      <c r="E63" s="88"/>
      <c r="F63" s="217"/>
      <c r="G63" s="234"/>
      <c r="H63" s="218"/>
      <c r="I63" s="76"/>
      <c r="J63" s="77"/>
      <c r="K63" s="77"/>
      <c r="L63" s="76"/>
      <c r="M63" s="110"/>
      <c r="N63" s="152"/>
      <c r="O63" s="111" t="str">
        <f>IFERROR(MIN(VLOOKUP(ROUNDDOWN(N63,0),'Aide calcul'!$B$2:$C$282,2,FALSE),M63+1),"")</f>
        <v/>
      </c>
      <c r="P63" s="112" t="str">
        <f t="shared" si="12"/>
        <v/>
      </c>
      <c r="Q63" s="170"/>
      <c r="R63" s="170"/>
      <c r="S63" s="170"/>
      <c r="T63" s="170"/>
      <c r="U63" s="170"/>
      <c r="V63" s="170"/>
      <c r="W63" s="170"/>
      <c r="X63" s="76"/>
      <c r="Y63" s="76"/>
      <c r="Z63" s="113" t="str">
        <f>IFERROR(ROUND('Informations générales'!$E$66*(AE63/SUM($AE$28:$AE$404))/12,0)*12,"")</f>
        <v/>
      </c>
      <c r="AA63" s="114"/>
      <c r="AB63" s="113" t="str">
        <f t="shared" si="1"/>
        <v/>
      </c>
      <c r="AC63" s="89"/>
      <c r="AD63" s="76"/>
      <c r="AE63" s="56">
        <f t="shared" si="13"/>
        <v>0</v>
      </c>
      <c r="AF63" s="56">
        <f t="shared" si="2"/>
        <v>0</v>
      </c>
      <c r="AG63" s="56">
        <f t="shared" si="3"/>
        <v>0</v>
      </c>
      <c r="AH63" s="56">
        <f t="shared" si="4"/>
        <v>0</v>
      </c>
      <c r="AI63" s="56">
        <f t="shared" si="5"/>
        <v>0</v>
      </c>
      <c r="AJ63" s="56">
        <f t="shared" si="6"/>
        <v>0</v>
      </c>
      <c r="AK63" s="56">
        <f t="shared" si="7"/>
        <v>0</v>
      </c>
      <c r="AL63" s="56">
        <f t="shared" si="8"/>
        <v>0</v>
      </c>
      <c r="AM63" s="56">
        <f t="shared" si="14"/>
        <v>0</v>
      </c>
      <c r="AN63" s="60">
        <f t="shared" si="9"/>
        <v>0</v>
      </c>
      <c r="AO63" s="59">
        <f t="shared" si="10"/>
        <v>0</v>
      </c>
      <c r="AP63" s="59">
        <f t="shared" si="11"/>
        <v>0</v>
      </c>
    </row>
    <row r="64" spans="3:42" s="17" customFormat="1" x14ac:dyDescent="0.25">
      <c r="C64" s="241" t="s">
        <v>213</v>
      </c>
      <c r="D64" s="242"/>
      <c r="E64" s="88"/>
      <c r="F64" s="217"/>
      <c r="G64" s="234"/>
      <c r="H64" s="218"/>
      <c r="I64" s="76"/>
      <c r="J64" s="77"/>
      <c r="K64" s="77"/>
      <c r="L64" s="76"/>
      <c r="M64" s="110"/>
      <c r="N64" s="152"/>
      <c r="O64" s="111" t="str">
        <f>IFERROR(MIN(VLOOKUP(ROUNDDOWN(N64,0),'Aide calcul'!$B$2:$C$282,2,FALSE),M64+1),"")</f>
        <v/>
      </c>
      <c r="P64" s="112" t="str">
        <f t="shared" si="12"/>
        <v/>
      </c>
      <c r="Q64" s="170"/>
      <c r="R64" s="170"/>
      <c r="S64" s="170"/>
      <c r="T64" s="170"/>
      <c r="U64" s="170"/>
      <c r="V64" s="170"/>
      <c r="W64" s="170"/>
      <c r="X64" s="76"/>
      <c r="Y64" s="76"/>
      <c r="Z64" s="113" t="str">
        <f>IFERROR(ROUND('Informations générales'!$E$66*(AE64/SUM($AE$28:$AE$404))/12,0)*12,"")</f>
        <v/>
      </c>
      <c r="AA64" s="114"/>
      <c r="AB64" s="113" t="str">
        <f t="shared" si="1"/>
        <v/>
      </c>
      <c r="AC64" s="89"/>
      <c r="AD64" s="76"/>
      <c r="AE64" s="56">
        <f t="shared" si="13"/>
        <v>0</v>
      </c>
      <c r="AF64" s="56">
        <f t="shared" si="2"/>
        <v>0</v>
      </c>
      <c r="AG64" s="56">
        <f t="shared" si="3"/>
        <v>0</v>
      </c>
      <c r="AH64" s="56">
        <f t="shared" si="4"/>
        <v>0</v>
      </c>
      <c r="AI64" s="56">
        <f t="shared" si="5"/>
        <v>0</v>
      </c>
      <c r="AJ64" s="56">
        <f t="shared" si="6"/>
        <v>0</v>
      </c>
      <c r="AK64" s="56">
        <f t="shared" si="7"/>
        <v>0</v>
      </c>
      <c r="AL64" s="56">
        <f t="shared" si="8"/>
        <v>0</v>
      </c>
      <c r="AM64" s="56">
        <f t="shared" si="14"/>
        <v>0</v>
      </c>
      <c r="AN64" s="60">
        <f t="shared" si="9"/>
        <v>0</v>
      </c>
      <c r="AO64" s="59">
        <f t="shared" si="10"/>
        <v>0</v>
      </c>
      <c r="AP64" s="59">
        <f t="shared" si="11"/>
        <v>0</v>
      </c>
    </row>
    <row r="65" spans="3:42" s="17" customFormat="1" x14ac:dyDescent="0.25">
      <c r="C65" s="241" t="s">
        <v>213</v>
      </c>
      <c r="D65" s="242"/>
      <c r="E65" s="88"/>
      <c r="F65" s="217"/>
      <c r="G65" s="234"/>
      <c r="H65" s="218"/>
      <c r="I65" s="76"/>
      <c r="J65" s="77"/>
      <c r="K65" s="77"/>
      <c r="L65" s="76"/>
      <c r="M65" s="110"/>
      <c r="N65" s="152"/>
      <c r="O65" s="111" t="str">
        <f>IFERROR(MIN(VLOOKUP(ROUNDDOWN(N65,0),'Aide calcul'!$B$2:$C$282,2,FALSE),M65+1),"")</f>
        <v/>
      </c>
      <c r="P65" s="112" t="str">
        <f t="shared" si="12"/>
        <v/>
      </c>
      <c r="Q65" s="170"/>
      <c r="R65" s="170"/>
      <c r="S65" s="170"/>
      <c r="T65" s="170"/>
      <c r="U65" s="170"/>
      <c r="V65" s="170"/>
      <c r="W65" s="170"/>
      <c r="X65" s="76"/>
      <c r="Y65" s="76"/>
      <c r="Z65" s="113" t="str">
        <f>IFERROR(ROUND('Informations générales'!$E$66*(AE65/SUM($AE$28:$AE$404))/12,0)*12,"")</f>
        <v/>
      </c>
      <c r="AA65" s="114"/>
      <c r="AB65" s="113" t="str">
        <f t="shared" si="1"/>
        <v/>
      </c>
      <c r="AC65" s="89"/>
      <c r="AD65" s="76"/>
      <c r="AE65" s="56">
        <f t="shared" si="13"/>
        <v>0</v>
      </c>
      <c r="AF65" s="56">
        <f t="shared" si="2"/>
        <v>0</v>
      </c>
      <c r="AG65" s="56">
        <f t="shared" si="3"/>
        <v>0</v>
      </c>
      <c r="AH65" s="56">
        <f t="shared" si="4"/>
        <v>0</v>
      </c>
      <c r="AI65" s="56">
        <f t="shared" si="5"/>
        <v>0</v>
      </c>
      <c r="AJ65" s="56">
        <f t="shared" si="6"/>
        <v>0</v>
      </c>
      <c r="AK65" s="56">
        <f t="shared" si="7"/>
        <v>0</v>
      </c>
      <c r="AL65" s="56">
        <f t="shared" si="8"/>
        <v>0</v>
      </c>
      <c r="AM65" s="56">
        <f t="shared" si="14"/>
        <v>0</v>
      </c>
      <c r="AN65" s="60">
        <f t="shared" si="9"/>
        <v>0</v>
      </c>
      <c r="AO65" s="59">
        <f t="shared" si="10"/>
        <v>0</v>
      </c>
      <c r="AP65" s="59">
        <f t="shared" si="11"/>
        <v>0</v>
      </c>
    </row>
    <row r="66" spans="3:42" s="17" customFormat="1" x14ac:dyDescent="0.25">
      <c r="C66" s="241" t="s">
        <v>213</v>
      </c>
      <c r="D66" s="242"/>
      <c r="E66" s="88"/>
      <c r="F66" s="217"/>
      <c r="G66" s="234"/>
      <c r="H66" s="218"/>
      <c r="I66" s="76"/>
      <c r="J66" s="77"/>
      <c r="K66" s="77"/>
      <c r="L66" s="76"/>
      <c r="M66" s="110"/>
      <c r="N66" s="152"/>
      <c r="O66" s="111" t="str">
        <f>IFERROR(MIN(VLOOKUP(ROUNDDOWN(N66,0),'Aide calcul'!$B$2:$C$282,2,FALSE),M66+1),"")</f>
        <v/>
      </c>
      <c r="P66" s="112" t="str">
        <f t="shared" si="12"/>
        <v/>
      </c>
      <c r="Q66" s="170"/>
      <c r="R66" s="170"/>
      <c r="S66" s="170"/>
      <c r="T66" s="170"/>
      <c r="U66" s="170"/>
      <c r="V66" s="170"/>
      <c r="W66" s="170"/>
      <c r="X66" s="76"/>
      <c r="Y66" s="76"/>
      <c r="Z66" s="113" t="str">
        <f>IFERROR(ROUND('Informations générales'!$E$66*(AE66/SUM($AE$28:$AE$404))/12,0)*12,"")</f>
        <v/>
      </c>
      <c r="AA66" s="114"/>
      <c r="AB66" s="113" t="str">
        <f t="shared" si="1"/>
        <v/>
      </c>
      <c r="AC66" s="89"/>
      <c r="AD66" s="76"/>
      <c r="AE66" s="56">
        <f t="shared" si="13"/>
        <v>0</v>
      </c>
      <c r="AF66" s="56">
        <f t="shared" si="2"/>
        <v>0</v>
      </c>
      <c r="AG66" s="56">
        <f t="shared" si="3"/>
        <v>0</v>
      </c>
      <c r="AH66" s="56">
        <f t="shared" si="4"/>
        <v>0</v>
      </c>
      <c r="AI66" s="56">
        <f t="shared" si="5"/>
        <v>0</v>
      </c>
      <c r="AJ66" s="56">
        <f t="shared" si="6"/>
        <v>0</v>
      </c>
      <c r="AK66" s="56">
        <f t="shared" si="7"/>
        <v>0</v>
      </c>
      <c r="AL66" s="56">
        <f t="shared" si="8"/>
        <v>0</v>
      </c>
      <c r="AM66" s="56">
        <f t="shared" si="14"/>
        <v>0</v>
      </c>
      <c r="AN66" s="60">
        <f t="shared" si="9"/>
        <v>0</v>
      </c>
      <c r="AO66" s="59">
        <f t="shared" si="10"/>
        <v>0</v>
      </c>
      <c r="AP66" s="59">
        <f t="shared" si="11"/>
        <v>0</v>
      </c>
    </row>
    <row r="67" spans="3:42" s="17" customFormat="1" x14ac:dyDescent="0.25">
      <c r="C67" s="241" t="s">
        <v>213</v>
      </c>
      <c r="D67" s="242"/>
      <c r="E67" s="88"/>
      <c r="F67" s="217"/>
      <c r="G67" s="234"/>
      <c r="H67" s="218"/>
      <c r="I67" s="76"/>
      <c r="J67" s="77"/>
      <c r="K67" s="77"/>
      <c r="L67" s="76"/>
      <c r="M67" s="110"/>
      <c r="N67" s="152"/>
      <c r="O67" s="111" t="str">
        <f>IFERROR(MIN(VLOOKUP(ROUNDDOWN(N67,0),'Aide calcul'!$B$2:$C$282,2,FALSE),M67+1),"")</f>
        <v/>
      </c>
      <c r="P67" s="112" t="str">
        <f t="shared" si="12"/>
        <v/>
      </c>
      <c r="Q67" s="170"/>
      <c r="R67" s="170"/>
      <c r="S67" s="170"/>
      <c r="T67" s="170"/>
      <c r="U67" s="170"/>
      <c r="V67" s="170"/>
      <c r="W67" s="170"/>
      <c r="X67" s="76"/>
      <c r="Y67" s="76"/>
      <c r="Z67" s="113" t="str">
        <f>IFERROR(ROUND('Informations générales'!$E$66*(AE67/SUM($AE$28:$AE$404))/12,0)*12,"")</f>
        <v/>
      </c>
      <c r="AA67" s="114"/>
      <c r="AB67" s="113" t="str">
        <f t="shared" si="1"/>
        <v/>
      </c>
      <c r="AC67" s="89"/>
      <c r="AD67" s="76"/>
      <c r="AE67" s="56">
        <f t="shared" si="13"/>
        <v>0</v>
      </c>
      <c r="AF67" s="56">
        <f t="shared" si="2"/>
        <v>0</v>
      </c>
      <c r="AG67" s="56">
        <f t="shared" si="3"/>
        <v>0</v>
      </c>
      <c r="AH67" s="56">
        <f t="shared" si="4"/>
        <v>0</v>
      </c>
      <c r="AI67" s="56">
        <f t="shared" si="5"/>
        <v>0</v>
      </c>
      <c r="AJ67" s="56">
        <f t="shared" si="6"/>
        <v>0</v>
      </c>
      <c r="AK67" s="56">
        <f t="shared" si="7"/>
        <v>0</v>
      </c>
      <c r="AL67" s="56">
        <f t="shared" si="8"/>
        <v>0</v>
      </c>
      <c r="AM67" s="56">
        <f t="shared" si="14"/>
        <v>0</v>
      </c>
      <c r="AN67" s="60">
        <f t="shared" si="9"/>
        <v>0</v>
      </c>
      <c r="AO67" s="59">
        <f t="shared" si="10"/>
        <v>0</v>
      </c>
      <c r="AP67" s="59">
        <f t="shared" si="11"/>
        <v>0</v>
      </c>
    </row>
    <row r="68" spans="3:42" s="17" customFormat="1" x14ac:dyDescent="0.25">
      <c r="C68" s="241" t="s">
        <v>213</v>
      </c>
      <c r="D68" s="242"/>
      <c r="E68" s="88"/>
      <c r="F68" s="217"/>
      <c r="G68" s="234"/>
      <c r="H68" s="218"/>
      <c r="I68" s="76"/>
      <c r="J68" s="77"/>
      <c r="K68" s="77"/>
      <c r="L68" s="76"/>
      <c r="M68" s="110"/>
      <c r="N68" s="152"/>
      <c r="O68" s="111" t="str">
        <f>IFERROR(MIN(VLOOKUP(ROUNDDOWN(N68,0),'Aide calcul'!$B$2:$C$282,2,FALSE),M68+1),"")</f>
        <v/>
      </c>
      <c r="P68" s="112" t="str">
        <f t="shared" si="12"/>
        <v/>
      </c>
      <c r="Q68" s="170"/>
      <c r="R68" s="170"/>
      <c r="S68" s="170"/>
      <c r="T68" s="170"/>
      <c r="U68" s="170"/>
      <c r="V68" s="170"/>
      <c r="W68" s="170"/>
      <c r="X68" s="76"/>
      <c r="Y68" s="76"/>
      <c r="Z68" s="113" t="str">
        <f>IFERROR(ROUND('Informations générales'!$E$66*(AE68/SUM($AE$28:$AE$404))/12,0)*12,"")</f>
        <v/>
      </c>
      <c r="AA68" s="114"/>
      <c r="AB68" s="113" t="str">
        <f t="shared" si="1"/>
        <v/>
      </c>
      <c r="AC68" s="89"/>
      <c r="AD68" s="76"/>
      <c r="AE68" s="56">
        <f t="shared" si="13"/>
        <v>0</v>
      </c>
      <c r="AF68" s="56">
        <f t="shared" si="2"/>
        <v>0</v>
      </c>
      <c r="AG68" s="56">
        <f t="shared" si="3"/>
        <v>0</v>
      </c>
      <c r="AH68" s="56">
        <f t="shared" si="4"/>
        <v>0</v>
      </c>
      <c r="AI68" s="56">
        <f t="shared" si="5"/>
        <v>0</v>
      </c>
      <c r="AJ68" s="56">
        <f t="shared" si="6"/>
        <v>0</v>
      </c>
      <c r="AK68" s="56">
        <f t="shared" si="7"/>
        <v>0</v>
      </c>
      <c r="AL68" s="56">
        <f t="shared" si="8"/>
        <v>0</v>
      </c>
      <c r="AM68" s="56">
        <f t="shared" si="14"/>
        <v>0</v>
      </c>
      <c r="AN68" s="60">
        <f t="shared" si="9"/>
        <v>0</v>
      </c>
      <c r="AO68" s="59">
        <f t="shared" si="10"/>
        <v>0</v>
      </c>
      <c r="AP68" s="59">
        <f t="shared" si="11"/>
        <v>0</v>
      </c>
    </row>
    <row r="69" spans="3:42" s="17" customFormat="1" x14ac:dyDescent="0.25">
      <c r="C69" s="241" t="s">
        <v>213</v>
      </c>
      <c r="D69" s="242"/>
      <c r="E69" s="88"/>
      <c r="F69" s="217"/>
      <c r="G69" s="234"/>
      <c r="H69" s="218"/>
      <c r="I69" s="76"/>
      <c r="J69" s="77"/>
      <c r="K69" s="77"/>
      <c r="L69" s="76"/>
      <c r="M69" s="110"/>
      <c r="N69" s="152"/>
      <c r="O69" s="111" t="str">
        <f>IFERROR(MIN(VLOOKUP(ROUNDDOWN(N69,0),'Aide calcul'!$B$2:$C$282,2,FALSE),M69+1),"")</f>
        <v/>
      </c>
      <c r="P69" s="112" t="str">
        <f t="shared" si="12"/>
        <v/>
      </c>
      <c r="Q69" s="170"/>
      <c r="R69" s="170"/>
      <c r="S69" s="170"/>
      <c r="T69" s="170"/>
      <c r="U69" s="170"/>
      <c r="V69" s="170"/>
      <c r="W69" s="170"/>
      <c r="X69" s="76"/>
      <c r="Y69" s="76"/>
      <c r="Z69" s="113" t="str">
        <f>IFERROR(ROUND('Informations générales'!$E$66*(AE69/SUM($AE$28:$AE$404))/12,0)*12,"")</f>
        <v/>
      </c>
      <c r="AA69" s="114"/>
      <c r="AB69" s="113" t="str">
        <f t="shared" si="1"/>
        <v/>
      </c>
      <c r="AC69" s="89"/>
      <c r="AD69" s="76"/>
      <c r="AE69" s="56">
        <f t="shared" si="13"/>
        <v>0</v>
      </c>
      <c r="AF69" s="56">
        <f t="shared" si="2"/>
        <v>0</v>
      </c>
      <c r="AG69" s="56">
        <f t="shared" si="3"/>
        <v>0</v>
      </c>
      <c r="AH69" s="56">
        <f t="shared" si="4"/>
        <v>0</v>
      </c>
      <c r="AI69" s="56">
        <f t="shared" si="5"/>
        <v>0</v>
      </c>
      <c r="AJ69" s="56">
        <f t="shared" si="6"/>
        <v>0</v>
      </c>
      <c r="AK69" s="56">
        <f t="shared" si="7"/>
        <v>0</v>
      </c>
      <c r="AL69" s="56">
        <f t="shared" si="8"/>
        <v>0</v>
      </c>
      <c r="AM69" s="56">
        <f t="shared" si="14"/>
        <v>0</v>
      </c>
      <c r="AN69" s="60">
        <f t="shared" si="9"/>
        <v>0</v>
      </c>
      <c r="AO69" s="59">
        <f t="shared" si="10"/>
        <v>0</v>
      </c>
      <c r="AP69" s="59">
        <f t="shared" si="11"/>
        <v>0</v>
      </c>
    </row>
    <row r="70" spans="3:42" s="17" customFormat="1" x14ac:dyDescent="0.25">
      <c r="C70" s="241" t="s">
        <v>213</v>
      </c>
      <c r="D70" s="242"/>
      <c r="E70" s="88"/>
      <c r="F70" s="217"/>
      <c r="G70" s="234"/>
      <c r="H70" s="218"/>
      <c r="I70" s="76"/>
      <c r="J70" s="77"/>
      <c r="K70" s="77"/>
      <c r="L70" s="76"/>
      <c r="M70" s="110"/>
      <c r="N70" s="152"/>
      <c r="O70" s="111" t="str">
        <f>IFERROR(MIN(VLOOKUP(ROUNDDOWN(N70,0),'Aide calcul'!$B$2:$C$282,2,FALSE),M70+1),"")</f>
        <v/>
      </c>
      <c r="P70" s="112" t="str">
        <f t="shared" si="12"/>
        <v/>
      </c>
      <c r="Q70" s="170"/>
      <c r="R70" s="170"/>
      <c r="S70" s="170"/>
      <c r="T70" s="170"/>
      <c r="U70" s="170"/>
      <c r="V70" s="170"/>
      <c r="W70" s="170"/>
      <c r="X70" s="76"/>
      <c r="Y70" s="76"/>
      <c r="Z70" s="113" t="str">
        <f>IFERROR(ROUND('Informations générales'!$E$66*(AE70/SUM($AE$28:$AE$404))/12,0)*12,"")</f>
        <v/>
      </c>
      <c r="AA70" s="114"/>
      <c r="AB70" s="113" t="str">
        <f t="shared" si="1"/>
        <v/>
      </c>
      <c r="AC70" s="89"/>
      <c r="AD70" s="76"/>
      <c r="AE70" s="56">
        <f t="shared" si="13"/>
        <v>0</v>
      </c>
      <c r="AF70" s="56">
        <f t="shared" si="2"/>
        <v>0</v>
      </c>
      <c r="AG70" s="56">
        <f t="shared" si="3"/>
        <v>0</v>
      </c>
      <c r="AH70" s="56">
        <f t="shared" si="4"/>
        <v>0</v>
      </c>
      <c r="AI70" s="56">
        <f t="shared" si="5"/>
        <v>0</v>
      </c>
      <c r="AJ70" s="56">
        <f t="shared" si="6"/>
        <v>0</v>
      </c>
      <c r="AK70" s="56">
        <f t="shared" si="7"/>
        <v>0</v>
      </c>
      <c r="AL70" s="56">
        <f t="shared" si="8"/>
        <v>0</v>
      </c>
      <c r="AM70" s="56">
        <f t="shared" si="14"/>
        <v>0</v>
      </c>
      <c r="AN70" s="60">
        <f t="shared" si="9"/>
        <v>0</v>
      </c>
      <c r="AO70" s="59">
        <f t="shared" si="10"/>
        <v>0</v>
      </c>
      <c r="AP70" s="59">
        <f t="shared" si="11"/>
        <v>0</v>
      </c>
    </row>
    <row r="71" spans="3:42" s="17" customFormat="1" x14ac:dyDescent="0.25">
      <c r="C71" s="241" t="s">
        <v>213</v>
      </c>
      <c r="D71" s="242"/>
      <c r="E71" s="88"/>
      <c r="F71" s="217"/>
      <c r="G71" s="234"/>
      <c r="H71" s="218"/>
      <c r="I71" s="76"/>
      <c r="J71" s="77"/>
      <c r="K71" s="77"/>
      <c r="L71" s="76"/>
      <c r="M71" s="110"/>
      <c r="N71" s="152"/>
      <c r="O71" s="111" t="str">
        <f>IFERROR(MIN(VLOOKUP(ROUNDDOWN(N71,0),'Aide calcul'!$B$2:$C$282,2,FALSE),M71+1),"")</f>
        <v/>
      </c>
      <c r="P71" s="112" t="str">
        <f t="shared" si="12"/>
        <v/>
      </c>
      <c r="Q71" s="170"/>
      <c r="R71" s="170"/>
      <c r="S71" s="170"/>
      <c r="T71" s="170"/>
      <c r="U71" s="170"/>
      <c r="V71" s="170"/>
      <c r="W71" s="170"/>
      <c r="X71" s="76"/>
      <c r="Y71" s="76"/>
      <c r="Z71" s="113" t="str">
        <f>IFERROR(ROUND('Informations générales'!$E$66*(AE71/SUM($AE$28:$AE$404))/12,0)*12,"")</f>
        <v/>
      </c>
      <c r="AA71" s="114"/>
      <c r="AB71" s="113" t="str">
        <f t="shared" si="1"/>
        <v/>
      </c>
      <c r="AC71" s="89"/>
      <c r="AD71" s="76"/>
      <c r="AE71" s="56">
        <f t="shared" si="13"/>
        <v>0</v>
      </c>
      <c r="AF71" s="56">
        <f t="shared" si="2"/>
        <v>0</v>
      </c>
      <c r="AG71" s="56">
        <f t="shared" si="3"/>
        <v>0</v>
      </c>
      <c r="AH71" s="56">
        <f t="shared" si="4"/>
        <v>0</v>
      </c>
      <c r="AI71" s="56">
        <f t="shared" si="5"/>
        <v>0</v>
      </c>
      <c r="AJ71" s="56">
        <f t="shared" si="6"/>
        <v>0</v>
      </c>
      <c r="AK71" s="56">
        <f t="shared" si="7"/>
        <v>0</v>
      </c>
      <c r="AL71" s="56">
        <f t="shared" si="8"/>
        <v>0</v>
      </c>
      <c r="AM71" s="56">
        <f t="shared" si="14"/>
        <v>0</v>
      </c>
      <c r="AN71" s="60">
        <f t="shared" si="9"/>
        <v>0</v>
      </c>
      <c r="AO71" s="59">
        <f t="shared" si="10"/>
        <v>0</v>
      </c>
      <c r="AP71" s="59">
        <f t="shared" si="11"/>
        <v>0</v>
      </c>
    </row>
    <row r="72" spans="3:42" s="17" customFormat="1" x14ac:dyDescent="0.25">
      <c r="C72" s="241" t="s">
        <v>213</v>
      </c>
      <c r="D72" s="242"/>
      <c r="E72" s="88"/>
      <c r="F72" s="217"/>
      <c r="G72" s="234"/>
      <c r="H72" s="218"/>
      <c r="I72" s="76"/>
      <c r="J72" s="77"/>
      <c r="K72" s="77"/>
      <c r="L72" s="76"/>
      <c r="M72" s="110"/>
      <c r="N72" s="152"/>
      <c r="O72" s="111" t="str">
        <f>IFERROR(MIN(VLOOKUP(ROUNDDOWN(N72,0),'Aide calcul'!$B$2:$C$282,2,FALSE),M72+1),"")</f>
        <v/>
      </c>
      <c r="P72" s="112" t="str">
        <f t="shared" si="12"/>
        <v/>
      </c>
      <c r="Q72" s="170"/>
      <c r="R72" s="170"/>
      <c r="S72" s="170"/>
      <c r="T72" s="170"/>
      <c r="U72" s="170"/>
      <c r="V72" s="170"/>
      <c r="W72" s="170"/>
      <c r="X72" s="76"/>
      <c r="Y72" s="76"/>
      <c r="Z72" s="113" t="str">
        <f>IFERROR(ROUND('Informations générales'!$E$66*(AE72/SUM($AE$28:$AE$404))/12,0)*12,"")</f>
        <v/>
      </c>
      <c r="AA72" s="114"/>
      <c r="AB72" s="113" t="str">
        <f t="shared" si="1"/>
        <v/>
      </c>
      <c r="AC72" s="89"/>
      <c r="AD72" s="76"/>
      <c r="AE72" s="56">
        <f t="shared" si="13"/>
        <v>0</v>
      </c>
      <c r="AF72" s="56">
        <f t="shared" si="2"/>
        <v>0</v>
      </c>
      <c r="AG72" s="56">
        <f t="shared" si="3"/>
        <v>0</v>
      </c>
      <c r="AH72" s="56">
        <f t="shared" si="4"/>
        <v>0</v>
      </c>
      <c r="AI72" s="56">
        <f t="shared" si="5"/>
        <v>0</v>
      </c>
      <c r="AJ72" s="56">
        <f t="shared" si="6"/>
        <v>0</v>
      </c>
      <c r="AK72" s="56">
        <f t="shared" si="7"/>
        <v>0</v>
      </c>
      <c r="AL72" s="56">
        <f t="shared" si="8"/>
        <v>0</v>
      </c>
      <c r="AM72" s="56">
        <f t="shared" si="14"/>
        <v>0</v>
      </c>
      <c r="AN72" s="60">
        <f t="shared" si="9"/>
        <v>0</v>
      </c>
      <c r="AO72" s="59">
        <f t="shared" si="10"/>
        <v>0</v>
      </c>
      <c r="AP72" s="59">
        <f t="shared" si="11"/>
        <v>0</v>
      </c>
    </row>
    <row r="73" spans="3:42" s="17" customFormat="1" x14ac:dyDescent="0.25">
      <c r="C73" s="241" t="s">
        <v>213</v>
      </c>
      <c r="D73" s="242"/>
      <c r="E73" s="88"/>
      <c r="F73" s="217"/>
      <c r="G73" s="234"/>
      <c r="H73" s="218"/>
      <c r="I73" s="76"/>
      <c r="J73" s="77"/>
      <c r="K73" s="77"/>
      <c r="L73" s="76"/>
      <c r="M73" s="110"/>
      <c r="N73" s="152"/>
      <c r="O73" s="111" t="str">
        <f>IFERROR(MIN(VLOOKUP(ROUNDDOWN(N73,0),'Aide calcul'!$B$2:$C$282,2,FALSE),M73+1),"")</f>
        <v/>
      </c>
      <c r="P73" s="112" t="str">
        <f t="shared" si="12"/>
        <v/>
      </c>
      <c r="Q73" s="170"/>
      <c r="R73" s="170"/>
      <c r="S73" s="170"/>
      <c r="T73" s="170"/>
      <c r="U73" s="170"/>
      <c r="V73" s="170"/>
      <c r="W73" s="170"/>
      <c r="X73" s="76"/>
      <c r="Y73" s="76"/>
      <c r="Z73" s="113" t="str">
        <f>IFERROR(ROUND('Informations générales'!$E$66*(AE73/SUM($AE$28:$AE$404))/12,0)*12,"")</f>
        <v/>
      </c>
      <c r="AA73" s="114"/>
      <c r="AB73" s="113" t="str">
        <f t="shared" si="1"/>
        <v/>
      </c>
      <c r="AC73" s="89"/>
      <c r="AD73" s="76"/>
      <c r="AE73" s="56">
        <f t="shared" si="13"/>
        <v>0</v>
      </c>
      <c r="AF73" s="56">
        <f t="shared" si="2"/>
        <v>0</v>
      </c>
      <c r="AG73" s="56">
        <f t="shared" si="3"/>
        <v>0</v>
      </c>
      <c r="AH73" s="56">
        <f t="shared" si="4"/>
        <v>0</v>
      </c>
      <c r="AI73" s="56">
        <f t="shared" si="5"/>
        <v>0</v>
      </c>
      <c r="AJ73" s="56">
        <f t="shared" si="6"/>
        <v>0</v>
      </c>
      <c r="AK73" s="56">
        <f t="shared" si="7"/>
        <v>0</v>
      </c>
      <c r="AL73" s="56">
        <f t="shared" si="8"/>
        <v>0</v>
      </c>
      <c r="AM73" s="56">
        <f t="shared" si="14"/>
        <v>0</v>
      </c>
      <c r="AN73" s="60">
        <f t="shared" si="9"/>
        <v>0</v>
      </c>
      <c r="AO73" s="59">
        <f t="shared" si="10"/>
        <v>0</v>
      </c>
      <c r="AP73" s="59">
        <f t="shared" si="11"/>
        <v>0</v>
      </c>
    </row>
    <row r="74" spans="3:42" s="17" customFormat="1" x14ac:dyDescent="0.25">
      <c r="C74" s="241" t="s">
        <v>213</v>
      </c>
      <c r="D74" s="242"/>
      <c r="E74" s="88"/>
      <c r="F74" s="217"/>
      <c r="G74" s="234"/>
      <c r="H74" s="218"/>
      <c r="I74" s="76"/>
      <c r="J74" s="77"/>
      <c r="K74" s="77"/>
      <c r="L74" s="76"/>
      <c r="M74" s="110"/>
      <c r="N74" s="152"/>
      <c r="O74" s="111" t="str">
        <f>IFERROR(MIN(VLOOKUP(ROUNDDOWN(N74,0),'Aide calcul'!$B$2:$C$282,2,FALSE),M74+1),"")</f>
        <v/>
      </c>
      <c r="P74" s="112" t="str">
        <f t="shared" si="12"/>
        <v/>
      </c>
      <c r="Q74" s="170"/>
      <c r="R74" s="170"/>
      <c r="S74" s="170"/>
      <c r="T74" s="170"/>
      <c r="U74" s="170"/>
      <c r="V74" s="170"/>
      <c r="W74" s="170"/>
      <c r="X74" s="76"/>
      <c r="Y74" s="76"/>
      <c r="Z74" s="113" t="str">
        <f>IFERROR(ROUND('Informations générales'!$E$66*(AE74/SUM($AE$28:$AE$404))/12,0)*12,"")</f>
        <v/>
      </c>
      <c r="AA74" s="114"/>
      <c r="AB74" s="113" t="str">
        <f t="shared" si="1"/>
        <v/>
      </c>
      <c r="AC74" s="89"/>
      <c r="AD74" s="76"/>
      <c r="AE74" s="56">
        <f t="shared" si="13"/>
        <v>0</v>
      </c>
      <c r="AF74" s="56">
        <f t="shared" si="2"/>
        <v>0</v>
      </c>
      <c r="AG74" s="56">
        <f t="shared" si="3"/>
        <v>0</v>
      </c>
      <c r="AH74" s="56">
        <f t="shared" si="4"/>
        <v>0</v>
      </c>
      <c r="AI74" s="56">
        <f t="shared" si="5"/>
        <v>0</v>
      </c>
      <c r="AJ74" s="56">
        <f t="shared" si="6"/>
        <v>0</v>
      </c>
      <c r="AK74" s="56">
        <f t="shared" si="7"/>
        <v>0</v>
      </c>
      <c r="AL74" s="56">
        <f t="shared" si="8"/>
        <v>0</v>
      </c>
      <c r="AM74" s="56">
        <f t="shared" si="14"/>
        <v>0</v>
      </c>
      <c r="AN74" s="60">
        <f t="shared" si="9"/>
        <v>0</v>
      </c>
      <c r="AO74" s="59">
        <f t="shared" si="10"/>
        <v>0</v>
      </c>
      <c r="AP74" s="59">
        <f t="shared" si="11"/>
        <v>0</v>
      </c>
    </row>
    <row r="75" spans="3:42" s="17" customFormat="1" x14ac:dyDescent="0.25">
      <c r="C75" s="241" t="s">
        <v>213</v>
      </c>
      <c r="D75" s="242"/>
      <c r="E75" s="88"/>
      <c r="F75" s="217"/>
      <c r="G75" s="234"/>
      <c r="H75" s="218"/>
      <c r="I75" s="76"/>
      <c r="J75" s="77"/>
      <c r="K75" s="77"/>
      <c r="L75" s="76"/>
      <c r="M75" s="110"/>
      <c r="N75" s="152"/>
      <c r="O75" s="111" t="str">
        <f>IFERROR(MIN(VLOOKUP(ROUNDDOWN(N75,0),'Aide calcul'!$B$2:$C$282,2,FALSE),M75+1),"")</f>
        <v/>
      </c>
      <c r="P75" s="112" t="str">
        <f t="shared" si="12"/>
        <v/>
      </c>
      <c r="Q75" s="170"/>
      <c r="R75" s="170"/>
      <c r="S75" s="170"/>
      <c r="T75" s="170"/>
      <c r="U75" s="170"/>
      <c r="V75" s="170"/>
      <c r="W75" s="170"/>
      <c r="X75" s="76"/>
      <c r="Y75" s="76"/>
      <c r="Z75" s="113" t="str">
        <f>IFERROR(ROUND('Informations générales'!$E$66*(AE75/SUM($AE$28:$AE$404))/12,0)*12,"")</f>
        <v/>
      </c>
      <c r="AA75" s="114"/>
      <c r="AB75" s="113" t="str">
        <f t="shared" si="1"/>
        <v/>
      </c>
      <c r="AC75" s="89"/>
      <c r="AD75" s="76"/>
      <c r="AE75" s="56">
        <f t="shared" si="13"/>
        <v>0</v>
      </c>
      <c r="AF75" s="56">
        <f t="shared" si="2"/>
        <v>0</v>
      </c>
      <c r="AG75" s="56">
        <f t="shared" si="3"/>
        <v>0</v>
      </c>
      <c r="AH75" s="56">
        <f t="shared" si="4"/>
        <v>0</v>
      </c>
      <c r="AI75" s="56">
        <f t="shared" si="5"/>
        <v>0</v>
      </c>
      <c r="AJ75" s="56">
        <f t="shared" si="6"/>
        <v>0</v>
      </c>
      <c r="AK75" s="56">
        <f t="shared" si="7"/>
        <v>0</v>
      </c>
      <c r="AL75" s="56">
        <f t="shared" si="8"/>
        <v>0</v>
      </c>
      <c r="AM75" s="56">
        <f t="shared" si="14"/>
        <v>0</v>
      </c>
      <c r="AN75" s="60">
        <f t="shared" si="9"/>
        <v>0</v>
      </c>
      <c r="AO75" s="59">
        <f t="shared" si="10"/>
        <v>0</v>
      </c>
      <c r="AP75" s="59">
        <f t="shared" si="11"/>
        <v>0</v>
      </c>
    </row>
    <row r="76" spans="3:42" s="17" customFormat="1" x14ac:dyDescent="0.25">
      <c r="C76" s="241" t="s">
        <v>213</v>
      </c>
      <c r="D76" s="242"/>
      <c r="E76" s="88"/>
      <c r="F76" s="217"/>
      <c r="G76" s="234"/>
      <c r="H76" s="218"/>
      <c r="I76" s="76"/>
      <c r="J76" s="77"/>
      <c r="K76" s="77"/>
      <c r="L76" s="76"/>
      <c r="M76" s="110"/>
      <c r="N76" s="152"/>
      <c r="O76" s="111" t="str">
        <f>IFERROR(MIN(VLOOKUP(ROUNDDOWN(N76,0),'Aide calcul'!$B$2:$C$282,2,FALSE),M76+1),"")</f>
        <v/>
      </c>
      <c r="P76" s="112" t="str">
        <f t="shared" si="12"/>
        <v/>
      </c>
      <c r="Q76" s="170"/>
      <c r="R76" s="170"/>
      <c r="S76" s="170"/>
      <c r="T76" s="170"/>
      <c r="U76" s="170"/>
      <c r="V76" s="170"/>
      <c r="W76" s="170"/>
      <c r="X76" s="76"/>
      <c r="Y76" s="76"/>
      <c r="Z76" s="113" t="str">
        <f>IFERROR(ROUND('Informations générales'!$E$66*(AE76/SUM($AE$28:$AE$404))/12,0)*12,"")</f>
        <v/>
      </c>
      <c r="AA76" s="114"/>
      <c r="AB76" s="113" t="str">
        <f t="shared" si="1"/>
        <v/>
      </c>
      <c r="AC76" s="89"/>
      <c r="AD76" s="76"/>
      <c r="AE76" s="56">
        <f t="shared" si="13"/>
        <v>0</v>
      </c>
      <c r="AF76" s="56">
        <f t="shared" si="2"/>
        <v>0</v>
      </c>
      <c r="AG76" s="56">
        <f t="shared" si="3"/>
        <v>0</v>
      </c>
      <c r="AH76" s="56">
        <f t="shared" si="4"/>
        <v>0</v>
      </c>
      <c r="AI76" s="56">
        <f t="shared" si="5"/>
        <v>0</v>
      </c>
      <c r="AJ76" s="56">
        <f t="shared" si="6"/>
        <v>0</v>
      </c>
      <c r="AK76" s="56">
        <f t="shared" si="7"/>
        <v>0</v>
      </c>
      <c r="AL76" s="56">
        <f t="shared" si="8"/>
        <v>0</v>
      </c>
      <c r="AM76" s="56">
        <f t="shared" si="14"/>
        <v>0</v>
      </c>
      <c r="AN76" s="60">
        <f t="shared" si="9"/>
        <v>0</v>
      </c>
      <c r="AO76" s="59">
        <f t="shared" si="10"/>
        <v>0</v>
      </c>
      <c r="AP76" s="59">
        <f t="shared" si="11"/>
        <v>0</v>
      </c>
    </row>
    <row r="77" spans="3:42" s="17" customFormat="1" x14ac:dyDescent="0.25">
      <c r="C77" s="241" t="s">
        <v>213</v>
      </c>
      <c r="D77" s="242"/>
      <c r="E77" s="88"/>
      <c r="F77" s="217"/>
      <c r="G77" s="234"/>
      <c r="H77" s="218"/>
      <c r="I77" s="76"/>
      <c r="J77" s="77"/>
      <c r="K77" s="77"/>
      <c r="L77" s="76"/>
      <c r="M77" s="110"/>
      <c r="N77" s="152"/>
      <c r="O77" s="111" t="str">
        <f>IFERROR(MIN(VLOOKUP(ROUNDDOWN(N77,0),'Aide calcul'!$B$2:$C$282,2,FALSE),M77+1),"")</f>
        <v/>
      </c>
      <c r="P77" s="112" t="str">
        <f t="shared" si="12"/>
        <v/>
      </c>
      <c r="Q77" s="170"/>
      <c r="R77" s="170"/>
      <c r="S77" s="170"/>
      <c r="T77" s="170"/>
      <c r="U77" s="170"/>
      <c r="V77" s="170"/>
      <c r="W77" s="170"/>
      <c r="X77" s="76"/>
      <c r="Y77" s="76"/>
      <c r="Z77" s="113" t="str">
        <f>IFERROR(ROUND('Informations générales'!$E$66*(AE77/SUM($AE$28:$AE$404))/12,0)*12,"")</f>
        <v/>
      </c>
      <c r="AA77" s="114"/>
      <c r="AB77" s="113" t="str">
        <f t="shared" si="1"/>
        <v/>
      </c>
      <c r="AC77" s="89"/>
      <c r="AD77" s="76"/>
      <c r="AE77" s="56">
        <f t="shared" si="13"/>
        <v>0</v>
      </c>
      <c r="AF77" s="56">
        <f t="shared" si="2"/>
        <v>0</v>
      </c>
      <c r="AG77" s="56">
        <f t="shared" si="3"/>
        <v>0</v>
      </c>
      <c r="AH77" s="56">
        <f t="shared" si="4"/>
        <v>0</v>
      </c>
      <c r="AI77" s="56">
        <f t="shared" si="5"/>
        <v>0</v>
      </c>
      <c r="AJ77" s="56">
        <f t="shared" si="6"/>
        <v>0</v>
      </c>
      <c r="AK77" s="56">
        <f t="shared" si="7"/>
        <v>0</v>
      </c>
      <c r="AL77" s="56">
        <f t="shared" si="8"/>
        <v>0</v>
      </c>
      <c r="AM77" s="56">
        <f t="shared" si="14"/>
        <v>0</v>
      </c>
      <c r="AN77" s="60">
        <f t="shared" si="9"/>
        <v>0</v>
      </c>
      <c r="AO77" s="59">
        <f t="shared" si="10"/>
        <v>0</v>
      </c>
      <c r="AP77" s="59">
        <f t="shared" si="11"/>
        <v>0</v>
      </c>
    </row>
    <row r="78" spans="3:42" s="17" customFormat="1" x14ac:dyDescent="0.25">
      <c r="C78" s="241" t="s">
        <v>213</v>
      </c>
      <c r="D78" s="242"/>
      <c r="E78" s="88"/>
      <c r="F78" s="217"/>
      <c r="G78" s="234"/>
      <c r="H78" s="218"/>
      <c r="I78" s="76"/>
      <c r="J78" s="77"/>
      <c r="K78" s="77"/>
      <c r="L78" s="76"/>
      <c r="M78" s="110"/>
      <c r="N78" s="152"/>
      <c r="O78" s="111" t="str">
        <f>IFERROR(MIN(VLOOKUP(ROUNDDOWN(N78,0),'Aide calcul'!$B$2:$C$282,2,FALSE),M78+1),"")</f>
        <v/>
      </c>
      <c r="P78" s="112" t="str">
        <f t="shared" si="12"/>
        <v/>
      </c>
      <c r="Q78" s="170"/>
      <c r="R78" s="170"/>
      <c r="S78" s="170"/>
      <c r="T78" s="170"/>
      <c r="U78" s="170"/>
      <c r="V78" s="170"/>
      <c r="W78" s="170"/>
      <c r="X78" s="76"/>
      <c r="Y78" s="76"/>
      <c r="Z78" s="113" t="str">
        <f>IFERROR(ROUND('Informations générales'!$E$66*(AE78/SUM($AE$28:$AE$404))/12,0)*12,"")</f>
        <v/>
      </c>
      <c r="AA78" s="114"/>
      <c r="AB78" s="113" t="str">
        <f t="shared" si="1"/>
        <v/>
      </c>
      <c r="AC78" s="89"/>
      <c r="AD78" s="76"/>
      <c r="AE78" s="56">
        <f t="shared" si="13"/>
        <v>0</v>
      </c>
      <c r="AF78" s="56">
        <f t="shared" si="2"/>
        <v>0</v>
      </c>
      <c r="AG78" s="56">
        <f t="shared" si="3"/>
        <v>0</v>
      </c>
      <c r="AH78" s="56">
        <f t="shared" si="4"/>
        <v>0</v>
      </c>
      <c r="AI78" s="56">
        <f t="shared" si="5"/>
        <v>0</v>
      </c>
      <c r="AJ78" s="56">
        <f t="shared" si="6"/>
        <v>0</v>
      </c>
      <c r="AK78" s="56">
        <f t="shared" si="7"/>
        <v>0</v>
      </c>
      <c r="AL78" s="56">
        <f t="shared" si="8"/>
        <v>0</v>
      </c>
      <c r="AM78" s="56">
        <f t="shared" si="14"/>
        <v>0</v>
      </c>
      <c r="AN78" s="60">
        <f t="shared" si="9"/>
        <v>0</v>
      </c>
      <c r="AO78" s="59">
        <f t="shared" si="10"/>
        <v>0</v>
      </c>
      <c r="AP78" s="59">
        <f t="shared" si="11"/>
        <v>0</v>
      </c>
    </row>
    <row r="79" spans="3:42" s="17" customFormat="1" x14ac:dyDescent="0.25">
      <c r="C79" s="241" t="s">
        <v>213</v>
      </c>
      <c r="D79" s="242"/>
      <c r="E79" s="88"/>
      <c r="F79" s="217"/>
      <c r="G79" s="234"/>
      <c r="H79" s="218"/>
      <c r="I79" s="76"/>
      <c r="J79" s="77"/>
      <c r="K79" s="77"/>
      <c r="L79" s="76"/>
      <c r="M79" s="110"/>
      <c r="N79" s="152"/>
      <c r="O79" s="111" t="str">
        <f>IFERROR(MIN(VLOOKUP(ROUNDDOWN(N79,0),'Aide calcul'!$B$2:$C$282,2,FALSE),M79+1),"")</f>
        <v/>
      </c>
      <c r="P79" s="112" t="str">
        <f t="shared" si="12"/>
        <v/>
      </c>
      <c r="Q79" s="170"/>
      <c r="R79" s="170"/>
      <c r="S79" s="170"/>
      <c r="T79" s="170"/>
      <c r="U79" s="170"/>
      <c r="V79" s="170"/>
      <c r="W79" s="170"/>
      <c r="X79" s="76"/>
      <c r="Y79" s="76"/>
      <c r="Z79" s="113" t="str">
        <f>IFERROR(ROUND('Informations générales'!$E$66*(AE79/SUM($AE$28:$AE$404))/12,0)*12,"")</f>
        <v/>
      </c>
      <c r="AA79" s="114"/>
      <c r="AB79" s="113" t="str">
        <f t="shared" si="1"/>
        <v/>
      </c>
      <c r="AC79" s="89"/>
      <c r="AD79" s="76"/>
      <c r="AE79" s="56">
        <f t="shared" si="13"/>
        <v>0</v>
      </c>
      <c r="AF79" s="56">
        <f t="shared" si="2"/>
        <v>0</v>
      </c>
      <c r="AG79" s="56">
        <f t="shared" si="3"/>
        <v>0</v>
      </c>
      <c r="AH79" s="56">
        <f t="shared" si="4"/>
        <v>0</v>
      </c>
      <c r="AI79" s="56">
        <f t="shared" si="5"/>
        <v>0</v>
      </c>
      <c r="AJ79" s="56">
        <f t="shared" si="6"/>
        <v>0</v>
      </c>
      <c r="AK79" s="56">
        <f t="shared" si="7"/>
        <v>0</v>
      </c>
      <c r="AL79" s="56">
        <f t="shared" si="8"/>
        <v>0</v>
      </c>
      <c r="AM79" s="56">
        <f t="shared" si="14"/>
        <v>0</v>
      </c>
      <c r="AN79" s="60">
        <f t="shared" si="9"/>
        <v>0</v>
      </c>
      <c r="AO79" s="59">
        <f t="shared" si="10"/>
        <v>0</v>
      </c>
      <c r="AP79" s="59">
        <f t="shared" si="11"/>
        <v>0</v>
      </c>
    </row>
    <row r="80" spans="3:42" s="17" customFormat="1" x14ac:dyDescent="0.25">
      <c r="C80" s="241" t="s">
        <v>213</v>
      </c>
      <c r="D80" s="242"/>
      <c r="E80" s="88"/>
      <c r="F80" s="217"/>
      <c r="G80" s="234"/>
      <c r="H80" s="218"/>
      <c r="I80" s="76"/>
      <c r="J80" s="77"/>
      <c r="K80" s="77"/>
      <c r="L80" s="76"/>
      <c r="M80" s="110"/>
      <c r="N80" s="152"/>
      <c r="O80" s="111" t="str">
        <f>IFERROR(MIN(VLOOKUP(ROUNDDOWN(N80,0),'Aide calcul'!$B$2:$C$282,2,FALSE),M80+1),"")</f>
        <v/>
      </c>
      <c r="P80" s="112" t="str">
        <f t="shared" si="12"/>
        <v/>
      </c>
      <c r="Q80" s="170"/>
      <c r="R80" s="170"/>
      <c r="S80" s="170"/>
      <c r="T80" s="170"/>
      <c r="U80" s="170"/>
      <c r="V80" s="170"/>
      <c r="W80" s="170"/>
      <c r="X80" s="76"/>
      <c r="Y80" s="76"/>
      <c r="Z80" s="113" t="str">
        <f>IFERROR(ROUND('Informations générales'!$E$66*(AE80/SUM($AE$28:$AE$404))/12,0)*12,"")</f>
        <v/>
      </c>
      <c r="AA80" s="114"/>
      <c r="AB80" s="113" t="str">
        <f t="shared" si="1"/>
        <v/>
      </c>
      <c r="AC80" s="89"/>
      <c r="AD80" s="76"/>
      <c r="AE80" s="56">
        <f t="shared" si="13"/>
        <v>0</v>
      </c>
      <c r="AF80" s="56">
        <f t="shared" si="2"/>
        <v>0</v>
      </c>
      <c r="AG80" s="56">
        <f t="shared" si="3"/>
        <v>0</v>
      </c>
      <c r="AH80" s="56">
        <f t="shared" si="4"/>
        <v>0</v>
      </c>
      <c r="AI80" s="56">
        <f t="shared" si="5"/>
        <v>0</v>
      </c>
      <c r="AJ80" s="56">
        <f t="shared" si="6"/>
        <v>0</v>
      </c>
      <c r="AK80" s="56">
        <f t="shared" si="7"/>
        <v>0</v>
      </c>
      <c r="AL80" s="56">
        <f t="shared" si="8"/>
        <v>0</v>
      </c>
      <c r="AM80" s="56">
        <f t="shared" si="14"/>
        <v>0</v>
      </c>
      <c r="AN80" s="60">
        <f t="shared" si="9"/>
        <v>0</v>
      </c>
      <c r="AO80" s="59">
        <f t="shared" si="10"/>
        <v>0</v>
      </c>
      <c r="AP80" s="59">
        <f t="shared" si="11"/>
        <v>0</v>
      </c>
    </row>
    <row r="81" spans="3:42" s="17" customFormat="1" x14ac:dyDescent="0.25">
      <c r="C81" s="241" t="s">
        <v>213</v>
      </c>
      <c r="D81" s="242"/>
      <c r="E81" s="88"/>
      <c r="F81" s="217"/>
      <c r="G81" s="234"/>
      <c r="H81" s="218"/>
      <c r="I81" s="76"/>
      <c r="J81" s="77"/>
      <c r="K81" s="77"/>
      <c r="L81" s="76"/>
      <c r="M81" s="110"/>
      <c r="N81" s="152"/>
      <c r="O81" s="111" t="str">
        <f>IFERROR(MIN(VLOOKUP(ROUNDDOWN(N81,0),'Aide calcul'!$B$2:$C$282,2,FALSE),M81+1),"")</f>
        <v/>
      </c>
      <c r="P81" s="112" t="str">
        <f t="shared" si="12"/>
        <v/>
      </c>
      <c r="Q81" s="170"/>
      <c r="R81" s="170"/>
      <c r="S81" s="170"/>
      <c r="T81" s="170"/>
      <c r="U81" s="170"/>
      <c r="V81" s="170"/>
      <c r="W81" s="170"/>
      <c r="X81" s="76"/>
      <c r="Y81" s="76"/>
      <c r="Z81" s="113" t="str">
        <f>IFERROR(ROUND('Informations générales'!$E$66*(AE81/SUM($AE$28:$AE$404))/12,0)*12,"")</f>
        <v/>
      </c>
      <c r="AA81" s="114"/>
      <c r="AB81" s="113" t="str">
        <f t="shared" si="1"/>
        <v/>
      </c>
      <c r="AC81" s="89"/>
      <c r="AD81" s="76"/>
      <c r="AE81" s="56">
        <f t="shared" si="13"/>
        <v>0</v>
      </c>
      <c r="AF81" s="56">
        <f t="shared" si="2"/>
        <v>0</v>
      </c>
      <c r="AG81" s="56">
        <f t="shared" si="3"/>
        <v>0</v>
      </c>
      <c r="AH81" s="56">
        <f t="shared" si="4"/>
        <v>0</v>
      </c>
      <c r="AI81" s="56">
        <f t="shared" si="5"/>
        <v>0</v>
      </c>
      <c r="AJ81" s="56">
        <f t="shared" si="6"/>
        <v>0</v>
      </c>
      <c r="AK81" s="56">
        <f t="shared" si="7"/>
        <v>0</v>
      </c>
      <c r="AL81" s="56">
        <f t="shared" si="8"/>
        <v>0</v>
      </c>
      <c r="AM81" s="56">
        <f t="shared" si="14"/>
        <v>0</v>
      </c>
      <c r="AN81" s="60">
        <f t="shared" si="9"/>
        <v>0</v>
      </c>
      <c r="AO81" s="59">
        <f t="shared" si="10"/>
        <v>0</v>
      </c>
      <c r="AP81" s="59">
        <f t="shared" si="11"/>
        <v>0</v>
      </c>
    </row>
    <row r="82" spans="3:42" s="17" customFormat="1" x14ac:dyDescent="0.25">
      <c r="C82" s="241" t="s">
        <v>213</v>
      </c>
      <c r="D82" s="242"/>
      <c r="E82" s="88"/>
      <c r="F82" s="217"/>
      <c r="G82" s="234"/>
      <c r="H82" s="218"/>
      <c r="I82" s="76"/>
      <c r="J82" s="77"/>
      <c r="K82" s="77"/>
      <c r="L82" s="76"/>
      <c r="M82" s="110"/>
      <c r="N82" s="152"/>
      <c r="O82" s="111" t="str">
        <f>IFERROR(MIN(VLOOKUP(ROUNDDOWN(N82,0),'Aide calcul'!$B$2:$C$282,2,FALSE),M82+1),"")</f>
        <v/>
      </c>
      <c r="P82" s="112" t="str">
        <f t="shared" si="12"/>
        <v/>
      </c>
      <c r="Q82" s="170"/>
      <c r="R82" s="170"/>
      <c r="S82" s="170"/>
      <c r="T82" s="170"/>
      <c r="U82" s="170"/>
      <c r="V82" s="170"/>
      <c r="W82" s="170"/>
      <c r="X82" s="76"/>
      <c r="Y82" s="76"/>
      <c r="Z82" s="113" t="str">
        <f>IFERROR(ROUND('Informations générales'!$E$66*(AE82/SUM($AE$28:$AE$404))/12,0)*12,"")</f>
        <v/>
      </c>
      <c r="AA82" s="114"/>
      <c r="AB82" s="113" t="str">
        <f t="shared" si="1"/>
        <v/>
      </c>
      <c r="AC82" s="89"/>
      <c r="AD82" s="76"/>
      <c r="AE82" s="56">
        <f t="shared" si="13"/>
        <v>0</v>
      </c>
      <c r="AF82" s="56">
        <f t="shared" si="2"/>
        <v>0</v>
      </c>
      <c r="AG82" s="56">
        <f t="shared" si="3"/>
        <v>0</v>
      </c>
      <c r="AH82" s="56">
        <f t="shared" si="4"/>
        <v>0</v>
      </c>
      <c r="AI82" s="56">
        <f t="shared" si="5"/>
        <v>0</v>
      </c>
      <c r="AJ82" s="56">
        <f t="shared" si="6"/>
        <v>0</v>
      </c>
      <c r="AK82" s="56">
        <f t="shared" si="7"/>
        <v>0</v>
      </c>
      <c r="AL82" s="56">
        <f t="shared" si="8"/>
        <v>0</v>
      </c>
      <c r="AM82" s="56">
        <f t="shared" si="14"/>
        <v>0</v>
      </c>
      <c r="AN82" s="60">
        <f t="shared" si="9"/>
        <v>0</v>
      </c>
      <c r="AO82" s="59">
        <f t="shared" si="10"/>
        <v>0</v>
      </c>
      <c r="AP82" s="59">
        <f t="shared" si="11"/>
        <v>0</v>
      </c>
    </row>
    <row r="83" spans="3:42" s="17" customFormat="1" x14ac:dyDescent="0.25">
      <c r="C83" s="241" t="s">
        <v>213</v>
      </c>
      <c r="D83" s="242"/>
      <c r="E83" s="88"/>
      <c r="F83" s="217"/>
      <c r="G83" s="234"/>
      <c r="H83" s="218"/>
      <c r="I83" s="76"/>
      <c r="J83" s="77"/>
      <c r="K83" s="77"/>
      <c r="L83" s="76"/>
      <c r="M83" s="110"/>
      <c r="N83" s="152"/>
      <c r="O83" s="111" t="str">
        <f>IFERROR(MIN(VLOOKUP(ROUNDDOWN(N83,0),'Aide calcul'!$B$2:$C$282,2,FALSE),M83+1),"")</f>
        <v/>
      </c>
      <c r="P83" s="112" t="str">
        <f t="shared" si="12"/>
        <v/>
      </c>
      <c r="Q83" s="170"/>
      <c r="R83" s="170"/>
      <c r="S83" s="170"/>
      <c r="T83" s="170"/>
      <c r="U83" s="170"/>
      <c r="V83" s="170"/>
      <c r="W83" s="170"/>
      <c r="X83" s="76"/>
      <c r="Y83" s="76"/>
      <c r="Z83" s="113" t="str">
        <f>IFERROR(ROUND('Informations générales'!$E$66*(AE83/SUM($AE$28:$AE$404))/12,0)*12,"")</f>
        <v/>
      </c>
      <c r="AA83" s="114"/>
      <c r="AB83" s="113" t="str">
        <f t="shared" si="1"/>
        <v/>
      </c>
      <c r="AC83" s="89"/>
      <c r="AD83" s="76"/>
      <c r="AE83" s="56">
        <f t="shared" si="13"/>
        <v>0</v>
      </c>
      <c r="AF83" s="56">
        <f t="shared" si="2"/>
        <v>0</v>
      </c>
      <c r="AG83" s="56">
        <f t="shared" si="3"/>
        <v>0</v>
      </c>
      <c r="AH83" s="56">
        <f t="shared" si="4"/>
        <v>0</v>
      </c>
      <c r="AI83" s="56">
        <f t="shared" si="5"/>
        <v>0</v>
      </c>
      <c r="AJ83" s="56">
        <f t="shared" si="6"/>
        <v>0</v>
      </c>
      <c r="AK83" s="56">
        <f t="shared" si="7"/>
        <v>0</v>
      </c>
      <c r="AL83" s="56">
        <f t="shared" si="8"/>
        <v>0</v>
      </c>
      <c r="AM83" s="56">
        <f t="shared" si="14"/>
        <v>0</v>
      </c>
      <c r="AN83" s="60">
        <f t="shared" si="9"/>
        <v>0</v>
      </c>
      <c r="AO83" s="59">
        <f t="shared" si="10"/>
        <v>0</v>
      </c>
      <c r="AP83" s="59">
        <f t="shared" si="11"/>
        <v>0</v>
      </c>
    </row>
    <row r="84" spans="3:42" s="17" customFormat="1" x14ac:dyDescent="0.25">
      <c r="C84" s="241" t="s">
        <v>213</v>
      </c>
      <c r="D84" s="242"/>
      <c r="E84" s="88"/>
      <c r="F84" s="217"/>
      <c r="G84" s="234"/>
      <c r="H84" s="218"/>
      <c r="I84" s="76"/>
      <c r="J84" s="77"/>
      <c r="K84" s="77"/>
      <c r="L84" s="76"/>
      <c r="M84" s="110"/>
      <c r="N84" s="152"/>
      <c r="O84" s="111" t="str">
        <f>IFERROR(MIN(VLOOKUP(ROUNDDOWN(N84,0),'Aide calcul'!$B$2:$C$282,2,FALSE),M84+1),"")</f>
        <v/>
      </c>
      <c r="P84" s="112" t="str">
        <f t="shared" si="12"/>
        <v/>
      </c>
      <c r="Q84" s="170"/>
      <c r="R84" s="170"/>
      <c r="S84" s="170"/>
      <c r="T84" s="170"/>
      <c r="U84" s="170"/>
      <c r="V84" s="170"/>
      <c r="W84" s="170"/>
      <c r="X84" s="76"/>
      <c r="Y84" s="76"/>
      <c r="Z84" s="113" t="str">
        <f>IFERROR(ROUND('Informations générales'!$E$66*(AE84/SUM($AE$28:$AE$404))/12,0)*12,"")</f>
        <v/>
      </c>
      <c r="AA84" s="114"/>
      <c r="AB84" s="113" t="str">
        <f t="shared" si="1"/>
        <v/>
      </c>
      <c r="AC84" s="89"/>
      <c r="AD84" s="76"/>
      <c r="AE84" s="56">
        <f t="shared" si="13"/>
        <v>0</v>
      </c>
      <c r="AF84" s="56">
        <f t="shared" si="2"/>
        <v>0</v>
      </c>
      <c r="AG84" s="56">
        <f t="shared" si="3"/>
        <v>0</v>
      </c>
      <c r="AH84" s="56">
        <f t="shared" si="4"/>
        <v>0</v>
      </c>
      <c r="AI84" s="56">
        <f t="shared" si="5"/>
        <v>0</v>
      </c>
      <c r="AJ84" s="56">
        <f t="shared" si="6"/>
        <v>0</v>
      </c>
      <c r="AK84" s="56">
        <f t="shared" si="7"/>
        <v>0</v>
      </c>
      <c r="AL84" s="56">
        <f t="shared" si="8"/>
        <v>0</v>
      </c>
      <c r="AM84" s="56">
        <f t="shared" si="14"/>
        <v>0</v>
      </c>
      <c r="AN84" s="60">
        <f t="shared" si="9"/>
        <v>0</v>
      </c>
      <c r="AO84" s="59">
        <f t="shared" si="10"/>
        <v>0</v>
      </c>
      <c r="AP84" s="59">
        <f t="shared" si="11"/>
        <v>0</v>
      </c>
    </row>
    <row r="85" spans="3:42" s="17" customFormat="1" x14ac:dyDescent="0.25">
      <c r="C85" s="241" t="s">
        <v>213</v>
      </c>
      <c r="D85" s="242"/>
      <c r="E85" s="88"/>
      <c r="F85" s="217"/>
      <c r="G85" s="234"/>
      <c r="H85" s="218"/>
      <c r="I85" s="76"/>
      <c r="J85" s="77"/>
      <c r="K85" s="77"/>
      <c r="L85" s="76"/>
      <c r="M85" s="110"/>
      <c r="N85" s="152"/>
      <c r="O85" s="111" t="str">
        <f>IFERROR(MIN(VLOOKUP(ROUNDDOWN(N85,0),'Aide calcul'!$B$2:$C$282,2,FALSE),M85+1),"")</f>
        <v/>
      </c>
      <c r="P85" s="112" t="str">
        <f t="shared" si="12"/>
        <v/>
      </c>
      <c r="Q85" s="170"/>
      <c r="R85" s="170"/>
      <c r="S85" s="170"/>
      <c r="T85" s="170"/>
      <c r="U85" s="170"/>
      <c r="V85" s="170"/>
      <c r="W85" s="170"/>
      <c r="X85" s="76"/>
      <c r="Y85" s="76"/>
      <c r="Z85" s="113" t="str">
        <f>IFERROR(ROUND('Informations générales'!$E$66*(AE85/SUM($AE$28:$AE$404))/12,0)*12,"")</f>
        <v/>
      </c>
      <c r="AA85" s="114"/>
      <c r="AB85" s="113" t="str">
        <f t="shared" si="1"/>
        <v/>
      </c>
      <c r="AC85" s="89"/>
      <c r="AD85" s="76"/>
      <c r="AE85" s="56">
        <f t="shared" si="13"/>
        <v>0</v>
      </c>
      <c r="AF85" s="56">
        <f t="shared" si="2"/>
        <v>0</v>
      </c>
      <c r="AG85" s="56">
        <f t="shared" si="3"/>
        <v>0</v>
      </c>
      <c r="AH85" s="56">
        <f t="shared" si="4"/>
        <v>0</v>
      </c>
      <c r="AI85" s="56">
        <f t="shared" si="5"/>
        <v>0</v>
      </c>
      <c r="AJ85" s="56">
        <f t="shared" si="6"/>
        <v>0</v>
      </c>
      <c r="AK85" s="56">
        <f t="shared" si="7"/>
        <v>0</v>
      </c>
      <c r="AL85" s="56">
        <f t="shared" si="8"/>
        <v>0</v>
      </c>
      <c r="AM85" s="56">
        <f t="shared" si="14"/>
        <v>0</v>
      </c>
      <c r="AN85" s="60">
        <f t="shared" si="9"/>
        <v>0</v>
      </c>
      <c r="AO85" s="59">
        <f t="shared" si="10"/>
        <v>0</v>
      </c>
      <c r="AP85" s="59">
        <f t="shared" si="11"/>
        <v>0</v>
      </c>
    </row>
    <row r="86" spans="3:42" s="17" customFormat="1" x14ac:dyDescent="0.25">
      <c r="C86" s="241" t="s">
        <v>213</v>
      </c>
      <c r="D86" s="242"/>
      <c r="E86" s="88"/>
      <c r="F86" s="217"/>
      <c r="G86" s="234"/>
      <c r="H86" s="218"/>
      <c r="I86" s="76"/>
      <c r="J86" s="77"/>
      <c r="K86" s="77"/>
      <c r="L86" s="76"/>
      <c r="M86" s="110"/>
      <c r="N86" s="152"/>
      <c r="O86" s="111" t="str">
        <f>IFERROR(MIN(VLOOKUP(ROUNDDOWN(N86,0),'Aide calcul'!$B$2:$C$282,2,FALSE),M86+1),"")</f>
        <v/>
      </c>
      <c r="P86" s="112" t="str">
        <f t="shared" si="12"/>
        <v/>
      </c>
      <c r="Q86" s="170"/>
      <c r="R86" s="170"/>
      <c r="S86" s="170"/>
      <c r="T86" s="170"/>
      <c r="U86" s="170"/>
      <c r="V86" s="170"/>
      <c r="W86" s="170"/>
      <c r="X86" s="76"/>
      <c r="Y86" s="76"/>
      <c r="Z86" s="113" t="str">
        <f>IFERROR(ROUND('Informations générales'!$E$66*(AE86/SUM($AE$28:$AE$404))/12,0)*12,"")</f>
        <v/>
      </c>
      <c r="AA86" s="114"/>
      <c r="AB86" s="113" t="str">
        <f t="shared" si="1"/>
        <v/>
      </c>
      <c r="AC86" s="89"/>
      <c r="AD86" s="76"/>
      <c r="AE86" s="56">
        <f t="shared" si="13"/>
        <v>0</v>
      </c>
      <c r="AF86" s="56">
        <f t="shared" si="2"/>
        <v>0</v>
      </c>
      <c r="AG86" s="56">
        <f t="shared" si="3"/>
        <v>0</v>
      </c>
      <c r="AH86" s="56">
        <f t="shared" si="4"/>
        <v>0</v>
      </c>
      <c r="AI86" s="56">
        <f t="shared" si="5"/>
        <v>0</v>
      </c>
      <c r="AJ86" s="56">
        <f t="shared" si="6"/>
        <v>0</v>
      </c>
      <c r="AK86" s="56">
        <f t="shared" si="7"/>
        <v>0</v>
      </c>
      <c r="AL86" s="56">
        <f t="shared" si="8"/>
        <v>0</v>
      </c>
      <c r="AM86" s="56">
        <f t="shared" si="14"/>
        <v>0</v>
      </c>
      <c r="AN86" s="60">
        <f t="shared" si="9"/>
        <v>0</v>
      </c>
      <c r="AO86" s="59">
        <f t="shared" si="10"/>
        <v>0</v>
      </c>
      <c r="AP86" s="59">
        <f t="shared" si="11"/>
        <v>0</v>
      </c>
    </row>
    <row r="87" spans="3:42" s="17" customFormat="1" x14ac:dyDescent="0.25">
      <c r="C87" s="241" t="s">
        <v>213</v>
      </c>
      <c r="D87" s="242"/>
      <c r="E87" s="88"/>
      <c r="F87" s="217"/>
      <c r="G87" s="234"/>
      <c r="H87" s="218"/>
      <c r="I87" s="76"/>
      <c r="J87" s="77"/>
      <c r="K87" s="77"/>
      <c r="L87" s="76"/>
      <c r="M87" s="110"/>
      <c r="N87" s="152"/>
      <c r="O87" s="111" t="str">
        <f>IFERROR(MIN(VLOOKUP(ROUNDDOWN(N87,0),'Aide calcul'!$B$2:$C$282,2,FALSE),M87+1),"")</f>
        <v/>
      </c>
      <c r="P87" s="112" t="str">
        <f t="shared" si="12"/>
        <v/>
      </c>
      <c r="Q87" s="170"/>
      <c r="R87" s="170"/>
      <c r="S87" s="170"/>
      <c r="T87" s="170"/>
      <c r="U87" s="170"/>
      <c r="V87" s="170"/>
      <c r="W87" s="170"/>
      <c r="X87" s="76"/>
      <c r="Y87" s="76"/>
      <c r="Z87" s="113" t="str">
        <f>IFERROR(ROUND('Informations générales'!$E$66*(AE87/SUM($AE$28:$AE$404))/12,0)*12,"")</f>
        <v/>
      </c>
      <c r="AA87" s="114"/>
      <c r="AB87" s="113" t="str">
        <f t="shared" si="1"/>
        <v/>
      </c>
      <c r="AC87" s="89"/>
      <c r="AD87" s="76"/>
      <c r="AE87" s="56">
        <f t="shared" si="13"/>
        <v>0</v>
      </c>
      <c r="AF87" s="56">
        <f t="shared" si="2"/>
        <v>0</v>
      </c>
      <c r="AG87" s="56">
        <f t="shared" si="3"/>
        <v>0</v>
      </c>
      <c r="AH87" s="56">
        <f t="shared" si="4"/>
        <v>0</v>
      </c>
      <c r="AI87" s="56">
        <f t="shared" si="5"/>
        <v>0</v>
      </c>
      <c r="AJ87" s="56">
        <f t="shared" si="6"/>
        <v>0</v>
      </c>
      <c r="AK87" s="56">
        <f t="shared" si="7"/>
        <v>0</v>
      </c>
      <c r="AL87" s="56">
        <f t="shared" si="8"/>
        <v>0</v>
      </c>
      <c r="AM87" s="56">
        <f t="shared" si="14"/>
        <v>0</v>
      </c>
      <c r="AN87" s="60">
        <f t="shared" si="9"/>
        <v>0</v>
      </c>
      <c r="AO87" s="59">
        <f t="shared" si="10"/>
        <v>0</v>
      </c>
      <c r="AP87" s="59">
        <f t="shared" si="11"/>
        <v>0</v>
      </c>
    </row>
    <row r="88" spans="3:42" s="17" customFormat="1" x14ac:dyDescent="0.25">
      <c r="C88" s="241" t="s">
        <v>213</v>
      </c>
      <c r="D88" s="242"/>
      <c r="E88" s="88"/>
      <c r="F88" s="217"/>
      <c r="G88" s="234"/>
      <c r="H88" s="218"/>
      <c r="I88" s="76"/>
      <c r="J88" s="77"/>
      <c r="K88" s="77"/>
      <c r="L88" s="76"/>
      <c r="M88" s="110"/>
      <c r="N88" s="152"/>
      <c r="O88" s="111" t="str">
        <f>IFERROR(MIN(VLOOKUP(ROUNDDOWN(N88,0),'Aide calcul'!$B$2:$C$282,2,FALSE),M88+1),"")</f>
        <v/>
      </c>
      <c r="P88" s="112" t="str">
        <f t="shared" si="12"/>
        <v/>
      </c>
      <c r="Q88" s="170"/>
      <c r="R88" s="170"/>
      <c r="S88" s="170"/>
      <c r="T88" s="170"/>
      <c r="U88" s="170"/>
      <c r="V88" s="170"/>
      <c r="W88" s="170"/>
      <c r="X88" s="76"/>
      <c r="Y88" s="76"/>
      <c r="Z88" s="113" t="str">
        <f>IFERROR(ROUND('Informations générales'!$E$66*(AE88/SUM($AE$28:$AE$404))/12,0)*12,"")</f>
        <v/>
      </c>
      <c r="AA88" s="114"/>
      <c r="AB88" s="113" t="str">
        <f t="shared" si="1"/>
        <v/>
      </c>
      <c r="AC88" s="89"/>
      <c r="AD88" s="76"/>
      <c r="AE88" s="56">
        <f t="shared" si="13"/>
        <v>0</v>
      </c>
      <c r="AF88" s="56">
        <f t="shared" si="2"/>
        <v>0</v>
      </c>
      <c r="AG88" s="56">
        <f t="shared" si="3"/>
        <v>0</v>
      </c>
      <c r="AH88" s="56">
        <f t="shared" si="4"/>
        <v>0</v>
      </c>
      <c r="AI88" s="56">
        <f t="shared" si="5"/>
        <v>0</v>
      </c>
      <c r="AJ88" s="56">
        <f t="shared" si="6"/>
        <v>0</v>
      </c>
      <c r="AK88" s="56">
        <f t="shared" si="7"/>
        <v>0</v>
      </c>
      <c r="AL88" s="56">
        <f t="shared" si="8"/>
        <v>0</v>
      </c>
      <c r="AM88" s="56">
        <f t="shared" si="14"/>
        <v>0</v>
      </c>
      <c r="AN88" s="60">
        <f t="shared" si="9"/>
        <v>0</v>
      </c>
      <c r="AO88" s="59">
        <f t="shared" si="10"/>
        <v>0</v>
      </c>
      <c r="AP88" s="59">
        <f t="shared" si="11"/>
        <v>0</v>
      </c>
    </row>
    <row r="89" spans="3:42" s="17" customFormat="1" x14ac:dyDescent="0.25">
      <c r="C89" s="241" t="s">
        <v>213</v>
      </c>
      <c r="D89" s="242"/>
      <c r="E89" s="88"/>
      <c r="F89" s="217"/>
      <c r="G89" s="234"/>
      <c r="H89" s="218"/>
      <c r="I89" s="76"/>
      <c r="J89" s="77"/>
      <c r="K89" s="77"/>
      <c r="L89" s="76"/>
      <c r="M89" s="110"/>
      <c r="N89" s="152"/>
      <c r="O89" s="111" t="str">
        <f>IFERROR(MIN(VLOOKUP(ROUNDDOWN(N89,0),'Aide calcul'!$B$2:$C$282,2,FALSE),M89+1),"")</f>
        <v/>
      </c>
      <c r="P89" s="112" t="str">
        <f t="shared" si="12"/>
        <v/>
      </c>
      <c r="Q89" s="170"/>
      <c r="R89" s="170"/>
      <c r="S89" s="170"/>
      <c r="T89" s="170"/>
      <c r="U89" s="170"/>
      <c r="V89" s="170"/>
      <c r="W89" s="170"/>
      <c r="X89" s="76"/>
      <c r="Y89" s="76"/>
      <c r="Z89" s="113" t="str">
        <f>IFERROR(ROUND('Informations générales'!$E$66*(AE89/SUM($AE$28:$AE$404))/12,0)*12,"")</f>
        <v/>
      </c>
      <c r="AA89" s="114"/>
      <c r="AB89" s="113" t="str">
        <f t="shared" si="1"/>
        <v/>
      </c>
      <c r="AC89" s="89"/>
      <c r="AD89" s="76"/>
      <c r="AE89" s="56">
        <f t="shared" si="13"/>
        <v>0</v>
      </c>
      <c r="AF89" s="56">
        <f t="shared" si="2"/>
        <v>0</v>
      </c>
      <c r="AG89" s="56">
        <f t="shared" si="3"/>
        <v>0</v>
      </c>
      <c r="AH89" s="56">
        <f t="shared" si="4"/>
        <v>0</v>
      </c>
      <c r="AI89" s="56">
        <f t="shared" si="5"/>
        <v>0</v>
      </c>
      <c r="AJ89" s="56">
        <f t="shared" si="6"/>
        <v>0</v>
      </c>
      <c r="AK89" s="56">
        <f t="shared" si="7"/>
        <v>0</v>
      </c>
      <c r="AL89" s="56">
        <f t="shared" si="8"/>
        <v>0</v>
      </c>
      <c r="AM89" s="56">
        <f t="shared" si="14"/>
        <v>0</v>
      </c>
      <c r="AN89" s="60">
        <f t="shared" si="9"/>
        <v>0</v>
      </c>
      <c r="AO89" s="59">
        <f t="shared" si="10"/>
        <v>0</v>
      </c>
      <c r="AP89" s="59">
        <f t="shared" si="11"/>
        <v>0</v>
      </c>
    </row>
    <row r="90" spans="3:42" s="17" customFormat="1" x14ac:dyDescent="0.25">
      <c r="C90" s="241" t="s">
        <v>213</v>
      </c>
      <c r="D90" s="242"/>
      <c r="E90" s="88"/>
      <c r="F90" s="217"/>
      <c r="G90" s="234"/>
      <c r="H90" s="218"/>
      <c r="I90" s="76"/>
      <c r="J90" s="77"/>
      <c r="K90" s="77"/>
      <c r="L90" s="76"/>
      <c r="M90" s="110"/>
      <c r="N90" s="152"/>
      <c r="O90" s="111" t="str">
        <f>IFERROR(MIN(VLOOKUP(ROUNDDOWN(N90,0),'Aide calcul'!$B$2:$C$282,2,FALSE),M90+1),"")</f>
        <v/>
      </c>
      <c r="P90" s="112" t="str">
        <f t="shared" si="12"/>
        <v/>
      </c>
      <c r="Q90" s="170"/>
      <c r="R90" s="170"/>
      <c r="S90" s="170"/>
      <c r="T90" s="170"/>
      <c r="U90" s="170"/>
      <c r="V90" s="170"/>
      <c r="W90" s="170"/>
      <c r="X90" s="76"/>
      <c r="Y90" s="76"/>
      <c r="Z90" s="113" t="str">
        <f>IFERROR(ROUND('Informations générales'!$E$66*(AE90/SUM($AE$28:$AE$404))/12,0)*12,"")</f>
        <v/>
      </c>
      <c r="AA90" s="114"/>
      <c r="AB90" s="113" t="str">
        <f t="shared" si="1"/>
        <v/>
      </c>
      <c r="AC90" s="89"/>
      <c r="AD90" s="76"/>
      <c r="AE90" s="56">
        <f t="shared" si="13"/>
        <v>0</v>
      </c>
      <c r="AF90" s="56">
        <f t="shared" si="2"/>
        <v>0</v>
      </c>
      <c r="AG90" s="56">
        <f t="shared" si="3"/>
        <v>0</v>
      </c>
      <c r="AH90" s="56">
        <f t="shared" si="4"/>
        <v>0</v>
      </c>
      <c r="AI90" s="56">
        <f t="shared" si="5"/>
        <v>0</v>
      </c>
      <c r="AJ90" s="56">
        <f t="shared" si="6"/>
        <v>0</v>
      </c>
      <c r="AK90" s="56">
        <f t="shared" si="7"/>
        <v>0</v>
      </c>
      <c r="AL90" s="56">
        <f t="shared" si="8"/>
        <v>0</v>
      </c>
      <c r="AM90" s="56">
        <f t="shared" si="14"/>
        <v>0</v>
      </c>
      <c r="AN90" s="60">
        <f t="shared" si="9"/>
        <v>0</v>
      </c>
      <c r="AO90" s="59">
        <f t="shared" si="10"/>
        <v>0</v>
      </c>
      <c r="AP90" s="59">
        <f t="shared" si="11"/>
        <v>0</v>
      </c>
    </row>
    <row r="91" spans="3:42" s="17" customFormat="1" x14ac:dyDescent="0.25">
      <c r="C91" s="241" t="s">
        <v>213</v>
      </c>
      <c r="D91" s="242"/>
      <c r="E91" s="88"/>
      <c r="F91" s="217"/>
      <c r="G91" s="234"/>
      <c r="H91" s="218"/>
      <c r="I91" s="76"/>
      <c r="J91" s="77"/>
      <c r="K91" s="77"/>
      <c r="L91" s="76"/>
      <c r="M91" s="110"/>
      <c r="N91" s="152"/>
      <c r="O91" s="111" t="str">
        <f>IFERROR(MIN(VLOOKUP(ROUNDDOWN(N91,0),'Aide calcul'!$B$2:$C$282,2,FALSE),M91+1),"")</f>
        <v/>
      </c>
      <c r="P91" s="112" t="str">
        <f t="shared" si="12"/>
        <v/>
      </c>
      <c r="Q91" s="170"/>
      <c r="R91" s="170"/>
      <c r="S91" s="170"/>
      <c r="T91" s="170"/>
      <c r="U91" s="170"/>
      <c r="V91" s="170"/>
      <c r="W91" s="170"/>
      <c r="X91" s="76"/>
      <c r="Y91" s="76"/>
      <c r="Z91" s="113" t="str">
        <f>IFERROR(ROUND('Informations générales'!$E$66*(AE91/SUM($AE$28:$AE$404))/12,0)*12,"")</f>
        <v/>
      </c>
      <c r="AA91" s="114"/>
      <c r="AB91" s="113" t="str">
        <f t="shared" si="1"/>
        <v/>
      </c>
      <c r="AC91" s="89"/>
      <c r="AD91" s="76"/>
      <c r="AE91" s="56">
        <f t="shared" si="13"/>
        <v>0</v>
      </c>
      <c r="AF91" s="56">
        <f t="shared" si="2"/>
        <v>0</v>
      </c>
      <c r="AG91" s="56">
        <f t="shared" si="3"/>
        <v>0</v>
      </c>
      <c r="AH91" s="56">
        <f t="shared" si="4"/>
        <v>0</v>
      </c>
      <c r="AI91" s="56">
        <f t="shared" si="5"/>
        <v>0</v>
      </c>
      <c r="AJ91" s="56">
        <f t="shared" si="6"/>
        <v>0</v>
      </c>
      <c r="AK91" s="56">
        <f t="shared" si="7"/>
        <v>0</v>
      </c>
      <c r="AL91" s="56">
        <f t="shared" si="8"/>
        <v>0</v>
      </c>
      <c r="AM91" s="56">
        <f t="shared" si="14"/>
        <v>0</v>
      </c>
      <c r="AN91" s="60">
        <f t="shared" si="9"/>
        <v>0</v>
      </c>
      <c r="AO91" s="59">
        <f t="shared" si="10"/>
        <v>0</v>
      </c>
      <c r="AP91" s="59">
        <f t="shared" si="11"/>
        <v>0</v>
      </c>
    </row>
    <row r="92" spans="3:42" s="17" customFormat="1" x14ac:dyDescent="0.25">
      <c r="C92" s="241" t="s">
        <v>213</v>
      </c>
      <c r="D92" s="242"/>
      <c r="E92" s="88"/>
      <c r="F92" s="217"/>
      <c r="G92" s="234"/>
      <c r="H92" s="218"/>
      <c r="I92" s="76"/>
      <c r="J92" s="77"/>
      <c r="K92" s="77"/>
      <c r="L92" s="76"/>
      <c r="M92" s="110"/>
      <c r="N92" s="152"/>
      <c r="O92" s="111" t="str">
        <f>IFERROR(MIN(VLOOKUP(ROUNDDOWN(N92,0),'Aide calcul'!$B$2:$C$282,2,FALSE),M92+1),"")</f>
        <v/>
      </c>
      <c r="P92" s="112" t="str">
        <f t="shared" si="12"/>
        <v/>
      </c>
      <c r="Q92" s="170"/>
      <c r="R92" s="170"/>
      <c r="S92" s="170"/>
      <c r="T92" s="170"/>
      <c r="U92" s="170"/>
      <c r="V92" s="170"/>
      <c r="W92" s="170"/>
      <c r="X92" s="76"/>
      <c r="Y92" s="76"/>
      <c r="Z92" s="113" t="str">
        <f>IFERROR(ROUND('Informations générales'!$E$66*(AE92/SUM($AE$28:$AE$404))/12,0)*12,"")</f>
        <v/>
      </c>
      <c r="AA92" s="114"/>
      <c r="AB92" s="113" t="str">
        <f t="shared" ref="AB92:AB155" si="15">IFERROR(Z92/AM92,"")</f>
        <v/>
      </c>
      <c r="AC92" s="89"/>
      <c r="AD92" s="76"/>
      <c r="AE92" s="56">
        <f t="shared" si="13"/>
        <v>0</v>
      </c>
      <c r="AF92" s="56">
        <f t="shared" ref="AF92:AF155" si="16">Q92*$E$13</f>
        <v>0</v>
      </c>
      <c r="AG92" s="56">
        <f t="shared" ref="AG92:AG155" si="17">R92*$E$14</f>
        <v>0</v>
      </c>
      <c r="AH92" s="56">
        <f t="shared" ref="AH92:AH155" si="18">S92*$E$15</f>
        <v>0</v>
      </c>
      <c r="AI92" s="56">
        <f t="shared" ref="AI92:AI155" si="19">T92*$E$16</f>
        <v>0</v>
      </c>
      <c r="AJ92" s="56">
        <f t="shared" ref="AJ92:AJ155" si="20">U92*$E$17</f>
        <v>0</v>
      </c>
      <c r="AK92" s="56">
        <f t="shared" ref="AK92:AK155" si="21">V92*$E$18</f>
        <v>0</v>
      </c>
      <c r="AL92" s="56">
        <f t="shared" ref="AL92:AL155" si="22">W92*$E$19</f>
        <v>0</v>
      </c>
      <c r="AM92" s="56">
        <f t="shared" si="14"/>
        <v>0</v>
      </c>
      <c r="AN92" s="60">
        <f t="shared" ref="AN92:AN155" si="23">IFERROR(I92*$E$12,0)</f>
        <v>0</v>
      </c>
      <c r="AO92" s="59">
        <f t="shared" ref="AO92:AO155" si="24">IFERROR(VLOOKUP(X92,$H$12:$I$22,2,FALSE),0)</f>
        <v>0</v>
      </c>
      <c r="AP92" s="59">
        <f t="shared" ref="AP92:AP155" si="25">IFERROR(VLOOKUP(Y92,$L$12:$N$19,3,FALSE),0)</f>
        <v>0</v>
      </c>
    </row>
    <row r="93" spans="3:42" s="17" customFormat="1" x14ac:dyDescent="0.25">
      <c r="C93" s="241" t="s">
        <v>213</v>
      </c>
      <c r="D93" s="242"/>
      <c r="E93" s="88"/>
      <c r="F93" s="217"/>
      <c r="G93" s="234"/>
      <c r="H93" s="218"/>
      <c r="I93" s="76"/>
      <c r="J93" s="77"/>
      <c r="K93" s="77"/>
      <c r="L93" s="76"/>
      <c r="M93" s="110"/>
      <c r="N93" s="152"/>
      <c r="O93" s="111" t="str">
        <f>IFERROR(MIN(VLOOKUP(ROUNDDOWN(N93,0),'Aide calcul'!$B$2:$C$282,2,FALSE),M93+1),"")</f>
        <v/>
      </c>
      <c r="P93" s="112" t="str">
        <f t="shared" ref="P93:P156" si="26">IFERROR(TRUNC(O93-0.5),"")</f>
        <v/>
      </c>
      <c r="Q93" s="170"/>
      <c r="R93" s="170"/>
      <c r="S93" s="170"/>
      <c r="T93" s="170"/>
      <c r="U93" s="170"/>
      <c r="V93" s="170"/>
      <c r="W93" s="170"/>
      <c r="X93" s="76"/>
      <c r="Y93" s="76"/>
      <c r="Z93" s="113" t="str">
        <f>IFERROR(ROUND('Informations générales'!$E$66*(AE93/SUM($AE$28:$AE$404))/12,0)*12,"")</f>
        <v/>
      </c>
      <c r="AA93" s="114"/>
      <c r="AB93" s="113" t="str">
        <f t="shared" si="15"/>
        <v/>
      </c>
      <c r="AC93" s="89"/>
      <c r="AD93" s="76"/>
      <c r="AE93" s="56">
        <f t="shared" ref="AE93:AE156" si="27">AM93*(SUM(1,AN93,AO93,AP93))</f>
        <v>0</v>
      </c>
      <c r="AF93" s="56">
        <f t="shared" si="16"/>
        <v>0</v>
      </c>
      <c r="AG93" s="56">
        <f t="shared" si="17"/>
        <v>0</v>
      </c>
      <c r="AH93" s="56">
        <f t="shared" si="18"/>
        <v>0</v>
      </c>
      <c r="AI93" s="56">
        <f t="shared" si="19"/>
        <v>0</v>
      </c>
      <c r="AJ93" s="56">
        <f t="shared" si="20"/>
        <v>0</v>
      </c>
      <c r="AK93" s="56">
        <f t="shared" si="21"/>
        <v>0</v>
      </c>
      <c r="AL93" s="56">
        <f t="shared" si="22"/>
        <v>0</v>
      </c>
      <c r="AM93" s="56">
        <f t="shared" ref="AM93:AM156" si="28">SUM(AF93:AL93)</f>
        <v>0</v>
      </c>
      <c r="AN93" s="60">
        <f t="shared" si="23"/>
        <v>0</v>
      </c>
      <c r="AO93" s="59">
        <f t="shared" si="24"/>
        <v>0</v>
      </c>
      <c r="AP93" s="59">
        <f t="shared" si="25"/>
        <v>0</v>
      </c>
    </row>
    <row r="94" spans="3:42" s="17" customFormat="1" x14ac:dyDescent="0.25">
      <c r="C94" s="241" t="s">
        <v>213</v>
      </c>
      <c r="D94" s="242"/>
      <c r="E94" s="88"/>
      <c r="F94" s="217"/>
      <c r="G94" s="234"/>
      <c r="H94" s="218"/>
      <c r="I94" s="76"/>
      <c r="J94" s="77"/>
      <c r="K94" s="77"/>
      <c r="L94" s="76"/>
      <c r="M94" s="110"/>
      <c r="N94" s="152"/>
      <c r="O94" s="111" t="str">
        <f>IFERROR(MIN(VLOOKUP(ROUNDDOWN(N94,0),'Aide calcul'!$B$2:$C$282,2,FALSE),M94+1),"")</f>
        <v/>
      </c>
      <c r="P94" s="112" t="str">
        <f t="shared" si="26"/>
        <v/>
      </c>
      <c r="Q94" s="170"/>
      <c r="R94" s="170"/>
      <c r="S94" s="170"/>
      <c r="T94" s="170"/>
      <c r="U94" s="170"/>
      <c r="V94" s="170"/>
      <c r="W94" s="170"/>
      <c r="X94" s="76"/>
      <c r="Y94" s="76"/>
      <c r="Z94" s="113" t="str">
        <f>IFERROR(ROUND('Informations générales'!$E$66*(AE94/SUM($AE$28:$AE$404))/12,0)*12,"")</f>
        <v/>
      </c>
      <c r="AA94" s="114"/>
      <c r="AB94" s="113" t="str">
        <f t="shared" si="15"/>
        <v/>
      </c>
      <c r="AC94" s="89"/>
      <c r="AD94" s="76"/>
      <c r="AE94" s="56">
        <f t="shared" si="27"/>
        <v>0</v>
      </c>
      <c r="AF94" s="56">
        <f t="shared" si="16"/>
        <v>0</v>
      </c>
      <c r="AG94" s="56">
        <f t="shared" si="17"/>
        <v>0</v>
      </c>
      <c r="AH94" s="56">
        <f t="shared" si="18"/>
        <v>0</v>
      </c>
      <c r="AI94" s="56">
        <f t="shared" si="19"/>
        <v>0</v>
      </c>
      <c r="AJ94" s="56">
        <f t="shared" si="20"/>
        <v>0</v>
      </c>
      <c r="AK94" s="56">
        <f t="shared" si="21"/>
        <v>0</v>
      </c>
      <c r="AL94" s="56">
        <f t="shared" si="22"/>
        <v>0</v>
      </c>
      <c r="AM94" s="56">
        <f t="shared" si="28"/>
        <v>0</v>
      </c>
      <c r="AN94" s="60">
        <f t="shared" si="23"/>
        <v>0</v>
      </c>
      <c r="AO94" s="59">
        <f t="shared" si="24"/>
        <v>0</v>
      </c>
      <c r="AP94" s="59">
        <f t="shared" si="25"/>
        <v>0</v>
      </c>
    </row>
    <row r="95" spans="3:42" s="17" customFormat="1" x14ac:dyDescent="0.25">
      <c r="C95" s="241" t="s">
        <v>213</v>
      </c>
      <c r="D95" s="242"/>
      <c r="E95" s="88"/>
      <c r="F95" s="217"/>
      <c r="G95" s="234"/>
      <c r="H95" s="218"/>
      <c r="I95" s="76"/>
      <c r="J95" s="77"/>
      <c r="K95" s="77"/>
      <c r="L95" s="76"/>
      <c r="M95" s="110"/>
      <c r="N95" s="152"/>
      <c r="O95" s="111" t="str">
        <f>IFERROR(MIN(VLOOKUP(ROUNDDOWN(N95,0),'Aide calcul'!$B$2:$C$282,2,FALSE),M95+1),"")</f>
        <v/>
      </c>
      <c r="P95" s="112" t="str">
        <f t="shared" si="26"/>
        <v/>
      </c>
      <c r="Q95" s="170"/>
      <c r="R95" s="170"/>
      <c r="S95" s="170"/>
      <c r="T95" s="170"/>
      <c r="U95" s="170"/>
      <c r="V95" s="170"/>
      <c r="W95" s="170"/>
      <c r="X95" s="76"/>
      <c r="Y95" s="76"/>
      <c r="Z95" s="113" t="str">
        <f>IFERROR(ROUND('Informations générales'!$E$66*(AE95/SUM($AE$28:$AE$404))/12,0)*12,"")</f>
        <v/>
      </c>
      <c r="AA95" s="114"/>
      <c r="AB95" s="113" t="str">
        <f t="shared" si="15"/>
        <v/>
      </c>
      <c r="AC95" s="89"/>
      <c r="AD95" s="76"/>
      <c r="AE95" s="56">
        <f t="shared" si="27"/>
        <v>0</v>
      </c>
      <c r="AF95" s="56">
        <f t="shared" si="16"/>
        <v>0</v>
      </c>
      <c r="AG95" s="56">
        <f t="shared" si="17"/>
        <v>0</v>
      </c>
      <c r="AH95" s="56">
        <f t="shared" si="18"/>
        <v>0</v>
      </c>
      <c r="AI95" s="56">
        <f t="shared" si="19"/>
        <v>0</v>
      </c>
      <c r="AJ95" s="56">
        <f t="shared" si="20"/>
        <v>0</v>
      </c>
      <c r="AK95" s="56">
        <f t="shared" si="21"/>
        <v>0</v>
      </c>
      <c r="AL95" s="56">
        <f t="shared" si="22"/>
        <v>0</v>
      </c>
      <c r="AM95" s="56">
        <f t="shared" si="28"/>
        <v>0</v>
      </c>
      <c r="AN95" s="60">
        <f t="shared" si="23"/>
        <v>0</v>
      </c>
      <c r="AO95" s="59">
        <f t="shared" si="24"/>
        <v>0</v>
      </c>
      <c r="AP95" s="59">
        <f t="shared" si="25"/>
        <v>0</v>
      </c>
    </row>
    <row r="96" spans="3:42" s="17" customFormat="1" x14ac:dyDescent="0.25">
      <c r="C96" s="241" t="s">
        <v>213</v>
      </c>
      <c r="D96" s="242"/>
      <c r="E96" s="88"/>
      <c r="F96" s="217"/>
      <c r="G96" s="234"/>
      <c r="H96" s="218"/>
      <c r="I96" s="76"/>
      <c r="J96" s="77"/>
      <c r="K96" s="77"/>
      <c r="L96" s="76"/>
      <c r="M96" s="110"/>
      <c r="N96" s="152"/>
      <c r="O96" s="111" t="str">
        <f>IFERROR(MIN(VLOOKUP(ROUNDDOWN(N96,0),'Aide calcul'!$B$2:$C$282,2,FALSE),M96+1),"")</f>
        <v/>
      </c>
      <c r="P96" s="112" t="str">
        <f t="shared" si="26"/>
        <v/>
      </c>
      <c r="Q96" s="170"/>
      <c r="R96" s="170"/>
      <c r="S96" s="170"/>
      <c r="T96" s="170"/>
      <c r="U96" s="170"/>
      <c r="V96" s="170"/>
      <c r="W96" s="170"/>
      <c r="X96" s="76"/>
      <c r="Y96" s="76"/>
      <c r="Z96" s="113" t="str">
        <f>IFERROR(ROUND('Informations générales'!$E$66*(AE96/SUM($AE$28:$AE$404))/12,0)*12,"")</f>
        <v/>
      </c>
      <c r="AA96" s="114"/>
      <c r="AB96" s="113" t="str">
        <f t="shared" si="15"/>
        <v/>
      </c>
      <c r="AC96" s="89"/>
      <c r="AD96" s="76"/>
      <c r="AE96" s="56">
        <f t="shared" si="27"/>
        <v>0</v>
      </c>
      <c r="AF96" s="56">
        <f t="shared" si="16"/>
        <v>0</v>
      </c>
      <c r="AG96" s="56">
        <f t="shared" si="17"/>
        <v>0</v>
      </c>
      <c r="AH96" s="56">
        <f t="shared" si="18"/>
        <v>0</v>
      </c>
      <c r="AI96" s="56">
        <f t="shared" si="19"/>
        <v>0</v>
      </c>
      <c r="AJ96" s="56">
        <f t="shared" si="20"/>
        <v>0</v>
      </c>
      <c r="AK96" s="56">
        <f t="shared" si="21"/>
        <v>0</v>
      </c>
      <c r="AL96" s="56">
        <f t="shared" si="22"/>
        <v>0</v>
      </c>
      <c r="AM96" s="56">
        <f t="shared" si="28"/>
        <v>0</v>
      </c>
      <c r="AN96" s="60">
        <f t="shared" si="23"/>
        <v>0</v>
      </c>
      <c r="AO96" s="59">
        <f t="shared" si="24"/>
        <v>0</v>
      </c>
      <c r="AP96" s="59">
        <f t="shared" si="25"/>
        <v>0</v>
      </c>
    </row>
    <row r="97" spans="3:42" s="17" customFormat="1" x14ac:dyDescent="0.25">
      <c r="C97" s="241" t="s">
        <v>213</v>
      </c>
      <c r="D97" s="242"/>
      <c r="E97" s="88"/>
      <c r="F97" s="217"/>
      <c r="G97" s="234"/>
      <c r="H97" s="218"/>
      <c r="I97" s="76"/>
      <c r="J97" s="77"/>
      <c r="K97" s="77"/>
      <c r="L97" s="76"/>
      <c r="M97" s="110"/>
      <c r="N97" s="152"/>
      <c r="O97" s="111" t="str">
        <f>IFERROR(MIN(VLOOKUP(ROUNDDOWN(N97,0),'Aide calcul'!$B$2:$C$282,2,FALSE),M97+1),"")</f>
        <v/>
      </c>
      <c r="P97" s="112" t="str">
        <f t="shared" si="26"/>
        <v/>
      </c>
      <c r="Q97" s="170"/>
      <c r="R97" s="170"/>
      <c r="S97" s="170"/>
      <c r="T97" s="170"/>
      <c r="U97" s="170"/>
      <c r="V97" s="170"/>
      <c r="W97" s="170"/>
      <c r="X97" s="76"/>
      <c r="Y97" s="76"/>
      <c r="Z97" s="113" t="str">
        <f>IFERROR(ROUND('Informations générales'!$E$66*(AE97/SUM($AE$28:$AE$404))/12,0)*12,"")</f>
        <v/>
      </c>
      <c r="AA97" s="114"/>
      <c r="AB97" s="113" t="str">
        <f t="shared" si="15"/>
        <v/>
      </c>
      <c r="AC97" s="89"/>
      <c r="AD97" s="76"/>
      <c r="AE97" s="56">
        <f t="shared" si="27"/>
        <v>0</v>
      </c>
      <c r="AF97" s="56">
        <f t="shared" si="16"/>
        <v>0</v>
      </c>
      <c r="AG97" s="56">
        <f t="shared" si="17"/>
        <v>0</v>
      </c>
      <c r="AH97" s="56">
        <f t="shared" si="18"/>
        <v>0</v>
      </c>
      <c r="AI97" s="56">
        <f t="shared" si="19"/>
        <v>0</v>
      </c>
      <c r="AJ97" s="56">
        <f t="shared" si="20"/>
        <v>0</v>
      </c>
      <c r="AK97" s="56">
        <f t="shared" si="21"/>
        <v>0</v>
      </c>
      <c r="AL97" s="56">
        <f t="shared" si="22"/>
        <v>0</v>
      </c>
      <c r="AM97" s="56">
        <f t="shared" si="28"/>
        <v>0</v>
      </c>
      <c r="AN97" s="60">
        <f t="shared" si="23"/>
        <v>0</v>
      </c>
      <c r="AO97" s="59">
        <f t="shared" si="24"/>
        <v>0</v>
      </c>
      <c r="AP97" s="59">
        <f t="shared" si="25"/>
        <v>0</v>
      </c>
    </row>
    <row r="98" spans="3:42" s="17" customFormat="1" x14ac:dyDescent="0.25">
      <c r="C98" s="241" t="s">
        <v>213</v>
      </c>
      <c r="D98" s="242"/>
      <c r="E98" s="88"/>
      <c r="F98" s="217"/>
      <c r="G98" s="234"/>
      <c r="H98" s="218"/>
      <c r="I98" s="76"/>
      <c r="J98" s="77"/>
      <c r="K98" s="77"/>
      <c r="L98" s="76"/>
      <c r="M98" s="110"/>
      <c r="N98" s="152"/>
      <c r="O98" s="111" t="str">
        <f>IFERROR(MIN(VLOOKUP(ROUNDDOWN(N98,0),'Aide calcul'!$B$2:$C$282,2,FALSE),M98+1),"")</f>
        <v/>
      </c>
      <c r="P98" s="112" t="str">
        <f t="shared" si="26"/>
        <v/>
      </c>
      <c r="Q98" s="170"/>
      <c r="R98" s="170"/>
      <c r="S98" s="170"/>
      <c r="T98" s="170"/>
      <c r="U98" s="170"/>
      <c r="V98" s="170"/>
      <c r="W98" s="170"/>
      <c r="X98" s="76"/>
      <c r="Y98" s="76"/>
      <c r="Z98" s="113" t="str">
        <f>IFERROR(ROUND('Informations générales'!$E$66*(AE98/SUM($AE$28:$AE$404))/12,0)*12,"")</f>
        <v/>
      </c>
      <c r="AA98" s="114"/>
      <c r="AB98" s="113" t="str">
        <f t="shared" si="15"/>
        <v/>
      </c>
      <c r="AC98" s="89"/>
      <c r="AD98" s="76"/>
      <c r="AE98" s="56">
        <f t="shared" si="27"/>
        <v>0</v>
      </c>
      <c r="AF98" s="56">
        <f t="shared" si="16"/>
        <v>0</v>
      </c>
      <c r="AG98" s="56">
        <f t="shared" si="17"/>
        <v>0</v>
      </c>
      <c r="AH98" s="56">
        <f t="shared" si="18"/>
        <v>0</v>
      </c>
      <c r="AI98" s="56">
        <f t="shared" si="19"/>
        <v>0</v>
      </c>
      <c r="AJ98" s="56">
        <f t="shared" si="20"/>
        <v>0</v>
      </c>
      <c r="AK98" s="56">
        <f t="shared" si="21"/>
        <v>0</v>
      </c>
      <c r="AL98" s="56">
        <f t="shared" si="22"/>
        <v>0</v>
      </c>
      <c r="AM98" s="56">
        <f t="shared" si="28"/>
        <v>0</v>
      </c>
      <c r="AN98" s="60">
        <f t="shared" si="23"/>
        <v>0</v>
      </c>
      <c r="AO98" s="59">
        <f t="shared" si="24"/>
        <v>0</v>
      </c>
      <c r="AP98" s="59">
        <f t="shared" si="25"/>
        <v>0</v>
      </c>
    </row>
    <row r="99" spans="3:42" s="17" customFormat="1" x14ac:dyDescent="0.25">
      <c r="C99" s="241" t="s">
        <v>213</v>
      </c>
      <c r="D99" s="242"/>
      <c r="E99" s="88"/>
      <c r="F99" s="217"/>
      <c r="G99" s="234"/>
      <c r="H99" s="218"/>
      <c r="I99" s="76"/>
      <c r="J99" s="77"/>
      <c r="K99" s="77"/>
      <c r="L99" s="76"/>
      <c r="M99" s="110"/>
      <c r="N99" s="152"/>
      <c r="O99" s="111" t="str">
        <f>IFERROR(MIN(VLOOKUP(ROUNDDOWN(N99,0),'Aide calcul'!$B$2:$C$282,2,FALSE),M99+1),"")</f>
        <v/>
      </c>
      <c r="P99" s="112" t="str">
        <f t="shared" si="26"/>
        <v/>
      </c>
      <c r="Q99" s="170"/>
      <c r="R99" s="170"/>
      <c r="S99" s="170"/>
      <c r="T99" s="170"/>
      <c r="U99" s="170"/>
      <c r="V99" s="170"/>
      <c r="W99" s="170"/>
      <c r="X99" s="76"/>
      <c r="Y99" s="76"/>
      <c r="Z99" s="113" t="str">
        <f>IFERROR(ROUND('Informations générales'!$E$66*(AE99/SUM($AE$28:$AE$404))/12,0)*12,"")</f>
        <v/>
      </c>
      <c r="AA99" s="114"/>
      <c r="AB99" s="113" t="str">
        <f t="shared" si="15"/>
        <v/>
      </c>
      <c r="AC99" s="89"/>
      <c r="AD99" s="76"/>
      <c r="AE99" s="56">
        <f t="shared" si="27"/>
        <v>0</v>
      </c>
      <c r="AF99" s="56">
        <f t="shared" si="16"/>
        <v>0</v>
      </c>
      <c r="AG99" s="56">
        <f t="shared" si="17"/>
        <v>0</v>
      </c>
      <c r="AH99" s="56">
        <f t="shared" si="18"/>
        <v>0</v>
      </c>
      <c r="AI99" s="56">
        <f t="shared" si="19"/>
        <v>0</v>
      </c>
      <c r="AJ99" s="56">
        <f t="shared" si="20"/>
        <v>0</v>
      </c>
      <c r="AK99" s="56">
        <f t="shared" si="21"/>
        <v>0</v>
      </c>
      <c r="AL99" s="56">
        <f t="shared" si="22"/>
        <v>0</v>
      </c>
      <c r="AM99" s="56">
        <f t="shared" si="28"/>
        <v>0</v>
      </c>
      <c r="AN99" s="60">
        <f t="shared" si="23"/>
        <v>0</v>
      </c>
      <c r="AO99" s="59">
        <f t="shared" si="24"/>
        <v>0</v>
      </c>
      <c r="AP99" s="59">
        <f t="shared" si="25"/>
        <v>0</v>
      </c>
    </row>
    <row r="100" spans="3:42" s="17" customFormat="1" x14ac:dyDescent="0.25">
      <c r="C100" s="241" t="s">
        <v>213</v>
      </c>
      <c r="D100" s="242"/>
      <c r="E100" s="88"/>
      <c r="F100" s="217"/>
      <c r="G100" s="234"/>
      <c r="H100" s="218"/>
      <c r="I100" s="76"/>
      <c r="J100" s="77"/>
      <c r="K100" s="77"/>
      <c r="L100" s="76"/>
      <c r="M100" s="110"/>
      <c r="N100" s="152"/>
      <c r="O100" s="111" t="str">
        <f>IFERROR(MIN(VLOOKUP(ROUNDDOWN(N100,0),'Aide calcul'!$B$2:$C$282,2,FALSE),M100+1),"")</f>
        <v/>
      </c>
      <c r="P100" s="112" t="str">
        <f t="shared" si="26"/>
        <v/>
      </c>
      <c r="Q100" s="170"/>
      <c r="R100" s="170"/>
      <c r="S100" s="170"/>
      <c r="T100" s="170"/>
      <c r="U100" s="170"/>
      <c r="V100" s="170"/>
      <c r="W100" s="170"/>
      <c r="X100" s="76"/>
      <c r="Y100" s="76"/>
      <c r="Z100" s="113" t="str">
        <f>IFERROR(ROUND('Informations générales'!$E$66*(AE100/SUM($AE$28:$AE$404))/12,0)*12,"")</f>
        <v/>
      </c>
      <c r="AA100" s="114"/>
      <c r="AB100" s="113" t="str">
        <f t="shared" si="15"/>
        <v/>
      </c>
      <c r="AC100" s="89"/>
      <c r="AD100" s="76"/>
      <c r="AE100" s="56">
        <f t="shared" si="27"/>
        <v>0</v>
      </c>
      <c r="AF100" s="56">
        <f t="shared" si="16"/>
        <v>0</v>
      </c>
      <c r="AG100" s="56">
        <f t="shared" si="17"/>
        <v>0</v>
      </c>
      <c r="AH100" s="56">
        <f t="shared" si="18"/>
        <v>0</v>
      </c>
      <c r="AI100" s="56">
        <f t="shared" si="19"/>
        <v>0</v>
      </c>
      <c r="AJ100" s="56">
        <f t="shared" si="20"/>
        <v>0</v>
      </c>
      <c r="AK100" s="56">
        <f t="shared" si="21"/>
        <v>0</v>
      </c>
      <c r="AL100" s="56">
        <f t="shared" si="22"/>
        <v>0</v>
      </c>
      <c r="AM100" s="56">
        <f t="shared" si="28"/>
        <v>0</v>
      </c>
      <c r="AN100" s="60">
        <f t="shared" si="23"/>
        <v>0</v>
      </c>
      <c r="AO100" s="59">
        <f t="shared" si="24"/>
        <v>0</v>
      </c>
      <c r="AP100" s="59">
        <f t="shared" si="25"/>
        <v>0</v>
      </c>
    </row>
    <row r="101" spans="3:42" s="17" customFormat="1" x14ac:dyDescent="0.25">
      <c r="C101" s="241" t="s">
        <v>213</v>
      </c>
      <c r="D101" s="242"/>
      <c r="E101" s="88"/>
      <c r="F101" s="217"/>
      <c r="G101" s="234"/>
      <c r="H101" s="218"/>
      <c r="I101" s="76"/>
      <c r="J101" s="77"/>
      <c r="K101" s="77"/>
      <c r="L101" s="76"/>
      <c r="M101" s="110"/>
      <c r="N101" s="152"/>
      <c r="O101" s="111" t="str">
        <f>IFERROR(MIN(VLOOKUP(ROUNDDOWN(N101,0),'Aide calcul'!$B$2:$C$282,2,FALSE),M101+1),"")</f>
        <v/>
      </c>
      <c r="P101" s="112" t="str">
        <f t="shared" si="26"/>
        <v/>
      </c>
      <c r="Q101" s="170"/>
      <c r="R101" s="170"/>
      <c r="S101" s="170"/>
      <c r="T101" s="170"/>
      <c r="U101" s="170"/>
      <c r="V101" s="170"/>
      <c r="W101" s="170"/>
      <c r="X101" s="76"/>
      <c r="Y101" s="76"/>
      <c r="Z101" s="113" t="str">
        <f>IFERROR(ROUND('Informations générales'!$E$66*(AE101/SUM($AE$28:$AE$404))/12,0)*12,"")</f>
        <v/>
      </c>
      <c r="AA101" s="114"/>
      <c r="AB101" s="113" t="str">
        <f t="shared" si="15"/>
        <v/>
      </c>
      <c r="AC101" s="89"/>
      <c r="AD101" s="76"/>
      <c r="AE101" s="56">
        <f t="shared" si="27"/>
        <v>0</v>
      </c>
      <c r="AF101" s="56">
        <f t="shared" si="16"/>
        <v>0</v>
      </c>
      <c r="AG101" s="56">
        <f t="shared" si="17"/>
        <v>0</v>
      </c>
      <c r="AH101" s="56">
        <f t="shared" si="18"/>
        <v>0</v>
      </c>
      <c r="AI101" s="56">
        <f t="shared" si="19"/>
        <v>0</v>
      </c>
      <c r="AJ101" s="56">
        <f t="shared" si="20"/>
        <v>0</v>
      </c>
      <c r="AK101" s="56">
        <f t="shared" si="21"/>
        <v>0</v>
      </c>
      <c r="AL101" s="56">
        <f t="shared" si="22"/>
        <v>0</v>
      </c>
      <c r="AM101" s="56">
        <f t="shared" si="28"/>
        <v>0</v>
      </c>
      <c r="AN101" s="60">
        <f t="shared" si="23"/>
        <v>0</v>
      </c>
      <c r="AO101" s="59">
        <f t="shared" si="24"/>
        <v>0</v>
      </c>
      <c r="AP101" s="59">
        <f t="shared" si="25"/>
        <v>0</v>
      </c>
    </row>
    <row r="102" spans="3:42" s="17" customFormat="1" x14ac:dyDescent="0.25">
      <c r="C102" s="241" t="s">
        <v>213</v>
      </c>
      <c r="D102" s="242"/>
      <c r="E102" s="88"/>
      <c r="F102" s="217"/>
      <c r="G102" s="234"/>
      <c r="H102" s="218"/>
      <c r="I102" s="76"/>
      <c r="J102" s="77"/>
      <c r="K102" s="77"/>
      <c r="L102" s="76"/>
      <c r="M102" s="110"/>
      <c r="N102" s="152"/>
      <c r="O102" s="111" t="str">
        <f>IFERROR(MIN(VLOOKUP(ROUNDDOWN(N102,0),'Aide calcul'!$B$2:$C$282,2,FALSE),M102+1),"")</f>
        <v/>
      </c>
      <c r="P102" s="112" t="str">
        <f t="shared" si="26"/>
        <v/>
      </c>
      <c r="Q102" s="170"/>
      <c r="R102" s="170"/>
      <c r="S102" s="170"/>
      <c r="T102" s="170"/>
      <c r="U102" s="170"/>
      <c r="V102" s="170"/>
      <c r="W102" s="170"/>
      <c r="X102" s="76"/>
      <c r="Y102" s="76"/>
      <c r="Z102" s="113" t="str">
        <f>IFERROR(ROUND('Informations générales'!$E$66*(AE102/SUM($AE$28:$AE$404))/12,0)*12,"")</f>
        <v/>
      </c>
      <c r="AA102" s="114"/>
      <c r="AB102" s="113" t="str">
        <f t="shared" si="15"/>
        <v/>
      </c>
      <c r="AC102" s="89"/>
      <c r="AD102" s="76"/>
      <c r="AE102" s="56">
        <f t="shared" si="27"/>
        <v>0</v>
      </c>
      <c r="AF102" s="56">
        <f t="shared" si="16"/>
        <v>0</v>
      </c>
      <c r="AG102" s="56">
        <f t="shared" si="17"/>
        <v>0</v>
      </c>
      <c r="AH102" s="56">
        <f t="shared" si="18"/>
        <v>0</v>
      </c>
      <c r="AI102" s="56">
        <f t="shared" si="19"/>
        <v>0</v>
      </c>
      <c r="AJ102" s="56">
        <f t="shared" si="20"/>
        <v>0</v>
      </c>
      <c r="AK102" s="56">
        <f t="shared" si="21"/>
        <v>0</v>
      </c>
      <c r="AL102" s="56">
        <f t="shared" si="22"/>
        <v>0</v>
      </c>
      <c r="AM102" s="56">
        <f t="shared" si="28"/>
        <v>0</v>
      </c>
      <c r="AN102" s="60">
        <f t="shared" si="23"/>
        <v>0</v>
      </c>
      <c r="AO102" s="59">
        <f t="shared" si="24"/>
        <v>0</v>
      </c>
      <c r="AP102" s="59">
        <f t="shared" si="25"/>
        <v>0</v>
      </c>
    </row>
    <row r="103" spans="3:42" s="17" customFormat="1" x14ac:dyDescent="0.25">
      <c r="C103" s="241" t="s">
        <v>213</v>
      </c>
      <c r="D103" s="242"/>
      <c r="E103" s="88"/>
      <c r="F103" s="217"/>
      <c r="G103" s="234"/>
      <c r="H103" s="218"/>
      <c r="I103" s="76"/>
      <c r="J103" s="77"/>
      <c r="K103" s="77"/>
      <c r="L103" s="76"/>
      <c r="M103" s="110"/>
      <c r="N103" s="152"/>
      <c r="O103" s="111" t="str">
        <f>IFERROR(MIN(VLOOKUP(ROUNDDOWN(N103,0),'Aide calcul'!$B$2:$C$282,2,FALSE),M103+1),"")</f>
        <v/>
      </c>
      <c r="P103" s="112" t="str">
        <f t="shared" si="26"/>
        <v/>
      </c>
      <c r="Q103" s="170"/>
      <c r="R103" s="170"/>
      <c r="S103" s="170"/>
      <c r="T103" s="170"/>
      <c r="U103" s="170"/>
      <c r="V103" s="170"/>
      <c r="W103" s="170"/>
      <c r="X103" s="76"/>
      <c r="Y103" s="76"/>
      <c r="Z103" s="113" t="str">
        <f>IFERROR(ROUND('Informations générales'!$E$66*(AE103/SUM($AE$28:$AE$404))/12,0)*12,"")</f>
        <v/>
      </c>
      <c r="AA103" s="114"/>
      <c r="AB103" s="113" t="str">
        <f t="shared" si="15"/>
        <v/>
      </c>
      <c r="AC103" s="89"/>
      <c r="AD103" s="76"/>
      <c r="AE103" s="56">
        <f t="shared" si="27"/>
        <v>0</v>
      </c>
      <c r="AF103" s="56">
        <f t="shared" si="16"/>
        <v>0</v>
      </c>
      <c r="AG103" s="56">
        <f t="shared" si="17"/>
        <v>0</v>
      </c>
      <c r="AH103" s="56">
        <f t="shared" si="18"/>
        <v>0</v>
      </c>
      <c r="AI103" s="56">
        <f t="shared" si="19"/>
        <v>0</v>
      </c>
      <c r="AJ103" s="56">
        <f t="shared" si="20"/>
        <v>0</v>
      </c>
      <c r="AK103" s="56">
        <f t="shared" si="21"/>
        <v>0</v>
      </c>
      <c r="AL103" s="56">
        <f t="shared" si="22"/>
        <v>0</v>
      </c>
      <c r="AM103" s="56">
        <f t="shared" si="28"/>
        <v>0</v>
      </c>
      <c r="AN103" s="60">
        <f t="shared" si="23"/>
        <v>0</v>
      </c>
      <c r="AO103" s="59">
        <f t="shared" si="24"/>
        <v>0</v>
      </c>
      <c r="AP103" s="59">
        <f t="shared" si="25"/>
        <v>0</v>
      </c>
    </row>
    <row r="104" spans="3:42" s="17" customFormat="1" x14ac:dyDescent="0.25">
      <c r="C104" s="241" t="s">
        <v>213</v>
      </c>
      <c r="D104" s="242"/>
      <c r="E104" s="88"/>
      <c r="F104" s="217"/>
      <c r="G104" s="234"/>
      <c r="H104" s="218"/>
      <c r="I104" s="76"/>
      <c r="J104" s="77"/>
      <c r="K104" s="77"/>
      <c r="L104" s="76"/>
      <c r="M104" s="110"/>
      <c r="N104" s="152"/>
      <c r="O104" s="111" t="str">
        <f>IFERROR(MIN(VLOOKUP(ROUNDDOWN(N104,0),'Aide calcul'!$B$2:$C$282,2,FALSE),M104+1),"")</f>
        <v/>
      </c>
      <c r="P104" s="112" t="str">
        <f t="shared" si="26"/>
        <v/>
      </c>
      <c r="Q104" s="170"/>
      <c r="R104" s="170"/>
      <c r="S104" s="170"/>
      <c r="T104" s="170"/>
      <c r="U104" s="170"/>
      <c r="V104" s="170"/>
      <c r="W104" s="170"/>
      <c r="X104" s="76"/>
      <c r="Y104" s="76"/>
      <c r="Z104" s="113" t="str">
        <f>IFERROR(ROUND('Informations générales'!$E$66*(AE104/SUM($AE$28:$AE$404))/12,0)*12,"")</f>
        <v/>
      </c>
      <c r="AA104" s="114"/>
      <c r="AB104" s="113" t="str">
        <f t="shared" si="15"/>
        <v/>
      </c>
      <c r="AC104" s="89"/>
      <c r="AD104" s="76"/>
      <c r="AE104" s="56">
        <f t="shared" si="27"/>
        <v>0</v>
      </c>
      <c r="AF104" s="56">
        <f t="shared" si="16"/>
        <v>0</v>
      </c>
      <c r="AG104" s="56">
        <f t="shared" si="17"/>
        <v>0</v>
      </c>
      <c r="AH104" s="56">
        <f t="shared" si="18"/>
        <v>0</v>
      </c>
      <c r="AI104" s="56">
        <f t="shared" si="19"/>
        <v>0</v>
      </c>
      <c r="AJ104" s="56">
        <f t="shared" si="20"/>
        <v>0</v>
      </c>
      <c r="AK104" s="56">
        <f t="shared" si="21"/>
        <v>0</v>
      </c>
      <c r="AL104" s="56">
        <f t="shared" si="22"/>
        <v>0</v>
      </c>
      <c r="AM104" s="56">
        <f t="shared" si="28"/>
        <v>0</v>
      </c>
      <c r="AN104" s="60">
        <f t="shared" si="23"/>
        <v>0</v>
      </c>
      <c r="AO104" s="59">
        <f t="shared" si="24"/>
        <v>0</v>
      </c>
      <c r="AP104" s="59">
        <f t="shared" si="25"/>
        <v>0</v>
      </c>
    </row>
    <row r="105" spans="3:42" s="17" customFormat="1" x14ac:dyDescent="0.25">
      <c r="C105" s="241" t="s">
        <v>213</v>
      </c>
      <c r="D105" s="242"/>
      <c r="E105" s="88"/>
      <c r="F105" s="217"/>
      <c r="G105" s="234"/>
      <c r="H105" s="218"/>
      <c r="I105" s="76"/>
      <c r="J105" s="77"/>
      <c r="K105" s="77"/>
      <c r="L105" s="76"/>
      <c r="M105" s="110"/>
      <c r="N105" s="152"/>
      <c r="O105" s="111" t="str">
        <f>IFERROR(MIN(VLOOKUP(ROUNDDOWN(N105,0),'Aide calcul'!$B$2:$C$282,2,FALSE),M105+1),"")</f>
        <v/>
      </c>
      <c r="P105" s="112" t="str">
        <f t="shared" si="26"/>
        <v/>
      </c>
      <c r="Q105" s="170"/>
      <c r="R105" s="170"/>
      <c r="S105" s="170"/>
      <c r="T105" s="170"/>
      <c r="U105" s="170"/>
      <c r="V105" s="170"/>
      <c r="W105" s="170"/>
      <c r="X105" s="76"/>
      <c r="Y105" s="76"/>
      <c r="Z105" s="113" t="str">
        <f>IFERROR(ROUND('Informations générales'!$E$66*(AE105/SUM($AE$28:$AE$404))/12,0)*12,"")</f>
        <v/>
      </c>
      <c r="AA105" s="114"/>
      <c r="AB105" s="113" t="str">
        <f t="shared" si="15"/>
        <v/>
      </c>
      <c r="AC105" s="89"/>
      <c r="AD105" s="76"/>
      <c r="AE105" s="56">
        <f t="shared" si="27"/>
        <v>0</v>
      </c>
      <c r="AF105" s="56">
        <f t="shared" si="16"/>
        <v>0</v>
      </c>
      <c r="AG105" s="56">
        <f t="shared" si="17"/>
        <v>0</v>
      </c>
      <c r="AH105" s="56">
        <f t="shared" si="18"/>
        <v>0</v>
      </c>
      <c r="AI105" s="56">
        <f t="shared" si="19"/>
        <v>0</v>
      </c>
      <c r="AJ105" s="56">
        <f t="shared" si="20"/>
        <v>0</v>
      </c>
      <c r="AK105" s="56">
        <f t="shared" si="21"/>
        <v>0</v>
      </c>
      <c r="AL105" s="56">
        <f t="shared" si="22"/>
        <v>0</v>
      </c>
      <c r="AM105" s="56">
        <f t="shared" si="28"/>
        <v>0</v>
      </c>
      <c r="AN105" s="60">
        <f t="shared" si="23"/>
        <v>0</v>
      </c>
      <c r="AO105" s="59">
        <f t="shared" si="24"/>
        <v>0</v>
      </c>
      <c r="AP105" s="59">
        <f t="shared" si="25"/>
        <v>0</v>
      </c>
    </row>
    <row r="106" spans="3:42" s="17" customFormat="1" x14ac:dyDescent="0.25">
      <c r="C106" s="241" t="s">
        <v>213</v>
      </c>
      <c r="D106" s="242"/>
      <c r="E106" s="88"/>
      <c r="F106" s="217"/>
      <c r="G106" s="234"/>
      <c r="H106" s="218"/>
      <c r="I106" s="76"/>
      <c r="J106" s="77"/>
      <c r="K106" s="77"/>
      <c r="L106" s="76"/>
      <c r="M106" s="110"/>
      <c r="N106" s="152"/>
      <c r="O106" s="111" t="str">
        <f>IFERROR(MIN(VLOOKUP(ROUNDDOWN(N106,0),'Aide calcul'!$B$2:$C$282,2,FALSE),M106+1),"")</f>
        <v/>
      </c>
      <c r="P106" s="112" t="str">
        <f t="shared" si="26"/>
        <v/>
      </c>
      <c r="Q106" s="170"/>
      <c r="R106" s="170"/>
      <c r="S106" s="170"/>
      <c r="T106" s="170"/>
      <c r="U106" s="170"/>
      <c r="V106" s="170"/>
      <c r="W106" s="170"/>
      <c r="X106" s="76"/>
      <c r="Y106" s="76"/>
      <c r="Z106" s="113" t="str">
        <f>IFERROR(ROUND('Informations générales'!$E$66*(AE106/SUM($AE$28:$AE$404))/12,0)*12,"")</f>
        <v/>
      </c>
      <c r="AA106" s="114"/>
      <c r="AB106" s="113" t="str">
        <f t="shared" si="15"/>
        <v/>
      </c>
      <c r="AC106" s="89"/>
      <c r="AD106" s="76"/>
      <c r="AE106" s="56">
        <f t="shared" si="27"/>
        <v>0</v>
      </c>
      <c r="AF106" s="56">
        <f t="shared" si="16"/>
        <v>0</v>
      </c>
      <c r="AG106" s="56">
        <f t="shared" si="17"/>
        <v>0</v>
      </c>
      <c r="AH106" s="56">
        <f t="shared" si="18"/>
        <v>0</v>
      </c>
      <c r="AI106" s="56">
        <f t="shared" si="19"/>
        <v>0</v>
      </c>
      <c r="AJ106" s="56">
        <f t="shared" si="20"/>
        <v>0</v>
      </c>
      <c r="AK106" s="56">
        <f t="shared" si="21"/>
        <v>0</v>
      </c>
      <c r="AL106" s="56">
        <f t="shared" si="22"/>
        <v>0</v>
      </c>
      <c r="AM106" s="56">
        <f t="shared" si="28"/>
        <v>0</v>
      </c>
      <c r="AN106" s="60">
        <f t="shared" si="23"/>
        <v>0</v>
      </c>
      <c r="AO106" s="59">
        <f t="shared" si="24"/>
        <v>0</v>
      </c>
      <c r="AP106" s="59">
        <f t="shared" si="25"/>
        <v>0</v>
      </c>
    </row>
    <row r="107" spans="3:42" s="17" customFormat="1" x14ac:dyDescent="0.25">
      <c r="C107" s="241" t="s">
        <v>213</v>
      </c>
      <c r="D107" s="242"/>
      <c r="E107" s="88"/>
      <c r="F107" s="217"/>
      <c r="G107" s="234"/>
      <c r="H107" s="218"/>
      <c r="I107" s="76"/>
      <c r="J107" s="77"/>
      <c r="K107" s="77"/>
      <c r="L107" s="76"/>
      <c r="M107" s="110"/>
      <c r="N107" s="152"/>
      <c r="O107" s="111" t="str">
        <f>IFERROR(MIN(VLOOKUP(ROUNDDOWN(N107,0),'Aide calcul'!$B$2:$C$282,2,FALSE),M107+1),"")</f>
        <v/>
      </c>
      <c r="P107" s="112" t="str">
        <f t="shared" si="26"/>
        <v/>
      </c>
      <c r="Q107" s="170"/>
      <c r="R107" s="170"/>
      <c r="S107" s="170"/>
      <c r="T107" s="170"/>
      <c r="U107" s="170"/>
      <c r="V107" s="170"/>
      <c r="W107" s="170"/>
      <c r="X107" s="76"/>
      <c r="Y107" s="76"/>
      <c r="Z107" s="113" t="str">
        <f>IFERROR(ROUND('Informations générales'!$E$66*(AE107/SUM($AE$28:$AE$404))/12,0)*12,"")</f>
        <v/>
      </c>
      <c r="AA107" s="114"/>
      <c r="AB107" s="113" t="str">
        <f t="shared" si="15"/>
        <v/>
      </c>
      <c r="AC107" s="89"/>
      <c r="AD107" s="76"/>
      <c r="AE107" s="56">
        <f t="shared" si="27"/>
        <v>0</v>
      </c>
      <c r="AF107" s="56">
        <f t="shared" si="16"/>
        <v>0</v>
      </c>
      <c r="AG107" s="56">
        <f t="shared" si="17"/>
        <v>0</v>
      </c>
      <c r="AH107" s="56">
        <f t="shared" si="18"/>
        <v>0</v>
      </c>
      <c r="AI107" s="56">
        <f t="shared" si="19"/>
        <v>0</v>
      </c>
      <c r="AJ107" s="56">
        <f t="shared" si="20"/>
        <v>0</v>
      </c>
      <c r="AK107" s="56">
        <f t="shared" si="21"/>
        <v>0</v>
      </c>
      <c r="AL107" s="56">
        <f t="shared" si="22"/>
        <v>0</v>
      </c>
      <c r="AM107" s="56">
        <f t="shared" si="28"/>
        <v>0</v>
      </c>
      <c r="AN107" s="60">
        <f t="shared" si="23"/>
        <v>0</v>
      </c>
      <c r="AO107" s="59">
        <f t="shared" si="24"/>
        <v>0</v>
      </c>
      <c r="AP107" s="59">
        <f t="shared" si="25"/>
        <v>0</v>
      </c>
    </row>
    <row r="108" spans="3:42" s="17" customFormat="1" x14ac:dyDescent="0.25">
      <c r="C108" s="241" t="s">
        <v>213</v>
      </c>
      <c r="D108" s="242"/>
      <c r="E108" s="88"/>
      <c r="F108" s="217"/>
      <c r="G108" s="234"/>
      <c r="H108" s="218"/>
      <c r="I108" s="76"/>
      <c r="J108" s="77"/>
      <c r="K108" s="77"/>
      <c r="L108" s="76"/>
      <c r="M108" s="110"/>
      <c r="N108" s="152"/>
      <c r="O108" s="111" t="str">
        <f>IFERROR(MIN(VLOOKUP(ROUNDDOWN(N108,0),'Aide calcul'!$B$2:$C$282,2,FALSE),M108+1),"")</f>
        <v/>
      </c>
      <c r="P108" s="112" t="str">
        <f t="shared" si="26"/>
        <v/>
      </c>
      <c r="Q108" s="170"/>
      <c r="R108" s="170"/>
      <c r="S108" s="170"/>
      <c r="T108" s="170"/>
      <c r="U108" s="170"/>
      <c r="V108" s="170"/>
      <c r="W108" s="170"/>
      <c r="X108" s="76"/>
      <c r="Y108" s="76"/>
      <c r="Z108" s="113" t="str">
        <f>IFERROR(ROUND('Informations générales'!$E$66*(AE108/SUM($AE$28:$AE$404))/12,0)*12,"")</f>
        <v/>
      </c>
      <c r="AA108" s="114"/>
      <c r="AB108" s="113" t="str">
        <f t="shared" si="15"/>
        <v/>
      </c>
      <c r="AC108" s="89"/>
      <c r="AD108" s="76"/>
      <c r="AE108" s="56">
        <f t="shared" si="27"/>
        <v>0</v>
      </c>
      <c r="AF108" s="56">
        <f t="shared" si="16"/>
        <v>0</v>
      </c>
      <c r="AG108" s="56">
        <f t="shared" si="17"/>
        <v>0</v>
      </c>
      <c r="AH108" s="56">
        <f t="shared" si="18"/>
        <v>0</v>
      </c>
      <c r="AI108" s="56">
        <f t="shared" si="19"/>
        <v>0</v>
      </c>
      <c r="AJ108" s="56">
        <f t="shared" si="20"/>
        <v>0</v>
      </c>
      <c r="AK108" s="56">
        <f t="shared" si="21"/>
        <v>0</v>
      </c>
      <c r="AL108" s="56">
        <f t="shared" si="22"/>
        <v>0</v>
      </c>
      <c r="AM108" s="56">
        <f t="shared" si="28"/>
        <v>0</v>
      </c>
      <c r="AN108" s="60">
        <f t="shared" si="23"/>
        <v>0</v>
      </c>
      <c r="AO108" s="59">
        <f t="shared" si="24"/>
        <v>0</v>
      </c>
      <c r="AP108" s="59">
        <f t="shared" si="25"/>
        <v>0</v>
      </c>
    </row>
    <row r="109" spans="3:42" s="17" customFormat="1" x14ac:dyDescent="0.25">
      <c r="C109" s="241" t="s">
        <v>213</v>
      </c>
      <c r="D109" s="242"/>
      <c r="E109" s="88"/>
      <c r="F109" s="217"/>
      <c r="G109" s="234"/>
      <c r="H109" s="218"/>
      <c r="I109" s="76"/>
      <c r="J109" s="77"/>
      <c r="K109" s="77"/>
      <c r="L109" s="76"/>
      <c r="M109" s="110"/>
      <c r="N109" s="152"/>
      <c r="O109" s="111" t="str">
        <f>IFERROR(MIN(VLOOKUP(ROUNDDOWN(N109,0),'Aide calcul'!$B$2:$C$282,2,FALSE),M109+1),"")</f>
        <v/>
      </c>
      <c r="P109" s="112" t="str">
        <f t="shared" si="26"/>
        <v/>
      </c>
      <c r="Q109" s="170"/>
      <c r="R109" s="170"/>
      <c r="S109" s="170"/>
      <c r="T109" s="170"/>
      <c r="U109" s="170"/>
      <c r="V109" s="170"/>
      <c r="W109" s="170"/>
      <c r="X109" s="76"/>
      <c r="Y109" s="76"/>
      <c r="Z109" s="113" t="str">
        <f>IFERROR(ROUND('Informations générales'!$E$66*(AE109/SUM($AE$28:$AE$404))/12,0)*12,"")</f>
        <v/>
      </c>
      <c r="AA109" s="114"/>
      <c r="AB109" s="113" t="str">
        <f t="shared" si="15"/>
        <v/>
      </c>
      <c r="AC109" s="89"/>
      <c r="AD109" s="76"/>
      <c r="AE109" s="56">
        <f t="shared" si="27"/>
        <v>0</v>
      </c>
      <c r="AF109" s="56">
        <f t="shared" si="16"/>
        <v>0</v>
      </c>
      <c r="AG109" s="56">
        <f t="shared" si="17"/>
        <v>0</v>
      </c>
      <c r="AH109" s="56">
        <f t="shared" si="18"/>
        <v>0</v>
      </c>
      <c r="AI109" s="56">
        <f t="shared" si="19"/>
        <v>0</v>
      </c>
      <c r="AJ109" s="56">
        <f t="shared" si="20"/>
        <v>0</v>
      </c>
      <c r="AK109" s="56">
        <f t="shared" si="21"/>
        <v>0</v>
      </c>
      <c r="AL109" s="56">
        <f t="shared" si="22"/>
        <v>0</v>
      </c>
      <c r="AM109" s="56">
        <f t="shared" si="28"/>
        <v>0</v>
      </c>
      <c r="AN109" s="60">
        <f t="shared" si="23"/>
        <v>0</v>
      </c>
      <c r="AO109" s="59">
        <f t="shared" si="24"/>
        <v>0</v>
      </c>
      <c r="AP109" s="59">
        <f t="shared" si="25"/>
        <v>0</v>
      </c>
    </row>
    <row r="110" spans="3:42" s="17" customFormat="1" x14ac:dyDescent="0.25">
      <c r="C110" s="241" t="s">
        <v>213</v>
      </c>
      <c r="D110" s="242"/>
      <c r="E110" s="88"/>
      <c r="F110" s="217"/>
      <c r="G110" s="234"/>
      <c r="H110" s="218"/>
      <c r="I110" s="76"/>
      <c r="J110" s="77"/>
      <c r="K110" s="77"/>
      <c r="L110" s="76"/>
      <c r="M110" s="110"/>
      <c r="N110" s="152"/>
      <c r="O110" s="111" t="str">
        <f>IFERROR(MIN(VLOOKUP(ROUNDDOWN(N110,0),'Aide calcul'!$B$2:$C$282,2,FALSE),M110+1),"")</f>
        <v/>
      </c>
      <c r="P110" s="112" t="str">
        <f t="shared" si="26"/>
        <v/>
      </c>
      <c r="Q110" s="170"/>
      <c r="R110" s="170"/>
      <c r="S110" s="170"/>
      <c r="T110" s="170"/>
      <c r="U110" s="170"/>
      <c r="V110" s="170"/>
      <c r="W110" s="170"/>
      <c r="X110" s="76"/>
      <c r="Y110" s="76"/>
      <c r="Z110" s="113" t="str">
        <f>IFERROR(ROUND('Informations générales'!$E$66*(AE110/SUM($AE$28:$AE$404))/12,0)*12,"")</f>
        <v/>
      </c>
      <c r="AA110" s="114"/>
      <c r="AB110" s="113" t="str">
        <f t="shared" si="15"/>
        <v/>
      </c>
      <c r="AC110" s="89"/>
      <c r="AD110" s="76"/>
      <c r="AE110" s="56">
        <f t="shared" si="27"/>
        <v>0</v>
      </c>
      <c r="AF110" s="56">
        <f t="shared" si="16"/>
        <v>0</v>
      </c>
      <c r="AG110" s="56">
        <f t="shared" si="17"/>
        <v>0</v>
      </c>
      <c r="AH110" s="56">
        <f t="shared" si="18"/>
        <v>0</v>
      </c>
      <c r="AI110" s="56">
        <f t="shared" si="19"/>
        <v>0</v>
      </c>
      <c r="AJ110" s="56">
        <f t="shared" si="20"/>
        <v>0</v>
      </c>
      <c r="AK110" s="56">
        <f t="shared" si="21"/>
        <v>0</v>
      </c>
      <c r="AL110" s="56">
        <f t="shared" si="22"/>
        <v>0</v>
      </c>
      <c r="AM110" s="56">
        <f t="shared" si="28"/>
        <v>0</v>
      </c>
      <c r="AN110" s="60">
        <f t="shared" si="23"/>
        <v>0</v>
      </c>
      <c r="AO110" s="59">
        <f t="shared" si="24"/>
        <v>0</v>
      </c>
      <c r="AP110" s="59">
        <f t="shared" si="25"/>
        <v>0</v>
      </c>
    </row>
    <row r="111" spans="3:42" s="17" customFormat="1" x14ac:dyDescent="0.25">
      <c r="C111" s="241" t="s">
        <v>213</v>
      </c>
      <c r="D111" s="242"/>
      <c r="E111" s="88"/>
      <c r="F111" s="217"/>
      <c r="G111" s="234"/>
      <c r="H111" s="218"/>
      <c r="I111" s="76"/>
      <c r="J111" s="77"/>
      <c r="K111" s="77"/>
      <c r="L111" s="76"/>
      <c r="M111" s="110"/>
      <c r="N111" s="152"/>
      <c r="O111" s="111" t="str">
        <f>IFERROR(MIN(VLOOKUP(ROUNDDOWN(N111,0),'Aide calcul'!$B$2:$C$282,2,FALSE),M111+1),"")</f>
        <v/>
      </c>
      <c r="P111" s="112" t="str">
        <f t="shared" si="26"/>
        <v/>
      </c>
      <c r="Q111" s="170"/>
      <c r="R111" s="170"/>
      <c r="S111" s="170"/>
      <c r="T111" s="170"/>
      <c r="U111" s="170"/>
      <c r="V111" s="170"/>
      <c r="W111" s="170"/>
      <c r="X111" s="76"/>
      <c r="Y111" s="76"/>
      <c r="Z111" s="113" t="str">
        <f>IFERROR(ROUND('Informations générales'!$E$66*(AE111/SUM($AE$28:$AE$404))/12,0)*12,"")</f>
        <v/>
      </c>
      <c r="AA111" s="114"/>
      <c r="AB111" s="113" t="str">
        <f t="shared" si="15"/>
        <v/>
      </c>
      <c r="AC111" s="89"/>
      <c r="AD111" s="76"/>
      <c r="AE111" s="56">
        <f t="shared" si="27"/>
        <v>0</v>
      </c>
      <c r="AF111" s="56">
        <f t="shared" si="16"/>
        <v>0</v>
      </c>
      <c r="AG111" s="56">
        <f t="shared" si="17"/>
        <v>0</v>
      </c>
      <c r="AH111" s="56">
        <f t="shared" si="18"/>
        <v>0</v>
      </c>
      <c r="AI111" s="56">
        <f t="shared" si="19"/>
        <v>0</v>
      </c>
      <c r="AJ111" s="56">
        <f t="shared" si="20"/>
        <v>0</v>
      </c>
      <c r="AK111" s="56">
        <f t="shared" si="21"/>
        <v>0</v>
      </c>
      <c r="AL111" s="56">
        <f t="shared" si="22"/>
        <v>0</v>
      </c>
      <c r="AM111" s="56">
        <f t="shared" si="28"/>
        <v>0</v>
      </c>
      <c r="AN111" s="60">
        <f t="shared" si="23"/>
        <v>0</v>
      </c>
      <c r="AO111" s="59">
        <f t="shared" si="24"/>
        <v>0</v>
      </c>
      <c r="AP111" s="59">
        <f t="shared" si="25"/>
        <v>0</v>
      </c>
    </row>
    <row r="112" spans="3:42" s="17" customFormat="1" x14ac:dyDescent="0.25">
      <c r="C112" s="241" t="s">
        <v>213</v>
      </c>
      <c r="D112" s="242"/>
      <c r="E112" s="88"/>
      <c r="F112" s="217"/>
      <c r="G112" s="234"/>
      <c r="H112" s="218"/>
      <c r="I112" s="76"/>
      <c r="J112" s="77"/>
      <c r="K112" s="77"/>
      <c r="L112" s="76"/>
      <c r="M112" s="110"/>
      <c r="N112" s="152"/>
      <c r="O112" s="111" t="str">
        <f>IFERROR(MIN(VLOOKUP(ROUNDDOWN(N112,0),'Aide calcul'!$B$2:$C$282,2,FALSE),M112+1),"")</f>
        <v/>
      </c>
      <c r="P112" s="112" t="str">
        <f t="shared" si="26"/>
        <v/>
      </c>
      <c r="Q112" s="170"/>
      <c r="R112" s="170"/>
      <c r="S112" s="170"/>
      <c r="T112" s="170"/>
      <c r="U112" s="170"/>
      <c r="V112" s="170"/>
      <c r="W112" s="170"/>
      <c r="X112" s="76"/>
      <c r="Y112" s="76"/>
      <c r="Z112" s="113" t="str">
        <f>IFERROR(ROUND('Informations générales'!$E$66*(AE112/SUM($AE$28:$AE$404))/12,0)*12,"")</f>
        <v/>
      </c>
      <c r="AA112" s="114"/>
      <c r="AB112" s="113" t="str">
        <f t="shared" si="15"/>
        <v/>
      </c>
      <c r="AC112" s="89"/>
      <c r="AD112" s="76"/>
      <c r="AE112" s="56">
        <f t="shared" si="27"/>
        <v>0</v>
      </c>
      <c r="AF112" s="56">
        <f t="shared" si="16"/>
        <v>0</v>
      </c>
      <c r="AG112" s="56">
        <f t="shared" si="17"/>
        <v>0</v>
      </c>
      <c r="AH112" s="56">
        <f t="shared" si="18"/>
        <v>0</v>
      </c>
      <c r="AI112" s="56">
        <f t="shared" si="19"/>
        <v>0</v>
      </c>
      <c r="AJ112" s="56">
        <f t="shared" si="20"/>
        <v>0</v>
      </c>
      <c r="AK112" s="56">
        <f t="shared" si="21"/>
        <v>0</v>
      </c>
      <c r="AL112" s="56">
        <f t="shared" si="22"/>
        <v>0</v>
      </c>
      <c r="AM112" s="56">
        <f t="shared" si="28"/>
        <v>0</v>
      </c>
      <c r="AN112" s="60">
        <f t="shared" si="23"/>
        <v>0</v>
      </c>
      <c r="AO112" s="59">
        <f t="shared" si="24"/>
        <v>0</v>
      </c>
      <c r="AP112" s="59">
        <f t="shared" si="25"/>
        <v>0</v>
      </c>
    </row>
    <row r="113" spans="3:42" s="17" customFormat="1" x14ac:dyDescent="0.25">
      <c r="C113" s="241" t="s">
        <v>213</v>
      </c>
      <c r="D113" s="242"/>
      <c r="E113" s="88"/>
      <c r="F113" s="217"/>
      <c r="G113" s="234"/>
      <c r="H113" s="218"/>
      <c r="I113" s="76"/>
      <c r="J113" s="77"/>
      <c r="K113" s="77"/>
      <c r="L113" s="76"/>
      <c r="M113" s="110"/>
      <c r="N113" s="152"/>
      <c r="O113" s="111" t="str">
        <f>IFERROR(MIN(VLOOKUP(ROUNDDOWN(N113,0),'Aide calcul'!$B$2:$C$282,2,FALSE),M113+1),"")</f>
        <v/>
      </c>
      <c r="P113" s="112" t="str">
        <f t="shared" si="26"/>
        <v/>
      </c>
      <c r="Q113" s="170"/>
      <c r="R113" s="170"/>
      <c r="S113" s="170"/>
      <c r="T113" s="170"/>
      <c r="U113" s="170"/>
      <c r="V113" s="170"/>
      <c r="W113" s="170"/>
      <c r="X113" s="76"/>
      <c r="Y113" s="76"/>
      <c r="Z113" s="113" t="str">
        <f>IFERROR(ROUND('Informations générales'!$E$66*(AE113/SUM($AE$28:$AE$404))/12,0)*12,"")</f>
        <v/>
      </c>
      <c r="AA113" s="114"/>
      <c r="AB113" s="113" t="str">
        <f t="shared" si="15"/>
        <v/>
      </c>
      <c r="AC113" s="89"/>
      <c r="AD113" s="76"/>
      <c r="AE113" s="56">
        <f t="shared" si="27"/>
        <v>0</v>
      </c>
      <c r="AF113" s="56">
        <f t="shared" si="16"/>
        <v>0</v>
      </c>
      <c r="AG113" s="56">
        <f t="shared" si="17"/>
        <v>0</v>
      </c>
      <c r="AH113" s="56">
        <f t="shared" si="18"/>
        <v>0</v>
      </c>
      <c r="AI113" s="56">
        <f t="shared" si="19"/>
        <v>0</v>
      </c>
      <c r="AJ113" s="56">
        <f t="shared" si="20"/>
        <v>0</v>
      </c>
      <c r="AK113" s="56">
        <f t="shared" si="21"/>
        <v>0</v>
      </c>
      <c r="AL113" s="56">
        <f t="shared" si="22"/>
        <v>0</v>
      </c>
      <c r="AM113" s="56">
        <f t="shared" si="28"/>
        <v>0</v>
      </c>
      <c r="AN113" s="60">
        <f t="shared" si="23"/>
        <v>0</v>
      </c>
      <c r="AO113" s="59">
        <f t="shared" si="24"/>
        <v>0</v>
      </c>
      <c r="AP113" s="59">
        <f t="shared" si="25"/>
        <v>0</v>
      </c>
    </row>
    <row r="114" spans="3:42" s="17" customFormat="1" x14ac:dyDescent="0.25">
      <c r="C114" s="241" t="s">
        <v>213</v>
      </c>
      <c r="D114" s="242"/>
      <c r="E114" s="88"/>
      <c r="F114" s="217"/>
      <c r="G114" s="234"/>
      <c r="H114" s="218"/>
      <c r="I114" s="76"/>
      <c r="J114" s="77"/>
      <c r="K114" s="77"/>
      <c r="L114" s="76"/>
      <c r="M114" s="110"/>
      <c r="N114" s="152"/>
      <c r="O114" s="111" t="str">
        <f>IFERROR(MIN(VLOOKUP(ROUNDDOWN(N114,0),'Aide calcul'!$B$2:$C$282,2,FALSE),M114+1),"")</f>
        <v/>
      </c>
      <c r="P114" s="112" t="str">
        <f t="shared" si="26"/>
        <v/>
      </c>
      <c r="Q114" s="170"/>
      <c r="R114" s="170"/>
      <c r="S114" s="170"/>
      <c r="T114" s="170"/>
      <c r="U114" s="170"/>
      <c r="V114" s="170"/>
      <c r="W114" s="170"/>
      <c r="X114" s="76"/>
      <c r="Y114" s="76"/>
      <c r="Z114" s="113" t="str">
        <f>IFERROR(ROUND('Informations générales'!$E$66*(AE114/SUM($AE$28:$AE$404))/12,0)*12,"")</f>
        <v/>
      </c>
      <c r="AA114" s="114"/>
      <c r="AB114" s="113" t="str">
        <f t="shared" si="15"/>
        <v/>
      </c>
      <c r="AC114" s="89"/>
      <c r="AD114" s="76"/>
      <c r="AE114" s="56">
        <f t="shared" si="27"/>
        <v>0</v>
      </c>
      <c r="AF114" s="56">
        <f t="shared" si="16"/>
        <v>0</v>
      </c>
      <c r="AG114" s="56">
        <f t="shared" si="17"/>
        <v>0</v>
      </c>
      <c r="AH114" s="56">
        <f t="shared" si="18"/>
        <v>0</v>
      </c>
      <c r="AI114" s="56">
        <f t="shared" si="19"/>
        <v>0</v>
      </c>
      <c r="AJ114" s="56">
        <f t="shared" si="20"/>
        <v>0</v>
      </c>
      <c r="AK114" s="56">
        <f t="shared" si="21"/>
        <v>0</v>
      </c>
      <c r="AL114" s="56">
        <f t="shared" si="22"/>
        <v>0</v>
      </c>
      <c r="AM114" s="56">
        <f t="shared" si="28"/>
        <v>0</v>
      </c>
      <c r="AN114" s="60">
        <f t="shared" si="23"/>
        <v>0</v>
      </c>
      <c r="AO114" s="59">
        <f t="shared" si="24"/>
        <v>0</v>
      </c>
      <c r="AP114" s="59">
        <f t="shared" si="25"/>
        <v>0</v>
      </c>
    </row>
    <row r="115" spans="3:42" s="17" customFormat="1" x14ac:dyDescent="0.25">
      <c r="C115" s="241" t="s">
        <v>213</v>
      </c>
      <c r="D115" s="242"/>
      <c r="E115" s="88"/>
      <c r="F115" s="217"/>
      <c r="G115" s="234"/>
      <c r="H115" s="218"/>
      <c r="I115" s="76"/>
      <c r="J115" s="77"/>
      <c r="K115" s="77"/>
      <c r="L115" s="76"/>
      <c r="M115" s="110"/>
      <c r="N115" s="152"/>
      <c r="O115" s="111" t="str">
        <f>IFERROR(MIN(VLOOKUP(ROUNDDOWN(N115,0),'Aide calcul'!$B$2:$C$282,2,FALSE),M115+1),"")</f>
        <v/>
      </c>
      <c r="P115" s="112" t="str">
        <f t="shared" si="26"/>
        <v/>
      </c>
      <c r="Q115" s="170"/>
      <c r="R115" s="170"/>
      <c r="S115" s="170"/>
      <c r="T115" s="170"/>
      <c r="U115" s="170"/>
      <c r="V115" s="170"/>
      <c r="W115" s="170"/>
      <c r="X115" s="76"/>
      <c r="Y115" s="76"/>
      <c r="Z115" s="113" t="str">
        <f>IFERROR(ROUND('Informations générales'!$E$66*(AE115/SUM($AE$28:$AE$404))/12,0)*12,"")</f>
        <v/>
      </c>
      <c r="AA115" s="114"/>
      <c r="AB115" s="113" t="str">
        <f t="shared" si="15"/>
        <v/>
      </c>
      <c r="AC115" s="89"/>
      <c r="AD115" s="76"/>
      <c r="AE115" s="56">
        <f t="shared" si="27"/>
        <v>0</v>
      </c>
      <c r="AF115" s="56">
        <f t="shared" si="16"/>
        <v>0</v>
      </c>
      <c r="AG115" s="56">
        <f t="shared" si="17"/>
        <v>0</v>
      </c>
      <c r="AH115" s="56">
        <f t="shared" si="18"/>
        <v>0</v>
      </c>
      <c r="AI115" s="56">
        <f t="shared" si="19"/>
        <v>0</v>
      </c>
      <c r="AJ115" s="56">
        <f t="shared" si="20"/>
        <v>0</v>
      </c>
      <c r="AK115" s="56">
        <f t="shared" si="21"/>
        <v>0</v>
      </c>
      <c r="AL115" s="56">
        <f t="shared" si="22"/>
        <v>0</v>
      </c>
      <c r="AM115" s="56">
        <f t="shared" si="28"/>
        <v>0</v>
      </c>
      <c r="AN115" s="60">
        <f t="shared" si="23"/>
        <v>0</v>
      </c>
      <c r="AO115" s="59">
        <f t="shared" si="24"/>
        <v>0</v>
      </c>
      <c r="AP115" s="59">
        <f t="shared" si="25"/>
        <v>0</v>
      </c>
    </row>
    <row r="116" spans="3:42" s="17" customFormat="1" x14ac:dyDescent="0.25">
      <c r="C116" s="241" t="s">
        <v>213</v>
      </c>
      <c r="D116" s="242"/>
      <c r="E116" s="88"/>
      <c r="F116" s="217"/>
      <c r="G116" s="234"/>
      <c r="H116" s="218"/>
      <c r="I116" s="76"/>
      <c r="J116" s="77"/>
      <c r="K116" s="77"/>
      <c r="L116" s="76"/>
      <c r="M116" s="110"/>
      <c r="N116" s="152"/>
      <c r="O116" s="111" t="str">
        <f>IFERROR(MIN(VLOOKUP(ROUNDDOWN(N116,0),'Aide calcul'!$B$2:$C$282,2,FALSE),M116+1),"")</f>
        <v/>
      </c>
      <c r="P116" s="112" t="str">
        <f t="shared" si="26"/>
        <v/>
      </c>
      <c r="Q116" s="170"/>
      <c r="R116" s="170"/>
      <c r="S116" s="170"/>
      <c r="T116" s="170"/>
      <c r="U116" s="170"/>
      <c r="V116" s="170"/>
      <c r="W116" s="170"/>
      <c r="X116" s="76"/>
      <c r="Y116" s="76"/>
      <c r="Z116" s="113" t="str">
        <f>IFERROR(ROUND('Informations générales'!$E$66*(AE116/SUM($AE$28:$AE$404))/12,0)*12,"")</f>
        <v/>
      </c>
      <c r="AA116" s="114"/>
      <c r="AB116" s="113" t="str">
        <f t="shared" si="15"/>
        <v/>
      </c>
      <c r="AC116" s="89"/>
      <c r="AD116" s="76"/>
      <c r="AE116" s="56">
        <f t="shared" si="27"/>
        <v>0</v>
      </c>
      <c r="AF116" s="56">
        <f t="shared" si="16"/>
        <v>0</v>
      </c>
      <c r="AG116" s="56">
        <f t="shared" si="17"/>
        <v>0</v>
      </c>
      <c r="AH116" s="56">
        <f t="shared" si="18"/>
        <v>0</v>
      </c>
      <c r="AI116" s="56">
        <f t="shared" si="19"/>
        <v>0</v>
      </c>
      <c r="AJ116" s="56">
        <f t="shared" si="20"/>
        <v>0</v>
      </c>
      <c r="AK116" s="56">
        <f t="shared" si="21"/>
        <v>0</v>
      </c>
      <c r="AL116" s="56">
        <f t="shared" si="22"/>
        <v>0</v>
      </c>
      <c r="AM116" s="56">
        <f t="shared" si="28"/>
        <v>0</v>
      </c>
      <c r="AN116" s="60">
        <f t="shared" si="23"/>
        <v>0</v>
      </c>
      <c r="AO116" s="59">
        <f t="shared" si="24"/>
        <v>0</v>
      </c>
      <c r="AP116" s="59">
        <f t="shared" si="25"/>
        <v>0</v>
      </c>
    </row>
    <row r="117" spans="3:42" s="17" customFormat="1" x14ac:dyDescent="0.25">
      <c r="C117" s="241" t="s">
        <v>213</v>
      </c>
      <c r="D117" s="242"/>
      <c r="E117" s="88"/>
      <c r="F117" s="217"/>
      <c r="G117" s="234"/>
      <c r="H117" s="218"/>
      <c r="I117" s="76"/>
      <c r="J117" s="77"/>
      <c r="K117" s="77"/>
      <c r="L117" s="76"/>
      <c r="M117" s="110"/>
      <c r="N117" s="152"/>
      <c r="O117" s="111" t="str">
        <f>IFERROR(MIN(VLOOKUP(ROUNDDOWN(N117,0),'Aide calcul'!$B$2:$C$282,2,FALSE),M117+1),"")</f>
        <v/>
      </c>
      <c r="P117" s="112" t="str">
        <f t="shared" si="26"/>
        <v/>
      </c>
      <c r="Q117" s="170"/>
      <c r="R117" s="170"/>
      <c r="S117" s="170"/>
      <c r="T117" s="170"/>
      <c r="U117" s="170"/>
      <c r="V117" s="170"/>
      <c r="W117" s="170"/>
      <c r="X117" s="76"/>
      <c r="Y117" s="76"/>
      <c r="Z117" s="113" t="str">
        <f>IFERROR(ROUND('Informations générales'!$E$66*(AE117/SUM($AE$28:$AE$404))/12,0)*12,"")</f>
        <v/>
      </c>
      <c r="AA117" s="114"/>
      <c r="AB117" s="113" t="str">
        <f t="shared" si="15"/>
        <v/>
      </c>
      <c r="AC117" s="89"/>
      <c r="AD117" s="76"/>
      <c r="AE117" s="56">
        <f t="shared" si="27"/>
        <v>0</v>
      </c>
      <c r="AF117" s="56">
        <f t="shared" si="16"/>
        <v>0</v>
      </c>
      <c r="AG117" s="56">
        <f t="shared" si="17"/>
        <v>0</v>
      </c>
      <c r="AH117" s="56">
        <f t="shared" si="18"/>
        <v>0</v>
      </c>
      <c r="AI117" s="56">
        <f t="shared" si="19"/>
        <v>0</v>
      </c>
      <c r="AJ117" s="56">
        <f t="shared" si="20"/>
        <v>0</v>
      </c>
      <c r="AK117" s="56">
        <f t="shared" si="21"/>
        <v>0</v>
      </c>
      <c r="AL117" s="56">
        <f t="shared" si="22"/>
        <v>0</v>
      </c>
      <c r="AM117" s="56">
        <f t="shared" si="28"/>
        <v>0</v>
      </c>
      <c r="AN117" s="60">
        <f t="shared" si="23"/>
        <v>0</v>
      </c>
      <c r="AO117" s="59">
        <f t="shared" si="24"/>
        <v>0</v>
      </c>
      <c r="AP117" s="59">
        <f t="shared" si="25"/>
        <v>0</v>
      </c>
    </row>
    <row r="118" spans="3:42" s="17" customFormat="1" x14ac:dyDescent="0.25">
      <c r="C118" s="241" t="s">
        <v>213</v>
      </c>
      <c r="D118" s="242"/>
      <c r="E118" s="88"/>
      <c r="F118" s="217"/>
      <c r="G118" s="234"/>
      <c r="H118" s="218"/>
      <c r="I118" s="76"/>
      <c r="J118" s="77"/>
      <c r="K118" s="77"/>
      <c r="L118" s="76"/>
      <c r="M118" s="110"/>
      <c r="N118" s="152"/>
      <c r="O118" s="111" t="str">
        <f>IFERROR(MIN(VLOOKUP(ROUNDDOWN(N118,0),'Aide calcul'!$B$2:$C$282,2,FALSE),M118+1),"")</f>
        <v/>
      </c>
      <c r="P118" s="112" t="str">
        <f t="shared" si="26"/>
        <v/>
      </c>
      <c r="Q118" s="170"/>
      <c r="R118" s="170"/>
      <c r="S118" s="170"/>
      <c r="T118" s="170"/>
      <c r="U118" s="170"/>
      <c r="V118" s="170"/>
      <c r="W118" s="170"/>
      <c r="X118" s="76"/>
      <c r="Y118" s="76"/>
      <c r="Z118" s="113" t="str">
        <f>IFERROR(ROUND('Informations générales'!$E$66*(AE118/SUM($AE$28:$AE$404))/12,0)*12,"")</f>
        <v/>
      </c>
      <c r="AA118" s="114"/>
      <c r="AB118" s="113" t="str">
        <f t="shared" si="15"/>
        <v/>
      </c>
      <c r="AC118" s="89"/>
      <c r="AD118" s="76"/>
      <c r="AE118" s="56">
        <f t="shared" si="27"/>
        <v>0</v>
      </c>
      <c r="AF118" s="56">
        <f t="shared" si="16"/>
        <v>0</v>
      </c>
      <c r="AG118" s="56">
        <f t="shared" si="17"/>
        <v>0</v>
      </c>
      <c r="AH118" s="56">
        <f t="shared" si="18"/>
        <v>0</v>
      </c>
      <c r="AI118" s="56">
        <f t="shared" si="19"/>
        <v>0</v>
      </c>
      <c r="AJ118" s="56">
        <f t="shared" si="20"/>
        <v>0</v>
      </c>
      <c r="AK118" s="56">
        <f t="shared" si="21"/>
        <v>0</v>
      </c>
      <c r="AL118" s="56">
        <f t="shared" si="22"/>
        <v>0</v>
      </c>
      <c r="AM118" s="56">
        <f t="shared" si="28"/>
        <v>0</v>
      </c>
      <c r="AN118" s="60">
        <f t="shared" si="23"/>
        <v>0</v>
      </c>
      <c r="AO118" s="59">
        <f t="shared" si="24"/>
        <v>0</v>
      </c>
      <c r="AP118" s="59">
        <f t="shared" si="25"/>
        <v>0</v>
      </c>
    </row>
    <row r="119" spans="3:42" s="17" customFormat="1" x14ac:dyDescent="0.25">
      <c r="C119" s="241" t="s">
        <v>213</v>
      </c>
      <c r="D119" s="242"/>
      <c r="E119" s="88"/>
      <c r="F119" s="217"/>
      <c r="G119" s="234"/>
      <c r="H119" s="218"/>
      <c r="I119" s="76"/>
      <c r="J119" s="77"/>
      <c r="K119" s="77"/>
      <c r="L119" s="76"/>
      <c r="M119" s="110"/>
      <c r="N119" s="152"/>
      <c r="O119" s="111" t="str">
        <f>IFERROR(MIN(VLOOKUP(ROUNDDOWN(N119,0),'Aide calcul'!$B$2:$C$282,2,FALSE),M119+1),"")</f>
        <v/>
      </c>
      <c r="P119" s="112" t="str">
        <f t="shared" si="26"/>
        <v/>
      </c>
      <c r="Q119" s="170"/>
      <c r="R119" s="170"/>
      <c r="S119" s="170"/>
      <c r="T119" s="170"/>
      <c r="U119" s="170"/>
      <c r="V119" s="170"/>
      <c r="W119" s="170"/>
      <c r="X119" s="76"/>
      <c r="Y119" s="76"/>
      <c r="Z119" s="113" t="str">
        <f>IFERROR(ROUND('Informations générales'!$E$66*(AE119/SUM($AE$28:$AE$404))/12,0)*12,"")</f>
        <v/>
      </c>
      <c r="AA119" s="114"/>
      <c r="AB119" s="113" t="str">
        <f t="shared" si="15"/>
        <v/>
      </c>
      <c r="AC119" s="89"/>
      <c r="AD119" s="76"/>
      <c r="AE119" s="56">
        <f t="shared" si="27"/>
        <v>0</v>
      </c>
      <c r="AF119" s="56">
        <f t="shared" si="16"/>
        <v>0</v>
      </c>
      <c r="AG119" s="56">
        <f t="shared" si="17"/>
        <v>0</v>
      </c>
      <c r="AH119" s="56">
        <f t="shared" si="18"/>
        <v>0</v>
      </c>
      <c r="AI119" s="56">
        <f t="shared" si="19"/>
        <v>0</v>
      </c>
      <c r="AJ119" s="56">
        <f t="shared" si="20"/>
        <v>0</v>
      </c>
      <c r="AK119" s="56">
        <f t="shared" si="21"/>
        <v>0</v>
      </c>
      <c r="AL119" s="56">
        <f t="shared" si="22"/>
        <v>0</v>
      </c>
      <c r="AM119" s="56">
        <f t="shared" si="28"/>
        <v>0</v>
      </c>
      <c r="AN119" s="60">
        <f t="shared" si="23"/>
        <v>0</v>
      </c>
      <c r="AO119" s="59">
        <f t="shared" si="24"/>
        <v>0</v>
      </c>
      <c r="AP119" s="59">
        <f t="shared" si="25"/>
        <v>0</v>
      </c>
    </row>
    <row r="120" spans="3:42" s="17" customFormat="1" x14ac:dyDescent="0.25">
      <c r="C120" s="241" t="s">
        <v>213</v>
      </c>
      <c r="D120" s="242"/>
      <c r="E120" s="88"/>
      <c r="F120" s="217"/>
      <c r="G120" s="234"/>
      <c r="H120" s="218"/>
      <c r="I120" s="76"/>
      <c r="J120" s="77"/>
      <c r="K120" s="77"/>
      <c r="L120" s="76"/>
      <c r="M120" s="110"/>
      <c r="N120" s="152"/>
      <c r="O120" s="111" t="str">
        <f>IFERROR(MIN(VLOOKUP(ROUNDDOWN(N120,0),'Aide calcul'!$B$2:$C$282,2,FALSE),M120+1),"")</f>
        <v/>
      </c>
      <c r="P120" s="112" t="str">
        <f t="shared" si="26"/>
        <v/>
      </c>
      <c r="Q120" s="170"/>
      <c r="R120" s="170"/>
      <c r="S120" s="170"/>
      <c r="T120" s="170"/>
      <c r="U120" s="170"/>
      <c r="V120" s="170"/>
      <c r="W120" s="170"/>
      <c r="X120" s="76"/>
      <c r="Y120" s="76"/>
      <c r="Z120" s="113" t="str">
        <f>IFERROR(ROUND('Informations générales'!$E$66*(AE120/SUM($AE$28:$AE$404))/12,0)*12,"")</f>
        <v/>
      </c>
      <c r="AA120" s="114"/>
      <c r="AB120" s="113" t="str">
        <f t="shared" si="15"/>
        <v/>
      </c>
      <c r="AC120" s="89"/>
      <c r="AD120" s="76"/>
      <c r="AE120" s="56">
        <f t="shared" si="27"/>
        <v>0</v>
      </c>
      <c r="AF120" s="56">
        <f t="shared" si="16"/>
        <v>0</v>
      </c>
      <c r="AG120" s="56">
        <f t="shared" si="17"/>
        <v>0</v>
      </c>
      <c r="AH120" s="56">
        <f t="shared" si="18"/>
        <v>0</v>
      </c>
      <c r="AI120" s="56">
        <f t="shared" si="19"/>
        <v>0</v>
      </c>
      <c r="AJ120" s="56">
        <f t="shared" si="20"/>
        <v>0</v>
      </c>
      <c r="AK120" s="56">
        <f t="shared" si="21"/>
        <v>0</v>
      </c>
      <c r="AL120" s="56">
        <f t="shared" si="22"/>
        <v>0</v>
      </c>
      <c r="AM120" s="56">
        <f t="shared" si="28"/>
        <v>0</v>
      </c>
      <c r="AN120" s="60">
        <f t="shared" si="23"/>
        <v>0</v>
      </c>
      <c r="AO120" s="59">
        <f t="shared" si="24"/>
        <v>0</v>
      </c>
      <c r="AP120" s="59">
        <f t="shared" si="25"/>
        <v>0</v>
      </c>
    </row>
    <row r="121" spans="3:42" s="17" customFormat="1" x14ac:dyDescent="0.25">
      <c r="C121" s="241" t="s">
        <v>213</v>
      </c>
      <c r="D121" s="242"/>
      <c r="E121" s="88"/>
      <c r="F121" s="217"/>
      <c r="G121" s="234"/>
      <c r="H121" s="218"/>
      <c r="I121" s="76"/>
      <c r="J121" s="77"/>
      <c r="K121" s="77"/>
      <c r="L121" s="76"/>
      <c r="M121" s="110"/>
      <c r="N121" s="152"/>
      <c r="O121" s="111" t="str">
        <f>IFERROR(MIN(VLOOKUP(ROUNDDOWN(N121,0),'Aide calcul'!$B$2:$C$282,2,FALSE),M121+1),"")</f>
        <v/>
      </c>
      <c r="P121" s="112" t="str">
        <f t="shared" si="26"/>
        <v/>
      </c>
      <c r="Q121" s="170"/>
      <c r="R121" s="170"/>
      <c r="S121" s="170"/>
      <c r="T121" s="170"/>
      <c r="U121" s="170"/>
      <c r="V121" s="170"/>
      <c r="W121" s="170"/>
      <c r="X121" s="76"/>
      <c r="Y121" s="76"/>
      <c r="Z121" s="113" t="str">
        <f>IFERROR(ROUND('Informations générales'!$E$66*(AE121/SUM($AE$28:$AE$404))/12,0)*12,"")</f>
        <v/>
      </c>
      <c r="AA121" s="114"/>
      <c r="AB121" s="113" t="str">
        <f t="shared" si="15"/>
        <v/>
      </c>
      <c r="AC121" s="89"/>
      <c r="AD121" s="76"/>
      <c r="AE121" s="56">
        <f t="shared" si="27"/>
        <v>0</v>
      </c>
      <c r="AF121" s="56">
        <f t="shared" si="16"/>
        <v>0</v>
      </c>
      <c r="AG121" s="56">
        <f t="shared" si="17"/>
        <v>0</v>
      </c>
      <c r="AH121" s="56">
        <f t="shared" si="18"/>
        <v>0</v>
      </c>
      <c r="AI121" s="56">
        <f t="shared" si="19"/>
        <v>0</v>
      </c>
      <c r="AJ121" s="56">
        <f t="shared" si="20"/>
        <v>0</v>
      </c>
      <c r="AK121" s="56">
        <f t="shared" si="21"/>
        <v>0</v>
      </c>
      <c r="AL121" s="56">
        <f t="shared" si="22"/>
        <v>0</v>
      </c>
      <c r="AM121" s="56">
        <f t="shared" si="28"/>
        <v>0</v>
      </c>
      <c r="AN121" s="60">
        <f t="shared" si="23"/>
        <v>0</v>
      </c>
      <c r="AO121" s="59">
        <f t="shared" si="24"/>
        <v>0</v>
      </c>
      <c r="AP121" s="59">
        <f t="shared" si="25"/>
        <v>0</v>
      </c>
    </row>
    <row r="122" spans="3:42" s="17" customFormat="1" x14ac:dyDescent="0.25">
      <c r="C122" s="241" t="s">
        <v>213</v>
      </c>
      <c r="D122" s="242"/>
      <c r="E122" s="88"/>
      <c r="F122" s="217"/>
      <c r="G122" s="234"/>
      <c r="H122" s="218"/>
      <c r="I122" s="76"/>
      <c r="J122" s="77"/>
      <c r="K122" s="77"/>
      <c r="L122" s="76"/>
      <c r="M122" s="110"/>
      <c r="N122" s="152"/>
      <c r="O122" s="111" t="str">
        <f>IFERROR(MIN(VLOOKUP(ROUNDDOWN(N122,0),'Aide calcul'!$B$2:$C$282,2,FALSE),M122+1),"")</f>
        <v/>
      </c>
      <c r="P122" s="112" t="str">
        <f t="shared" si="26"/>
        <v/>
      </c>
      <c r="Q122" s="170"/>
      <c r="R122" s="170"/>
      <c r="S122" s="170"/>
      <c r="T122" s="170"/>
      <c r="U122" s="170"/>
      <c r="V122" s="170"/>
      <c r="W122" s="170"/>
      <c r="X122" s="76"/>
      <c r="Y122" s="76"/>
      <c r="Z122" s="113" t="str">
        <f>IFERROR(ROUND('Informations générales'!$E$66*(AE122/SUM($AE$28:$AE$404))/12,0)*12,"")</f>
        <v/>
      </c>
      <c r="AA122" s="114"/>
      <c r="AB122" s="113" t="str">
        <f t="shared" si="15"/>
        <v/>
      </c>
      <c r="AC122" s="89"/>
      <c r="AD122" s="76"/>
      <c r="AE122" s="56">
        <f t="shared" si="27"/>
        <v>0</v>
      </c>
      <c r="AF122" s="56">
        <f t="shared" si="16"/>
        <v>0</v>
      </c>
      <c r="AG122" s="56">
        <f t="shared" si="17"/>
        <v>0</v>
      </c>
      <c r="AH122" s="56">
        <f t="shared" si="18"/>
        <v>0</v>
      </c>
      <c r="AI122" s="56">
        <f t="shared" si="19"/>
        <v>0</v>
      </c>
      <c r="AJ122" s="56">
        <f t="shared" si="20"/>
        <v>0</v>
      </c>
      <c r="AK122" s="56">
        <f t="shared" si="21"/>
        <v>0</v>
      </c>
      <c r="AL122" s="56">
        <f t="shared" si="22"/>
        <v>0</v>
      </c>
      <c r="AM122" s="56">
        <f t="shared" si="28"/>
        <v>0</v>
      </c>
      <c r="AN122" s="60">
        <f t="shared" si="23"/>
        <v>0</v>
      </c>
      <c r="AO122" s="59">
        <f t="shared" si="24"/>
        <v>0</v>
      </c>
      <c r="AP122" s="59">
        <f t="shared" si="25"/>
        <v>0</v>
      </c>
    </row>
    <row r="123" spans="3:42" s="17" customFormat="1" x14ac:dyDescent="0.25">
      <c r="C123" s="241" t="s">
        <v>213</v>
      </c>
      <c r="D123" s="242"/>
      <c r="E123" s="88"/>
      <c r="F123" s="217"/>
      <c r="G123" s="234"/>
      <c r="H123" s="218"/>
      <c r="I123" s="76"/>
      <c r="J123" s="77"/>
      <c r="K123" s="77"/>
      <c r="L123" s="76"/>
      <c r="M123" s="110"/>
      <c r="N123" s="152"/>
      <c r="O123" s="111" t="str">
        <f>IFERROR(MIN(VLOOKUP(ROUNDDOWN(N123,0),'Aide calcul'!$B$2:$C$282,2,FALSE),M123+1),"")</f>
        <v/>
      </c>
      <c r="P123" s="112" t="str">
        <f t="shared" si="26"/>
        <v/>
      </c>
      <c r="Q123" s="170"/>
      <c r="R123" s="170"/>
      <c r="S123" s="170"/>
      <c r="T123" s="170"/>
      <c r="U123" s="170"/>
      <c r="V123" s="170"/>
      <c r="W123" s="170"/>
      <c r="X123" s="76"/>
      <c r="Y123" s="76"/>
      <c r="Z123" s="113" t="str">
        <f>IFERROR(ROUND('Informations générales'!$E$66*(AE123/SUM($AE$28:$AE$404))/12,0)*12,"")</f>
        <v/>
      </c>
      <c r="AA123" s="114"/>
      <c r="AB123" s="113" t="str">
        <f t="shared" si="15"/>
        <v/>
      </c>
      <c r="AC123" s="89"/>
      <c r="AD123" s="76"/>
      <c r="AE123" s="56">
        <f t="shared" si="27"/>
        <v>0</v>
      </c>
      <c r="AF123" s="56">
        <f t="shared" si="16"/>
        <v>0</v>
      </c>
      <c r="AG123" s="56">
        <f t="shared" si="17"/>
        <v>0</v>
      </c>
      <c r="AH123" s="56">
        <f t="shared" si="18"/>
        <v>0</v>
      </c>
      <c r="AI123" s="56">
        <f t="shared" si="19"/>
        <v>0</v>
      </c>
      <c r="AJ123" s="56">
        <f t="shared" si="20"/>
        <v>0</v>
      </c>
      <c r="AK123" s="56">
        <f t="shared" si="21"/>
        <v>0</v>
      </c>
      <c r="AL123" s="56">
        <f t="shared" si="22"/>
        <v>0</v>
      </c>
      <c r="AM123" s="56">
        <f t="shared" si="28"/>
        <v>0</v>
      </c>
      <c r="AN123" s="60">
        <f t="shared" si="23"/>
        <v>0</v>
      </c>
      <c r="AO123" s="59">
        <f t="shared" si="24"/>
        <v>0</v>
      </c>
      <c r="AP123" s="59">
        <f t="shared" si="25"/>
        <v>0</v>
      </c>
    </row>
    <row r="124" spans="3:42" s="17" customFormat="1" x14ac:dyDescent="0.25">
      <c r="C124" s="241" t="s">
        <v>213</v>
      </c>
      <c r="D124" s="242"/>
      <c r="E124" s="88"/>
      <c r="F124" s="217"/>
      <c r="G124" s="234"/>
      <c r="H124" s="218"/>
      <c r="I124" s="76"/>
      <c r="J124" s="77"/>
      <c r="K124" s="77"/>
      <c r="L124" s="76"/>
      <c r="M124" s="110"/>
      <c r="N124" s="152"/>
      <c r="O124" s="111" t="str">
        <f>IFERROR(MIN(VLOOKUP(ROUNDDOWN(N124,0),'Aide calcul'!$B$2:$C$282,2,FALSE),M124+1),"")</f>
        <v/>
      </c>
      <c r="P124" s="112" t="str">
        <f t="shared" si="26"/>
        <v/>
      </c>
      <c r="Q124" s="170"/>
      <c r="R124" s="170"/>
      <c r="S124" s="170"/>
      <c r="T124" s="170"/>
      <c r="U124" s="170"/>
      <c r="V124" s="170"/>
      <c r="W124" s="170"/>
      <c r="X124" s="76"/>
      <c r="Y124" s="76"/>
      <c r="Z124" s="113" t="str">
        <f>IFERROR(ROUND('Informations générales'!$E$66*(AE124/SUM($AE$28:$AE$404))/12,0)*12,"")</f>
        <v/>
      </c>
      <c r="AA124" s="114"/>
      <c r="AB124" s="113" t="str">
        <f t="shared" si="15"/>
        <v/>
      </c>
      <c r="AC124" s="89"/>
      <c r="AD124" s="76"/>
      <c r="AE124" s="56">
        <f t="shared" si="27"/>
        <v>0</v>
      </c>
      <c r="AF124" s="56">
        <f t="shared" si="16"/>
        <v>0</v>
      </c>
      <c r="AG124" s="56">
        <f t="shared" si="17"/>
        <v>0</v>
      </c>
      <c r="AH124" s="56">
        <f t="shared" si="18"/>
        <v>0</v>
      </c>
      <c r="AI124" s="56">
        <f t="shared" si="19"/>
        <v>0</v>
      </c>
      <c r="AJ124" s="56">
        <f t="shared" si="20"/>
        <v>0</v>
      </c>
      <c r="AK124" s="56">
        <f t="shared" si="21"/>
        <v>0</v>
      </c>
      <c r="AL124" s="56">
        <f t="shared" si="22"/>
        <v>0</v>
      </c>
      <c r="AM124" s="56">
        <f t="shared" si="28"/>
        <v>0</v>
      </c>
      <c r="AN124" s="60">
        <f t="shared" si="23"/>
        <v>0</v>
      </c>
      <c r="AO124" s="59">
        <f t="shared" si="24"/>
        <v>0</v>
      </c>
      <c r="AP124" s="59">
        <f t="shared" si="25"/>
        <v>0</v>
      </c>
    </row>
    <row r="125" spans="3:42" s="17" customFormat="1" x14ac:dyDescent="0.25">
      <c r="C125" s="241" t="s">
        <v>213</v>
      </c>
      <c r="D125" s="242"/>
      <c r="E125" s="88"/>
      <c r="F125" s="217"/>
      <c r="G125" s="234"/>
      <c r="H125" s="218"/>
      <c r="I125" s="76"/>
      <c r="J125" s="77"/>
      <c r="K125" s="77"/>
      <c r="L125" s="76"/>
      <c r="M125" s="110"/>
      <c r="N125" s="152"/>
      <c r="O125" s="111" t="str">
        <f>IFERROR(MIN(VLOOKUP(ROUNDDOWN(N125,0),'Aide calcul'!$B$2:$C$282,2,FALSE),M125+1),"")</f>
        <v/>
      </c>
      <c r="P125" s="112" t="str">
        <f t="shared" si="26"/>
        <v/>
      </c>
      <c r="Q125" s="170"/>
      <c r="R125" s="170"/>
      <c r="S125" s="170"/>
      <c r="T125" s="170"/>
      <c r="U125" s="170"/>
      <c r="V125" s="170"/>
      <c r="W125" s="170"/>
      <c r="X125" s="76"/>
      <c r="Y125" s="76"/>
      <c r="Z125" s="113" t="str">
        <f>IFERROR(ROUND('Informations générales'!$E$66*(AE125/SUM($AE$28:$AE$404))/12,0)*12,"")</f>
        <v/>
      </c>
      <c r="AA125" s="114"/>
      <c r="AB125" s="113" t="str">
        <f t="shared" si="15"/>
        <v/>
      </c>
      <c r="AC125" s="89"/>
      <c r="AD125" s="76"/>
      <c r="AE125" s="56">
        <f t="shared" si="27"/>
        <v>0</v>
      </c>
      <c r="AF125" s="56">
        <f t="shared" si="16"/>
        <v>0</v>
      </c>
      <c r="AG125" s="56">
        <f t="shared" si="17"/>
        <v>0</v>
      </c>
      <c r="AH125" s="56">
        <f t="shared" si="18"/>
        <v>0</v>
      </c>
      <c r="AI125" s="56">
        <f t="shared" si="19"/>
        <v>0</v>
      </c>
      <c r="AJ125" s="56">
        <f t="shared" si="20"/>
        <v>0</v>
      </c>
      <c r="AK125" s="56">
        <f t="shared" si="21"/>
        <v>0</v>
      </c>
      <c r="AL125" s="56">
        <f t="shared" si="22"/>
        <v>0</v>
      </c>
      <c r="AM125" s="56">
        <f t="shared" si="28"/>
        <v>0</v>
      </c>
      <c r="AN125" s="60">
        <f t="shared" si="23"/>
        <v>0</v>
      </c>
      <c r="AO125" s="59">
        <f t="shared" si="24"/>
        <v>0</v>
      </c>
      <c r="AP125" s="59">
        <f t="shared" si="25"/>
        <v>0</v>
      </c>
    </row>
    <row r="126" spans="3:42" s="17" customFormat="1" x14ac:dyDescent="0.25">
      <c r="C126" s="241" t="s">
        <v>213</v>
      </c>
      <c r="D126" s="242"/>
      <c r="E126" s="88"/>
      <c r="F126" s="217"/>
      <c r="G126" s="234"/>
      <c r="H126" s="218"/>
      <c r="I126" s="76"/>
      <c r="J126" s="77"/>
      <c r="K126" s="77"/>
      <c r="L126" s="76"/>
      <c r="M126" s="110"/>
      <c r="N126" s="152"/>
      <c r="O126" s="111" t="str">
        <f>IFERROR(MIN(VLOOKUP(ROUNDDOWN(N126,0),'Aide calcul'!$B$2:$C$282,2,FALSE),M126+1),"")</f>
        <v/>
      </c>
      <c r="P126" s="112" t="str">
        <f t="shared" si="26"/>
        <v/>
      </c>
      <c r="Q126" s="170"/>
      <c r="R126" s="170"/>
      <c r="S126" s="170"/>
      <c r="T126" s="170"/>
      <c r="U126" s="170"/>
      <c r="V126" s="170"/>
      <c r="W126" s="170"/>
      <c r="X126" s="76"/>
      <c r="Y126" s="76"/>
      <c r="Z126" s="113" t="str">
        <f>IFERROR(ROUND('Informations générales'!$E$66*(AE126/SUM($AE$28:$AE$404))/12,0)*12,"")</f>
        <v/>
      </c>
      <c r="AA126" s="114"/>
      <c r="AB126" s="113" t="str">
        <f t="shared" si="15"/>
        <v/>
      </c>
      <c r="AC126" s="89"/>
      <c r="AD126" s="76"/>
      <c r="AE126" s="56">
        <f t="shared" si="27"/>
        <v>0</v>
      </c>
      <c r="AF126" s="56">
        <f t="shared" si="16"/>
        <v>0</v>
      </c>
      <c r="AG126" s="56">
        <f t="shared" si="17"/>
        <v>0</v>
      </c>
      <c r="AH126" s="56">
        <f t="shared" si="18"/>
        <v>0</v>
      </c>
      <c r="AI126" s="56">
        <f t="shared" si="19"/>
        <v>0</v>
      </c>
      <c r="AJ126" s="56">
        <f t="shared" si="20"/>
        <v>0</v>
      </c>
      <c r="AK126" s="56">
        <f t="shared" si="21"/>
        <v>0</v>
      </c>
      <c r="AL126" s="56">
        <f t="shared" si="22"/>
        <v>0</v>
      </c>
      <c r="AM126" s="56">
        <f t="shared" si="28"/>
        <v>0</v>
      </c>
      <c r="AN126" s="60">
        <f t="shared" si="23"/>
        <v>0</v>
      </c>
      <c r="AO126" s="59">
        <f t="shared" si="24"/>
        <v>0</v>
      </c>
      <c r="AP126" s="59">
        <f t="shared" si="25"/>
        <v>0</v>
      </c>
    </row>
    <row r="127" spans="3:42" s="17" customFormat="1" x14ac:dyDescent="0.25">
      <c r="C127" s="241" t="s">
        <v>213</v>
      </c>
      <c r="D127" s="242"/>
      <c r="E127" s="88"/>
      <c r="F127" s="217"/>
      <c r="G127" s="234"/>
      <c r="H127" s="218"/>
      <c r="I127" s="76"/>
      <c r="J127" s="77"/>
      <c r="K127" s="77"/>
      <c r="L127" s="76"/>
      <c r="M127" s="110"/>
      <c r="N127" s="152"/>
      <c r="O127" s="111" t="str">
        <f>IFERROR(MIN(VLOOKUP(ROUNDDOWN(N127,0),'Aide calcul'!$B$2:$C$282,2,FALSE),M127+1),"")</f>
        <v/>
      </c>
      <c r="P127" s="112" t="str">
        <f t="shared" si="26"/>
        <v/>
      </c>
      <c r="Q127" s="170"/>
      <c r="R127" s="170"/>
      <c r="S127" s="170"/>
      <c r="T127" s="170"/>
      <c r="U127" s="170"/>
      <c r="V127" s="170"/>
      <c r="W127" s="170"/>
      <c r="X127" s="76"/>
      <c r="Y127" s="76"/>
      <c r="Z127" s="113" t="str">
        <f>IFERROR(ROUND('Informations générales'!$E$66*(AE127/SUM($AE$28:$AE$404))/12,0)*12,"")</f>
        <v/>
      </c>
      <c r="AA127" s="114"/>
      <c r="AB127" s="113" t="str">
        <f t="shared" si="15"/>
        <v/>
      </c>
      <c r="AC127" s="89"/>
      <c r="AD127" s="76"/>
      <c r="AE127" s="56">
        <f t="shared" si="27"/>
        <v>0</v>
      </c>
      <c r="AF127" s="56">
        <f t="shared" si="16"/>
        <v>0</v>
      </c>
      <c r="AG127" s="56">
        <f t="shared" si="17"/>
        <v>0</v>
      </c>
      <c r="AH127" s="56">
        <f t="shared" si="18"/>
        <v>0</v>
      </c>
      <c r="AI127" s="56">
        <f t="shared" si="19"/>
        <v>0</v>
      </c>
      <c r="AJ127" s="56">
        <f t="shared" si="20"/>
        <v>0</v>
      </c>
      <c r="AK127" s="56">
        <f t="shared" si="21"/>
        <v>0</v>
      </c>
      <c r="AL127" s="56">
        <f t="shared" si="22"/>
        <v>0</v>
      </c>
      <c r="AM127" s="56">
        <f t="shared" si="28"/>
        <v>0</v>
      </c>
      <c r="AN127" s="60">
        <f t="shared" si="23"/>
        <v>0</v>
      </c>
      <c r="AO127" s="59">
        <f t="shared" si="24"/>
        <v>0</v>
      </c>
      <c r="AP127" s="59">
        <f t="shared" si="25"/>
        <v>0</v>
      </c>
    </row>
    <row r="128" spans="3:42" s="17" customFormat="1" x14ac:dyDescent="0.25">
      <c r="C128" s="241" t="s">
        <v>213</v>
      </c>
      <c r="D128" s="242"/>
      <c r="E128" s="88"/>
      <c r="F128" s="217"/>
      <c r="G128" s="234"/>
      <c r="H128" s="218"/>
      <c r="I128" s="76"/>
      <c r="J128" s="77"/>
      <c r="K128" s="77"/>
      <c r="L128" s="76"/>
      <c r="M128" s="110"/>
      <c r="N128" s="152"/>
      <c r="O128" s="111" t="str">
        <f>IFERROR(MIN(VLOOKUP(ROUNDDOWN(N128,0),'Aide calcul'!$B$2:$C$282,2,FALSE),M128+1),"")</f>
        <v/>
      </c>
      <c r="P128" s="112" t="str">
        <f t="shared" si="26"/>
        <v/>
      </c>
      <c r="Q128" s="170"/>
      <c r="R128" s="170"/>
      <c r="S128" s="170"/>
      <c r="T128" s="170"/>
      <c r="U128" s="170"/>
      <c r="V128" s="170"/>
      <c r="W128" s="170"/>
      <c r="X128" s="76"/>
      <c r="Y128" s="76"/>
      <c r="Z128" s="113" t="str">
        <f>IFERROR(ROUND('Informations générales'!$E$66*(AE128/SUM($AE$28:$AE$404))/12,0)*12,"")</f>
        <v/>
      </c>
      <c r="AA128" s="114"/>
      <c r="AB128" s="113" t="str">
        <f t="shared" si="15"/>
        <v/>
      </c>
      <c r="AC128" s="89"/>
      <c r="AD128" s="76"/>
      <c r="AE128" s="56">
        <f t="shared" si="27"/>
        <v>0</v>
      </c>
      <c r="AF128" s="56">
        <f t="shared" si="16"/>
        <v>0</v>
      </c>
      <c r="AG128" s="56">
        <f t="shared" si="17"/>
        <v>0</v>
      </c>
      <c r="AH128" s="56">
        <f t="shared" si="18"/>
        <v>0</v>
      </c>
      <c r="AI128" s="56">
        <f t="shared" si="19"/>
        <v>0</v>
      </c>
      <c r="AJ128" s="56">
        <f t="shared" si="20"/>
        <v>0</v>
      </c>
      <c r="AK128" s="56">
        <f t="shared" si="21"/>
        <v>0</v>
      </c>
      <c r="AL128" s="56">
        <f t="shared" si="22"/>
        <v>0</v>
      </c>
      <c r="AM128" s="56">
        <f t="shared" si="28"/>
        <v>0</v>
      </c>
      <c r="AN128" s="60">
        <f t="shared" si="23"/>
        <v>0</v>
      </c>
      <c r="AO128" s="59">
        <f t="shared" si="24"/>
        <v>0</v>
      </c>
      <c r="AP128" s="59">
        <f t="shared" si="25"/>
        <v>0</v>
      </c>
    </row>
    <row r="129" spans="3:42" s="17" customFormat="1" x14ac:dyDescent="0.25">
      <c r="C129" s="241" t="s">
        <v>213</v>
      </c>
      <c r="D129" s="242"/>
      <c r="E129" s="88"/>
      <c r="F129" s="217"/>
      <c r="G129" s="234"/>
      <c r="H129" s="218"/>
      <c r="I129" s="76"/>
      <c r="J129" s="77"/>
      <c r="K129" s="77"/>
      <c r="L129" s="76"/>
      <c r="M129" s="110"/>
      <c r="N129" s="152"/>
      <c r="O129" s="111" t="str">
        <f>IFERROR(MIN(VLOOKUP(ROUNDDOWN(N129,0),'Aide calcul'!$B$2:$C$282,2,FALSE),M129+1),"")</f>
        <v/>
      </c>
      <c r="P129" s="112" t="str">
        <f t="shared" si="26"/>
        <v/>
      </c>
      <c r="Q129" s="170"/>
      <c r="R129" s="170"/>
      <c r="S129" s="170"/>
      <c r="T129" s="170"/>
      <c r="U129" s="170"/>
      <c r="V129" s="170"/>
      <c r="W129" s="170"/>
      <c r="X129" s="76"/>
      <c r="Y129" s="76"/>
      <c r="Z129" s="113" t="str">
        <f>IFERROR(ROUND('Informations générales'!$E$66*(AE129/SUM($AE$28:$AE$404))/12,0)*12,"")</f>
        <v/>
      </c>
      <c r="AA129" s="114"/>
      <c r="AB129" s="113" t="str">
        <f t="shared" si="15"/>
        <v/>
      </c>
      <c r="AC129" s="89"/>
      <c r="AD129" s="76"/>
      <c r="AE129" s="56">
        <f t="shared" si="27"/>
        <v>0</v>
      </c>
      <c r="AF129" s="56">
        <f t="shared" si="16"/>
        <v>0</v>
      </c>
      <c r="AG129" s="56">
        <f t="shared" si="17"/>
        <v>0</v>
      </c>
      <c r="AH129" s="56">
        <f t="shared" si="18"/>
        <v>0</v>
      </c>
      <c r="AI129" s="56">
        <f t="shared" si="19"/>
        <v>0</v>
      </c>
      <c r="AJ129" s="56">
        <f t="shared" si="20"/>
        <v>0</v>
      </c>
      <c r="AK129" s="56">
        <f t="shared" si="21"/>
        <v>0</v>
      </c>
      <c r="AL129" s="56">
        <f t="shared" si="22"/>
        <v>0</v>
      </c>
      <c r="AM129" s="56">
        <f t="shared" si="28"/>
        <v>0</v>
      </c>
      <c r="AN129" s="60">
        <f t="shared" si="23"/>
        <v>0</v>
      </c>
      <c r="AO129" s="59">
        <f t="shared" si="24"/>
        <v>0</v>
      </c>
      <c r="AP129" s="59">
        <f t="shared" si="25"/>
        <v>0</v>
      </c>
    </row>
    <row r="130" spans="3:42" s="17" customFormat="1" x14ac:dyDescent="0.25">
      <c r="C130" s="241" t="s">
        <v>213</v>
      </c>
      <c r="D130" s="242"/>
      <c r="E130" s="88"/>
      <c r="F130" s="217"/>
      <c r="G130" s="234"/>
      <c r="H130" s="218"/>
      <c r="I130" s="76"/>
      <c r="J130" s="77"/>
      <c r="K130" s="77"/>
      <c r="L130" s="76"/>
      <c r="M130" s="110"/>
      <c r="N130" s="152"/>
      <c r="O130" s="111" t="str">
        <f>IFERROR(MIN(VLOOKUP(ROUNDDOWN(N130,0),'Aide calcul'!$B$2:$C$282,2,FALSE),M130+1),"")</f>
        <v/>
      </c>
      <c r="P130" s="112" t="str">
        <f t="shared" si="26"/>
        <v/>
      </c>
      <c r="Q130" s="170"/>
      <c r="R130" s="170"/>
      <c r="S130" s="170"/>
      <c r="T130" s="170"/>
      <c r="U130" s="170"/>
      <c r="V130" s="170"/>
      <c r="W130" s="170"/>
      <c r="X130" s="76"/>
      <c r="Y130" s="76"/>
      <c r="Z130" s="113" t="str">
        <f>IFERROR(ROUND('Informations générales'!$E$66*(AE130/SUM($AE$28:$AE$404))/12,0)*12,"")</f>
        <v/>
      </c>
      <c r="AA130" s="114"/>
      <c r="AB130" s="113" t="str">
        <f t="shared" si="15"/>
        <v/>
      </c>
      <c r="AC130" s="89"/>
      <c r="AD130" s="76"/>
      <c r="AE130" s="56">
        <f t="shared" si="27"/>
        <v>0</v>
      </c>
      <c r="AF130" s="56">
        <f t="shared" si="16"/>
        <v>0</v>
      </c>
      <c r="AG130" s="56">
        <f t="shared" si="17"/>
        <v>0</v>
      </c>
      <c r="AH130" s="56">
        <f t="shared" si="18"/>
        <v>0</v>
      </c>
      <c r="AI130" s="56">
        <f t="shared" si="19"/>
        <v>0</v>
      </c>
      <c r="AJ130" s="56">
        <f t="shared" si="20"/>
        <v>0</v>
      </c>
      <c r="AK130" s="56">
        <f t="shared" si="21"/>
        <v>0</v>
      </c>
      <c r="AL130" s="56">
        <f t="shared" si="22"/>
        <v>0</v>
      </c>
      <c r="AM130" s="56">
        <f t="shared" si="28"/>
        <v>0</v>
      </c>
      <c r="AN130" s="60">
        <f t="shared" si="23"/>
        <v>0</v>
      </c>
      <c r="AO130" s="59">
        <f t="shared" si="24"/>
        <v>0</v>
      </c>
      <c r="AP130" s="59">
        <f t="shared" si="25"/>
        <v>0</v>
      </c>
    </row>
    <row r="131" spans="3:42" s="17" customFormat="1" x14ac:dyDescent="0.25">
      <c r="C131" s="241" t="s">
        <v>213</v>
      </c>
      <c r="D131" s="242"/>
      <c r="E131" s="88"/>
      <c r="F131" s="217"/>
      <c r="G131" s="234"/>
      <c r="H131" s="218"/>
      <c r="I131" s="76"/>
      <c r="J131" s="77"/>
      <c r="K131" s="77"/>
      <c r="L131" s="76"/>
      <c r="M131" s="110"/>
      <c r="N131" s="152"/>
      <c r="O131" s="111" t="str">
        <f>IFERROR(MIN(VLOOKUP(ROUNDDOWN(N131,0),'Aide calcul'!$B$2:$C$282,2,FALSE),M131+1),"")</f>
        <v/>
      </c>
      <c r="P131" s="112" t="str">
        <f t="shared" si="26"/>
        <v/>
      </c>
      <c r="Q131" s="170"/>
      <c r="R131" s="170"/>
      <c r="S131" s="170"/>
      <c r="T131" s="170"/>
      <c r="U131" s="170"/>
      <c r="V131" s="170"/>
      <c r="W131" s="170"/>
      <c r="X131" s="76"/>
      <c r="Y131" s="76"/>
      <c r="Z131" s="113" t="str">
        <f>IFERROR(ROUND('Informations générales'!$E$66*(AE131/SUM($AE$28:$AE$404))/12,0)*12,"")</f>
        <v/>
      </c>
      <c r="AA131" s="114"/>
      <c r="AB131" s="113" t="str">
        <f t="shared" si="15"/>
        <v/>
      </c>
      <c r="AC131" s="89"/>
      <c r="AD131" s="76"/>
      <c r="AE131" s="56">
        <f t="shared" si="27"/>
        <v>0</v>
      </c>
      <c r="AF131" s="56">
        <f t="shared" si="16"/>
        <v>0</v>
      </c>
      <c r="AG131" s="56">
        <f t="shared" si="17"/>
        <v>0</v>
      </c>
      <c r="AH131" s="56">
        <f t="shared" si="18"/>
        <v>0</v>
      </c>
      <c r="AI131" s="56">
        <f t="shared" si="19"/>
        <v>0</v>
      </c>
      <c r="AJ131" s="56">
        <f t="shared" si="20"/>
        <v>0</v>
      </c>
      <c r="AK131" s="56">
        <f t="shared" si="21"/>
        <v>0</v>
      </c>
      <c r="AL131" s="56">
        <f t="shared" si="22"/>
        <v>0</v>
      </c>
      <c r="AM131" s="56">
        <f t="shared" si="28"/>
        <v>0</v>
      </c>
      <c r="AN131" s="60">
        <f t="shared" si="23"/>
        <v>0</v>
      </c>
      <c r="AO131" s="59">
        <f t="shared" si="24"/>
        <v>0</v>
      </c>
      <c r="AP131" s="59">
        <f t="shared" si="25"/>
        <v>0</v>
      </c>
    </row>
    <row r="132" spans="3:42" s="17" customFormat="1" x14ac:dyDescent="0.25">
      <c r="C132" s="241" t="s">
        <v>213</v>
      </c>
      <c r="D132" s="242"/>
      <c r="E132" s="88"/>
      <c r="F132" s="217"/>
      <c r="G132" s="234"/>
      <c r="H132" s="218"/>
      <c r="I132" s="76"/>
      <c r="J132" s="77"/>
      <c r="K132" s="77"/>
      <c r="L132" s="76"/>
      <c r="M132" s="110"/>
      <c r="N132" s="152"/>
      <c r="O132" s="111" t="str">
        <f>IFERROR(MIN(VLOOKUP(ROUNDDOWN(N132,0),'Aide calcul'!$B$2:$C$282,2,FALSE),M132+1),"")</f>
        <v/>
      </c>
      <c r="P132" s="112" t="str">
        <f t="shared" si="26"/>
        <v/>
      </c>
      <c r="Q132" s="170"/>
      <c r="R132" s="170"/>
      <c r="S132" s="170"/>
      <c r="T132" s="170"/>
      <c r="U132" s="170"/>
      <c r="V132" s="170"/>
      <c r="W132" s="170"/>
      <c r="X132" s="76"/>
      <c r="Y132" s="76"/>
      <c r="Z132" s="113" t="str">
        <f>IFERROR(ROUND('Informations générales'!$E$66*(AE132/SUM($AE$28:$AE$404))/12,0)*12,"")</f>
        <v/>
      </c>
      <c r="AA132" s="114"/>
      <c r="AB132" s="113" t="str">
        <f t="shared" si="15"/>
        <v/>
      </c>
      <c r="AC132" s="89"/>
      <c r="AD132" s="76"/>
      <c r="AE132" s="56">
        <f t="shared" si="27"/>
        <v>0</v>
      </c>
      <c r="AF132" s="56">
        <f t="shared" si="16"/>
        <v>0</v>
      </c>
      <c r="AG132" s="56">
        <f t="shared" si="17"/>
        <v>0</v>
      </c>
      <c r="AH132" s="56">
        <f t="shared" si="18"/>
        <v>0</v>
      </c>
      <c r="AI132" s="56">
        <f t="shared" si="19"/>
        <v>0</v>
      </c>
      <c r="AJ132" s="56">
        <f t="shared" si="20"/>
        <v>0</v>
      </c>
      <c r="AK132" s="56">
        <f t="shared" si="21"/>
        <v>0</v>
      </c>
      <c r="AL132" s="56">
        <f t="shared" si="22"/>
        <v>0</v>
      </c>
      <c r="AM132" s="56">
        <f t="shared" si="28"/>
        <v>0</v>
      </c>
      <c r="AN132" s="60">
        <f t="shared" si="23"/>
        <v>0</v>
      </c>
      <c r="AO132" s="59">
        <f t="shared" si="24"/>
        <v>0</v>
      </c>
      <c r="AP132" s="59">
        <f t="shared" si="25"/>
        <v>0</v>
      </c>
    </row>
    <row r="133" spans="3:42" s="17" customFormat="1" x14ac:dyDescent="0.25">
      <c r="C133" s="241" t="s">
        <v>213</v>
      </c>
      <c r="D133" s="242"/>
      <c r="E133" s="88"/>
      <c r="F133" s="217"/>
      <c r="G133" s="234"/>
      <c r="H133" s="218"/>
      <c r="I133" s="76"/>
      <c r="J133" s="77"/>
      <c r="K133" s="77"/>
      <c r="L133" s="76"/>
      <c r="M133" s="110"/>
      <c r="N133" s="152"/>
      <c r="O133" s="111" t="str">
        <f>IFERROR(MIN(VLOOKUP(ROUNDDOWN(N133,0),'Aide calcul'!$B$2:$C$282,2,FALSE),M133+1),"")</f>
        <v/>
      </c>
      <c r="P133" s="112" t="str">
        <f t="shared" si="26"/>
        <v/>
      </c>
      <c r="Q133" s="170"/>
      <c r="R133" s="170"/>
      <c r="S133" s="170"/>
      <c r="T133" s="170"/>
      <c r="U133" s="170"/>
      <c r="V133" s="170"/>
      <c r="W133" s="170"/>
      <c r="X133" s="76"/>
      <c r="Y133" s="76"/>
      <c r="Z133" s="113" t="str">
        <f>IFERROR(ROUND('Informations générales'!$E$66*(AE133/SUM($AE$28:$AE$404))/12,0)*12,"")</f>
        <v/>
      </c>
      <c r="AA133" s="114"/>
      <c r="AB133" s="113" t="str">
        <f t="shared" si="15"/>
        <v/>
      </c>
      <c r="AC133" s="89"/>
      <c r="AD133" s="76"/>
      <c r="AE133" s="56">
        <f t="shared" si="27"/>
        <v>0</v>
      </c>
      <c r="AF133" s="56">
        <f t="shared" si="16"/>
        <v>0</v>
      </c>
      <c r="AG133" s="56">
        <f t="shared" si="17"/>
        <v>0</v>
      </c>
      <c r="AH133" s="56">
        <f t="shared" si="18"/>
        <v>0</v>
      </c>
      <c r="AI133" s="56">
        <f t="shared" si="19"/>
        <v>0</v>
      </c>
      <c r="AJ133" s="56">
        <f t="shared" si="20"/>
        <v>0</v>
      </c>
      <c r="AK133" s="56">
        <f t="shared" si="21"/>
        <v>0</v>
      </c>
      <c r="AL133" s="56">
        <f t="shared" si="22"/>
        <v>0</v>
      </c>
      <c r="AM133" s="56">
        <f t="shared" si="28"/>
        <v>0</v>
      </c>
      <c r="AN133" s="60">
        <f t="shared" si="23"/>
        <v>0</v>
      </c>
      <c r="AO133" s="59">
        <f t="shared" si="24"/>
        <v>0</v>
      </c>
      <c r="AP133" s="59">
        <f t="shared" si="25"/>
        <v>0</v>
      </c>
    </row>
    <row r="134" spans="3:42" s="17" customFormat="1" x14ac:dyDescent="0.25">
      <c r="C134" s="241" t="s">
        <v>213</v>
      </c>
      <c r="D134" s="242"/>
      <c r="E134" s="88"/>
      <c r="F134" s="217"/>
      <c r="G134" s="234"/>
      <c r="H134" s="218"/>
      <c r="I134" s="76"/>
      <c r="J134" s="77"/>
      <c r="K134" s="77"/>
      <c r="L134" s="76"/>
      <c r="M134" s="110"/>
      <c r="N134" s="152"/>
      <c r="O134" s="111" t="str">
        <f>IFERROR(MIN(VLOOKUP(ROUNDDOWN(N134,0),'Aide calcul'!$B$2:$C$282,2,FALSE),M134+1),"")</f>
        <v/>
      </c>
      <c r="P134" s="112" t="str">
        <f t="shared" si="26"/>
        <v/>
      </c>
      <c r="Q134" s="170"/>
      <c r="R134" s="170"/>
      <c r="S134" s="170"/>
      <c r="T134" s="170"/>
      <c r="U134" s="170"/>
      <c r="V134" s="170"/>
      <c r="W134" s="170"/>
      <c r="X134" s="76"/>
      <c r="Y134" s="76"/>
      <c r="Z134" s="113" t="str">
        <f>IFERROR(ROUND('Informations générales'!$E$66*(AE134/SUM($AE$28:$AE$404))/12,0)*12,"")</f>
        <v/>
      </c>
      <c r="AA134" s="114"/>
      <c r="AB134" s="113" t="str">
        <f t="shared" si="15"/>
        <v/>
      </c>
      <c r="AC134" s="89"/>
      <c r="AD134" s="76"/>
      <c r="AE134" s="56">
        <f t="shared" si="27"/>
        <v>0</v>
      </c>
      <c r="AF134" s="56">
        <f t="shared" si="16"/>
        <v>0</v>
      </c>
      <c r="AG134" s="56">
        <f t="shared" si="17"/>
        <v>0</v>
      </c>
      <c r="AH134" s="56">
        <f t="shared" si="18"/>
        <v>0</v>
      </c>
      <c r="AI134" s="56">
        <f t="shared" si="19"/>
        <v>0</v>
      </c>
      <c r="AJ134" s="56">
        <f t="shared" si="20"/>
        <v>0</v>
      </c>
      <c r="AK134" s="56">
        <f t="shared" si="21"/>
        <v>0</v>
      </c>
      <c r="AL134" s="56">
        <f t="shared" si="22"/>
        <v>0</v>
      </c>
      <c r="AM134" s="56">
        <f t="shared" si="28"/>
        <v>0</v>
      </c>
      <c r="AN134" s="60">
        <f t="shared" si="23"/>
        <v>0</v>
      </c>
      <c r="AO134" s="59">
        <f t="shared" si="24"/>
        <v>0</v>
      </c>
      <c r="AP134" s="59">
        <f t="shared" si="25"/>
        <v>0</v>
      </c>
    </row>
    <row r="135" spans="3:42" s="17" customFormat="1" x14ac:dyDescent="0.25">
      <c r="C135" s="241" t="s">
        <v>213</v>
      </c>
      <c r="D135" s="242"/>
      <c r="E135" s="88"/>
      <c r="F135" s="217"/>
      <c r="G135" s="234"/>
      <c r="H135" s="218"/>
      <c r="I135" s="76"/>
      <c r="J135" s="77"/>
      <c r="K135" s="77"/>
      <c r="L135" s="76"/>
      <c r="M135" s="110"/>
      <c r="N135" s="152"/>
      <c r="O135" s="111" t="str">
        <f>IFERROR(MIN(VLOOKUP(ROUNDDOWN(N135,0),'Aide calcul'!$B$2:$C$282,2,FALSE),M135+1),"")</f>
        <v/>
      </c>
      <c r="P135" s="112" t="str">
        <f t="shared" si="26"/>
        <v/>
      </c>
      <c r="Q135" s="170"/>
      <c r="R135" s="170"/>
      <c r="S135" s="170"/>
      <c r="T135" s="170"/>
      <c r="U135" s="170"/>
      <c r="V135" s="170"/>
      <c r="W135" s="170"/>
      <c r="X135" s="76"/>
      <c r="Y135" s="76"/>
      <c r="Z135" s="113" t="str">
        <f>IFERROR(ROUND('Informations générales'!$E$66*(AE135/SUM($AE$28:$AE$404))/12,0)*12,"")</f>
        <v/>
      </c>
      <c r="AA135" s="114"/>
      <c r="AB135" s="113" t="str">
        <f t="shared" si="15"/>
        <v/>
      </c>
      <c r="AC135" s="89"/>
      <c r="AD135" s="76"/>
      <c r="AE135" s="56">
        <f t="shared" si="27"/>
        <v>0</v>
      </c>
      <c r="AF135" s="56">
        <f t="shared" si="16"/>
        <v>0</v>
      </c>
      <c r="AG135" s="56">
        <f t="shared" si="17"/>
        <v>0</v>
      </c>
      <c r="AH135" s="56">
        <f t="shared" si="18"/>
        <v>0</v>
      </c>
      <c r="AI135" s="56">
        <f t="shared" si="19"/>
        <v>0</v>
      </c>
      <c r="AJ135" s="56">
        <f t="shared" si="20"/>
        <v>0</v>
      </c>
      <c r="AK135" s="56">
        <f t="shared" si="21"/>
        <v>0</v>
      </c>
      <c r="AL135" s="56">
        <f t="shared" si="22"/>
        <v>0</v>
      </c>
      <c r="AM135" s="56">
        <f t="shared" si="28"/>
        <v>0</v>
      </c>
      <c r="AN135" s="60">
        <f t="shared" si="23"/>
        <v>0</v>
      </c>
      <c r="AO135" s="59">
        <f t="shared" si="24"/>
        <v>0</v>
      </c>
      <c r="AP135" s="59">
        <f t="shared" si="25"/>
        <v>0</v>
      </c>
    </row>
    <row r="136" spans="3:42" s="17" customFormat="1" x14ac:dyDescent="0.25">
      <c r="C136" s="241" t="s">
        <v>213</v>
      </c>
      <c r="D136" s="242"/>
      <c r="E136" s="88"/>
      <c r="F136" s="217"/>
      <c r="G136" s="234"/>
      <c r="H136" s="218"/>
      <c r="I136" s="76"/>
      <c r="J136" s="77"/>
      <c r="K136" s="77"/>
      <c r="L136" s="76"/>
      <c r="M136" s="110"/>
      <c r="N136" s="152"/>
      <c r="O136" s="111" t="str">
        <f>IFERROR(MIN(VLOOKUP(ROUNDDOWN(N136,0),'Aide calcul'!$B$2:$C$282,2,FALSE),M136+1),"")</f>
        <v/>
      </c>
      <c r="P136" s="112" t="str">
        <f t="shared" si="26"/>
        <v/>
      </c>
      <c r="Q136" s="170"/>
      <c r="R136" s="170"/>
      <c r="S136" s="170"/>
      <c r="T136" s="170"/>
      <c r="U136" s="170"/>
      <c r="V136" s="170"/>
      <c r="W136" s="170"/>
      <c r="X136" s="76"/>
      <c r="Y136" s="76"/>
      <c r="Z136" s="113" t="str">
        <f>IFERROR(ROUND('Informations générales'!$E$66*(AE136/SUM($AE$28:$AE$404))/12,0)*12,"")</f>
        <v/>
      </c>
      <c r="AA136" s="114"/>
      <c r="AB136" s="113" t="str">
        <f t="shared" si="15"/>
        <v/>
      </c>
      <c r="AC136" s="89"/>
      <c r="AD136" s="76"/>
      <c r="AE136" s="56">
        <f t="shared" si="27"/>
        <v>0</v>
      </c>
      <c r="AF136" s="56">
        <f t="shared" si="16"/>
        <v>0</v>
      </c>
      <c r="AG136" s="56">
        <f t="shared" si="17"/>
        <v>0</v>
      </c>
      <c r="AH136" s="56">
        <f t="shared" si="18"/>
        <v>0</v>
      </c>
      <c r="AI136" s="56">
        <f t="shared" si="19"/>
        <v>0</v>
      </c>
      <c r="AJ136" s="56">
        <f t="shared" si="20"/>
        <v>0</v>
      </c>
      <c r="AK136" s="56">
        <f t="shared" si="21"/>
        <v>0</v>
      </c>
      <c r="AL136" s="56">
        <f t="shared" si="22"/>
        <v>0</v>
      </c>
      <c r="AM136" s="56">
        <f t="shared" si="28"/>
        <v>0</v>
      </c>
      <c r="AN136" s="60">
        <f t="shared" si="23"/>
        <v>0</v>
      </c>
      <c r="AO136" s="59">
        <f t="shared" si="24"/>
        <v>0</v>
      </c>
      <c r="AP136" s="59">
        <f t="shared" si="25"/>
        <v>0</v>
      </c>
    </row>
    <row r="137" spans="3:42" s="17" customFormat="1" x14ac:dyDescent="0.25">
      <c r="C137" s="241" t="s">
        <v>213</v>
      </c>
      <c r="D137" s="242"/>
      <c r="E137" s="88"/>
      <c r="F137" s="217"/>
      <c r="G137" s="234"/>
      <c r="H137" s="218"/>
      <c r="I137" s="76"/>
      <c r="J137" s="77"/>
      <c r="K137" s="77"/>
      <c r="L137" s="76"/>
      <c r="M137" s="110"/>
      <c r="N137" s="152"/>
      <c r="O137" s="111" t="str">
        <f>IFERROR(MIN(VLOOKUP(ROUNDDOWN(N137,0),'Aide calcul'!$B$2:$C$282,2,FALSE),M137+1),"")</f>
        <v/>
      </c>
      <c r="P137" s="112" t="str">
        <f t="shared" si="26"/>
        <v/>
      </c>
      <c r="Q137" s="170"/>
      <c r="R137" s="170"/>
      <c r="S137" s="170"/>
      <c r="T137" s="170"/>
      <c r="U137" s="170"/>
      <c r="V137" s="170"/>
      <c r="W137" s="170"/>
      <c r="X137" s="76"/>
      <c r="Y137" s="76"/>
      <c r="Z137" s="113" t="str">
        <f>IFERROR(ROUND('Informations générales'!$E$66*(AE137/SUM($AE$28:$AE$404))/12,0)*12,"")</f>
        <v/>
      </c>
      <c r="AA137" s="114"/>
      <c r="AB137" s="113" t="str">
        <f t="shared" si="15"/>
        <v/>
      </c>
      <c r="AC137" s="89"/>
      <c r="AD137" s="76"/>
      <c r="AE137" s="56">
        <f t="shared" si="27"/>
        <v>0</v>
      </c>
      <c r="AF137" s="56">
        <f t="shared" si="16"/>
        <v>0</v>
      </c>
      <c r="AG137" s="56">
        <f t="shared" si="17"/>
        <v>0</v>
      </c>
      <c r="AH137" s="56">
        <f t="shared" si="18"/>
        <v>0</v>
      </c>
      <c r="AI137" s="56">
        <f t="shared" si="19"/>
        <v>0</v>
      </c>
      <c r="AJ137" s="56">
        <f t="shared" si="20"/>
        <v>0</v>
      </c>
      <c r="AK137" s="56">
        <f t="shared" si="21"/>
        <v>0</v>
      </c>
      <c r="AL137" s="56">
        <f t="shared" si="22"/>
        <v>0</v>
      </c>
      <c r="AM137" s="56">
        <f t="shared" si="28"/>
        <v>0</v>
      </c>
      <c r="AN137" s="60">
        <f t="shared" si="23"/>
        <v>0</v>
      </c>
      <c r="AO137" s="59">
        <f t="shared" si="24"/>
        <v>0</v>
      </c>
      <c r="AP137" s="59">
        <f t="shared" si="25"/>
        <v>0</v>
      </c>
    </row>
    <row r="138" spans="3:42" s="17" customFormat="1" x14ac:dyDescent="0.25">
      <c r="C138" s="241" t="s">
        <v>213</v>
      </c>
      <c r="D138" s="242"/>
      <c r="E138" s="88"/>
      <c r="F138" s="217"/>
      <c r="G138" s="234"/>
      <c r="H138" s="218"/>
      <c r="I138" s="76"/>
      <c r="J138" s="77"/>
      <c r="K138" s="77"/>
      <c r="L138" s="76"/>
      <c r="M138" s="110"/>
      <c r="N138" s="152"/>
      <c r="O138" s="111" t="str">
        <f>IFERROR(MIN(VLOOKUP(ROUNDDOWN(N138,0),'Aide calcul'!$B$2:$C$282,2,FALSE),M138+1),"")</f>
        <v/>
      </c>
      <c r="P138" s="112" t="str">
        <f t="shared" si="26"/>
        <v/>
      </c>
      <c r="Q138" s="170"/>
      <c r="R138" s="170"/>
      <c r="S138" s="170"/>
      <c r="T138" s="170"/>
      <c r="U138" s="170"/>
      <c r="V138" s="170"/>
      <c r="W138" s="170"/>
      <c r="X138" s="76"/>
      <c r="Y138" s="76"/>
      <c r="Z138" s="113" t="str">
        <f>IFERROR(ROUND('Informations générales'!$E$66*(AE138/SUM($AE$28:$AE$404))/12,0)*12,"")</f>
        <v/>
      </c>
      <c r="AA138" s="114"/>
      <c r="AB138" s="113" t="str">
        <f t="shared" si="15"/>
        <v/>
      </c>
      <c r="AC138" s="89"/>
      <c r="AD138" s="76"/>
      <c r="AE138" s="56">
        <f t="shared" si="27"/>
        <v>0</v>
      </c>
      <c r="AF138" s="56">
        <f t="shared" si="16"/>
        <v>0</v>
      </c>
      <c r="AG138" s="56">
        <f t="shared" si="17"/>
        <v>0</v>
      </c>
      <c r="AH138" s="56">
        <f t="shared" si="18"/>
        <v>0</v>
      </c>
      <c r="AI138" s="56">
        <f t="shared" si="19"/>
        <v>0</v>
      </c>
      <c r="AJ138" s="56">
        <f t="shared" si="20"/>
        <v>0</v>
      </c>
      <c r="AK138" s="56">
        <f t="shared" si="21"/>
        <v>0</v>
      </c>
      <c r="AL138" s="56">
        <f t="shared" si="22"/>
        <v>0</v>
      </c>
      <c r="AM138" s="56">
        <f t="shared" si="28"/>
        <v>0</v>
      </c>
      <c r="AN138" s="60">
        <f t="shared" si="23"/>
        <v>0</v>
      </c>
      <c r="AO138" s="59">
        <f t="shared" si="24"/>
        <v>0</v>
      </c>
      <c r="AP138" s="59">
        <f t="shared" si="25"/>
        <v>0</v>
      </c>
    </row>
    <row r="139" spans="3:42" s="17" customFormat="1" x14ac:dyDescent="0.25">
      <c r="C139" s="241" t="s">
        <v>213</v>
      </c>
      <c r="D139" s="242"/>
      <c r="E139" s="88"/>
      <c r="F139" s="217"/>
      <c r="G139" s="234"/>
      <c r="H139" s="218"/>
      <c r="I139" s="76"/>
      <c r="J139" s="77"/>
      <c r="K139" s="77"/>
      <c r="L139" s="76"/>
      <c r="M139" s="110"/>
      <c r="N139" s="152"/>
      <c r="O139" s="111" t="str">
        <f>IFERROR(MIN(VLOOKUP(ROUNDDOWN(N139,0),'Aide calcul'!$B$2:$C$282,2,FALSE),M139+1),"")</f>
        <v/>
      </c>
      <c r="P139" s="112" t="str">
        <f t="shared" si="26"/>
        <v/>
      </c>
      <c r="Q139" s="170"/>
      <c r="R139" s="170"/>
      <c r="S139" s="170"/>
      <c r="T139" s="170"/>
      <c r="U139" s="170"/>
      <c r="V139" s="170"/>
      <c r="W139" s="170"/>
      <c r="X139" s="76"/>
      <c r="Y139" s="76"/>
      <c r="Z139" s="113" t="str">
        <f>IFERROR(ROUND('Informations générales'!$E$66*(AE139/SUM($AE$28:$AE$404))/12,0)*12,"")</f>
        <v/>
      </c>
      <c r="AA139" s="114"/>
      <c r="AB139" s="113" t="str">
        <f t="shared" si="15"/>
        <v/>
      </c>
      <c r="AC139" s="89"/>
      <c r="AD139" s="76"/>
      <c r="AE139" s="56">
        <f t="shared" si="27"/>
        <v>0</v>
      </c>
      <c r="AF139" s="56">
        <f t="shared" si="16"/>
        <v>0</v>
      </c>
      <c r="AG139" s="56">
        <f t="shared" si="17"/>
        <v>0</v>
      </c>
      <c r="AH139" s="56">
        <f t="shared" si="18"/>
        <v>0</v>
      </c>
      <c r="AI139" s="56">
        <f t="shared" si="19"/>
        <v>0</v>
      </c>
      <c r="AJ139" s="56">
        <f t="shared" si="20"/>
        <v>0</v>
      </c>
      <c r="AK139" s="56">
        <f t="shared" si="21"/>
        <v>0</v>
      </c>
      <c r="AL139" s="56">
        <f t="shared" si="22"/>
        <v>0</v>
      </c>
      <c r="AM139" s="56">
        <f t="shared" si="28"/>
        <v>0</v>
      </c>
      <c r="AN139" s="60">
        <f t="shared" si="23"/>
        <v>0</v>
      </c>
      <c r="AO139" s="59">
        <f t="shared" si="24"/>
        <v>0</v>
      </c>
      <c r="AP139" s="59">
        <f t="shared" si="25"/>
        <v>0</v>
      </c>
    </row>
    <row r="140" spans="3:42" s="17" customFormat="1" x14ac:dyDescent="0.25">
      <c r="C140" s="241" t="s">
        <v>213</v>
      </c>
      <c r="D140" s="242"/>
      <c r="E140" s="88"/>
      <c r="F140" s="217"/>
      <c r="G140" s="234"/>
      <c r="H140" s="218"/>
      <c r="I140" s="76"/>
      <c r="J140" s="77"/>
      <c r="K140" s="77"/>
      <c r="L140" s="76"/>
      <c r="M140" s="110"/>
      <c r="N140" s="152"/>
      <c r="O140" s="111" t="str">
        <f>IFERROR(MIN(VLOOKUP(ROUNDDOWN(N140,0),'Aide calcul'!$B$2:$C$282,2,FALSE),M140+1),"")</f>
        <v/>
      </c>
      <c r="P140" s="112" t="str">
        <f t="shared" si="26"/>
        <v/>
      </c>
      <c r="Q140" s="170"/>
      <c r="R140" s="170"/>
      <c r="S140" s="170"/>
      <c r="T140" s="170"/>
      <c r="U140" s="170"/>
      <c r="V140" s="170"/>
      <c r="W140" s="170"/>
      <c r="X140" s="76"/>
      <c r="Y140" s="76"/>
      <c r="Z140" s="113" t="str">
        <f>IFERROR(ROUND('Informations générales'!$E$66*(AE140/SUM($AE$28:$AE$404))/12,0)*12,"")</f>
        <v/>
      </c>
      <c r="AA140" s="114"/>
      <c r="AB140" s="113" t="str">
        <f t="shared" si="15"/>
        <v/>
      </c>
      <c r="AC140" s="89"/>
      <c r="AD140" s="76"/>
      <c r="AE140" s="56">
        <f t="shared" si="27"/>
        <v>0</v>
      </c>
      <c r="AF140" s="56">
        <f t="shared" si="16"/>
        <v>0</v>
      </c>
      <c r="AG140" s="56">
        <f t="shared" si="17"/>
        <v>0</v>
      </c>
      <c r="AH140" s="56">
        <f t="shared" si="18"/>
        <v>0</v>
      </c>
      <c r="AI140" s="56">
        <f t="shared" si="19"/>
        <v>0</v>
      </c>
      <c r="AJ140" s="56">
        <f t="shared" si="20"/>
        <v>0</v>
      </c>
      <c r="AK140" s="56">
        <f t="shared" si="21"/>
        <v>0</v>
      </c>
      <c r="AL140" s="56">
        <f t="shared" si="22"/>
        <v>0</v>
      </c>
      <c r="AM140" s="56">
        <f t="shared" si="28"/>
        <v>0</v>
      </c>
      <c r="AN140" s="60">
        <f t="shared" si="23"/>
        <v>0</v>
      </c>
      <c r="AO140" s="59">
        <f t="shared" si="24"/>
        <v>0</v>
      </c>
      <c r="AP140" s="59">
        <f t="shared" si="25"/>
        <v>0</v>
      </c>
    </row>
    <row r="141" spans="3:42" s="17" customFormat="1" x14ac:dyDescent="0.25">
      <c r="C141" s="241" t="s">
        <v>213</v>
      </c>
      <c r="D141" s="242"/>
      <c r="E141" s="88"/>
      <c r="F141" s="217"/>
      <c r="G141" s="234"/>
      <c r="H141" s="218"/>
      <c r="I141" s="76"/>
      <c r="J141" s="77"/>
      <c r="K141" s="77"/>
      <c r="L141" s="76"/>
      <c r="M141" s="110"/>
      <c r="N141" s="152"/>
      <c r="O141" s="111" t="str">
        <f>IFERROR(MIN(VLOOKUP(ROUNDDOWN(N141,0),'Aide calcul'!$B$2:$C$282,2,FALSE),M141+1),"")</f>
        <v/>
      </c>
      <c r="P141" s="112" t="str">
        <f t="shared" si="26"/>
        <v/>
      </c>
      <c r="Q141" s="170"/>
      <c r="R141" s="170"/>
      <c r="S141" s="170"/>
      <c r="T141" s="170"/>
      <c r="U141" s="170"/>
      <c r="V141" s="170"/>
      <c r="W141" s="170"/>
      <c r="X141" s="76"/>
      <c r="Y141" s="76"/>
      <c r="Z141" s="113" t="str">
        <f>IFERROR(ROUND('Informations générales'!$E$66*(AE141/SUM($AE$28:$AE$404))/12,0)*12,"")</f>
        <v/>
      </c>
      <c r="AA141" s="114"/>
      <c r="AB141" s="113" t="str">
        <f t="shared" si="15"/>
        <v/>
      </c>
      <c r="AC141" s="89"/>
      <c r="AD141" s="76"/>
      <c r="AE141" s="56">
        <f t="shared" si="27"/>
        <v>0</v>
      </c>
      <c r="AF141" s="56">
        <f t="shared" si="16"/>
        <v>0</v>
      </c>
      <c r="AG141" s="56">
        <f t="shared" si="17"/>
        <v>0</v>
      </c>
      <c r="AH141" s="56">
        <f t="shared" si="18"/>
        <v>0</v>
      </c>
      <c r="AI141" s="56">
        <f t="shared" si="19"/>
        <v>0</v>
      </c>
      <c r="AJ141" s="56">
        <f t="shared" si="20"/>
        <v>0</v>
      </c>
      <c r="AK141" s="56">
        <f t="shared" si="21"/>
        <v>0</v>
      </c>
      <c r="AL141" s="56">
        <f t="shared" si="22"/>
        <v>0</v>
      </c>
      <c r="AM141" s="56">
        <f t="shared" si="28"/>
        <v>0</v>
      </c>
      <c r="AN141" s="60">
        <f t="shared" si="23"/>
        <v>0</v>
      </c>
      <c r="AO141" s="59">
        <f t="shared" si="24"/>
        <v>0</v>
      </c>
      <c r="AP141" s="59">
        <f t="shared" si="25"/>
        <v>0</v>
      </c>
    </row>
    <row r="142" spans="3:42" s="17" customFormat="1" x14ac:dyDescent="0.25">
      <c r="C142" s="241" t="s">
        <v>213</v>
      </c>
      <c r="D142" s="242"/>
      <c r="E142" s="88"/>
      <c r="F142" s="217"/>
      <c r="G142" s="234"/>
      <c r="H142" s="218"/>
      <c r="I142" s="76"/>
      <c r="J142" s="77"/>
      <c r="K142" s="77"/>
      <c r="L142" s="76"/>
      <c r="M142" s="110"/>
      <c r="N142" s="152"/>
      <c r="O142" s="111" t="str">
        <f>IFERROR(MIN(VLOOKUP(ROUNDDOWN(N142,0),'Aide calcul'!$B$2:$C$282,2,FALSE),M142+1),"")</f>
        <v/>
      </c>
      <c r="P142" s="112" t="str">
        <f t="shared" si="26"/>
        <v/>
      </c>
      <c r="Q142" s="170"/>
      <c r="R142" s="170"/>
      <c r="S142" s="170"/>
      <c r="T142" s="170"/>
      <c r="U142" s="170"/>
      <c r="V142" s="170"/>
      <c r="W142" s="170"/>
      <c r="X142" s="76"/>
      <c r="Y142" s="76"/>
      <c r="Z142" s="113" t="str">
        <f>IFERROR(ROUND('Informations générales'!$E$66*(AE142/SUM($AE$28:$AE$404))/12,0)*12,"")</f>
        <v/>
      </c>
      <c r="AA142" s="114"/>
      <c r="AB142" s="113" t="str">
        <f t="shared" si="15"/>
        <v/>
      </c>
      <c r="AC142" s="89"/>
      <c r="AD142" s="76"/>
      <c r="AE142" s="56">
        <f t="shared" si="27"/>
        <v>0</v>
      </c>
      <c r="AF142" s="56">
        <f t="shared" si="16"/>
        <v>0</v>
      </c>
      <c r="AG142" s="56">
        <f t="shared" si="17"/>
        <v>0</v>
      </c>
      <c r="AH142" s="56">
        <f t="shared" si="18"/>
        <v>0</v>
      </c>
      <c r="AI142" s="56">
        <f t="shared" si="19"/>
        <v>0</v>
      </c>
      <c r="AJ142" s="56">
        <f t="shared" si="20"/>
        <v>0</v>
      </c>
      <c r="AK142" s="56">
        <f t="shared" si="21"/>
        <v>0</v>
      </c>
      <c r="AL142" s="56">
        <f t="shared" si="22"/>
        <v>0</v>
      </c>
      <c r="AM142" s="56">
        <f t="shared" si="28"/>
        <v>0</v>
      </c>
      <c r="AN142" s="60">
        <f t="shared" si="23"/>
        <v>0</v>
      </c>
      <c r="AO142" s="59">
        <f t="shared" si="24"/>
        <v>0</v>
      </c>
      <c r="AP142" s="59">
        <f t="shared" si="25"/>
        <v>0</v>
      </c>
    </row>
    <row r="143" spans="3:42" s="17" customFormat="1" x14ac:dyDescent="0.25">
      <c r="C143" s="241" t="s">
        <v>213</v>
      </c>
      <c r="D143" s="242"/>
      <c r="E143" s="88"/>
      <c r="F143" s="217"/>
      <c r="G143" s="234"/>
      <c r="H143" s="218"/>
      <c r="I143" s="76"/>
      <c r="J143" s="77"/>
      <c r="K143" s="77"/>
      <c r="L143" s="76"/>
      <c r="M143" s="110"/>
      <c r="N143" s="152"/>
      <c r="O143" s="111" t="str">
        <f>IFERROR(MIN(VLOOKUP(ROUNDDOWN(N143,0),'Aide calcul'!$B$2:$C$282,2,FALSE),M143+1),"")</f>
        <v/>
      </c>
      <c r="P143" s="112" t="str">
        <f t="shared" si="26"/>
        <v/>
      </c>
      <c r="Q143" s="170"/>
      <c r="R143" s="170"/>
      <c r="S143" s="170"/>
      <c r="T143" s="170"/>
      <c r="U143" s="170"/>
      <c r="V143" s="170"/>
      <c r="W143" s="170"/>
      <c r="X143" s="76"/>
      <c r="Y143" s="76"/>
      <c r="Z143" s="113" t="str">
        <f>IFERROR(ROUND('Informations générales'!$E$66*(AE143/SUM($AE$28:$AE$404))/12,0)*12,"")</f>
        <v/>
      </c>
      <c r="AA143" s="114"/>
      <c r="AB143" s="113" t="str">
        <f t="shared" si="15"/>
        <v/>
      </c>
      <c r="AC143" s="89"/>
      <c r="AD143" s="76"/>
      <c r="AE143" s="56">
        <f t="shared" si="27"/>
        <v>0</v>
      </c>
      <c r="AF143" s="56">
        <f t="shared" si="16"/>
        <v>0</v>
      </c>
      <c r="AG143" s="56">
        <f t="shared" si="17"/>
        <v>0</v>
      </c>
      <c r="AH143" s="56">
        <f t="shared" si="18"/>
        <v>0</v>
      </c>
      <c r="AI143" s="56">
        <f t="shared" si="19"/>
        <v>0</v>
      </c>
      <c r="AJ143" s="56">
        <f t="shared" si="20"/>
        <v>0</v>
      </c>
      <c r="AK143" s="56">
        <f t="shared" si="21"/>
        <v>0</v>
      </c>
      <c r="AL143" s="56">
        <f t="shared" si="22"/>
        <v>0</v>
      </c>
      <c r="AM143" s="56">
        <f t="shared" si="28"/>
        <v>0</v>
      </c>
      <c r="AN143" s="60">
        <f t="shared" si="23"/>
        <v>0</v>
      </c>
      <c r="AO143" s="59">
        <f t="shared" si="24"/>
        <v>0</v>
      </c>
      <c r="AP143" s="59">
        <f t="shared" si="25"/>
        <v>0</v>
      </c>
    </row>
    <row r="144" spans="3:42" s="17" customFormat="1" x14ac:dyDescent="0.25">
      <c r="C144" s="241" t="s">
        <v>213</v>
      </c>
      <c r="D144" s="242"/>
      <c r="E144" s="88"/>
      <c r="F144" s="217"/>
      <c r="G144" s="234"/>
      <c r="H144" s="218"/>
      <c r="I144" s="76"/>
      <c r="J144" s="77"/>
      <c r="K144" s="77"/>
      <c r="L144" s="76"/>
      <c r="M144" s="110"/>
      <c r="N144" s="152"/>
      <c r="O144" s="111" t="str">
        <f>IFERROR(MIN(VLOOKUP(ROUNDDOWN(N144,0),'Aide calcul'!$B$2:$C$282,2,FALSE),M144+1),"")</f>
        <v/>
      </c>
      <c r="P144" s="112" t="str">
        <f t="shared" si="26"/>
        <v/>
      </c>
      <c r="Q144" s="170"/>
      <c r="R144" s="170"/>
      <c r="S144" s="170"/>
      <c r="T144" s="170"/>
      <c r="U144" s="170"/>
      <c r="V144" s="170"/>
      <c r="W144" s="170"/>
      <c r="X144" s="76"/>
      <c r="Y144" s="76"/>
      <c r="Z144" s="113" t="str">
        <f>IFERROR(ROUND('Informations générales'!$E$66*(AE144/SUM($AE$28:$AE$404))/12,0)*12,"")</f>
        <v/>
      </c>
      <c r="AA144" s="114"/>
      <c r="AB144" s="113" t="str">
        <f t="shared" si="15"/>
        <v/>
      </c>
      <c r="AC144" s="89"/>
      <c r="AD144" s="76"/>
      <c r="AE144" s="56">
        <f t="shared" si="27"/>
        <v>0</v>
      </c>
      <c r="AF144" s="56">
        <f t="shared" si="16"/>
        <v>0</v>
      </c>
      <c r="AG144" s="56">
        <f t="shared" si="17"/>
        <v>0</v>
      </c>
      <c r="AH144" s="56">
        <f t="shared" si="18"/>
        <v>0</v>
      </c>
      <c r="AI144" s="56">
        <f t="shared" si="19"/>
        <v>0</v>
      </c>
      <c r="AJ144" s="56">
        <f t="shared" si="20"/>
        <v>0</v>
      </c>
      <c r="AK144" s="56">
        <f t="shared" si="21"/>
        <v>0</v>
      </c>
      <c r="AL144" s="56">
        <f t="shared" si="22"/>
        <v>0</v>
      </c>
      <c r="AM144" s="56">
        <f t="shared" si="28"/>
        <v>0</v>
      </c>
      <c r="AN144" s="60">
        <f t="shared" si="23"/>
        <v>0</v>
      </c>
      <c r="AO144" s="59">
        <f t="shared" si="24"/>
        <v>0</v>
      </c>
      <c r="AP144" s="59">
        <f t="shared" si="25"/>
        <v>0</v>
      </c>
    </row>
    <row r="145" spans="3:42" s="17" customFormat="1" x14ac:dyDescent="0.25">
      <c r="C145" s="241" t="s">
        <v>213</v>
      </c>
      <c r="D145" s="242"/>
      <c r="E145" s="88"/>
      <c r="F145" s="217"/>
      <c r="G145" s="234"/>
      <c r="H145" s="218"/>
      <c r="I145" s="76"/>
      <c r="J145" s="77"/>
      <c r="K145" s="77"/>
      <c r="L145" s="76"/>
      <c r="M145" s="110"/>
      <c r="N145" s="152"/>
      <c r="O145" s="111" t="str">
        <f>IFERROR(MIN(VLOOKUP(ROUNDDOWN(N145,0),'Aide calcul'!$B$2:$C$282,2,FALSE),M145+1),"")</f>
        <v/>
      </c>
      <c r="P145" s="112" t="str">
        <f t="shared" si="26"/>
        <v/>
      </c>
      <c r="Q145" s="170"/>
      <c r="R145" s="170"/>
      <c r="S145" s="170"/>
      <c r="T145" s="170"/>
      <c r="U145" s="170"/>
      <c r="V145" s="170"/>
      <c r="W145" s="170"/>
      <c r="X145" s="76"/>
      <c r="Y145" s="76"/>
      <c r="Z145" s="113" t="str">
        <f>IFERROR(ROUND('Informations générales'!$E$66*(AE145/SUM($AE$28:$AE$404))/12,0)*12,"")</f>
        <v/>
      </c>
      <c r="AA145" s="114"/>
      <c r="AB145" s="113" t="str">
        <f t="shared" si="15"/>
        <v/>
      </c>
      <c r="AC145" s="89"/>
      <c r="AD145" s="76"/>
      <c r="AE145" s="56">
        <f t="shared" si="27"/>
        <v>0</v>
      </c>
      <c r="AF145" s="56">
        <f t="shared" si="16"/>
        <v>0</v>
      </c>
      <c r="AG145" s="56">
        <f t="shared" si="17"/>
        <v>0</v>
      </c>
      <c r="AH145" s="56">
        <f t="shared" si="18"/>
        <v>0</v>
      </c>
      <c r="AI145" s="56">
        <f t="shared" si="19"/>
        <v>0</v>
      </c>
      <c r="AJ145" s="56">
        <f t="shared" si="20"/>
        <v>0</v>
      </c>
      <c r="AK145" s="56">
        <f t="shared" si="21"/>
        <v>0</v>
      </c>
      <c r="AL145" s="56">
        <f t="shared" si="22"/>
        <v>0</v>
      </c>
      <c r="AM145" s="56">
        <f t="shared" si="28"/>
        <v>0</v>
      </c>
      <c r="AN145" s="60">
        <f t="shared" si="23"/>
        <v>0</v>
      </c>
      <c r="AO145" s="59">
        <f t="shared" si="24"/>
        <v>0</v>
      </c>
      <c r="AP145" s="59">
        <f t="shared" si="25"/>
        <v>0</v>
      </c>
    </row>
    <row r="146" spans="3:42" s="17" customFormat="1" x14ac:dyDescent="0.25">
      <c r="C146" s="241" t="s">
        <v>213</v>
      </c>
      <c r="D146" s="242"/>
      <c r="E146" s="88"/>
      <c r="F146" s="217"/>
      <c r="G146" s="234"/>
      <c r="H146" s="218"/>
      <c r="I146" s="76"/>
      <c r="J146" s="77"/>
      <c r="K146" s="77"/>
      <c r="L146" s="76"/>
      <c r="M146" s="110"/>
      <c r="N146" s="152"/>
      <c r="O146" s="111" t="str">
        <f>IFERROR(MIN(VLOOKUP(ROUNDDOWN(N146,0),'Aide calcul'!$B$2:$C$282,2,FALSE),M146+1),"")</f>
        <v/>
      </c>
      <c r="P146" s="112" t="str">
        <f t="shared" si="26"/>
        <v/>
      </c>
      <c r="Q146" s="170"/>
      <c r="R146" s="170"/>
      <c r="S146" s="170"/>
      <c r="T146" s="170"/>
      <c r="U146" s="170"/>
      <c r="V146" s="170"/>
      <c r="W146" s="170"/>
      <c r="X146" s="76"/>
      <c r="Y146" s="76"/>
      <c r="Z146" s="113" t="str">
        <f>IFERROR(ROUND('Informations générales'!$E$66*(AE146/SUM($AE$28:$AE$404))/12,0)*12,"")</f>
        <v/>
      </c>
      <c r="AA146" s="114"/>
      <c r="AB146" s="113" t="str">
        <f t="shared" si="15"/>
        <v/>
      </c>
      <c r="AC146" s="89"/>
      <c r="AD146" s="76"/>
      <c r="AE146" s="56">
        <f t="shared" si="27"/>
        <v>0</v>
      </c>
      <c r="AF146" s="56">
        <f t="shared" si="16"/>
        <v>0</v>
      </c>
      <c r="AG146" s="56">
        <f t="shared" si="17"/>
        <v>0</v>
      </c>
      <c r="AH146" s="56">
        <f t="shared" si="18"/>
        <v>0</v>
      </c>
      <c r="AI146" s="56">
        <f t="shared" si="19"/>
        <v>0</v>
      </c>
      <c r="AJ146" s="56">
        <f t="shared" si="20"/>
        <v>0</v>
      </c>
      <c r="AK146" s="56">
        <f t="shared" si="21"/>
        <v>0</v>
      </c>
      <c r="AL146" s="56">
        <f t="shared" si="22"/>
        <v>0</v>
      </c>
      <c r="AM146" s="56">
        <f t="shared" si="28"/>
        <v>0</v>
      </c>
      <c r="AN146" s="60">
        <f t="shared" si="23"/>
        <v>0</v>
      </c>
      <c r="AO146" s="59">
        <f t="shared" si="24"/>
        <v>0</v>
      </c>
      <c r="AP146" s="59">
        <f t="shared" si="25"/>
        <v>0</v>
      </c>
    </row>
    <row r="147" spans="3:42" s="17" customFormat="1" x14ac:dyDescent="0.25">
      <c r="C147" s="241" t="s">
        <v>213</v>
      </c>
      <c r="D147" s="242"/>
      <c r="E147" s="88"/>
      <c r="F147" s="217"/>
      <c r="G147" s="234"/>
      <c r="H147" s="218"/>
      <c r="I147" s="76"/>
      <c r="J147" s="77"/>
      <c r="K147" s="77"/>
      <c r="L147" s="76"/>
      <c r="M147" s="110"/>
      <c r="N147" s="152"/>
      <c r="O147" s="111" t="str">
        <f>IFERROR(MIN(VLOOKUP(ROUNDDOWN(N147,0),'Aide calcul'!$B$2:$C$282,2,FALSE),M147+1),"")</f>
        <v/>
      </c>
      <c r="P147" s="112" t="str">
        <f t="shared" si="26"/>
        <v/>
      </c>
      <c r="Q147" s="170"/>
      <c r="R147" s="170"/>
      <c r="S147" s="170"/>
      <c r="T147" s="170"/>
      <c r="U147" s="170"/>
      <c r="V147" s="170"/>
      <c r="W147" s="170"/>
      <c r="X147" s="76"/>
      <c r="Y147" s="76"/>
      <c r="Z147" s="113" t="str">
        <f>IFERROR(ROUND('Informations générales'!$E$66*(AE147/SUM($AE$28:$AE$404))/12,0)*12,"")</f>
        <v/>
      </c>
      <c r="AA147" s="114"/>
      <c r="AB147" s="113" t="str">
        <f t="shared" si="15"/>
        <v/>
      </c>
      <c r="AC147" s="89"/>
      <c r="AD147" s="76"/>
      <c r="AE147" s="56">
        <f t="shared" si="27"/>
        <v>0</v>
      </c>
      <c r="AF147" s="56">
        <f t="shared" si="16"/>
        <v>0</v>
      </c>
      <c r="AG147" s="56">
        <f t="shared" si="17"/>
        <v>0</v>
      </c>
      <c r="AH147" s="56">
        <f t="shared" si="18"/>
        <v>0</v>
      </c>
      <c r="AI147" s="56">
        <f t="shared" si="19"/>
        <v>0</v>
      </c>
      <c r="AJ147" s="56">
        <f t="shared" si="20"/>
        <v>0</v>
      </c>
      <c r="AK147" s="56">
        <f t="shared" si="21"/>
        <v>0</v>
      </c>
      <c r="AL147" s="56">
        <f t="shared" si="22"/>
        <v>0</v>
      </c>
      <c r="AM147" s="56">
        <f t="shared" si="28"/>
        <v>0</v>
      </c>
      <c r="AN147" s="60">
        <f t="shared" si="23"/>
        <v>0</v>
      </c>
      <c r="AO147" s="59">
        <f t="shared" si="24"/>
        <v>0</v>
      </c>
      <c r="AP147" s="59">
        <f t="shared" si="25"/>
        <v>0</v>
      </c>
    </row>
    <row r="148" spans="3:42" s="17" customFormat="1" x14ac:dyDescent="0.25">
      <c r="C148" s="241" t="s">
        <v>213</v>
      </c>
      <c r="D148" s="242"/>
      <c r="E148" s="88"/>
      <c r="F148" s="217"/>
      <c r="G148" s="234"/>
      <c r="H148" s="218"/>
      <c r="I148" s="76"/>
      <c r="J148" s="77"/>
      <c r="K148" s="77"/>
      <c r="L148" s="76"/>
      <c r="M148" s="110"/>
      <c r="N148" s="152"/>
      <c r="O148" s="111" t="str">
        <f>IFERROR(MIN(VLOOKUP(ROUNDDOWN(N148,0),'Aide calcul'!$B$2:$C$282,2,FALSE),M148+1),"")</f>
        <v/>
      </c>
      <c r="P148" s="112" t="str">
        <f t="shared" si="26"/>
        <v/>
      </c>
      <c r="Q148" s="170"/>
      <c r="R148" s="170"/>
      <c r="S148" s="170"/>
      <c r="T148" s="170"/>
      <c r="U148" s="170"/>
      <c r="V148" s="170"/>
      <c r="W148" s="170"/>
      <c r="X148" s="76"/>
      <c r="Y148" s="76"/>
      <c r="Z148" s="113" t="str">
        <f>IFERROR(ROUND('Informations générales'!$E$66*(AE148/SUM($AE$28:$AE$404))/12,0)*12,"")</f>
        <v/>
      </c>
      <c r="AA148" s="114"/>
      <c r="AB148" s="113" t="str">
        <f t="shared" si="15"/>
        <v/>
      </c>
      <c r="AC148" s="89"/>
      <c r="AD148" s="76"/>
      <c r="AE148" s="56">
        <f t="shared" si="27"/>
        <v>0</v>
      </c>
      <c r="AF148" s="56">
        <f t="shared" si="16"/>
        <v>0</v>
      </c>
      <c r="AG148" s="56">
        <f t="shared" si="17"/>
        <v>0</v>
      </c>
      <c r="AH148" s="56">
        <f t="shared" si="18"/>
        <v>0</v>
      </c>
      <c r="AI148" s="56">
        <f t="shared" si="19"/>
        <v>0</v>
      </c>
      <c r="AJ148" s="56">
        <f t="shared" si="20"/>
        <v>0</v>
      </c>
      <c r="AK148" s="56">
        <f t="shared" si="21"/>
        <v>0</v>
      </c>
      <c r="AL148" s="56">
        <f t="shared" si="22"/>
        <v>0</v>
      </c>
      <c r="AM148" s="56">
        <f t="shared" si="28"/>
        <v>0</v>
      </c>
      <c r="AN148" s="60">
        <f t="shared" si="23"/>
        <v>0</v>
      </c>
      <c r="AO148" s="59">
        <f t="shared" si="24"/>
        <v>0</v>
      </c>
      <c r="AP148" s="59">
        <f t="shared" si="25"/>
        <v>0</v>
      </c>
    </row>
    <row r="149" spans="3:42" s="17" customFormat="1" x14ac:dyDescent="0.25">
      <c r="C149" s="241" t="s">
        <v>213</v>
      </c>
      <c r="D149" s="242"/>
      <c r="E149" s="88"/>
      <c r="F149" s="217"/>
      <c r="G149" s="234"/>
      <c r="H149" s="218"/>
      <c r="I149" s="76"/>
      <c r="J149" s="77"/>
      <c r="K149" s="77"/>
      <c r="L149" s="76"/>
      <c r="M149" s="110"/>
      <c r="N149" s="152"/>
      <c r="O149" s="111" t="str">
        <f>IFERROR(MIN(VLOOKUP(ROUNDDOWN(N149,0),'Aide calcul'!$B$2:$C$282,2,FALSE),M149+1),"")</f>
        <v/>
      </c>
      <c r="P149" s="112" t="str">
        <f t="shared" si="26"/>
        <v/>
      </c>
      <c r="Q149" s="170"/>
      <c r="R149" s="170"/>
      <c r="S149" s="170"/>
      <c r="T149" s="170"/>
      <c r="U149" s="170"/>
      <c r="V149" s="170"/>
      <c r="W149" s="170"/>
      <c r="X149" s="76"/>
      <c r="Y149" s="76"/>
      <c r="Z149" s="113" t="str">
        <f>IFERROR(ROUND('Informations générales'!$E$66*(AE149/SUM($AE$28:$AE$404))/12,0)*12,"")</f>
        <v/>
      </c>
      <c r="AA149" s="114"/>
      <c r="AB149" s="113" t="str">
        <f t="shared" si="15"/>
        <v/>
      </c>
      <c r="AC149" s="89"/>
      <c r="AD149" s="76"/>
      <c r="AE149" s="56">
        <f t="shared" si="27"/>
        <v>0</v>
      </c>
      <c r="AF149" s="56">
        <f t="shared" si="16"/>
        <v>0</v>
      </c>
      <c r="AG149" s="56">
        <f t="shared" si="17"/>
        <v>0</v>
      </c>
      <c r="AH149" s="56">
        <f t="shared" si="18"/>
        <v>0</v>
      </c>
      <c r="AI149" s="56">
        <f t="shared" si="19"/>
        <v>0</v>
      </c>
      <c r="AJ149" s="56">
        <f t="shared" si="20"/>
        <v>0</v>
      </c>
      <c r="AK149" s="56">
        <f t="shared" si="21"/>
        <v>0</v>
      </c>
      <c r="AL149" s="56">
        <f t="shared" si="22"/>
        <v>0</v>
      </c>
      <c r="AM149" s="56">
        <f t="shared" si="28"/>
        <v>0</v>
      </c>
      <c r="AN149" s="60">
        <f t="shared" si="23"/>
        <v>0</v>
      </c>
      <c r="AO149" s="59">
        <f t="shared" si="24"/>
        <v>0</v>
      </c>
      <c r="AP149" s="59">
        <f t="shared" si="25"/>
        <v>0</v>
      </c>
    </row>
    <row r="150" spans="3:42" s="17" customFormat="1" x14ac:dyDescent="0.25">
      <c r="C150" s="241" t="s">
        <v>213</v>
      </c>
      <c r="D150" s="242"/>
      <c r="E150" s="88"/>
      <c r="F150" s="217"/>
      <c r="G150" s="234"/>
      <c r="H150" s="218"/>
      <c r="I150" s="76"/>
      <c r="J150" s="77"/>
      <c r="K150" s="77"/>
      <c r="L150" s="76"/>
      <c r="M150" s="110"/>
      <c r="N150" s="152"/>
      <c r="O150" s="111" t="str">
        <f>IFERROR(MIN(VLOOKUP(ROUNDDOWN(N150,0),'Aide calcul'!$B$2:$C$282,2,FALSE),M150+1),"")</f>
        <v/>
      </c>
      <c r="P150" s="112" t="str">
        <f t="shared" si="26"/>
        <v/>
      </c>
      <c r="Q150" s="170"/>
      <c r="R150" s="170"/>
      <c r="S150" s="170"/>
      <c r="T150" s="170"/>
      <c r="U150" s="170"/>
      <c r="V150" s="170"/>
      <c r="W150" s="170"/>
      <c r="X150" s="76"/>
      <c r="Y150" s="76"/>
      <c r="Z150" s="113" t="str">
        <f>IFERROR(ROUND('Informations générales'!$E$66*(AE150/SUM($AE$28:$AE$404))/12,0)*12,"")</f>
        <v/>
      </c>
      <c r="AA150" s="114"/>
      <c r="AB150" s="113" t="str">
        <f t="shared" si="15"/>
        <v/>
      </c>
      <c r="AC150" s="89"/>
      <c r="AD150" s="76"/>
      <c r="AE150" s="56">
        <f t="shared" si="27"/>
        <v>0</v>
      </c>
      <c r="AF150" s="56">
        <f t="shared" si="16"/>
        <v>0</v>
      </c>
      <c r="AG150" s="56">
        <f t="shared" si="17"/>
        <v>0</v>
      </c>
      <c r="AH150" s="56">
        <f t="shared" si="18"/>
        <v>0</v>
      </c>
      <c r="AI150" s="56">
        <f t="shared" si="19"/>
        <v>0</v>
      </c>
      <c r="AJ150" s="56">
        <f t="shared" si="20"/>
        <v>0</v>
      </c>
      <c r="AK150" s="56">
        <f t="shared" si="21"/>
        <v>0</v>
      </c>
      <c r="AL150" s="56">
        <f t="shared" si="22"/>
        <v>0</v>
      </c>
      <c r="AM150" s="56">
        <f t="shared" si="28"/>
        <v>0</v>
      </c>
      <c r="AN150" s="60">
        <f t="shared" si="23"/>
        <v>0</v>
      </c>
      <c r="AO150" s="59">
        <f t="shared" si="24"/>
        <v>0</v>
      </c>
      <c r="AP150" s="59">
        <f t="shared" si="25"/>
        <v>0</v>
      </c>
    </row>
    <row r="151" spans="3:42" s="17" customFormat="1" x14ac:dyDescent="0.25">
      <c r="C151" s="241" t="s">
        <v>213</v>
      </c>
      <c r="D151" s="242"/>
      <c r="E151" s="88"/>
      <c r="F151" s="217"/>
      <c r="G151" s="234"/>
      <c r="H151" s="218"/>
      <c r="I151" s="76"/>
      <c r="J151" s="77"/>
      <c r="K151" s="77"/>
      <c r="L151" s="76"/>
      <c r="M151" s="110"/>
      <c r="N151" s="152"/>
      <c r="O151" s="111" t="str">
        <f>IFERROR(MIN(VLOOKUP(ROUNDDOWN(N151,0),'Aide calcul'!$B$2:$C$282,2,FALSE),M151+1),"")</f>
        <v/>
      </c>
      <c r="P151" s="112" t="str">
        <f t="shared" si="26"/>
        <v/>
      </c>
      <c r="Q151" s="170"/>
      <c r="R151" s="170"/>
      <c r="S151" s="170"/>
      <c r="T151" s="170"/>
      <c r="U151" s="170"/>
      <c r="V151" s="170"/>
      <c r="W151" s="170"/>
      <c r="X151" s="76"/>
      <c r="Y151" s="76"/>
      <c r="Z151" s="113" t="str">
        <f>IFERROR(ROUND('Informations générales'!$E$66*(AE151/SUM($AE$28:$AE$404))/12,0)*12,"")</f>
        <v/>
      </c>
      <c r="AA151" s="114"/>
      <c r="AB151" s="113" t="str">
        <f t="shared" si="15"/>
        <v/>
      </c>
      <c r="AC151" s="89"/>
      <c r="AD151" s="76"/>
      <c r="AE151" s="56">
        <f t="shared" si="27"/>
        <v>0</v>
      </c>
      <c r="AF151" s="56">
        <f t="shared" si="16"/>
        <v>0</v>
      </c>
      <c r="AG151" s="56">
        <f t="shared" si="17"/>
        <v>0</v>
      </c>
      <c r="AH151" s="56">
        <f t="shared" si="18"/>
        <v>0</v>
      </c>
      <c r="AI151" s="56">
        <f t="shared" si="19"/>
        <v>0</v>
      </c>
      <c r="AJ151" s="56">
        <f t="shared" si="20"/>
        <v>0</v>
      </c>
      <c r="AK151" s="56">
        <f t="shared" si="21"/>
        <v>0</v>
      </c>
      <c r="AL151" s="56">
        <f t="shared" si="22"/>
        <v>0</v>
      </c>
      <c r="AM151" s="56">
        <f t="shared" si="28"/>
        <v>0</v>
      </c>
      <c r="AN151" s="60">
        <f t="shared" si="23"/>
        <v>0</v>
      </c>
      <c r="AO151" s="59">
        <f t="shared" si="24"/>
        <v>0</v>
      </c>
      <c r="AP151" s="59">
        <f t="shared" si="25"/>
        <v>0</v>
      </c>
    </row>
    <row r="152" spans="3:42" s="17" customFormat="1" x14ac:dyDescent="0.25">
      <c r="C152" s="241" t="s">
        <v>213</v>
      </c>
      <c r="D152" s="242"/>
      <c r="E152" s="88"/>
      <c r="F152" s="217"/>
      <c r="G152" s="234"/>
      <c r="H152" s="218"/>
      <c r="I152" s="76"/>
      <c r="J152" s="77"/>
      <c r="K152" s="77"/>
      <c r="L152" s="76"/>
      <c r="M152" s="110"/>
      <c r="N152" s="152"/>
      <c r="O152" s="111" t="str">
        <f>IFERROR(MIN(VLOOKUP(ROUNDDOWN(N152,0),'Aide calcul'!$B$2:$C$282,2,FALSE),M152+1),"")</f>
        <v/>
      </c>
      <c r="P152" s="112" t="str">
        <f t="shared" si="26"/>
        <v/>
      </c>
      <c r="Q152" s="170"/>
      <c r="R152" s="170"/>
      <c r="S152" s="170"/>
      <c r="T152" s="170"/>
      <c r="U152" s="170"/>
      <c r="V152" s="170"/>
      <c r="W152" s="170"/>
      <c r="X152" s="76"/>
      <c r="Y152" s="76"/>
      <c r="Z152" s="113" t="str">
        <f>IFERROR(ROUND('Informations générales'!$E$66*(AE152/SUM($AE$28:$AE$404))/12,0)*12,"")</f>
        <v/>
      </c>
      <c r="AA152" s="114"/>
      <c r="AB152" s="113" t="str">
        <f t="shared" si="15"/>
        <v/>
      </c>
      <c r="AC152" s="89"/>
      <c r="AD152" s="76"/>
      <c r="AE152" s="56">
        <f t="shared" si="27"/>
        <v>0</v>
      </c>
      <c r="AF152" s="56">
        <f t="shared" si="16"/>
        <v>0</v>
      </c>
      <c r="AG152" s="56">
        <f t="shared" si="17"/>
        <v>0</v>
      </c>
      <c r="AH152" s="56">
        <f t="shared" si="18"/>
        <v>0</v>
      </c>
      <c r="AI152" s="56">
        <f t="shared" si="19"/>
        <v>0</v>
      </c>
      <c r="AJ152" s="56">
        <f t="shared" si="20"/>
        <v>0</v>
      </c>
      <c r="AK152" s="56">
        <f t="shared" si="21"/>
        <v>0</v>
      </c>
      <c r="AL152" s="56">
        <f t="shared" si="22"/>
        <v>0</v>
      </c>
      <c r="AM152" s="56">
        <f t="shared" si="28"/>
        <v>0</v>
      </c>
      <c r="AN152" s="60">
        <f t="shared" si="23"/>
        <v>0</v>
      </c>
      <c r="AO152" s="59">
        <f t="shared" si="24"/>
        <v>0</v>
      </c>
      <c r="AP152" s="59">
        <f t="shared" si="25"/>
        <v>0</v>
      </c>
    </row>
    <row r="153" spans="3:42" s="17" customFormat="1" x14ac:dyDescent="0.25">
      <c r="C153" s="241" t="s">
        <v>213</v>
      </c>
      <c r="D153" s="242"/>
      <c r="E153" s="88"/>
      <c r="F153" s="217"/>
      <c r="G153" s="234"/>
      <c r="H153" s="218"/>
      <c r="I153" s="76"/>
      <c r="J153" s="77"/>
      <c r="K153" s="77"/>
      <c r="L153" s="76"/>
      <c r="M153" s="110"/>
      <c r="N153" s="152"/>
      <c r="O153" s="111" t="str">
        <f>IFERROR(MIN(VLOOKUP(ROUNDDOWN(N153,0),'Aide calcul'!$B$2:$C$282,2,FALSE),M153+1),"")</f>
        <v/>
      </c>
      <c r="P153" s="112" t="str">
        <f t="shared" si="26"/>
        <v/>
      </c>
      <c r="Q153" s="170"/>
      <c r="R153" s="170"/>
      <c r="S153" s="170"/>
      <c r="T153" s="170"/>
      <c r="U153" s="170"/>
      <c r="V153" s="170"/>
      <c r="W153" s="170"/>
      <c r="X153" s="76"/>
      <c r="Y153" s="76"/>
      <c r="Z153" s="113" t="str">
        <f>IFERROR(ROUND('Informations générales'!$E$66*(AE153/SUM($AE$28:$AE$404))/12,0)*12,"")</f>
        <v/>
      </c>
      <c r="AA153" s="114"/>
      <c r="AB153" s="113" t="str">
        <f t="shared" si="15"/>
        <v/>
      </c>
      <c r="AC153" s="89"/>
      <c r="AD153" s="76"/>
      <c r="AE153" s="56">
        <f t="shared" si="27"/>
        <v>0</v>
      </c>
      <c r="AF153" s="56">
        <f t="shared" si="16"/>
        <v>0</v>
      </c>
      <c r="AG153" s="56">
        <f t="shared" si="17"/>
        <v>0</v>
      </c>
      <c r="AH153" s="56">
        <f t="shared" si="18"/>
        <v>0</v>
      </c>
      <c r="AI153" s="56">
        <f t="shared" si="19"/>
        <v>0</v>
      </c>
      <c r="AJ153" s="56">
        <f t="shared" si="20"/>
        <v>0</v>
      </c>
      <c r="AK153" s="56">
        <f t="shared" si="21"/>
        <v>0</v>
      </c>
      <c r="AL153" s="56">
        <f t="shared" si="22"/>
        <v>0</v>
      </c>
      <c r="AM153" s="56">
        <f t="shared" si="28"/>
        <v>0</v>
      </c>
      <c r="AN153" s="60">
        <f t="shared" si="23"/>
        <v>0</v>
      </c>
      <c r="AO153" s="59">
        <f t="shared" si="24"/>
        <v>0</v>
      </c>
      <c r="AP153" s="59">
        <f t="shared" si="25"/>
        <v>0</v>
      </c>
    </row>
    <row r="154" spans="3:42" s="17" customFormat="1" x14ac:dyDescent="0.25">
      <c r="C154" s="241" t="s">
        <v>213</v>
      </c>
      <c r="D154" s="242"/>
      <c r="E154" s="88"/>
      <c r="F154" s="217"/>
      <c r="G154" s="234"/>
      <c r="H154" s="218"/>
      <c r="I154" s="76"/>
      <c r="J154" s="77"/>
      <c r="K154" s="77"/>
      <c r="L154" s="76"/>
      <c r="M154" s="110"/>
      <c r="N154" s="152"/>
      <c r="O154" s="111" t="str">
        <f>IFERROR(MIN(VLOOKUP(ROUNDDOWN(N154,0),'Aide calcul'!$B$2:$C$282,2,FALSE),M154+1),"")</f>
        <v/>
      </c>
      <c r="P154" s="112" t="str">
        <f t="shared" si="26"/>
        <v/>
      </c>
      <c r="Q154" s="170"/>
      <c r="R154" s="170"/>
      <c r="S154" s="170"/>
      <c r="T154" s="170"/>
      <c r="U154" s="170"/>
      <c r="V154" s="170"/>
      <c r="W154" s="170"/>
      <c r="X154" s="76"/>
      <c r="Y154" s="76"/>
      <c r="Z154" s="113" t="str">
        <f>IFERROR(ROUND('Informations générales'!$E$66*(AE154/SUM($AE$28:$AE$404))/12,0)*12,"")</f>
        <v/>
      </c>
      <c r="AA154" s="114"/>
      <c r="AB154" s="113" t="str">
        <f t="shared" si="15"/>
        <v/>
      </c>
      <c r="AC154" s="89"/>
      <c r="AD154" s="76"/>
      <c r="AE154" s="56">
        <f t="shared" si="27"/>
        <v>0</v>
      </c>
      <c r="AF154" s="56">
        <f t="shared" si="16"/>
        <v>0</v>
      </c>
      <c r="AG154" s="56">
        <f t="shared" si="17"/>
        <v>0</v>
      </c>
      <c r="AH154" s="56">
        <f t="shared" si="18"/>
        <v>0</v>
      </c>
      <c r="AI154" s="56">
        <f t="shared" si="19"/>
        <v>0</v>
      </c>
      <c r="AJ154" s="56">
        <f t="shared" si="20"/>
        <v>0</v>
      </c>
      <c r="AK154" s="56">
        <f t="shared" si="21"/>
        <v>0</v>
      </c>
      <c r="AL154" s="56">
        <f t="shared" si="22"/>
        <v>0</v>
      </c>
      <c r="AM154" s="56">
        <f t="shared" si="28"/>
        <v>0</v>
      </c>
      <c r="AN154" s="60">
        <f t="shared" si="23"/>
        <v>0</v>
      </c>
      <c r="AO154" s="59">
        <f t="shared" si="24"/>
        <v>0</v>
      </c>
      <c r="AP154" s="59">
        <f t="shared" si="25"/>
        <v>0</v>
      </c>
    </row>
    <row r="155" spans="3:42" s="17" customFormat="1" x14ac:dyDescent="0.25">
      <c r="C155" s="241" t="s">
        <v>213</v>
      </c>
      <c r="D155" s="242"/>
      <c r="E155" s="88"/>
      <c r="F155" s="217"/>
      <c r="G155" s="234"/>
      <c r="H155" s="218"/>
      <c r="I155" s="76"/>
      <c r="J155" s="77"/>
      <c r="K155" s="77"/>
      <c r="L155" s="76"/>
      <c r="M155" s="110"/>
      <c r="N155" s="152"/>
      <c r="O155" s="111" t="str">
        <f>IFERROR(MIN(VLOOKUP(ROUNDDOWN(N155,0),'Aide calcul'!$B$2:$C$282,2,FALSE),M155+1),"")</f>
        <v/>
      </c>
      <c r="P155" s="112" t="str">
        <f t="shared" si="26"/>
        <v/>
      </c>
      <c r="Q155" s="170"/>
      <c r="R155" s="170"/>
      <c r="S155" s="170"/>
      <c r="T155" s="170"/>
      <c r="U155" s="170"/>
      <c r="V155" s="170"/>
      <c r="W155" s="170"/>
      <c r="X155" s="76"/>
      <c r="Y155" s="76"/>
      <c r="Z155" s="113" t="str">
        <f>IFERROR(ROUND('Informations générales'!$E$66*(AE155/SUM($AE$28:$AE$404))/12,0)*12,"")</f>
        <v/>
      </c>
      <c r="AA155" s="114"/>
      <c r="AB155" s="113" t="str">
        <f t="shared" si="15"/>
        <v/>
      </c>
      <c r="AC155" s="89"/>
      <c r="AD155" s="76"/>
      <c r="AE155" s="56">
        <f t="shared" si="27"/>
        <v>0</v>
      </c>
      <c r="AF155" s="56">
        <f t="shared" si="16"/>
        <v>0</v>
      </c>
      <c r="AG155" s="56">
        <f t="shared" si="17"/>
        <v>0</v>
      </c>
      <c r="AH155" s="56">
        <f t="shared" si="18"/>
        <v>0</v>
      </c>
      <c r="AI155" s="56">
        <f t="shared" si="19"/>
        <v>0</v>
      </c>
      <c r="AJ155" s="56">
        <f t="shared" si="20"/>
        <v>0</v>
      </c>
      <c r="AK155" s="56">
        <f t="shared" si="21"/>
        <v>0</v>
      </c>
      <c r="AL155" s="56">
        <f t="shared" si="22"/>
        <v>0</v>
      </c>
      <c r="AM155" s="56">
        <f t="shared" si="28"/>
        <v>0</v>
      </c>
      <c r="AN155" s="60">
        <f t="shared" si="23"/>
        <v>0</v>
      </c>
      <c r="AO155" s="59">
        <f t="shared" si="24"/>
        <v>0</v>
      </c>
      <c r="AP155" s="59">
        <f t="shared" si="25"/>
        <v>0</v>
      </c>
    </row>
    <row r="156" spans="3:42" s="17" customFormat="1" x14ac:dyDescent="0.25">
      <c r="C156" s="241" t="s">
        <v>213</v>
      </c>
      <c r="D156" s="242"/>
      <c r="E156" s="88"/>
      <c r="F156" s="217"/>
      <c r="G156" s="234"/>
      <c r="H156" s="218"/>
      <c r="I156" s="76"/>
      <c r="J156" s="77"/>
      <c r="K156" s="77"/>
      <c r="L156" s="76"/>
      <c r="M156" s="110"/>
      <c r="N156" s="152"/>
      <c r="O156" s="111" t="str">
        <f>IFERROR(MIN(VLOOKUP(ROUNDDOWN(N156,0),'Aide calcul'!$B$2:$C$282,2,FALSE),M156+1),"")</f>
        <v/>
      </c>
      <c r="P156" s="112" t="str">
        <f t="shared" si="26"/>
        <v/>
      </c>
      <c r="Q156" s="170"/>
      <c r="R156" s="170"/>
      <c r="S156" s="170"/>
      <c r="T156" s="170"/>
      <c r="U156" s="170"/>
      <c r="V156" s="170"/>
      <c r="W156" s="170"/>
      <c r="X156" s="76"/>
      <c r="Y156" s="76"/>
      <c r="Z156" s="113" t="str">
        <f>IFERROR(ROUND('Informations générales'!$E$66*(AE156/SUM($AE$28:$AE$404))/12,0)*12,"")</f>
        <v/>
      </c>
      <c r="AA156" s="114"/>
      <c r="AB156" s="113" t="str">
        <f t="shared" ref="AB156:AB219" si="29">IFERROR(Z156/AM156,"")</f>
        <v/>
      </c>
      <c r="AC156" s="89"/>
      <c r="AD156" s="76"/>
      <c r="AE156" s="56">
        <f t="shared" si="27"/>
        <v>0</v>
      </c>
      <c r="AF156" s="56">
        <f t="shared" ref="AF156:AF219" si="30">Q156*$E$13</f>
        <v>0</v>
      </c>
      <c r="AG156" s="56">
        <f t="shared" ref="AG156:AG219" si="31">R156*$E$14</f>
        <v>0</v>
      </c>
      <c r="AH156" s="56">
        <f t="shared" ref="AH156:AH219" si="32">S156*$E$15</f>
        <v>0</v>
      </c>
      <c r="AI156" s="56">
        <f t="shared" ref="AI156:AI219" si="33">T156*$E$16</f>
        <v>0</v>
      </c>
      <c r="AJ156" s="56">
        <f t="shared" ref="AJ156:AJ219" si="34">U156*$E$17</f>
        <v>0</v>
      </c>
      <c r="AK156" s="56">
        <f t="shared" ref="AK156:AK219" si="35">V156*$E$18</f>
        <v>0</v>
      </c>
      <c r="AL156" s="56">
        <f t="shared" ref="AL156:AL219" si="36">W156*$E$19</f>
        <v>0</v>
      </c>
      <c r="AM156" s="56">
        <f t="shared" si="28"/>
        <v>0</v>
      </c>
      <c r="AN156" s="60">
        <f t="shared" ref="AN156:AN219" si="37">IFERROR(I156*$E$12,0)</f>
        <v>0</v>
      </c>
      <c r="AO156" s="59">
        <f t="shared" ref="AO156:AO219" si="38">IFERROR(VLOOKUP(X156,$H$12:$I$22,2,FALSE),0)</f>
        <v>0</v>
      </c>
      <c r="AP156" s="59">
        <f t="shared" ref="AP156:AP219" si="39">IFERROR(VLOOKUP(Y156,$L$12:$N$19,3,FALSE),0)</f>
        <v>0</v>
      </c>
    </row>
    <row r="157" spans="3:42" s="17" customFormat="1" x14ac:dyDescent="0.25">
      <c r="C157" s="241" t="s">
        <v>213</v>
      </c>
      <c r="D157" s="242"/>
      <c r="E157" s="88"/>
      <c r="F157" s="217"/>
      <c r="G157" s="234"/>
      <c r="H157" s="218"/>
      <c r="I157" s="76"/>
      <c r="J157" s="77"/>
      <c r="K157" s="77"/>
      <c r="L157" s="76"/>
      <c r="M157" s="110"/>
      <c r="N157" s="152"/>
      <c r="O157" s="111" t="str">
        <f>IFERROR(MIN(VLOOKUP(ROUNDDOWN(N157,0),'Aide calcul'!$B$2:$C$282,2,FALSE),M157+1),"")</f>
        <v/>
      </c>
      <c r="P157" s="112" t="str">
        <f t="shared" ref="P157:P220" si="40">IFERROR(TRUNC(O157-0.5),"")</f>
        <v/>
      </c>
      <c r="Q157" s="170"/>
      <c r="R157" s="170"/>
      <c r="S157" s="170"/>
      <c r="T157" s="170"/>
      <c r="U157" s="170"/>
      <c r="V157" s="170"/>
      <c r="W157" s="170"/>
      <c r="X157" s="76"/>
      <c r="Y157" s="76"/>
      <c r="Z157" s="113" t="str">
        <f>IFERROR(ROUND('Informations générales'!$E$66*(AE157/SUM($AE$28:$AE$404))/12,0)*12,"")</f>
        <v/>
      </c>
      <c r="AA157" s="114"/>
      <c r="AB157" s="113" t="str">
        <f t="shared" si="29"/>
        <v/>
      </c>
      <c r="AC157" s="89"/>
      <c r="AD157" s="76"/>
      <c r="AE157" s="56">
        <f t="shared" ref="AE157:AE220" si="41">AM157*(SUM(1,AN157,AO157,AP157))</f>
        <v>0</v>
      </c>
      <c r="AF157" s="56">
        <f t="shared" si="30"/>
        <v>0</v>
      </c>
      <c r="AG157" s="56">
        <f t="shared" si="31"/>
        <v>0</v>
      </c>
      <c r="AH157" s="56">
        <f t="shared" si="32"/>
        <v>0</v>
      </c>
      <c r="AI157" s="56">
        <f t="shared" si="33"/>
        <v>0</v>
      </c>
      <c r="AJ157" s="56">
        <f t="shared" si="34"/>
        <v>0</v>
      </c>
      <c r="AK157" s="56">
        <f t="shared" si="35"/>
        <v>0</v>
      </c>
      <c r="AL157" s="56">
        <f t="shared" si="36"/>
        <v>0</v>
      </c>
      <c r="AM157" s="56">
        <f t="shared" ref="AM157:AM220" si="42">SUM(AF157:AL157)</f>
        <v>0</v>
      </c>
      <c r="AN157" s="60">
        <f t="shared" si="37"/>
        <v>0</v>
      </c>
      <c r="AO157" s="59">
        <f t="shared" si="38"/>
        <v>0</v>
      </c>
      <c r="AP157" s="59">
        <f t="shared" si="39"/>
        <v>0</v>
      </c>
    </row>
    <row r="158" spans="3:42" s="17" customFormat="1" x14ac:dyDescent="0.25">
      <c r="C158" s="241" t="s">
        <v>213</v>
      </c>
      <c r="D158" s="242"/>
      <c r="E158" s="88"/>
      <c r="F158" s="217"/>
      <c r="G158" s="234"/>
      <c r="H158" s="218"/>
      <c r="I158" s="76"/>
      <c r="J158" s="77"/>
      <c r="K158" s="77"/>
      <c r="L158" s="76"/>
      <c r="M158" s="110"/>
      <c r="N158" s="152"/>
      <c r="O158" s="111" t="str">
        <f>IFERROR(MIN(VLOOKUP(ROUNDDOWN(N158,0),'Aide calcul'!$B$2:$C$282,2,FALSE),M158+1),"")</f>
        <v/>
      </c>
      <c r="P158" s="112" t="str">
        <f t="shared" si="40"/>
        <v/>
      </c>
      <c r="Q158" s="170"/>
      <c r="R158" s="170"/>
      <c r="S158" s="170"/>
      <c r="T158" s="170"/>
      <c r="U158" s="170"/>
      <c r="V158" s="170"/>
      <c r="W158" s="170"/>
      <c r="X158" s="76"/>
      <c r="Y158" s="76"/>
      <c r="Z158" s="113" t="str">
        <f>IFERROR(ROUND('Informations générales'!$E$66*(AE158/SUM($AE$28:$AE$404))/12,0)*12,"")</f>
        <v/>
      </c>
      <c r="AA158" s="114"/>
      <c r="AB158" s="113" t="str">
        <f t="shared" si="29"/>
        <v/>
      </c>
      <c r="AC158" s="89"/>
      <c r="AD158" s="76"/>
      <c r="AE158" s="56">
        <f t="shared" si="41"/>
        <v>0</v>
      </c>
      <c r="AF158" s="56">
        <f t="shared" si="30"/>
        <v>0</v>
      </c>
      <c r="AG158" s="56">
        <f t="shared" si="31"/>
        <v>0</v>
      </c>
      <c r="AH158" s="56">
        <f t="shared" si="32"/>
        <v>0</v>
      </c>
      <c r="AI158" s="56">
        <f t="shared" si="33"/>
        <v>0</v>
      </c>
      <c r="AJ158" s="56">
        <f t="shared" si="34"/>
        <v>0</v>
      </c>
      <c r="AK158" s="56">
        <f t="shared" si="35"/>
        <v>0</v>
      </c>
      <c r="AL158" s="56">
        <f t="shared" si="36"/>
        <v>0</v>
      </c>
      <c r="AM158" s="56">
        <f t="shared" si="42"/>
        <v>0</v>
      </c>
      <c r="AN158" s="60">
        <f t="shared" si="37"/>
        <v>0</v>
      </c>
      <c r="AO158" s="59">
        <f t="shared" si="38"/>
        <v>0</v>
      </c>
      <c r="AP158" s="59">
        <f t="shared" si="39"/>
        <v>0</v>
      </c>
    </row>
    <row r="159" spans="3:42" s="17" customFormat="1" x14ac:dyDescent="0.25">
      <c r="C159" s="241" t="s">
        <v>213</v>
      </c>
      <c r="D159" s="242"/>
      <c r="E159" s="88"/>
      <c r="F159" s="217"/>
      <c r="G159" s="234"/>
      <c r="H159" s="218"/>
      <c r="I159" s="76"/>
      <c r="J159" s="77"/>
      <c r="K159" s="77"/>
      <c r="L159" s="76"/>
      <c r="M159" s="110"/>
      <c r="N159" s="152"/>
      <c r="O159" s="111" t="str">
        <f>IFERROR(MIN(VLOOKUP(ROUNDDOWN(N159,0),'Aide calcul'!$B$2:$C$282,2,FALSE),M159+1),"")</f>
        <v/>
      </c>
      <c r="P159" s="112" t="str">
        <f t="shared" si="40"/>
        <v/>
      </c>
      <c r="Q159" s="170"/>
      <c r="R159" s="170"/>
      <c r="S159" s="170"/>
      <c r="T159" s="170"/>
      <c r="U159" s="170"/>
      <c r="V159" s="170"/>
      <c r="W159" s="170"/>
      <c r="X159" s="76"/>
      <c r="Y159" s="76"/>
      <c r="Z159" s="113" t="str">
        <f>IFERROR(ROUND('Informations générales'!$E$66*(AE159/SUM($AE$28:$AE$404))/12,0)*12,"")</f>
        <v/>
      </c>
      <c r="AA159" s="114"/>
      <c r="AB159" s="113" t="str">
        <f t="shared" si="29"/>
        <v/>
      </c>
      <c r="AC159" s="89"/>
      <c r="AD159" s="76"/>
      <c r="AE159" s="56">
        <f t="shared" si="41"/>
        <v>0</v>
      </c>
      <c r="AF159" s="56">
        <f t="shared" si="30"/>
        <v>0</v>
      </c>
      <c r="AG159" s="56">
        <f t="shared" si="31"/>
        <v>0</v>
      </c>
      <c r="AH159" s="56">
        <f t="shared" si="32"/>
        <v>0</v>
      </c>
      <c r="AI159" s="56">
        <f t="shared" si="33"/>
        <v>0</v>
      </c>
      <c r="AJ159" s="56">
        <f t="shared" si="34"/>
        <v>0</v>
      </c>
      <c r="AK159" s="56">
        <f t="shared" si="35"/>
        <v>0</v>
      </c>
      <c r="AL159" s="56">
        <f t="shared" si="36"/>
        <v>0</v>
      </c>
      <c r="AM159" s="56">
        <f t="shared" si="42"/>
        <v>0</v>
      </c>
      <c r="AN159" s="60">
        <f t="shared" si="37"/>
        <v>0</v>
      </c>
      <c r="AO159" s="59">
        <f t="shared" si="38"/>
        <v>0</v>
      </c>
      <c r="AP159" s="59">
        <f t="shared" si="39"/>
        <v>0</v>
      </c>
    </row>
    <row r="160" spans="3:42" s="17" customFormat="1" x14ac:dyDescent="0.25">
      <c r="C160" s="241" t="s">
        <v>213</v>
      </c>
      <c r="D160" s="242"/>
      <c r="E160" s="88"/>
      <c r="F160" s="217"/>
      <c r="G160" s="234"/>
      <c r="H160" s="218"/>
      <c r="I160" s="76"/>
      <c r="J160" s="77"/>
      <c r="K160" s="77"/>
      <c r="L160" s="76"/>
      <c r="M160" s="110"/>
      <c r="N160" s="152"/>
      <c r="O160" s="111" t="str">
        <f>IFERROR(MIN(VLOOKUP(ROUNDDOWN(N160,0),'Aide calcul'!$B$2:$C$282,2,FALSE),M160+1),"")</f>
        <v/>
      </c>
      <c r="P160" s="112" t="str">
        <f t="shared" si="40"/>
        <v/>
      </c>
      <c r="Q160" s="170"/>
      <c r="R160" s="170"/>
      <c r="S160" s="170"/>
      <c r="T160" s="170"/>
      <c r="U160" s="170"/>
      <c r="V160" s="170"/>
      <c r="W160" s="170"/>
      <c r="X160" s="76"/>
      <c r="Y160" s="76"/>
      <c r="Z160" s="113" t="str">
        <f>IFERROR(ROUND('Informations générales'!$E$66*(AE160/SUM($AE$28:$AE$404))/12,0)*12,"")</f>
        <v/>
      </c>
      <c r="AA160" s="114"/>
      <c r="AB160" s="113" t="str">
        <f t="shared" si="29"/>
        <v/>
      </c>
      <c r="AC160" s="89"/>
      <c r="AD160" s="76"/>
      <c r="AE160" s="56">
        <f t="shared" si="41"/>
        <v>0</v>
      </c>
      <c r="AF160" s="56">
        <f t="shared" si="30"/>
        <v>0</v>
      </c>
      <c r="AG160" s="56">
        <f t="shared" si="31"/>
        <v>0</v>
      </c>
      <c r="AH160" s="56">
        <f t="shared" si="32"/>
        <v>0</v>
      </c>
      <c r="AI160" s="56">
        <f t="shared" si="33"/>
        <v>0</v>
      </c>
      <c r="AJ160" s="56">
        <f t="shared" si="34"/>
        <v>0</v>
      </c>
      <c r="AK160" s="56">
        <f t="shared" si="35"/>
        <v>0</v>
      </c>
      <c r="AL160" s="56">
        <f t="shared" si="36"/>
        <v>0</v>
      </c>
      <c r="AM160" s="56">
        <f t="shared" si="42"/>
        <v>0</v>
      </c>
      <c r="AN160" s="60">
        <f t="shared" si="37"/>
        <v>0</v>
      </c>
      <c r="AO160" s="59">
        <f t="shared" si="38"/>
        <v>0</v>
      </c>
      <c r="AP160" s="59">
        <f t="shared" si="39"/>
        <v>0</v>
      </c>
    </row>
    <row r="161" spans="3:42" s="17" customFormat="1" x14ac:dyDescent="0.25">
      <c r="C161" s="241" t="s">
        <v>213</v>
      </c>
      <c r="D161" s="242"/>
      <c r="E161" s="88"/>
      <c r="F161" s="217"/>
      <c r="G161" s="234"/>
      <c r="H161" s="218"/>
      <c r="I161" s="76"/>
      <c r="J161" s="77"/>
      <c r="K161" s="77"/>
      <c r="L161" s="76"/>
      <c r="M161" s="110"/>
      <c r="N161" s="152"/>
      <c r="O161" s="111" t="str">
        <f>IFERROR(MIN(VLOOKUP(ROUNDDOWN(N161,0),'Aide calcul'!$B$2:$C$282,2,FALSE),M161+1),"")</f>
        <v/>
      </c>
      <c r="P161" s="112" t="str">
        <f t="shared" si="40"/>
        <v/>
      </c>
      <c r="Q161" s="170"/>
      <c r="R161" s="170"/>
      <c r="S161" s="170"/>
      <c r="T161" s="170"/>
      <c r="U161" s="170"/>
      <c r="V161" s="170"/>
      <c r="W161" s="170"/>
      <c r="X161" s="76"/>
      <c r="Y161" s="76"/>
      <c r="Z161" s="113" t="str">
        <f>IFERROR(ROUND('Informations générales'!$E$66*(AE161/SUM($AE$28:$AE$404))/12,0)*12,"")</f>
        <v/>
      </c>
      <c r="AA161" s="114"/>
      <c r="AB161" s="113" t="str">
        <f t="shared" si="29"/>
        <v/>
      </c>
      <c r="AC161" s="89"/>
      <c r="AD161" s="76"/>
      <c r="AE161" s="56">
        <f t="shared" si="41"/>
        <v>0</v>
      </c>
      <c r="AF161" s="56">
        <f t="shared" si="30"/>
        <v>0</v>
      </c>
      <c r="AG161" s="56">
        <f t="shared" si="31"/>
        <v>0</v>
      </c>
      <c r="AH161" s="56">
        <f t="shared" si="32"/>
        <v>0</v>
      </c>
      <c r="AI161" s="56">
        <f t="shared" si="33"/>
        <v>0</v>
      </c>
      <c r="AJ161" s="56">
        <f t="shared" si="34"/>
        <v>0</v>
      </c>
      <c r="AK161" s="56">
        <f t="shared" si="35"/>
        <v>0</v>
      </c>
      <c r="AL161" s="56">
        <f t="shared" si="36"/>
        <v>0</v>
      </c>
      <c r="AM161" s="56">
        <f t="shared" si="42"/>
        <v>0</v>
      </c>
      <c r="AN161" s="60">
        <f t="shared" si="37"/>
        <v>0</v>
      </c>
      <c r="AO161" s="59">
        <f t="shared" si="38"/>
        <v>0</v>
      </c>
      <c r="AP161" s="59">
        <f t="shared" si="39"/>
        <v>0</v>
      </c>
    </row>
    <row r="162" spans="3:42" s="17" customFormat="1" x14ac:dyDescent="0.25">
      <c r="C162" s="241" t="s">
        <v>213</v>
      </c>
      <c r="D162" s="242"/>
      <c r="E162" s="88"/>
      <c r="F162" s="217"/>
      <c r="G162" s="234"/>
      <c r="H162" s="218"/>
      <c r="I162" s="76"/>
      <c r="J162" s="77"/>
      <c r="K162" s="77"/>
      <c r="L162" s="76"/>
      <c r="M162" s="110"/>
      <c r="N162" s="152"/>
      <c r="O162" s="111" t="str">
        <f>IFERROR(MIN(VLOOKUP(ROUNDDOWN(N162,0),'Aide calcul'!$B$2:$C$282,2,FALSE),M162+1),"")</f>
        <v/>
      </c>
      <c r="P162" s="112" t="str">
        <f t="shared" si="40"/>
        <v/>
      </c>
      <c r="Q162" s="170"/>
      <c r="R162" s="170"/>
      <c r="S162" s="170"/>
      <c r="T162" s="170"/>
      <c r="U162" s="170"/>
      <c r="V162" s="170"/>
      <c r="W162" s="170"/>
      <c r="X162" s="76"/>
      <c r="Y162" s="76"/>
      <c r="Z162" s="113" t="str">
        <f>IFERROR(ROUND('Informations générales'!$E$66*(AE162/SUM($AE$28:$AE$404))/12,0)*12,"")</f>
        <v/>
      </c>
      <c r="AA162" s="114"/>
      <c r="AB162" s="113" t="str">
        <f t="shared" si="29"/>
        <v/>
      </c>
      <c r="AC162" s="89"/>
      <c r="AD162" s="76"/>
      <c r="AE162" s="56">
        <f t="shared" si="41"/>
        <v>0</v>
      </c>
      <c r="AF162" s="56">
        <f t="shared" si="30"/>
        <v>0</v>
      </c>
      <c r="AG162" s="56">
        <f t="shared" si="31"/>
        <v>0</v>
      </c>
      <c r="AH162" s="56">
        <f t="shared" si="32"/>
        <v>0</v>
      </c>
      <c r="AI162" s="56">
        <f t="shared" si="33"/>
        <v>0</v>
      </c>
      <c r="AJ162" s="56">
        <f t="shared" si="34"/>
        <v>0</v>
      </c>
      <c r="AK162" s="56">
        <f t="shared" si="35"/>
        <v>0</v>
      </c>
      <c r="AL162" s="56">
        <f t="shared" si="36"/>
        <v>0</v>
      </c>
      <c r="AM162" s="56">
        <f t="shared" si="42"/>
        <v>0</v>
      </c>
      <c r="AN162" s="60">
        <f t="shared" si="37"/>
        <v>0</v>
      </c>
      <c r="AO162" s="59">
        <f t="shared" si="38"/>
        <v>0</v>
      </c>
      <c r="AP162" s="59">
        <f t="shared" si="39"/>
        <v>0</v>
      </c>
    </row>
    <row r="163" spans="3:42" s="17" customFormat="1" x14ac:dyDescent="0.25">
      <c r="C163" s="241" t="s">
        <v>213</v>
      </c>
      <c r="D163" s="242"/>
      <c r="E163" s="88"/>
      <c r="F163" s="217"/>
      <c r="G163" s="234"/>
      <c r="H163" s="218"/>
      <c r="I163" s="76"/>
      <c r="J163" s="77"/>
      <c r="K163" s="77"/>
      <c r="L163" s="76"/>
      <c r="M163" s="110"/>
      <c r="N163" s="152"/>
      <c r="O163" s="111" t="str">
        <f>IFERROR(MIN(VLOOKUP(ROUNDDOWN(N163,0),'Aide calcul'!$B$2:$C$282,2,FALSE),M163+1),"")</f>
        <v/>
      </c>
      <c r="P163" s="112" t="str">
        <f t="shared" si="40"/>
        <v/>
      </c>
      <c r="Q163" s="170"/>
      <c r="R163" s="170"/>
      <c r="S163" s="170"/>
      <c r="T163" s="170"/>
      <c r="U163" s="170"/>
      <c r="V163" s="170"/>
      <c r="W163" s="170"/>
      <c r="X163" s="76"/>
      <c r="Y163" s="76"/>
      <c r="Z163" s="113" t="str">
        <f>IFERROR(ROUND('Informations générales'!$E$66*(AE163/SUM($AE$28:$AE$404))/12,0)*12,"")</f>
        <v/>
      </c>
      <c r="AA163" s="114"/>
      <c r="AB163" s="113" t="str">
        <f t="shared" si="29"/>
        <v/>
      </c>
      <c r="AC163" s="89"/>
      <c r="AD163" s="76"/>
      <c r="AE163" s="56">
        <f t="shared" si="41"/>
        <v>0</v>
      </c>
      <c r="AF163" s="56">
        <f t="shared" si="30"/>
        <v>0</v>
      </c>
      <c r="AG163" s="56">
        <f t="shared" si="31"/>
        <v>0</v>
      </c>
      <c r="AH163" s="56">
        <f t="shared" si="32"/>
        <v>0</v>
      </c>
      <c r="AI163" s="56">
        <f t="shared" si="33"/>
        <v>0</v>
      </c>
      <c r="AJ163" s="56">
        <f t="shared" si="34"/>
        <v>0</v>
      </c>
      <c r="AK163" s="56">
        <f t="shared" si="35"/>
        <v>0</v>
      </c>
      <c r="AL163" s="56">
        <f t="shared" si="36"/>
        <v>0</v>
      </c>
      <c r="AM163" s="56">
        <f t="shared" si="42"/>
        <v>0</v>
      </c>
      <c r="AN163" s="60">
        <f t="shared" si="37"/>
        <v>0</v>
      </c>
      <c r="AO163" s="59">
        <f t="shared" si="38"/>
        <v>0</v>
      </c>
      <c r="AP163" s="59">
        <f t="shared" si="39"/>
        <v>0</v>
      </c>
    </row>
    <row r="164" spans="3:42" s="17" customFormat="1" x14ac:dyDescent="0.25">
      <c r="C164" s="241" t="s">
        <v>213</v>
      </c>
      <c r="D164" s="242"/>
      <c r="E164" s="88"/>
      <c r="F164" s="217"/>
      <c r="G164" s="234"/>
      <c r="H164" s="218"/>
      <c r="I164" s="76"/>
      <c r="J164" s="77"/>
      <c r="K164" s="77"/>
      <c r="L164" s="76"/>
      <c r="M164" s="110"/>
      <c r="N164" s="152"/>
      <c r="O164" s="111" t="str">
        <f>IFERROR(MIN(VLOOKUP(ROUNDDOWN(N164,0),'Aide calcul'!$B$2:$C$282,2,FALSE),M164+1),"")</f>
        <v/>
      </c>
      <c r="P164" s="112" t="str">
        <f t="shared" si="40"/>
        <v/>
      </c>
      <c r="Q164" s="170"/>
      <c r="R164" s="170"/>
      <c r="S164" s="170"/>
      <c r="T164" s="170"/>
      <c r="U164" s="170"/>
      <c r="V164" s="170"/>
      <c r="W164" s="170"/>
      <c r="X164" s="76"/>
      <c r="Y164" s="76"/>
      <c r="Z164" s="113" t="str">
        <f>IFERROR(ROUND('Informations générales'!$E$66*(AE164/SUM($AE$28:$AE$404))/12,0)*12,"")</f>
        <v/>
      </c>
      <c r="AA164" s="114"/>
      <c r="AB164" s="113" t="str">
        <f t="shared" si="29"/>
        <v/>
      </c>
      <c r="AC164" s="89"/>
      <c r="AD164" s="76"/>
      <c r="AE164" s="56">
        <f t="shared" si="41"/>
        <v>0</v>
      </c>
      <c r="AF164" s="56">
        <f t="shared" si="30"/>
        <v>0</v>
      </c>
      <c r="AG164" s="56">
        <f t="shared" si="31"/>
        <v>0</v>
      </c>
      <c r="AH164" s="56">
        <f t="shared" si="32"/>
        <v>0</v>
      </c>
      <c r="AI164" s="56">
        <f t="shared" si="33"/>
        <v>0</v>
      </c>
      <c r="AJ164" s="56">
        <f t="shared" si="34"/>
        <v>0</v>
      </c>
      <c r="AK164" s="56">
        <f t="shared" si="35"/>
        <v>0</v>
      </c>
      <c r="AL164" s="56">
        <f t="shared" si="36"/>
        <v>0</v>
      </c>
      <c r="AM164" s="56">
        <f t="shared" si="42"/>
        <v>0</v>
      </c>
      <c r="AN164" s="60">
        <f t="shared" si="37"/>
        <v>0</v>
      </c>
      <c r="AO164" s="59">
        <f t="shared" si="38"/>
        <v>0</v>
      </c>
      <c r="AP164" s="59">
        <f t="shared" si="39"/>
        <v>0</v>
      </c>
    </row>
    <row r="165" spans="3:42" s="17" customFormat="1" x14ac:dyDescent="0.25">
      <c r="C165" s="241" t="s">
        <v>213</v>
      </c>
      <c r="D165" s="242"/>
      <c r="E165" s="88"/>
      <c r="F165" s="217"/>
      <c r="G165" s="234"/>
      <c r="H165" s="218"/>
      <c r="I165" s="76"/>
      <c r="J165" s="77"/>
      <c r="K165" s="77"/>
      <c r="L165" s="76"/>
      <c r="M165" s="110"/>
      <c r="N165" s="152"/>
      <c r="O165" s="111" t="str">
        <f>IFERROR(MIN(VLOOKUP(ROUNDDOWN(N165,0),'Aide calcul'!$B$2:$C$282,2,FALSE),M165+1),"")</f>
        <v/>
      </c>
      <c r="P165" s="112" t="str">
        <f t="shared" si="40"/>
        <v/>
      </c>
      <c r="Q165" s="170"/>
      <c r="R165" s="170"/>
      <c r="S165" s="170"/>
      <c r="T165" s="170"/>
      <c r="U165" s="170"/>
      <c r="V165" s="170"/>
      <c r="W165" s="170"/>
      <c r="X165" s="76"/>
      <c r="Y165" s="76"/>
      <c r="Z165" s="113" t="str">
        <f>IFERROR(ROUND('Informations générales'!$E$66*(AE165/SUM($AE$28:$AE$404))/12,0)*12,"")</f>
        <v/>
      </c>
      <c r="AA165" s="114"/>
      <c r="AB165" s="113" t="str">
        <f t="shared" si="29"/>
        <v/>
      </c>
      <c r="AC165" s="89"/>
      <c r="AD165" s="76"/>
      <c r="AE165" s="56">
        <f t="shared" si="41"/>
        <v>0</v>
      </c>
      <c r="AF165" s="56">
        <f t="shared" si="30"/>
        <v>0</v>
      </c>
      <c r="AG165" s="56">
        <f t="shared" si="31"/>
        <v>0</v>
      </c>
      <c r="AH165" s="56">
        <f t="shared" si="32"/>
        <v>0</v>
      </c>
      <c r="AI165" s="56">
        <f t="shared" si="33"/>
        <v>0</v>
      </c>
      <c r="AJ165" s="56">
        <f t="shared" si="34"/>
        <v>0</v>
      </c>
      <c r="AK165" s="56">
        <f t="shared" si="35"/>
        <v>0</v>
      </c>
      <c r="AL165" s="56">
        <f t="shared" si="36"/>
        <v>0</v>
      </c>
      <c r="AM165" s="56">
        <f t="shared" si="42"/>
        <v>0</v>
      </c>
      <c r="AN165" s="60">
        <f t="shared" si="37"/>
        <v>0</v>
      </c>
      <c r="AO165" s="59">
        <f t="shared" si="38"/>
        <v>0</v>
      </c>
      <c r="AP165" s="59">
        <f t="shared" si="39"/>
        <v>0</v>
      </c>
    </row>
    <row r="166" spans="3:42" s="17" customFormat="1" x14ac:dyDescent="0.25">
      <c r="C166" s="241" t="s">
        <v>213</v>
      </c>
      <c r="D166" s="242"/>
      <c r="E166" s="88"/>
      <c r="F166" s="217"/>
      <c r="G166" s="234"/>
      <c r="H166" s="218"/>
      <c r="I166" s="76"/>
      <c r="J166" s="77"/>
      <c r="K166" s="77"/>
      <c r="L166" s="76"/>
      <c r="M166" s="110"/>
      <c r="N166" s="152"/>
      <c r="O166" s="111" t="str">
        <f>IFERROR(MIN(VLOOKUP(ROUNDDOWN(N166,0),'Aide calcul'!$B$2:$C$282,2,FALSE),M166+1),"")</f>
        <v/>
      </c>
      <c r="P166" s="112" t="str">
        <f t="shared" si="40"/>
        <v/>
      </c>
      <c r="Q166" s="170"/>
      <c r="R166" s="170"/>
      <c r="S166" s="170"/>
      <c r="T166" s="170"/>
      <c r="U166" s="170"/>
      <c r="V166" s="170"/>
      <c r="W166" s="170"/>
      <c r="X166" s="76"/>
      <c r="Y166" s="76"/>
      <c r="Z166" s="113" t="str">
        <f>IFERROR(ROUND('Informations générales'!$E$66*(AE166/SUM($AE$28:$AE$404))/12,0)*12,"")</f>
        <v/>
      </c>
      <c r="AA166" s="114"/>
      <c r="AB166" s="113" t="str">
        <f t="shared" si="29"/>
        <v/>
      </c>
      <c r="AC166" s="89"/>
      <c r="AD166" s="76"/>
      <c r="AE166" s="56">
        <f t="shared" si="41"/>
        <v>0</v>
      </c>
      <c r="AF166" s="56">
        <f t="shared" si="30"/>
        <v>0</v>
      </c>
      <c r="AG166" s="56">
        <f t="shared" si="31"/>
        <v>0</v>
      </c>
      <c r="AH166" s="56">
        <f t="shared" si="32"/>
        <v>0</v>
      </c>
      <c r="AI166" s="56">
        <f t="shared" si="33"/>
        <v>0</v>
      </c>
      <c r="AJ166" s="56">
        <f t="shared" si="34"/>
        <v>0</v>
      </c>
      <c r="AK166" s="56">
        <f t="shared" si="35"/>
        <v>0</v>
      </c>
      <c r="AL166" s="56">
        <f t="shared" si="36"/>
        <v>0</v>
      </c>
      <c r="AM166" s="56">
        <f t="shared" si="42"/>
        <v>0</v>
      </c>
      <c r="AN166" s="60">
        <f t="shared" si="37"/>
        <v>0</v>
      </c>
      <c r="AO166" s="59">
        <f t="shared" si="38"/>
        <v>0</v>
      </c>
      <c r="AP166" s="59">
        <f t="shared" si="39"/>
        <v>0</v>
      </c>
    </row>
    <row r="167" spans="3:42" s="17" customFormat="1" x14ac:dyDescent="0.25">
      <c r="C167" s="241" t="s">
        <v>213</v>
      </c>
      <c r="D167" s="242"/>
      <c r="E167" s="88"/>
      <c r="F167" s="217"/>
      <c r="G167" s="234"/>
      <c r="H167" s="218"/>
      <c r="I167" s="76"/>
      <c r="J167" s="77"/>
      <c r="K167" s="77"/>
      <c r="L167" s="76"/>
      <c r="M167" s="110"/>
      <c r="N167" s="152"/>
      <c r="O167" s="111" t="str">
        <f>IFERROR(MIN(VLOOKUP(ROUNDDOWN(N167,0),'Aide calcul'!$B$2:$C$282,2,FALSE),M167+1),"")</f>
        <v/>
      </c>
      <c r="P167" s="112" t="str">
        <f t="shared" si="40"/>
        <v/>
      </c>
      <c r="Q167" s="170"/>
      <c r="R167" s="170"/>
      <c r="S167" s="170"/>
      <c r="T167" s="170"/>
      <c r="U167" s="170"/>
      <c r="V167" s="170"/>
      <c r="W167" s="170"/>
      <c r="X167" s="76"/>
      <c r="Y167" s="76"/>
      <c r="Z167" s="113" t="str">
        <f>IFERROR(ROUND('Informations générales'!$E$66*(AE167/SUM($AE$28:$AE$404))/12,0)*12,"")</f>
        <v/>
      </c>
      <c r="AA167" s="114"/>
      <c r="AB167" s="113" t="str">
        <f t="shared" si="29"/>
        <v/>
      </c>
      <c r="AC167" s="89"/>
      <c r="AD167" s="76"/>
      <c r="AE167" s="56">
        <f t="shared" si="41"/>
        <v>0</v>
      </c>
      <c r="AF167" s="56">
        <f t="shared" si="30"/>
        <v>0</v>
      </c>
      <c r="AG167" s="56">
        <f t="shared" si="31"/>
        <v>0</v>
      </c>
      <c r="AH167" s="56">
        <f t="shared" si="32"/>
        <v>0</v>
      </c>
      <c r="AI167" s="56">
        <f t="shared" si="33"/>
        <v>0</v>
      </c>
      <c r="AJ167" s="56">
        <f t="shared" si="34"/>
        <v>0</v>
      </c>
      <c r="AK167" s="56">
        <f t="shared" si="35"/>
        <v>0</v>
      </c>
      <c r="AL167" s="56">
        <f t="shared" si="36"/>
        <v>0</v>
      </c>
      <c r="AM167" s="56">
        <f t="shared" si="42"/>
        <v>0</v>
      </c>
      <c r="AN167" s="60">
        <f t="shared" si="37"/>
        <v>0</v>
      </c>
      <c r="AO167" s="59">
        <f t="shared" si="38"/>
        <v>0</v>
      </c>
      <c r="AP167" s="59">
        <f t="shared" si="39"/>
        <v>0</v>
      </c>
    </row>
    <row r="168" spans="3:42" s="17" customFormat="1" x14ac:dyDescent="0.25">
      <c r="C168" s="241" t="s">
        <v>213</v>
      </c>
      <c r="D168" s="242"/>
      <c r="E168" s="88"/>
      <c r="F168" s="217"/>
      <c r="G168" s="234"/>
      <c r="H168" s="218"/>
      <c r="I168" s="76"/>
      <c r="J168" s="77"/>
      <c r="K168" s="77"/>
      <c r="L168" s="76"/>
      <c r="M168" s="110"/>
      <c r="N168" s="152"/>
      <c r="O168" s="111" t="str">
        <f>IFERROR(MIN(VLOOKUP(ROUNDDOWN(N168,0),'Aide calcul'!$B$2:$C$282,2,FALSE),M168+1),"")</f>
        <v/>
      </c>
      <c r="P168" s="112" t="str">
        <f t="shared" si="40"/>
        <v/>
      </c>
      <c r="Q168" s="170"/>
      <c r="R168" s="170"/>
      <c r="S168" s="170"/>
      <c r="T168" s="170"/>
      <c r="U168" s="170"/>
      <c r="V168" s="170"/>
      <c r="W168" s="170"/>
      <c r="X168" s="76"/>
      <c r="Y168" s="76"/>
      <c r="Z168" s="113" t="str">
        <f>IFERROR(ROUND('Informations générales'!$E$66*(AE168/SUM($AE$28:$AE$404))/12,0)*12,"")</f>
        <v/>
      </c>
      <c r="AA168" s="114"/>
      <c r="AB168" s="113" t="str">
        <f t="shared" si="29"/>
        <v/>
      </c>
      <c r="AC168" s="89"/>
      <c r="AD168" s="76"/>
      <c r="AE168" s="56">
        <f t="shared" si="41"/>
        <v>0</v>
      </c>
      <c r="AF168" s="56">
        <f t="shared" si="30"/>
        <v>0</v>
      </c>
      <c r="AG168" s="56">
        <f t="shared" si="31"/>
        <v>0</v>
      </c>
      <c r="AH168" s="56">
        <f t="shared" si="32"/>
        <v>0</v>
      </c>
      <c r="AI168" s="56">
        <f t="shared" si="33"/>
        <v>0</v>
      </c>
      <c r="AJ168" s="56">
        <f t="shared" si="34"/>
        <v>0</v>
      </c>
      <c r="AK168" s="56">
        <f t="shared" si="35"/>
        <v>0</v>
      </c>
      <c r="AL168" s="56">
        <f t="shared" si="36"/>
        <v>0</v>
      </c>
      <c r="AM168" s="56">
        <f t="shared" si="42"/>
        <v>0</v>
      </c>
      <c r="AN168" s="60">
        <f t="shared" si="37"/>
        <v>0</v>
      </c>
      <c r="AO168" s="59">
        <f t="shared" si="38"/>
        <v>0</v>
      </c>
      <c r="AP168" s="59">
        <f t="shared" si="39"/>
        <v>0</v>
      </c>
    </row>
    <row r="169" spans="3:42" s="17" customFormat="1" x14ac:dyDescent="0.25">
      <c r="C169" s="241" t="s">
        <v>213</v>
      </c>
      <c r="D169" s="242"/>
      <c r="E169" s="88"/>
      <c r="F169" s="217"/>
      <c r="G169" s="234"/>
      <c r="H169" s="218"/>
      <c r="I169" s="76"/>
      <c r="J169" s="77"/>
      <c r="K169" s="77"/>
      <c r="L169" s="76"/>
      <c r="M169" s="110"/>
      <c r="N169" s="152"/>
      <c r="O169" s="111" t="str">
        <f>IFERROR(MIN(VLOOKUP(ROUNDDOWN(N169,0),'Aide calcul'!$B$2:$C$282,2,FALSE),M169+1),"")</f>
        <v/>
      </c>
      <c r="P169" s="112" t="str">
        <f t="shared" si="40"/>
        <v/>
      </c>
      <c r="Q169" s="170"/>
      <c r="R169" s="170"/>
      <c r="S169" s="170"/>
      <c r="T169" s="170"/>
      <c r="U169" s="170"/>
      <c r="V169" s="170"/>
      <c r="W169" s="170"/>
      <c r="X169" s="76"/>
      <c r="Y169" s="76"/>
      <c r="Z169" s="113" t="str">
        <f>IFERROR(ROUND('Informations générales'!$E$66*(AE169/SUM($AE$28:$AE$404))/12,0)*12,"")</f>
        <v/>
      </c>
      <c r="AA169" s="114"/>
      <c r="AB169" s="113" t="str">
        <f t="shared" si="29"/>
        <v/>
      </c>
      <c r="AC169" s="89"/>
      <c r="AD169" s="76"/>
      <c r="AE169" s="56">
        <f t="shared" si="41"/>
        <v>0</v>
      </c>
      <c r="AF169" s="56">
        <f t="shared" si="30"/>
        <v>0</v>
      </c>
      <c r="AG169" s="56">
        <f t="shared" si="31"/>
        <v>0</v>
      </c>
      <c r="AH169" s="56">
        <f t="shared" si="32"/>
        <v>0</v>
      </c>
      <c r="AI169" s="56">
        <f t="shared" si="33"/>
        <v>0</v>
      </c>
      <c r="AJ169" s="56">
        <f t="shared" si="34"/>
        <v>0</v>
      </c>
      <c r="AK169" s="56">
        <f t="shared" si="35"/>
        <v>0</v>
      </c>
      <c r="AL169" s="56">
        <f t="shared" si="36"/>
        <v>0</v>
      </c>
      <c r="AM169" s="56">
        <f t="shared" si="42"/>
        <v>0</v>
      </c>
      <c r="AN169" s="60">
        <f t="shared" si="37"/>
        <v>0</v>
      </c>
      <c r="AO169" s="59">
        <f t="shared" si="38"/>
        <v>0</v>
      </c>
      <c r="AP169" s="59">
        <f t="shared" si="39"/>
        <v>0</v>
      </c>
    </row>
    <row r="170" spans="3:42" s="17" customFormat="1" x14ac:dyDescent="0.25">
      <c r="C170" s="241" t="s">
        <v>213</v>
      </c>
      <c r="D170" s="242"/>
      <c r="E170" s="88"/>
      <c r="F170" s="217"/>
      <c r="G170" s="234"/>
      <c r="H170" s="218"/>
      <c r="I170" s="76"/>
      <c r="J170" s="77"/>
      <c r="K170" s="77"/>
      <c r="L170" s="76"/>
      <c r="M170" s="110"/>
      <c r="N170" s="152"/>
      <c r="O170" s="111" t="str">
        <f>IFERROR(MIN(VLOOKUP(ROUNDDOWN(N170,0),'Aide calcul'!$B$2:$C$282,2,FALSE),M170+1),"")</f>
        <v/>
      </c>
      <c r="P170" s="112" t="str">
        <f t="shared" si="40"/>
        <v/>
      </c>
      <c r="Q170" s="170"/>
      <c r="R170" s="170"/>
      <c r="S170" s="170"/>
      <c r="T170" s="170"/>
      <c r="U170" s="170"/>
      <c r="V170" s="170"/>
      <c r="W170" s="170"/>
      <c r="X170" s="76"/>
      <c r="Y170" s="76"/>
      <c r="Z170" s="113" t="str">
        <f>IFERROR(ROUND('Informations générales'!$E$66*(AE170/SUM($AE$28:$AE$404))/12,0)*12,"")</f>
        <v/>
      </c>
      <c r="AA170" s="114"/>
      <c r="AB170" s="113" t="str">
        <f t="shared" si="29"/>
        <v/>
      </c>
      <c r="AC170" s="89"/>
      <c r="AD170" s="76"/>
      <c r="AE170" s="56">
        <f t="shared" si="41"/>
        <v>0</v>
      </c>
      <c r="AF170" s="56">
        <f t="shared" si="30"/>
        <v>0</v>
      </c>
      <c r="AG170" s="56">
        <f t="shared" si="31"/>
        <v>0</v>
      </c>
      <c r="AH170" s="56">
        <f t="shared" si="32"/>
        <v>0</v>
      </c>
      <c r="AI170" s="56">
        <f t="shared" si="33"/>
        <v>0</v>
      </c>
      <c r="AJ170" s="56">
        <f t="shared" si="34"/>
        <v>0</v>
      </c>
      <c r="AK170" s="56">
        <f t="shared" si="35"/>
        <v>0</v>
      </c>
      <c r="AL170" s="56">
        <f t="shared" si="36"/>
        <v>0</v>
      </c>
      <c r="AM170" s="56">
        <f t="shared" si="42"/>
        <v>0</v>
      </c>
      <c r="AN170" s="60">
        <f t="shared" si="37"/>
        <v>0</v>
      </c>
      <c r="AO170" s="59">
        <f t="shared" si="38"/>
        <v>0</v>
      </c>
      <c r="AP170" s="59">
        <f t="shared" si="39"/>
        <v>0</v>
      </c>
    </row>
    <row r="171" spans="3:42" s="17" customFormat="1" x14ac:dyDescent="0.25">
      <c r="C171" s="241" t="s">
        <v>213</v>
      </c>
      <c r="D171" s="242"/>
      <c r="E171" s="88"/>
      <c r="F171" s="217"/>
      <c r="G171" s="234"/>
      <c r="H171" s="218"/>
      <c r="I171" s="76"/>
      <c r="J171" s="77"/>
      <c r="K171" s="77"/>
      <c r="L171" s="76"/>
      <c r="M171" s="110"/>
      <c r="N171" s="152"/>
      <c r="O171" s="111" t="str">
        <f>IFERROR(MIN(VLOOKUP(ROUNDDOWN(N171,0),'Aide calcul'!$B$2:$C$282,2,FALSE),M171+1),"")</f>
        <v/>
      </c>
      <c r="P171" s="112" t="str">
        <f t="shared" si="40"/>
        <v/>
      </c>
      <c r="Q171" s="170"/>
      <c r="R171" s="170"/>
      <c r="S171" s="170"/>
      <c r="T171" s="170"/>
      <c r="U171" s="170"/>
      <c r="V171" s="170"/>
      <c r="W171" s="170"/>
      <c r="X171" s="76"/>
      <c r="Y171" s="76"/>
      <c r="Z171" s="113" t="str">
        <f>IFERROR(ROUND('Informations générales'!$E$66*(AE171/SUM($AE$28:$AE$404))/12,0)*12,"")</f>
        <v/>
      </c>
      <c r="AA171" s="114"/>
      <c r="AB171" s="113" t="str">
        <f t="shared" si="29"/>
        <v/>
      </c>
      <c r="AC171" s="89"/>
      <c r="AD171" s="76"/>
      <c r="AE171" s="56">
        <f t="shared" si="41"/>
        <v>0</v>
      </c>
      <c r="AF171" s="56">
        <f t="shared" si="30"/>
        <v>0</v>
      </c>
      <c r="AG171" s="56">
        <f t="shared" si="31"/>
        <v>0</v>
      </c>
      <c r="AH171" s="56">
        <f t="shared" si="32"/>
        <v>0</v>
      </c>
      <c r="AI171" s="56">
        <f t="shared" si="33"/>
        <v>0</v>
      </c>
      <c r="AJ171" s="56">
        <f t="shared" si="34"/>
        <v>0</v>
      </c>
      <c r="AK171" s="56">
        <f t="shared" si="35"/>
        <v>0</v>
      </c>
      <c r="AL171" s="56">
        <f t="shared" si="36"/>
        <v>0</v>
      </c>
      <c r="AM171" s="56">
        <f t="shared" si="42"/>
        <v>0</v>
      </c>
      <c r="AN171" s="60">
        <f t="shared" si="37"/>
        <v>0</v>
      </c>
      <c r="AO171" s="59">
        <f t="shared" si="38"/>
        <v>0</v>
      </c>
      <c r="AP171" s="59">
        <f t="shared" si="39"/>
        <v>0</v>
      </c>
    </row>
    <row r="172" spans="3:42" s="17" customFormat="1" x14ac:dyDescent="0.25">
      <c r="C172" s="241" t="s">
        <v>213</v>
      </c>
      <c r="D172" s="242"/>
      <c r="E172" s="88"/>
      <c r="F172" s="217"/>
      <c r="G172" s="234"/>
      <c r="H172" s="218"/>
      <c r="I172" s="76"/>
      <c r="J172" s="77"/>
      <c r="K172" s="77"/>
      <c r="L172" s="76"/>
      <c r="M172" s="110"/>
      <c r="N172" s="152"/>
      <c r="O172" s="111" t="str">
        <f>IFERROR(MIN(VLOOKUP(ROUNDDOWN(N172,0),'Aide calcul'!$B$2:$C$282,2,FALSE),M172+1),"")</f>
        <v/>
      </c>
      <c r="P172" s="112" t="str">
        <f t="shared" si="40"/>
        <v/>
      </c>
      <c r="Q172" s="170"/>
      <c r="R172" s="170"/>
      <c r="S172" s="170"/>
      <c r="T172" s="170"/>
      <c r="U172" s="170"/>
      <c r="V172" s="170"/>
      <c r="W172" s="170"/>
      <c r="X172" s="76"/>
      <c r="Y172" s="76"/>
      <c r="Z172" s="113" t="str">
        <f>IFERROR(ROUND('Informations générales'!$E$66*(AE172/SUM($AE$28:$AE$404))/12,0)*12,"")</f>
        <v/>
      </c>
      <c r="AA172" s="114"/>
      <c r="AB172" s="113" t="str">
        <f t="shared" si="29"/>
        <v/>
      </c>
      <c r="AC172" s="89"/>
      <c r="AD172" s="76"/>
      <c r="AE172" s="56">
        <f t="shared" si="41"/>
        <v>0</v>
      </c>
      <c r="AF172" s="56">
        <f t="shared" si="30"/>
        <v>0</v>
      </c>
      <c r="AG172" s="56">
        <f t="shared" si="31"/>
        <v>0</v>
      </c>
      <c r="AH172" s="56">
        <f t="shared" si="32"/>
        <v>0</v>
      </c>
      <c r="AI172" s="56">
        <f t="shared" si="33"/>
        <v>0</v>
      </c>
      <c r="AJ172" s="56">
        <f t="shared" si="34"/>
        <v>0</v>
      </c>
      <c r="AK172" s="56">
        <f t="shared" si="35"/>
        <v>0</v>
      </c>
      <c r="AL172" s="56">
        <f t="shared" si="36"/>
        <v>0</v>
      </c>
      <c r="AM172" s="56">
        <f t="shared" si="42"/>
        <v>0</v>
      </c>
      <c r="AN172" s="60">
        <f t="shared" si="37"/>
        <v>0</v>
      </c>
      <c r="AO172" s="59">
        <f t="shared" si="38"/>
        <v>0</v>
      </c>
      <c r="AP172" s="59">
        <f t="shared" si="39"/>
        <v>0</v>
      </c>
    </row>
    <row r="173" spans="3:42" s="17" customFormat="1" x14ac:dyDescent="0.25">
      <c r="C173" s="241" t="s">
        <v>213</v>
      </c>
      <c r="D173" s="242"/>
      <c r="E173" s="88"/>
      <c r="F173" s="217"/>
      <c r="G173" s="234"/>
      <c r="H173" s="218"/>
      <c r="I173" s="76"/>
      <c r="J173" s="77"/>
      <c r="K173" s="77"/>
      <c r="L173" s="76"/>
      <c r="M173" s="110"/>
      <c r="N173" s="152"/>
      <c r="O173" s="111" t="str">
        <f>IFERROR(MIN(VLOOKUP(ROUNDDOWN(N173,0),'Aide calcul'!$B$2:$C$282,2,FALSE),M173+1),"")</f>
        <v/>
      </c>
      <c r="P173" s="112" t="str">
        <f t="shared" si="40"/>
        <v/>
      </c>
      <c r="Q173" s="170"/>
      <c r="R173" s="170"/>
      <c r="S173" s="170"/>
      <c r="T173" s="170"/>
      <c r="U173" s="170"/>
      <c r="V173" s="170"/>
      <c r="W173" s="170"/>
      <c r="X173" s="76"/>
      <c r="Y173" s="76"/>
      <c r="Z173" s="113" t="str">
        <f>IFERROR(ROUND('Informations générales'!$E$66*(AE173/SUM($AE$28:$AE$404))/12,0)*12,"")</f>
        <v/>
      </c>
      <c r="AA173" s="114"/>
      <c r="AB173" s="113" t="str">
        <f t="shared" si="29"/>
        <v/>
      </c>
      <c r="AC173" s="89"/>
      <c r="AD173" s="76"/>
      <c r="AE173" s="56">
        <f t="shared" si="41"/>
        <v>0</v>
      </c>
      <c r="AF173" s="56">
        <f t="shared" si="30"/>
        <v>0</v>
      </c>
      <c r="AG173" s="56">
        <f t="shared" si="31"/>
        <v>0</v>
      </c>
      <c r="AH173" s="56">
        <f t="shared" si="32"/>
        <v>0</v>
      </c>
      <c r="AI173" s="56">
        <f t="shared" si="33"/>
        <v>0</v>
      </c>
      <c r="AJ173" s="56">
        <f t="shared" si="34"/>
        <v>0</v>
      </c>
      <c r="AK173" s="56">
        <f t="shared" si="35"/>
        <v>0</v>
      </c>
      <c r="AL173" s="56">
        <f t="shared" si="36"/>
        <v>0</v>
      </c>
      <c r="AM173" s="56">
        <f t="shared" si="42"/>
        <v>0</v>
      </c>
      <c r="AN173" s="60">
        <f t="shared" si="37"/>
        <v>0</v>
      </c>
      <c r="AO173" s="59">
        <f t="shared" si="38"/>
        <v>0</v>
      </c>
      <c r="AP173" s="59">
        <f t="shared" si="39"/>
        <v>0</v>
      </c>
    </row>
    <row r="174" spans="3:42" s="17" customFormat="1" x14ac:dyDescent="0.25">
      <c r="C174" s="241" t="s">
        <v>213</v>
      </c>
      <c r="D174" s="242"/>
      <c r="E174" s="88"/>
      <c r="F174" s="217"/>
      <c r="G174" s="234"/>
      <c r="H174" s="218"/>
      <c r="I174" s="76"/>
      <c r="J174" s="77"/>
      <c r="K174" s="77"/>
      <c r="L174" s="76"/>
      <c r="M174" s="110"/>
      <c r="N174" s="152"/>
      <c r="O174" s="111" t="str">
        <f>IFERROR(MIN(VLOOKUP(ROUNDDOWN(N174,0),'Aide calcul'!$B$2:$C$282,2,FALSE),M174+1),"")</f>
        <v/>
      </c>
      <c r="P174" s="112" t="str">
        <f t="shared" si="40"/>
        <v/>
      </c>
      <c r="Q174" s="170"/>
      <c r="R174" s="170"/>
      <c r="S174" s="170"/>
      <c r="T174" s="170"/>
      <c r="U174" s="170"/>
      <c r="V174" s="170"/>
      <c r="W174" s="170"/>
      <c r="X174" s="76"/>
      <c r="Y174" s="76"/>
      <c r="Z174" s="113" t="str">
        <f>IFERROR(ROUND('Informations générales'!$E$66*(AE174/SUM($AE$28:$AE$404))/12,0)*12,"")</f>
        <v/>
      </c>
      <c r="AA174" s="114"/>
      <c r="AB174" s="113" t="str">
        <f t="shared" si="29"/>
        <v/>
      </c>
      <c r="AC174" s="89"/>
      <c r="AD174" s="76"/>
      <c r="AE174" s="56">
        <f t="shared" si="41"/>
        <v>0</v>
      </c>
      <c r="AF174" s="56">
        <f t="shared" si="30"/>
        <v>0</v>
      </c>
      <c r="AG174" s="56">
        <f t="shared" si="31"/>
        <v>0</v>
      </c>
      <c r="AH174" s="56">
        <f t="shared" si="32"/>
        <v>0</v>
      </c>
      <c r="AI174" s="56">
        <f t="shared" si="33"/>
        <v>0</v>
      </c>
      <c r="AJ174" s="56">
        <f t="shared" si="34"/>
        <v>0</v>
      </c>
      <c r="AK174" s="56">
        <f t="shared" si="35"/>
        <v>0</v>
      </c>
      <c r="AL174" s="56">
        <f t="shared" si="36"/>
        <v>0</v>
      </c>
      <c r="AM174" s="56">
        <f t="shared" si="42"/>
        <v>0</v>
      </c>
      <c r="AN174" s="60">
        <f t="shared" si="37"/>
        <v>0</v>
      </c>
      <c r="AO174" s="59">
        <f t="shared" si="38"/>
        <v>0</v>
      </c>
      <c r="AP174" s="59">
        <f t="shared" si="39"/>
        <v>0</v>
      </c>
    </row>
    <row r="175" spans="3:42" s="17" customFormat="1" x14ac:dyDescent="0.25">
      <c r="C175" s="241" t="s">
        <v>213</v>
      </c>
      <c r="D175" s="242"/>
      <c r="E175" s="88"/>
      <c r="F175" s="217"/>
      <c r="G175" s="234"/>
      <c r="H175" s="218"/>
      <c r="I175" s="76"/>
      <c r="J175" s="77"/>
      <c r="K175" s="77"/>
      <c r="L175" s="76"/>
      <c r="M175" s="110"/>
      <c r="N175" s="152"/>
      <c r="O175" s="111" t="str">
        <f>IFERROR(MIN(VLOOKUP(ROUNDDOWN(N175,0),'Aide calcul'!$B$2:$C$282,2,FALSE),M175+1),"")</f>
        <v/>
      </c>
      <c r="P175" s="112" t="str">
        <f t="shared" si="40"/>
        <v/>
      </c>
      <c r="Q175" s="170"/>
      <c r="R175" s="170"/>
      <c r="S175" s="170"/>
      <c r="T175" s="170"/>
      <c r="U175" s="170"/>
      <c r="V175" s="170"/>
      <c r="W175" s="170"/>
      <c r="X175" s="76"/>
      <c r="Y175" s="76"/>
      <c r="Z175" s="113" t="str">
        <f>IFERROR(ROUND('Informations générales'!$E$66*(AE175/SUM($AE$28:$AE$404))/12,0)*12,"")</f>
        <v/>
      </c>
      <c r="AA175" s="114"/>
      <c r="AB175" s="113" t="str">
        <f t="shared" si="29"/>
        <v/>
      </c>
      <c r="AC175" s="89"/>
      <c r="AD175" s="76"/>
      <c r="AE175" s="56">
        <f t="shared" si="41"/>
        <v>0</v>
      </c>
      <c r="AF175" s="56">
        <f t="shared" si="30"/>
        <v>0</v>
      </c>
      <c r="AG175" s="56">
        <f t="shared" si="31"/>
        <v>0</v>
      </c>
      <c r="AH175" s="56">
        <f t="shared" si="32"/>
        <v>0</v>
      </c>
      <c r="AI175" s="56">
        <f t="shared" si="33"/>
        <v>0</v>
      </c>
      <c r="AJ175" s="56">
        <f t="shared" si="34"/>
        <v>0</v>
      </c>
      <c r="AK175" s="56">
        <f t="shared" si="35"/>
        <v>0</v>
      </c>
      <c r="AL175" s="56">
        <f t="shared" si="36"/>
        <v>0</v>
      </c>
      <c r="AM175" s="56">
        <f t="shared" si="42"/>
        <v>0</v>
      </c>
      <c r="AN175" s="60">
        <f t="shared" si="37"/>
        <v>0</v>
      </c>
      <c r="AO175" s="59">
        <f t="shared" si="38"/>
        <v>0</v>
      </c>
      <c r="AP175" s="59">
        <f t="shared" si="39"/>
        <v>0</v>
      </c>
    </row>
    <row r="176" spans="3:42" s="17" customFormat="1" x14ac:dyDescent="0.25">
      <c r="C176" s="241" t="s">
        <v>213</v>
      </c>
      <c r="D176" s="242"/>
      <c r="E176" s="88"/>
      <c r="F176" s="217"/>
      <c r="G176" s="234"/>
      <c r="H176" s="218"/>
      <c r="I176" s="76"/>
      <c r="J176" s="77"/>
      <c r="K176" s="77"/>
      <c r="L176" s="76"/>
      <c r="M176" s="110"/>
      <c r="N176" s="152"/>
      <c r="O176" s="111" t="str">
        <f>IFERROR(MIN(VLOOKUP(ROUNDDOWN(N176,0),'Aide calcul'!$B$2:$C$282,2,FALSE),M176+1),"")</f>
        <v/>
      </c>
      <c r="P176" s="112" t="str">
        <f t="shared" si="40"/>
        <v/>
      </c>
      <c r="Q176" s="170"/>
      <c r="R176" s="170"/>
      <c r="S176" s="170"/>
      <c r="T176" s="170"/>
      <c r="U176" s="170"/>
      <c r="V176" s="170"/>
      <c r="W176" s="170"/>
      <c r="X176" s="76"/>
      <c r="Y176" s="76"/>
      <c r="Z176" s="113" t="str">
        <f>IFERROR(ROUND('Informations générales'!$E$66*(AE176/SUM($AE$28:$AE$404))/12,0)*12,"")</f>
        <v/>
      </c>
      <c r="AA176" s="114"/>
      <c r="AB176" s="113" t="str">
        <f t="shared" si="29"/>
        <v/>
      </c>
      <c r="AC176" s="89"/>
      <c r="AD176" s="76"/>
      <c r="AE176" s="56">
        <f t="shared" si="41"/>
        <v>0</v>
      </c>
      <c r="AF176" s="56">
        <f t="shared" si="30"/>
        <v>0</v>
      </c>
      <c r="AG176" s="56">
        <f t="shared" si="31"/>
        <v>0</v>
      </c>
      <c r="AH176" s="56">
        <f t="shared" si="32"/>
        <v>0</v>
      </c>
      <c r="AI176" s="56">
        <f t="shared" si="33"/>
        <v>0</v>
      </c>
      <c r="AJ176" s="56">
        <f t="shared" si="34"/>
        <v>0</v>
      </c>
      <c r="AK176" s="56">
        <f t="shared" si="35"/>
        <v>0</v>
      </c>
      <c r="AL176" s="56">
        <f t="shared" si="36"/>
        <v>0</v>
      </c>
      <c r="AM176" s="56">
        <f t="shared" si="42"/>
        <v>0</v>
      </c>
      <c r="AN176" s="60">
        <f t="shared" si="37"/>
        <v>0</v>
      </c>
      <c r="AO176" s="59">
        <f t="shared" si="38"/>
        <v>0</v>
      </c>
      <c r="AP176" s="59">
        <f t="shared" si="39"/>
        <v>0</v>
      </c>
    </row>
    <row r="177" spans="3:42" s="17" customFormat="1" x14ac:dyDescent="0.25">
      <c r="C177" s="241" t="s">
        <v>213</v>
      </c>
      <c r="D177" s="242"/>
      <c r="E177" s="88"/>
      <c r="F177" s="217"/>
      <c r="G177" s="234"/>
      <c r="H177" s="218"/>
      <c r="I177" s="76"/>
      <c r="J177" s="77"/>
      <c r="K177" s="77"/>
      <c r="L177" s="76"/>
      <c r="M177" s="110"/>
      <c r="N177" s="152"/>
      <c r="O177" s="111" t="str">
        <f>IFERROR(MIN(VLOOKUP(ROUNDDOWN(N177,0),'Aide calcul'!$B$2:$C$282,2,FALSE),M177+1),"")</f>
        <v/>
      </c>
      <c r="P177" s="112" t="str">
        <f t="shared" si="40"/>
        <v/>
      </c>
      <c r="Q177" s="170"/>
      <c r="R177" s="170"/>
      <c r="S177" s="170"/>
      <c r="T177" s="170"/>
      <c r="U177" s="170"/>
      <c r="V177" s="170"/>
      <c r="W177" s="170"/>
      <c r="X177" s="76"/>
      <c r="Y177" s="76"/>
      <c r="Z177" s="113" t="str">
        <f>IFERROR(ROUND('Informations générales'!$E$66*(AE177/SUM($AE$28:$AE$404))/12,0)*12,"")</f>
        <v/>
      </c>
      <c r="AA177" s="114"/>
      <c r="AB177" s="113" t="str">
        <f t="shared" si="29"/>
        <v/>
      </c>
      <c r="AC177" s="89"/>
      <c r="AD177" s="76"/>
      <c r="AE177" s="56">
        <f t="shared" si="41"/>
        <v>0</v>
      </c>
      <c r="AF177" s="56">
        <f t="shared" si="30"/>
        <v>0</v>
      </c>
      <c r="AG177" s="56">
        <f t="shared" si="31"/>
        <v>0</v>
      </c>
      <c r="AH177" s="56">
        <f t="shared" si="32"/>
        <v>0</v>
      </c>
      <c r="AI177" s="56">
        <f t="shared" si="33"/>
        <v>0</v>
      </c>
      <c r="AJ177" s="56">
        <f t="shared" si="34"/>
        <v>0</v>
      </c>
      <c r="AK177" s="56">
        <f t="shared" si="35"/>
        <v>0</v>
      </c>
      <c r="AL177" s="56">
        <f t="shared" si="36"/>
        <v>0</v>
      </c>
      <c r="AM177" s="56">
        <f t="shared" si="42"/>
        <v>0</v>
      </c>
      <c r="AN177" s="60">
        <f t="shared" si="37"/>
        <v>0</v>
      </c>
      <c r="AO177" s="59">
        <f t="shared" si="38"/>
        <v>0</v>
      </c>
      <c r="AP177" s="59">
        <f t="shared" si="39"/>
        <v>0</v>
      </c>
    </row>
    <row r="178" spans="3:42" s="17" customFormat="1" x14ac:dyDescent="0.25">
      <c r="C178" s="241" t="s">
        <v>213</v>
      </c>
      <c r="D178" s="242"/>
      <c r="E178" s="88"/>
      <c r="F178" s="217"/>
      <c r="G178" s="234"/>
      <c r="H178" s="218"/>
      <c r="I178" s="76"/>
      <c r="J178" s="77"/>
      <c r="K178" s="77"/>
      <c r="L178" s="76"/>
      <c r="M178" s="110"/>
      <c r="N178" s="152"/>
      <c r="O178" s="111" t="str">
        <f>IFERROR(MIN(VLOOKUP(ROUNDDOWN(N178,0),'Aide calcul'!$B$2:$C$282,2,FALSE),M178+1),"")</f>
        <v/>
      </c>
      <c r="P178" s="112" t="str">
        <f t="shared" si="40"/>
        <v/>
      </c>
      <c r="Q178" s="170"/>
      <c r="R178" s="170"/>
      <c r="S178" s="170"/>
      <c r="T178" s="170"/>
      <c r="U178" s="170"/>
      <c r="V178" s="170"/>
      <c r="W178" s="170"/>
      <c r="X178" s="76"/>
      <c r="Y178" s="76"/>
      <c r="Z178" s="113" t="str">
        <f>IFERROR(ROUND('Informations générales'!$E$66*(AE178/SUM($AE$28:$AE$404))/12,0)*12,"")</f>
        <v/>
      </c>
      <c r="AA178" s="114"/>
      <c r="AB178" s="113" t="str">
        <f t="shared" si="29"/>
        <v/>
      </c>
      <c r="AC178" s="89"/>
      <c r="AD178" s="76"/>
      <c r="AE178" s="56">
        <f t="shared" si="41"/>
        <v>0</v>
      </c>
      <c r="AF178" s="56">
        <f t="shared" si="30"/>
        <v>0</v>
      </c>
      <c r="AG178" s="56">
        <f t="shared" si="31"/>
        <v>0</v>
      </c>
      <c r="AH178" s="56">
        <f t="shared" si="32"/>
        <v>0</v>
      </c>
      <c r="AI178" s="56">
        <f t="shared" si="33"/>
        <v>0</v>
      </c>
      <c r="AJ178" s="56">
        <f t="shared" si="34"/>
        <v>0</v>
      </c>
      <c r="AK178" s="56">
        <f t="shared" si="35"/>
        <v>0</v>
      </c>
      <c r="AL178" s="56">
        <f t="shared" si="36"/>
        <v>0</v>
      </c>
      <c r="AM178" s="56">
        <f t="shared" si="42"/>
        <v>0</v>
      </c>
      <c r="AN178" s="60">
        <f t="shared" si="37"/>
        <v>0</v>
      </c>
      <c r="AO178" s="59">
        <f t="shared" si="38"/>
        <v>0</v>
      </c>
      <c r="AP178" s="59">
        <f t="shared" si="39"/>
        <v>0</v>
      </c>
    </row>
    <row r="179" spans="3:42" s="17" customFormat="1" x14ac:dyDescent="0.25">
      <c r="C179" s="241" t="s">
        <v>213</v>
      </c>
      <c r="D179" s="242"/>
      <c r="E179" s="88"/>
      <c r="F179" s="217"/>
      <c r="G179" s="234"/>
      <c r="H179" s="218"/>
      <c r="I179" s="76"/>
      <c r="J179" s="77"/>
      <c r="K179" s="77"/>
      <c r="L179" s="76"/>
      <c r="M179" s="110"/>
      <c r="N179" s="152"/>
      <c r="O179" s="111" t="str">
        <f>IFERROR(MIN(VLOOKUP(ROUNDDOWN(N179,0),'Aide calcul'!$B$2:$C$282,2,FALSE),M179+1),"")</f>
        <v/>
      </c>
      <c r="P179" s="112" t="str">
        <f t="shared" si="40"/>
        <v/>
      </c>
      <c r="Q179" s="170"/>
      <c r="R179" s="170"/>
      <c r="S179" s="170"/>
      <c r="T179" s="170"/>
      <c r="U179" s="170"/>
      <c r="V179" s="170"/>
      <c r="W179" s="170"/>
      <c r="X179" s="76"/>
      <c r="Y179" s="76"/>
      <c r="Z179" s="113" t="str">
        <f>IFERROR(ROUND('Informations générales'!$E$66*(AE179/SUM($AE$28:$AE$404))/12,0)*12,"")</f>
        <v/>
      </c>
      <c r="AA179" s="114"/>
      <c r="AB179" s="113" t="str">
        <f t="shared" si="29"/>
        <v/>
      </c>
      <c r="AC179" s="89"/>
      <c r="AD179" s="76"/>
      <c r="AE179" s="56">
        <f t="shared" si="41"/>
        <v>0</v>
      </c>
      <c r="AF179" s="56">
        <f t="shared" si="30"/>
        <v>0</v>
      </c>
      <c r="AG179" s="56">
        <f t="shared" si="31"/>
        <v>0</v>
      </c>
      <c r="AH179" s="56">
        <f t="shared" si="32"/>
        <v>0</v>
      </c>
      <c r="AI179" s="56">
        <f t="shared" si="33"/>
        <v>0</v>
      </c>
      <c r="AJ179" s="56">
        <f t="shared" si="34"/>
        <v>0</v>
      </c>
      <c r="AK179" s="56">
        <f t="shared" si="35"/>
        <v>0</v>
      </c>
      <c r="AL179" s="56">
        <f t="shared" si="36"/>
        <v>0</v>
      </c>
      <c r="AM179" s="56">
        <f t="shared" si="42"/>
        <v>0</v>
      </c>
      <c r="AN179" s="60">
        <f t="shared" si="37"/>
        <v>0</v>
      </c>
      <c r="AO179" s="59">
        <f t="shared" si="38"/>
        <v>0</v>
      </c>
      <c r="AP179" s="59">
        <f t="shared" si="39"/>
        <v>0</v>
      </c>
    </row>
    <row r="180" spans="3:42" s="17" customFormat="1" x14ac:dyDescent="0.25">
      <c r="C180" s="241" t="s">
        <v>213</v>
      </c>
      <c r="D180" s="242"/>
      <c r="E180" s="88"/>
      <c r="F180" s="217"/>
      <c r="G180" s="234"/>
      <c r="H180" s="218"/>
      <c r="I180" s="76"/>
      <c r="J180" s="77"/>
      <c r="K180" s="77"/>
      <c r="L180" s="76"/>
      <c r="M180" s="110"/>
      <c r="N180" s="152"/>
      <c r="O180" s="111" t="str">
        <f>IFERROR(MIN(VLOOKUP(ROUNDDOWN(N180,0),'Aide calcul'!$B$2:$C$282,2,FALSE),M180+1),"")</f>
        <v/>
      </c>
      <c r="P180" s="112" t="str">
        <f t="shared" si="40"/>
        <v/>
      </c>
      <c r="Q180" s="170"/>
      <c r="R180" s="170"/>
      <c r="S180" s="170"/>
      <c r="T180" s="170"/>
      <c r="U180" s="170"/>
      <c r="V180" s="170"/>
      <c r="W180" s="170"/>
      <c r="X180" s="76"/>
      <c r="Y180" s="76"/>
      <c r="Z180" s="113" t="str">
        <f>IFERROR(ROUND('Informations générales'!$E$66*(AE180/SUM($AE$28:$AE$404))/12,0)*12,"")</f>
        <v/>
      </c>
      <c r="AA180" s="114"/>
      <c r="AB180" s="113" t="str">
        <f t="shared" si="29"/>
        <v/>
      </c>
      <c r="AC180" s="89"/>
      <c r="AD180" s="76"/>
      <c r="AE180" s="56">
        <f t="shared" si="41"/>
        <v>0</v>
      </c>
      <c r="AF180" s="56">
        <f t="shared" si="30"/>
        <v>0</v>
      </c>
      <c r="AG180" s="56">
        <f t="shared" si="31"/>
        <v>0</v>
      </c>
      <c r="AH180" s="56">
        <f t="shared" si="32"/>
        <v>0</v>
      </c>
      <c r="AI180" s="56">
        <f t="shared" si="33"/>
        <v>0</v>
      </c>
      <c r="AJ180" s="56">
        <f t="shared" si="34"/>
        <v>0</v>
      </c>
      <c r="AK180" s="56">
        <f t="shared" si="35"/>
        <v>0</v>
      </c>
      <c r="AL180" s="56">
        <f t="shared" si="36"/>
        <v>0</v>
      </c>
      <c r="AM180" s="56">
        <f t="shared" si="42"/>
        <v>0</v>
      </c>
      <c r="AN180" s="60">
        <f t="shared" si="37"/>
        <v>0</v>
      </c>
      <c r="AO180" s="59">
        <f t="shared" si="38"/>
        <v>0</v>
      </c>
      <c r="AP180" s="59">
        <f t="shared" si="39"/>
        <v>0</v>
      </c>
    </row>
    <row r="181" spans="3:42" s="17" customFormat="1" x14ac:dyDescent="0.25">
      <c r="C181" s="241" t="s">
        <v>213</v>
      </c>
      <c r="D181" s="242"/>
      <c r="E181" s="88"/>
      <c r="F181" s="217"/>
      <c r="G181" s="234"/>
      <c r="H181" s="218"/>
      <c r="I181" s="76"/>
      <c r="J181" s="77"/>
      <c r="K181" s="77"/>
      <c r="L181" s="76"/>
      <c r="M181" s="110"/>
      <c r="N181" s="152"/>
      <c r="O181" s="111" t="str">
        <f>IFERROR(MIN(VLOOKUP(ROUNDDOWN(N181,0),'Aide calcul'!$B$2:$C$282,2,FALSE),M181+1),"")</f>
        <v/>
      </c>
      <c r="P181" s="112" t="str">
        <f t="shared" si="40"/>
        <v/>
      </c>
      <c r="Q181" s="170"/>
      <c r="R181" s="170"/>
      <c r="S181" s="170"/>
      <c r="T181" s="170"/>
      <c r="U181" s="170"/>
      <c r="V181" s="170"/>
      <c r="W181" s="170"/>
      <c r="X181" s="76"/>
      <c r="Y181" s="76"/>
      <c r="Z181" s="113" t="str">
        <f>IFERROR(ROUND('Informations générales'!$E$66*(AE181/SUM($AE$28:$AE$404))/12,0)*12,"")</f>
        <v/>
      </c>
      <c r="AA181" s="114"/>
      <c r="AB181" s="113" t="str">
        <f t="shared" si="29"/>
        <v/>
      </c>
      <c r="AC181" s="89"/>
      <c r="AD181" s="76"/>
      <c r="AE181" s="56">
        <f t="shared" si="41"/>
        <v>0</v>
      </c>
      <c r="AF181" s="56">
        <f t="shared" si="30"/>
        <v>0</v>
      </c>
      <c r="AG181" s="56">
        <f t="shared" si="31"/>
        <v>0</v>
      </c>
      <c r="AH181" s="56">
        <f t="shared" si="32"/>
        <v>0</v>
      </c>
      <c r="AI181" s="56">
        <f t="shared" si="33"/>
        <v>0</v>
      </c>
      <c r="AJ181" s="56">
        <f t="shared" si="34"/>
        <v>0</v>
      </c>
      <c r="AK181" s="56">
        <f t="shared" si="35"/>
        <v>0</v>
      </c>
      <c r="AL181" s="56">
        <f t="shared" si="36"/>
        <v>0</v>
      </c>
      <c r="AM181" s="56">
        <f t="shared" si="42"/>
        <v>0</v>
      </c>
      <c r="AN181" s="60">
        <f t="shared" si="37"/>
        <v>0</v>
      </c>
      <c r="AO181" s="59">
        <f t="shared" si="38"/>
        <v>0</v>
      </c>
      <c r="AP181" s="59">
        <f t="shared" si="39"/>
        <v>0</v>
      </c>
    </row>
    <row r="182" spans="3:42" s="17" customFormat="1" x14ac:dyDescent="0.25">
      <c r="C182" s="241" t="s">
        <v>213</v>
      </c>
      <c r="D182" s="242"/>
      <c r="E182" s="88"/>
      <c r="F182" s="217"/>
      <c r="G182" s="234"/>
      <c r="H182" s="218"/>
      <c r="I182" s="76"/>
      <c r="J182" s="77"/>
      <c r="K182" s="77"/>
      <c r="L182" s="76"/>
      <c r="M182" s="110"/>
      <c r="N182" s="152"/>
      <c r="O182" s="111" t="str">
        <f>IFERROR(MIN(VLOOKUP(ROUNDDOWN(N182,0),'Aide calcul'!$B$2:$C$282,2,FALSE),M182+1),"")</f>
        <v/>
      </c>
      <c r="P182" s="112" t="str">
        <f t="shared" si="40"/>
        <v/>
      </c>
      <c r="Q182" s="170"/>
      <c r="R182" s="170"/>
      <c r="S182" s="170"/>
      <c r="T182" s="170"/>
      <c r="U182" s="170"/>
      <c r="V182" s="170"/>
      <c r="W182" s="170"/>
      <c r="X182" s="76"/>
      <c r="Y182" s="76"/>
      <c r="Z182" s="113" t="str">
        <f>IFERROR(ROUND('Informations générales'!$E$66*(AE182/SUM($AE$28:$AE$404))/12,0)*12,"")</f>
        <v/>
      </c>
      <c r="AA182" s="114"/>
      <c r="AB182" s="113" t="str">
        <f t="shared" si="29"/>
        <v/>
      </c>
      <c r="AC182" s="89"/>
      <c r="AD182" s="76"/>
      <c r="AE182" s="56">
        <f t="shared" si="41"/>
        <v>0</v>
      </c>
      <c r="AF182" s="56">
        <f t="shared" si="30"/>
        <v>0</v>
      </c>
      <c r="AG182" s="56">
        <f t="shared" si="31"/>
        <v>0</v>
      </c>
      <c r="AH182" s="56">
        <f t="shared" si="32"/>
        <v>0</v>
      </c>
      <c r="AI182" s="56">
        <f t="shared" si="33"/>
        <v>0</v>
      </c>
      <c r="AJ182" s="56">
        <f t="shared" si="34"/>
        <v>0</v>
      </c>
      <c r="AK182" s="56">
        <f t="shared" si="35"/>
        <v>0</v>
      </c>
      <c r="AL182" s="56">
        <f t="shared" si="36"/>
        <v>0</v>
      </c>
      <c r="AM182" s="56">
        <f t="shared" si="42"/>
        <v>0</v>
      </c>
      <c r="AN182" s="60">
        <f t="shared" si="37"/>
        <v>0</v>
      </c>
      <c r="AO182" s="59">
        <f t="shared" si="38"/>
        <v>0</v>
      </c>
      <c r="AP182" s="59">
        <f t="shared" si="39"/>
        <v>0</v>
      </c>
    </row>
    <row r="183" spans="3:42" s="17" customFormat="1" x14ac:dyDescent="0.25">
      <c r="C183" s="241" t="s">
        <v>213</v>
      </c>
      <c r="D183" s="242"/>
      <c r="E183" s="88"/>
      <c r="F183" s="217"/>
      <c r="G183" s="234"/>
      <c r="H183" s="218"/>
      <c r="I183" s="76"/>
      <c r="J183" s="77"/>
      <c r="K183" s="77"/>
      <c r="L183" s="76"/>
      <c r="M183" s="110"/>
      <c r="N183" s="152"/>
      <c r="O183" s="111" t="str">
        <f>IFERROR(MIN(VLOOKUP(ROUNDDOWN(N183,0),'Aide calcul'!$B$2:$C$282,2,FALSE),M183+1),"")</f>
        <v/>
      </c>
      <c r="P183" s="112" t="str">
        <f t="shared" si="40"/>
        <v/>
      </c>
      <c r="Q183" s="170"/>
      <c r="R183" s="170"/>
      <c r="S183" s="170"/>
      <c r="T183" s="170"/>
      <c r="U183" s="170"/>
      <c r="V183" s="170"/>
      <c r="W183" s="170"/>
      <c r="X183" s="76"/>
      <c r="Y183" s="76"/>
      <c r="Z183" s="113" t="str">
        <f>IFERROR(ROUND('Informations générales'!$E$66*(AE183/SUM($AE$28:$AE$404))/12,0)*12,"")</f>
        <v/>
      </c>
      <c r="AA183" s="114"/>
      <c r="AB183" s="113" t="str">
        <f t="shared" si="29"/>
        <v/>
      </c>
      <c r="AC183" s="89"/>
      <c r="AD183" s="76"/>
      <c r="AE183" s="56">
        <f t="shared" si="41"/>
        <v>0</v>
      </c>
      <c r="AF183" s="56">
        <f t="shared" si="30"/>
        <v>0</v>
      </c>
      <c r="AG183" s="56">
        <f t="shared" si="31"/>
        <v>0</v>
      </c>
      <c r="AH183" s="56">
        <f t="shared" si="32"/>
        <v>0</v>
      </c>
      <c r="AI183" s="56">
        <f t="shared" si="33"/>
        <v>0</v>
      </c>
      <c r="AJ183" s="56">
        <f t="shared" si="34"/>
        <v>0</v>
      </c>
      <c r="AK183" s="56">
        <f t="shared" si="35"/>
        <v>0</v>
      </c>
      <c r="AL183" s="56">
        <f t="shared" si="36"/>
        <v>0</v>
      </c>
      <c r="AM183" s="56">
        <f t="shared" si="42"/>
        <v>0</v>
      </c>
      <c r="AN183" s="60">
        <f t="shared" si="37"/>
        <v>0</v>
      </c>
      <c r="AO183" s="59">
        <f t="shared" si="38"/>
        <v>0</v>
      </c>
      <c r="AP183" s="59">
        <f t="shared" si="39"/>
        <v>0</v>
      </c>
    </row>
    <row r="184" spans="3:42" s="17" customFormat="1" x14ac:dyDescent="0.25">
      <c r="C184" s="241" t="s">
        <v>213</v>
      </c>
      <c r="D184" s="242"/>
      <c r="E184" s="88"/>
      <c r="F184" s="217"/>
      <c r="G184" s="234"/>
      <c r="H184" s="218"/>
      <c r="I184" s="76"/>
      <c r="J184" s="77"/>
      <c r="K184" s="77"/>
      <c r="L184" s="76"/>
      <c r="M184" s="110"/>
      <c r="N184" s="152"/>
      <c r="O184" s="111" t="str">
        <f>IFERROR(MIN(VLOOKUP(ROUNDDOWN(N184,0),'Aide calcul'!$B$2:$C$282,2,FALSE),M184+1),"")</f>
        <v/>
      </c>
      <c r="P184" s="112" t="str">
        <f t="shared" si="40"/>
        <v/>
      </c>
      <c r="Q184" s="170"/>
      <c r="R184" s="170"/>
      <c r="S184" s="170"/>
      <c r="T184" s="170"/>
      <c r="U184" s="170"/>
      <c r="V184" s="170"/>
      <c r="W184" s="170"/>
      <c r="X184" s="76"/>
      <c r="Y184" s="76"/>
      <c r="Z184" s="113" t="str">
        <f>IFERROR(ROUND('Informations générales'!$E$66*(AE184/SUM($AE$28:$AE$404))/12,0)*12,"")</f>
        <v/>
      </c>
      <c r="AA184" s="114"/>
      <c r="AB184" s="113" t="str">
        <f t="shared" si="29"/>
        <v/>
      </c>
      <c r="AC184" s="89"/>
      <c r="AD184" s="76"/>
      <c r="AE184" s="56">
        <f t="shared" si="41"/>
        <v>0</v>
      </c>
      <c r="AF184" s="56">
        <f t="shared" si="30"/>
        <v>0</v>
      </c>
      <c r="AG184" s="56">
        <f t="shared" si="31"/>
        <v>0</v>
      </c>
      <c r="AH184" s="56">
        <f t="shared" si="32"/>
        <v>0</v>
      </c>
      <c r="AI184" s="56">
        <f t="shared" si="33"/>
        <v>0</v>
      </c>
      <c r="AJ184" s="56">
        <f t="shared" si="34"/>
        <v>0</v>
      </c>
      <c r="AK184" s="56">
        <f t="shared" si="35"/>
        <v>0</v>
      </c>
      <c r="AL184" s="56">
        <f t="shared" si="36"/>
        <v>0</v>
      </c>
      <c r="AM184" s="56">
        <f t="shared" si="42"/>
        <v>0</v>
      </c>
      <c r="AN184" s="60">
        <f t="shared" si="37"/>
        <v>0</v>
      </c>
      <c r="AO184" s="59">
        <f t="shared" si="38"/>
        <v>0</v>
      </c>
      <c r="AP184" s="59">
        <f t="shared" si="39"/>
        <v>0</v>
      </c>
    </row>
    <row r="185" spans="3:42" s="17" customFormat="1" x14ac:dyDescent="0.25">
      <c r="C185" s="241" t="s">
        <v>213</v>
      </c>
      <c r="D185" s="242"/>
      <c r="E185" s="88"/>
      <c r="F185" s="217"/>
      <c r="G185" s="234"/>
      <c r="H185" s="218"/>
      <c r="I185" s="76"/>
      <c r="J185" s="77"/>
      <c r="K185" s="77"/>
      <c r="L185" s="76"/>
      <c r="M185" s="110"/>
      <c r="N185" s="152"/>
      <c r="O185" s="111" t="str">
        <f>IFERROR(MIN(VLOOKUP(ROUNDDOWN(N185,0),'Aide calcul'!$B$2:$C$282,2,FALSE),M185+1),"")</f>
        <v/>
      </c>
      <c r="P185" s="112" t="str">
        <f t="shared" si="40"/>
        <v/>
      </c>
      <c r="Q185" s="170"/>
      <c r="R185" s="170"/>
      <c r="S185" s="170"/>
      <c r="T185" s="170"/>
      <c r="U185" s="170"/>
      <c r="V185" s="170"/>
      <c r="W185" s="170"/>
      <c r="X185" s="76"/>
      <c r="Y185" s="76"/>
      <c r="Z185" s="113" t="str">
        <f>IFERROR(ROUND('Informations générales'!$E$66*(AE185/SUM($AE$28:$AE$404))/12,0)*12,"")</f>
        <v/>
      </c>
      <c r="AA185" s="114"/>
      <c r="AB185" s="113" t="str">
        <f t="shared" si="29"/>
        <v/>
      </c>
      <c r="AC185" s="89"/>
      <c r="AD185" s="76"/>
      <c r="AE185" s="56">
        <f t="shared" si="41"/>
        <v>0</v>
      </c>
      <c r="AF185" s="56">
        <f t="shared" si="30"/>
        <v>0</v>
      </c>
      <c r="AG185" s="56">
        <f t="shared" si="31"/>
        <v>0</v>
      </c>
      <c r="AH185" s="56">
        <f t="shared" si="32"/>
        <v>0</v>
      </c>
      <c r="AI185" s="56">
        <f t="shared" si="33"/>
        <v>0</v>
      </c>
      <c r="AJ185" s="56">
        <f t="shared" si="34"/>
        <v>0</v>
      </c>
      <c r="AK185" s="56">
        <f t="shared" si="35"/>
        <v>0</v>
      </c>
      <c r="AL185" s="56">
        <f t="shared" si="36"/>
        <v>0</v>
      </c>
      <c r="AM185" s="56">
        <f t="shared" si="42"/>
        <v>0</v>
      </c>
      <c r="AN185" s="60">
        <f t="shared" si="37"/>
        <v>0</v>
      </c>
      <c r="AO185" s="59">
        <f t="shared" si="38"/>
        <v>0</v>
      </c>
      <c r="AP185" s="59">
        <f t="shared" si="39"/>
        <v>0</v>
      </c>
    </row>
    <row r="186" spans="3:42" s="17" customFormat="1" x14ac:dyDescent="0.25">
      <c r="C186" s="241" t="s">
        <v>213</v>
      </c>
      <c r="D186" s="242"/>
      <c r="E186" s="88"/>
      <c r="F186" s="217"/>
      <c r="G186" s="234"/>
      <c r="H186" s="218"/>
      <c r="I186" s="76"/>
      <c r="J186" s="77"/>
      <c r="K186" s="77"/>
      <c r="L186" s="76"/>
      <c r="M186" s="110"/>
      <c r="N186" s="152"/>
      <c r="O186" s="111" t="str">
        <f>IFERROR(MIN(VLOOKUP(ROUNDDOWN(N186,0),'Aide calcul'!$B$2:$C$282,2,FALSE),M186+1),"")</f>
        <v/>
      </c>
      <c r="P186" s="112" t="str">
        <f t="shared" si="40"/>
        <v/>
      </c>
      <c r="Q186" s="170"/>
      <c r="R186" s="170"/>
      <c r="S186" s="170"/>
      <c r="T186" s="170"/>
      <c r="U186" s="170"/>
      <c r="V186" s="170"/>
      <c r="W186" s="170"/>
      <c r="X186" s="76"/>
      <c r="Y186" s="76"/>
      <c r="Z186" s="113" t="str">
        <f>IFERROR(ROUND('Informations générales'!$E$66*(AE186/SUM($AE$28:$AE$404))/12,0)*12,"")</f>
        <v/>
      </c>
      <c r="AA186" s="114"/>
      <c r="AB186" s="113" t="str">
        <f t="shared" si="29"/>
        <v/>
      </c>
      <c r="AC186" s="89"/>
      <c r="AD186" s="76"/>
      <c r="AE186" s="56">
        <f t="shared" si="41"/>
        <v>0</v>
      </c>
      <c r="AF186" s="56">
        <f t="shared" si="30"/>
        <v>0</v>
      </c>
      <c r="AG186" s="56">
        <f t="shared" si="31"/>
        <v>0</v>
      </c>
      <c r="AH186" s="56">
        <f t="shared" si="32"/>
        <v>0</v>
      </c>
      <c r="AI186" s="56">
        <f t="shared" si="33"/>
        <v>0</v>
      </c>
      <c r="AJ186" s="56">
        <f t="shared" si="34"/>
        <v>0</v>
      </c>
      <c r="AK186" s="56">
        <f t="shared" si="35"/>
        <v>0</v>
      </c>
      <c r="AL186" s="56">
        <f t="shared" si="36"/>
        <v>0</v>
      </c>
      <c r="AM186" s="56">
        <f t="shared" si="42"/>
        <v>0</v>
      </c>
      <c r="AN186" s="60">
        <f t="shared" si="37"/>
        <v>0</v>
      </c>
      <c r="AO186" s="59">
        <f t="shared" si="38"/>
        <v>0</v>
      </c>
      <c r="AP186" s="59">
        <f t="shared" si="39"/>
        <v>0</v>
      </c>
    </row>
    <row r="187" spans="3:42" s="17" customFormat="1" x14ac:dyDescent="0.25">
      <c r="C187" s="241" t="s">
        <v>213</v>
      </c>
      <c r="D187" s="242"/>
      <c r="E187" s="88"/>
      <c r="F187" s="217"/>
      <c r="G187" s="234"/>
      <c r="H187" s="218"/>
      <c r="I187" s="76"/>
      <c r="J187" s="77"/>
      <c r="K187" s="77"/>
      <c r="L187" s="76"/>
      <c r="M187" s="110"/>
      <c r="N187" s="152"/>
      <c r="O187" s="111" t="str">
        <f>IFERROR(MIN(VLOOKUP(ROUNDDOWN(N187,0),'Aide calcul'!$B$2:$C$282,2,FALSE),M187+1),"")</f>
        <v/>
      </c>
      <c r="P187" s="112" t="str">
        <f t="shared" si="40"/>
        <v/>
      </c>
      <c r="Q187" s="170"/>
      <c r="R187" s="170"/>
      <c r="S187" s="170"/>
      <c r="T187" s="170"/>
      <c r="U187" s="170"/>
      <c r="V187" s="170"/>
      <c r="W187" s="170"/>
      <c r="X187" s="76"/>
      <c r="Y187" s="76"/>
      <c r="Z187" s="113" t="str">
        <f>IFERROR(ROUND('Informations générales'!$E$66*(AE187/SUM($AE$28:$AE$404))/12,0)*12,"")</f>
        <v/>
      </c>
      <c r="AA187" s="114"/>
      <c r="AB187" s="113" t="str">
        <f t="shared" si="29"/>
        <v/>
      </c>
      <c r="AC187" s="89"/>
      <c r="AD187" s="76"/>
      <c r="AE187" s="56">
        <f t="shared" si="41"/>
        <v>0</v>
      </c>
      <c r="AF187" s="56">
        <f t="shared" si="30"/>
        <v>0</v>
      </c>
      <c r="AG187" s="56">
        <f t="shared" si="31"/>
        <v>0</v>
      </c>
      <c r="AH187" s="56">
        <f t="shared" si="32"/>
        <v>0</v>
      </c>
      <c r="AI187" s="56">
        <f t="shared" si="33"/>
        <v>0</v>
      </c>
      <c r="AJ187" s="56">
        <f t="shared" si="34"/>
        <v>0</v>
      </c>
      <c r="AK187" s="56">
        <f t="shared" si="35"/>
        <v>0</v>
      </c>
      <c r="AL187" s="56">
        <f t="shared" si="36"/>
        <v>0</v>
      </c>
      <c r="AM187" s="56">
        <f t="shared" si="42"/>
        <v>0</v>
      </c>
      <c r="AN187" s="60">
        <f t="shared" si="37"/>
        <v>0</v>
      </c>
      <c r="AO187" s="59">
        <f t="shared" si="38"/>
        <v>0</v>
      </c>
      <c r="AP187" s="59">
        <f t="shared" si="39"/>
        <v>0</v>
      </c>
    </row>
    <row r="188" spans="3:42" s="17" customFormat="1" x14ac:dyDescent="0.25">
      <c r="C188" s="241" t="s">
        <v>213</v>
      </c>
      <c r="D188" s="242"/>
      <c r="E188" s="88"/>
      <c r="F188" s="217"/>
      <c r="G188" s="234"/>
      <c r="H188" s="218"/>
      <c r="I188" s="76"/>
      <c r="J188" s="77"/>
      <c r="K188" s="77"/>
      <c r="L188" s="76"/>
      <c r="M188" s="110"/>
      <c r="N188" s="152"/>
      <c r="O188" s="111" t="str">
        <f>IFERROR(MIN(VLOOKUP(ROUNDDOWN(N188,0),'Aide calcul'!$B$2:$C$282,2,FALSE),M188+1),"")</f>
        <v/>
      </c>
      <c r="P188" s="112" t="str">
        <f t="shared" si="40"/>
        <v/>
      </c>
      <c r="Q188" s="170"/>
      <c r="R188" s="170"/>
      <c r="S188" s="170"/>
      <c r="T188" s="170"/>
      <c r="U188" s="170"/>
      <c r="V188" s="170"/>
      <c r="W188" s="170"/>
      <c r="X188" s="76"/>
      <c r="Y188" s="76"/>
      <c r="Z188" s="113" t="str">
        <f>IFERROR(ROUND('Informations générales'!$E$66*(AE188/SUM($AE$28:$AE$404))/12,0)*12,"")</f>
        <v/>
      </c>
      <c r="AA188" s="114"/>
      <c r="AB188" s="113" t="str">
        <f t="shared" si="29"/>
        <v/>
      </c>
      <c r="AC188" s="89"/>
      <c r="AD188" s="76"/>
      <c r="AE188" s="56">
        <f t="shared" si="41"/>
        <v>0</v>
      </c>
      <c r="AF188" s="56">
        <f t="shared" si="30"/>
        <v>0</v>
      </c>
      <c r="AG188" s="56">
        <f t="shared" si="31"/>
        <v>0</v>
      </c>
      <c r="AH188" s="56">
        <f t="shared" si="32"/>
        <v>0</v>
      </c>
      <c r="AI188" s="56">
        <f t="shared" si="33"/>
        <v>0</v>
      </c>
      <c r="AJ188" s="56">
        <f t="shared" si="34"/>
        <v>0</v>
      </c>
      <c r="AK188" s="56">
        <f t="shared" si="35"/>
        <v>0</v>
      </c>
      <c r="AL188" s="56">
        <f t="shared" si="36"/>
        <v>0</v>
      </c>
      <c r="AM188" s="56">
        <f t="shared" si="42"/>
        <v>0</v>
      </c>
      <c r="AN188" s="60">
        <f t="shared" si="37"/>
        <v>0</v>
      </c>
      <c r="AO188" s="59">
        <f t="shared" si="38"/>
        <v>0</v>
      </c>
      <c r="AP188" s="59">
        <f t="shared" si="39"/>
        <v>0</v>
      </c>
    </row>
    <row r="189" spans="3:42" s="17" customFormat="1" x14ac:dyDescent="0.25">
      <c r="C189" s="241" t="s">
        <v>213</v>
      </c>
      <c r="D189" s="242"/>
      <c r="E189" s="88"/>
      <c r="F189" s="217"/>
      <c r="G189" s="234"/>
      <c r="H189" s="218"/>
      <c r="I189" s="76"/>
      <c r="J189" s="77"/>
      <c r="K189" s="77"/>
      <c r="L189" s="76"/>
      <c r="M189" s="110"/>
      <c r="N189" s="152"/>
      <c r="O189" s="111" t="str">
        <f>IFERROR(MIN(VLOOKUP(ROUNDDOWN(N189,0),'Aide calcul'!$B$2:$C$282,2,FALSE),M189+1),"")</f>
        <v/>
      </c>
      <c r="P189" s="112" t="str">
        <f t="shared" si="40"/>
        <v/>
      </c>
      <c r="Q189" s="170"/>
      <c r="R189" s="170"/>
      <c r="S189" s="170"/>
      <c r="T189" s="170"/>
      <c r="U189" s="170"/>
      <c r="V189" s="170"/>
      <c r="W189" s="170"/>
      <c r="X189" s="76"/>
      <c r="Y189" s="76"/>
      <c r="Z189" s="113" t="str">
        <f>IFERROR(ROUND('Informations générales'!$E$66*(AE189/SUM($AE$28:$AE$404))/12,0)*12,"")</f>
        <v/>
      </c>
      <c r="AA189" s="114"/>
      <c r="AB189" s="113" t="str">
        <f t="shared" si="29"/>
        <v/>
      </c>
      <c r="AC189" s="89"/>
      <c r="AD189" s="76"/>
      <c r="AE189" s="56">
        <f t="shared" si="41"/>
        <v>0</v>
      </c>
      <c r="AF189" s="56">
        <f t="shared" si="30"/>
        <v>0</v>
      </c>
      <c r="AG189" s="56">
        <f t="shared" si="31"/>
        <v>0</v>
      </c>
      <c r="AH189" s="56">
        <f t="shared" si="32"/>
        <v>0</v>
      </c>
      <c r="AI189" s="56">
        <f t="shared" si="33"/>
        <v>0</v>
      </c>
      <c r="AJ189" s="56">
        <f t="shared" si="34"/>
        <v>0</v>
      </c>
      <c r="AK189" s="56">
        <f t="shared" si="35"/>
        <v>0</v>
      </c>
      <c r="AL189" s="56">
        <f t="shared" si="36"/>
        <v>0</v>
      </c>
      <c r="AM189" s="56">
        <f t="shared" si="42"/>
        <v>0</v>
      </c>
      <c r="AN189" s="60">
        <f t="shared" si="37"/>
        <v>0</v>
      </c>
      <c r="AO189" s="59">
        <f t="shared" si="38"/>
        <v>0</v>
      </c>
      <c r="AP189" s="59">
        <f t="shared" si="39"/>
        <v>0</v>
      </c>
    </row>
    <row r="190" spans="3:42" s="17" customFormat="1" x14ac:dyDescent="0.25">
      <c r="C190" s="241" t="s">
        <v>213</v>
      </c>
      <c r="D190" s="242"/>
      <c r="E190" s="88"/>
      <c r="F190" s="217"/>
      <c r="G190" s="234"/>
      <c r="H190" s="218"/>
      <c r="I190" s="76"/>
      <c r="J190" s="77"/>
      <c r="K190" s="77"/>
      <c r="L190" s="76"/>
      <c r="M190" s="110"/>
      <c r="N190" s="152"/>
      <c r="O190" s="111" t="str">
        <f>IFERROR(MIN(VLOOKUP(ROUNDDOWN(N190,0),'Aide calcul'!$B$2:$C$282,2,FALSE),M190+1),"")</f>
        <v/>
      </c>
      <c r="P190" s="112" t="str">
        <f t="shared" si="40"/>
        <v/>
      </c>
      <c r="Q190" s="170"/>
      <c r="R190" s="170"/>
      <c r="S190" s="170"/>
      <c r="T190" s="170"/>
      <c r="U190" s="170"/>
      <c r="V190" s="170"/>
      <c r="W190" s="170"/>
      <c r="X190" s="76"/>
      <c r="Y190" s="76"/>
      <c r="Z190" s="113" t="str">
        <f>IFERROR(ROUND('Informations générales'!$E$66*(AE190/SUM($AE$28:$AE$404))/12,0)*12,"")</f>
        <v/>
      </c>
      <c r="AA190" s="114"/>
      <c r="AB190" s="113" t="str">
        <f t="shared" si="29"/>
        <v/>
      </c>
      <c r="AC190" s="89"/>
      <c r="AD190" s="76"/>
      <c r="AE190" s="56">
        <f t="shared" si="41"/>
        <v>0</v>
      </c>
      <c r="AF190" s="56">
        <f t="shared" si="30"/>
        <v>0</v>
      </c>
      <c r="AG190" s="56">
        <f t="shared" si="31"/>
        <v>0</v>
      </c>
      <c r="AH190" s="56">
        <f t="shared" si="32"/>
        <v>0</v>
      </c>
      <c r="AI190" s="56">
        <f t="shared" si="33"/>
        <v>0</v>
      </c>
      <c r="AJ190" s="56">
        <f t="shared" si="34"/>
        <v>0</v>
      </c>
      <c r="AK190" s="56">
        <f t="shared" si="35"/>
        <v>0</v>
      </c>
      <c r="AL190" s="56">
        <f t="shared" si="36"/>
        <v>0</v>
      </c>
      <c r="AM190" s="56">
        <f t="shared" si="42"/>
        <v>0</v>
      </c>
      <c r="AN190" s="60">
        <f t="shared" si="37"/>
        <v>0</v>
      </c>
      <c r="AO190" s="59">
        <f t="shared" si="38"/>
        <v>0</v>
      </c>
      <c r="AP190" s="59">
        <f t="shared" si="39"/>
        <v>0</v>
      </c>
    </row>
    <row r="191" spans="3:42" s="17" customFormat="1" x14ac:dyDescent="0.25">
      <c r="C191" s="241" t="s">
        <v>213</v>
      </c>
      <c r="D191" s="242"/>
      <c r="E191" s="88"/>
      <c r="F191" s="217"/>
      <c r="G191" s="234"/>
      <c r="H191" s="218"/>
      <c r="I191" s="76"/>
      <c r="J191" s="77"/>
      <c r="K191" s="77"/>
      <c r="L191" s="76"/>
      <c r="M191" s="110"/>
      <c r="N191" s="152"/>
      <c r="O191" s="111" t="str">
        <f>IFERROR(MIN(VLOOKUP(ROUNDDOWN(N191,0),'Aide calcul'!$B$2:$C$282,2,FALSE),M191+1),"")</f>
        <v/>
      </c>
      <c r="P191" s="112" t="str">
        <f t="shared" si="40"/>
        <v/>
      </c>
      <c r="Q191" s="170"/>
      <c r="R191" s="170"/>
      <c r="S191" s="170"/>
      <c r="T191" s="170"/>
      <c r="U191" s="170"/>
      <c r="V191" s="170"/>
      <c r="W191" s="170"/>
      <c r="X191" s="76"/>
      <c r="Y191" s="76"/>
      <c r="Z191" s="113" t="str">
        <f>IFERROR(ROUND('Informations générales'!$E$66*(AE191/SUM($AE$28:$AE$404))/12,0)*12,"")</f>
        <v/>
      </c>
      <c r="AA191" s="114"/>
      <c r="AB191" s="113" t="str">
        <f t="shared" si="29"/>
        <v/>
      </c>
      <c r="AC191" s="89"/>
      <c r="AD191" s="76"/>
      <c r="AE191" s="56">
        <f t="shared" si="41"/>
        <v>0</v>
      </c>
      <c r="AF191" s="56">
        <f t="shared" si="30"/>
        <v>0</v>
      </c>
      <c r="AG191" s="56">
        <f t="shared" si="31"/>
        <v>0</v>
      </c>
      <c r="AH191" s="56">
        <f t="shared" si="32"/>
        <v>0</v>
      </c>
      <c r="AI191" s="56">
        <f t="shared" si="33"/>
        <v>0</v>
      </c>
      <c r="AJ191" s="56">
        <f t="shared" si="34"/>
        <v>0</v>
      </c>
      <c r="AK191" s="56">
        <f t="shared" si="35"/>
        <v>0</v>
      </c>
      <c r="AL191" s="56">
        <f t="shared" si="36"/>
        <v>0</v>
      </c>
      <c r="AM191" s="56">
        <f t="shared" si="42"/>
        <v>0</v>
      </c>
      <c r="AN191" s="60">
        <f t="shared" si="37"/>
        <v>0</v>
      </c>
      <c r="AO191" s="59">
        <f t="shared" si="38"/>
        <v>0</v>
      </c>
      <c r="AP191" s="59">
        <f t="shared" si="39"/>
        <v>0</v>
      </c>
    </row>
    <row r="192" spans="3:42" s="17" customFormat="1" x14ac:dyDescent="0.25">
      <c r="C192" s="241" t="s">
        <v>213</v>
      </c>
      <c r="D192" s="242"/>
      <c r="E192" s="88"/>
      <c r="F192" s="217"/>
      <c r="G192" s="234"/>
      <c r="H192" s="218"/>
      <c r="I192" s="76"/>
      <c r="J192" s="77"/>
      <c r="K192" s="77"/>
      <c r="L192" s="76"/>
      <c r="M192" s="110"/>
      <c r="N192" s="152"/>
      <c r="O192" s="111" t="str">
        <f>IFERROR(MIN(VLOOKUP(ROUNDDOWN(N192,0),'Aide calcul'!$B$2:$C$282,2,FALSE),M192+1),"")</f>
        <v/>
      </c>
      <c r="P192" s="112" t="str">
        <f t="shared" si="40"/>
        <v/>
      </c>
      <c r="Q192" s="170"/>
      <c r="R192" s="170"/>
      <c r="S192" s="170"/>
      <c r="T192" s="170"/>
      <c r="U192" s="170"/>
      <c r="V192" s="170"/>
      <c r="W192" s="170"/>
      <c r="X192" s="76"/>
      <c r="Y192" s="76"/>
      <c r="Z192" s="113" t="str">
        <f>IFERROR(ROUND('Informations générales'!$E$66*(AE192/SUM($AE$28:$AE$404))/12,0)*12,"")</f>
        <v/>
      </c>
      <c r="AA192" s="114"/>
      <c r="AB192" s="113" t="str">
        <f t="shared" si="29"/>
        <v/>
      </c>
      <c r="AC192" s="89"/>
      <c r="AD192" s="76"/>
      <c r="AE192" s="56">
        <f t="shared" si="41"/>
        <v>0</v>
      </c>
      <c r="AF192" s="56">
        <f t="shared" si="30"/>
        <v>0</v>
      </c>
      <c r="AG192" s="56">
        <f t="shared" si="31"/>
        <v>0</v>
      </c>
      <c r="AH192" s="56">
        <f t="shared" si="32"/>
        <v>0</v>
      </c>
      <c r="AI192" s="56">
        <f t="shared" si="33"/>
        <v>0</v>
      </c>
      <c r="AJ192" s="56">
        <f t="shared" si="34"/>
        <v>0</v>
      </c>
      <c r="AK192" s="56">
        <f t="shared" si="35"/>
        <v>0</v>
      </c>
      <c r="AL192" s="56">
        <f t="shared" si="36"/>
        <v>0</v>
      </c>
      <c r="AM192" s="56">
        <f t="shared" si="42"/>
        <v>0</v>
      </c>
      <c r="AN192" s="60">
        <f t="shared" si="37"/>
        <v>0</v>
      </c>
      <c r="AO192" s="59">
        <f t="shared" si="38"/>
        <v>0</v>
      </c>
      <c r="AP192" s="59">
        <f t="shared" si="39"/>
        <v>0</v>
      </c>
    </row>
    <row r="193" spans="3:42" s="17" customFormat="1" x14ac:dyDescent="0.25">
      <c r="C193" s="241" t="s">
        <v>213</v>
      </c>
      <c r="D193" s="242"/>
      <c r="E193" s="88"/>
      <c r="F193" s="217"/>
      <c r="G193" s="234"/>
      <c r="H193" s="218"/>
      <c r="I193" s="76"/>
      <c r="J193" s="77"/>
      <c r="K193" s="77"/>
      <c r="L193" s="76"/>
      <c r="M193" s="110"/>
      <c r="N193" s="152"/>
      <c r="O193" s="111" t="str">
        <f>IFERROR(MIN(VLOOKUP(ROUNDDOWN(N193,0),'Aide calcul'!$B$2:$C$282,2,FALSE),M193+1),"")</f>
        <v/>
      </c>
      <c r="P193" s="112" t="str">
        <f t="shared" si="40"/>
        <v/>
      </c>
      <c r="Q193" s="170"/>
      <c r="R193" s="170"/>
      <c r="S193" s="170"/>
      <c r="T193" s="170"/>
      <c r="U193" s="170"/>
      <c r="V193" s="170"/>
      <c r="W193" s="170"/>
      <c r="X193" s="76"/>
      <c r="Y193" s="76"/>
      <c r="Z193" s="113" t="str">
        <f>IFERROR(ROUND('Informations générales'!$E$66*(AE193/SUM($AE$28:$AE$404))/12,0)*12,"")</f>
        <v/>
      </c>
      <c r="AA193" s="114"/>
      <c r="AB193" s="113" t="str">
        <f t="shared" si="29"/>
        <v/>
      </c>
      <c r="AC193" s="89"/>
      <c r="AD193" s="76"/>
      <c r="AE193" s="56">
        <f t="shared" si="41"/>
        <v>0</v>
      </c>
      <c r="AF193" s="56">
        <f t="shared" si="30"/>
        <v>0</v>
      </c>
      <c r="AG193" s="56">
        <f t="shared" si="31"/>
        <v>0</v>
      </c>
      <c r="AH193" s="56">
        <f t="shared" si="32"/>
        <v>0</v>
      </c>
      <c r="AI193" s="56">
        <f t="shared" si="33"/>
        <v>0</v>
      </c>
      <c r="AJ193" s="56">
        <f t="shared" si="34"/>
        <v>0</v>
      </c>
      <c r="AK193" s="56">
        <f t="shared" si="35"/>
        <v>0</v>
      </c>
      <c r="AL193" s="56">
        <f t="shared" si="36"/>
        <v>0</v>
      </c>
      <c r="AM193" s="56">
        <f t="shared" si="42"/>
        <v>0</v>
      </c>
      <c r="AN193" s="60">
        <f t="shared" si="37"/>
        <v>0</v>
      </c>
      <c r="AO193" s="59">
        <f t="shared" si="38"/>
        <v>0</v>
      </c>
      <c r="AP193" s="59">
        <f t="shared" si="39"/>
        <v>0</v>
      </c>
    </row>
    <row r="194" spans="3:42" s="17" customFormat="1" x14ac:dyDescent="0.25">
      <c r="C194" s="241" t="s">
        <v>213</v>
      </c>
      <c r="D194" s="242"/>
      <c r="E194" s="88"/>
      <c r="F194" s="217"/>
      <c r="G194" s="234"/>
      <c r="H194" s="218"/>
      <c r="I194" s="76"/>
      <c r="J194" s="77"/>
      <c r="K194" s="77"/>
      <c r="L194" s="76"/>
      <c r="M194" s="110"/>
      <c r="N194" s="152"/>
      <c r="O194" s="111" t="str">
        <f>IFERROR(MIN(VLOOKUP(ROUNDDOWN(N194,0),'Aide calcul'!$B$2:$C$282,2,FALSE),M194+1),"")</f>
        <v/>
      </c>
      <c r="P194" s="112" t="str">
        <f t="shared" si="40"/>
        <v/>
      </c>
      <c r="Q194" s="170"/>
      <c r="R194" s="170"/>
      <c r="S194" s="170"/>
      <c r="T194" s="170"/>
      <c r="U194" s="170"/>
      <c r="V194" s="170"/>
      <c r="W194" s="170"/>
      <c r="X194" s="76"/>
      <c r="Y194" s="76"/>
      <c r="Z194" s="113" t="str">
        <f>IFERROR(ROUND('Informations générales'!$E$66*(AE194/SUM($AE$28:$AE$404))/12,0)*12,"")</f>
        <v/>
      </c>
      <c r="AA194" s="114"/>
      <c r="AB194" s="113" t="str">
        <f t="shared" si="29"/>
        <v/>
      </c>
      <c r="AC194" s="89"/>
      <c r="AD194" s="76"/>
      <c r="AE194" s="56">
        <f t="shared" si="41"/>
        <v>0</v>
      </c>
      <c r="AF194" s="56">
        <f t="shared" si="30"/>
        <v>0</v>
      </c>
      <c r="AG194" s="56">
        <f t="shared" si="31"/>
        <v>0</v>
      </c>
      <c r="AH194" s="56">
        <f t="shared" si="32"/>
        <v>0</v>
      </c>
      <c r="AI194" s="56">
        <f t="shared" si="33"/>
        <v>0</v>
      </c>
      <c r="AJ194" s="56">
        <f t="shared" si="34"/>
        <v>0</v>
      </c>
      <c r="AK194" s="56">
        <f t="shared" si="35"/>
        <v>0</v>
      </c>
      <c r="AL194" s="56">
        <f t="shared" si="36"/>
        <v>0</v>
      </c>
      <c r="AM194" s="56">
        <f t="shared" si="42"/>
        <v>0</v>
      </c>
      <c r="AN194" s="60">
        <f t="shared" si="37"/>
        <v>0</v>
      </c>
      <c r="AO194" s="59">
        <f t="shared" si="38"/>
        <v>0</v>
      </c>
      <c r="AP194" s="59">
        <f t="shared" si="39"/>
        <v>0</v>
      </c>
    </row>
    <row r="195" spans="3:42" s="17" customFormat="1" x14ac:dyDescent="0.25">
      <c r="C195" s="241" t="s">
        <v>213</v>
      </c>
      <c r="D195" s="242"/>
      <c r="E195" s="88"/>
      <c r="F195" s="217"/>
      <c r="G195" s="234"/>
      <c r="H195" s="218"/>
      <c r="I195" s="76"/>
      <c r="J195" s="77"/>
      <c r="K195" s="77"/>
      <c r="L195" s="76"/>
      <c r="M195" s="110"/>
      <c r="N195" s="152"/>
      <c r="O195" s="111" t="str">
        <f>IFERROR(MIN(VLOOKUP(ROUNDDOWN(N195,0),'Aide calcul'!$B$2:$C$282,2,FALSE),M195+1),"")</f>
        <v/>
      </c>
      <c r="P195" s="112" t="str">
        <f t="shared" si="40"/>
        <v/>
      </c>
      <c r="Q195" s="170"/>
      <c r="R195" s="170"/>
      <c r="S195" s="170"/>
      <c r="T195" s="170"/>
      <c r="U195" s="170"/>
      <c r="V195" s="170"/>
      <c r="W195" s="170"/>
      <c r="X195" s="76"/>
      <c r="Y195" s="76"/>
      <c r="Z195" s="113" t="str">
        <f>IFERROR(ROUND('Informations générales'!$E$66*(AE195/SUM($AE$28:$AE$404))/12,0)*12,"")</f>
        <v/>
      </c>
      <c r="AA195" s="114"/>
      <c r="AB195" s="113" t="str">
        <f t="shared" si="29"/>
        <v/>
      </c>
      <c r="AC195" s="89"/>
      <c r="AD195" s="76"/>
      <c r="AE195" s="56">
        <f t="shared" si="41"/>
        <v>0</v>
      </c>
      <c r="AF195" s="56">
        <f t="shared" si="30"/>
        <v>0</v>
      </c>
      <c r="AG195" s="56">
        <f t="shared" si="31"/>
        <v>0</v>
      </c>
      <c r="AH195" s="56">
        <f t="shared" si="32"/>
        <v>0</v>
      </c>
      <c r="AI195" s="56">
        <f t="shared" si="33"/>
        <v>0</v>
      </c>
      <c r="AJ195" s="56">
        <f t="shared" si="34"/>
        <v>0</v>
      </c>
      <c r="AK195" s="56">
        <f t="shared" si="35"/>
        <v>0</v>
      </c>
      <c r="AL195" s="56">
        <f t="shared" si="36"/>
        <v>0</v>
      </c>
      <c r="AM195" s="56">
        <f t="shared" si="42"/>
        <v>0</v>
      </c>
      <c r="AN195" s="60">
        <f t="shared" si="37"/>
        <v>0</v>
      </c>
      <c r="AO195" s="59">
        <f t="shared" si="38"/>
        <v>0</v>
      </c>
      <c r="AP195" s="59">
        <f t="shared" si="39"/>
        <v>0</v>
      </c>
    </row>
    <row r="196" spans="3:42" s="17" customFormat="1" x14ac:dyDescent="0.25">
      <c r="C196" s="241" t="s">
        <v>213</v>
      </c>
      <c r="D196" s="242"/>
      <c r="E196" s="88"/>
      <c r="F196" s="217"/>
      <c r="G196" s="234"/>
      <c r="H196" s="218"/>
      <c r="I196" s="76"/>
      <c r="J196" s="77"/>
      <c r="K196" s="77"/>
      <c r="L196" s="76"/>
      <c r="M196" s="110"/>
      <c r="N196" s="152"/>
      <c r="O196" s="111" t="str">
        <f>IFERROR(MIN(VLOOKUP(ROUNDDOWN(N196,0),'Aide calcul'!$B$2:$C$282,2,FALSE),M196+1),"")</f>
        <v/>
      </c>
      <c r="P196" s="112" t="str">
        <f t="shared" si="40"/>
        <v/>
      </c>
      <c r="Q196" s="170"/>
      <c r="R196" s="170"/>
      <c r="S196" s="170"/>
      <c r="T196" s="170"/>
      <c r="U196" s="170"/>
      <c r="V196" s="170"/>
      <c r="W196" s="170"/>
      <c r="X196" s="76"/>
      <c r="Y196" s="76"/>
      <c r="Z196" s="113" t="str">
        <f>IFERROR(ROUND('Informations générales'!$E$66*(AE196/SUM($AE$28:$AE$404))/12,0)*12,"")</f>
        <v/>
      </c>
      <c r="AA196" s="114"/>
      <c r="AB196" s="113" t="str">
        <f t="shared" si="29"/>
        <v/>
      </c>
      <c r="AC196" s="89"/>
      <c r="AD196" s="76"/>
      <c r="AE196" s="56">
        <f t="shared" si="41"/>
        <v>0</v>
      </c>
      <c r="AF196" s="56">
        <f t="shared" si="30"/>
        <v>0</v>
      </c>
      <c r="AG196" s="56">
        <f t="shared" si="31"/>
        <v>0</v>
      </c>
      <c r="AH196" s="56">
        <f t="shared" si="32"/>
        <v>0</v>
      </c>
      <c r="AI196" s="56">
        <f t="shared" si="33"/>
        <v>0</v>
      </c>
      <c r="AJ196" s="56">
        <f t="shared" si="34"/>
        <v>0</v>
      </c>
      <c r="AK196" s="56">
        <f t="shared" si="35"/>
        <v>0</v>
      </c>
      <c r="AL196" s="56">
        <f t="shared" si="36"/>
        <v>0</v>
      </c>
      <c r="AM196" s="56">
        <f t="shared" si="42"/>
        <v>0</v>
      </c>
      <c r="AN196" s="60">
        <f t="shared" si="37"/>
        <v>0</v>
      </c>
      <c r="AO196" s="59">
        <f t="shared" si="38"/>
        <v>0</v>
      </c>
      <c r="AP196" s="59">
        <f t="shared" si="39"/>
        <v>0</v>
      </c>
    </row>
    <row r="197" spans="3:42" s="17" customFormat="1" x14ac:dyDescent="0.25">
      <c r="C197" s="241" t="s">
        <v>213</v>
      </c>
      <c r="D197" s="242"/>
      <c r="E197" s="88"/>
      <c r="F197" s="217"/>
      <c r="G197" s="234"/>
      <c r="H197" s="218"/>
      <c r="I197" s="76"/>
      <c r="J197" s="77"/>
      <c r="K197" s="77"/>
      <c r="L197" s="76"/>
      <c r="M197" s="110"/>
      <c r="N197" s="152"/>
      <c r="O197" s="111" t="str">
        <f>IFERROR(MIN(VLOOKUP(ROUNDDOWN(N197,0),'Aide calcul'!$B$2:$C$282,2,FALSE),M197+1),"")</f>
        <v/>
      </c>
      <c r="P197" s="112" t="str">
        <f t="shared" si="40"/>
        <v/>
      </c>
      <c r="Q197" s="170"/>
      <c r="R197" s="170"/>
      <c r="S197" s="170"/>
      <c r="T197" s="170"/>
      <c r="U197" s="170"/>
      <c r="V197" s="170"/>
      <c r="W197" s="170"/>
      <c r="X197" s="76"/>
      <c r="Y197" s="76"/>
      <c r="Z197" s="113" t="str">
        <f>IFERROR(ROUND('Informations générales'!$E$66*(AE197/SUM($AE$28:$AE$404))/12,0)*12,"")</f>
        <v/>
      </c>
      <c r="AA197" s="114"/>
      <c r="AB197" s="113" t="str">
        <f t="shared" si="29"/>
        <v/>
      </c>
      <c r="AC197" s="89"/>
      <c r="AD197" s="76"/>
      <c r="AE197" s="56">
        <f t="shared" si="41"/>
        <v>0</v>
      </c>
      <c r="AF197" s="56">
        <f t="shared" si="30"/>
        <v>0</v>
      </c>
      <c r="AG197" s="56">
        <f t="shared" si="31"/>
        <v>0</v>
      </c>
      <c r="AH197" s="56">
        <f t="shared" si="32"/>
        <v>0</v>
      </c>
      <c r="AI197" s="56">
        <f t="shared" si="33"/>
        <v>0</v>
      </c>
      <c r="AJ197" s="56">
        <f t="shared" si="34"/>
        <v>0</v>
      </c>
      <c r="AK197" s="56">
        <f t="shared" si="35"/>
        <v>0</v>
      </c>
      <c r="AL197" s="56">
        <f t="shared" si="36"/>
        <v>0</v>
      </c>
      <c r="AM197" s="56">
        <f t="shared" si="42"/>
        <v>0</v>
      </c>
      <c r="AN197" s="60">
        <f t="shared" si="37"/>
        <v>0</v>
      </c>
      <c r="AO197" s="59">
        <f t="shared" si="38"/>
        <v>0</v>
      </c>
      <c r="AP197" s="59">
        <f t="shared" si="39"/>
        <v>0</v>
      </c>
    </row>
    <row r="198" spans="3:42" s="17" customFormat="1" x14ac:dyDescent="0.25">
      <c r="C198" s="241" t="s">
        <v>213</v>
      </c>
      <c r="D198" s="242"/>
      <c r="E198" s="88"/>
      <c r="F198" s="217"/>
      <c r="G198" s="234"/>
      <c r="H198" s="218"/>
      <c r="I198" s="76"/>
      <c r="J198" s="77"/>
      <c r="K198" s="77"/>
      <c r="L198" s="76"/>
      <c r="M198" s="110"/>
      <c r="N198" s="152"/>
      <c r="O198" s="111" t="str">
        <f>IFERROR(MIN(VLOOKUP(ROUNDDOWN(N198,0),'Aide calcul'!$B$2:$C$282,2,FALSE),M198+1),"")</f>
        <v/>
      </c>
      <c r="P198" s="112" t="str">
        <f t="shared" si="40"/>
        <v/>
      </c>
      <c r="Q198" s="170"/>
      <c r="R198" s="170"/>
      <c r="S198" s="170"/>
      <c r="T198" s="170"/>
      <c r="U198" s="170"/>
      <c r="V198" s="170"/>
      <c r="W198" s="170"/>
      <c r="X198" s="76"/>
      <c r="Y198" s="76"/>
      <c r="Z198" s="113" t="str">
        <f>IFERROR(ROUND('Informations générales'!$E$66*(AE198/SUM($AE$28:$AE$404))/12,0)*12,"")</f>
        <v/>
      </c>
      <c r="AA198" s="114"/>
      <c r="AB198" s="113" t="str">
        <f t="shared" si="29"/>
        <v/>
      </c>
      <c r="AC198" s="89"/>
      <c r="AD198" s="76"/>
      <c r="AE198" s="56">
        <f t="shared" si="41"/>
        <v>0</v>
      </c>
      <c r="AF198" s="56">
        <f t="shared" si="30"/>
        <v>0</v>
      </c>
      <c r="AG198" s="56">
        <f t="shared" si="31"/>
        <v>0</v>
      </c>
      <c r="AH198" s="56">
        <f t="shared" si="32"/>
        <v>0</v>
      </c>
      <c r="AI198" s="56">
        <f t="shared" si="33"/>
        <v>0</v>
      </c>
      <c r="AJ198" s="56">
        <f t="shared" si="34"/>
        <v>0</v>
      </c>
      <c r="AK198" s="56">
        <f t="shared" si="35"/>
        <v>0</v>
      </c>
      <c r="AL198" s="56">
        <f t="shared" si="36"/>
        <v>0</v>
      </c>
      <c r="AM198" s="56">
        <f t="shared" si="42"/>
        <v>0</v>
      </c>
      <c r="AN198" s="60">
        <f t="shared" si="37"/>
        <v>0</v>
      </c>
      <c r="AO198" s="59">
        <f t="shared" si="38"/>
        <v>0</v>
      </c>
      <c r="AP198" s="59">
        <f t="shared" si="39"/>
        <v>0</v>
      </c>
    </row>
    <row r="199" spans="3:42" s="17" customFormat="1" x14ac:dyDescent="0.25">
      <c r="C199" s="241" t="s">
        <v>213</v>
      </c>
      <c r="D199" s="242"/>
      <c r="E199" s="88"/>
      <c r="F199" s="217"/>
      <c r="G199" s="234"/>
      <c r="H199" s="218"/>
      <c r="I199" s="76"/>
      <c r="J199" s="77"/>
      <c r="K199" s="77"/>
      <c r="L199" s="76"/>
      <c r="M199" s="110"/>
      <c r="N199" s="152"/>
      <c r="O199" s="111" t="str">
        <f>IFERROR(MIN(VLOOKUP(ROUNDDOWN(N199,0),'Aide calcul'!$B$2:$C$282,2,FALSE),M199+1),"")</f>
        <v/>
      </c>
      <c r="P199" s="112" t="str">
        <f t="shared" si="40"/>
        <v/>
      </c>
      <c r="Q199" s="170"/>
      <c r="R199" s="170"/>
      <c r="S199" s="170"/>
      <c r="T199" s="170"/>
      <c r="U199" s="170"/>
      <c r="V199" s="170"/>
      <c r="W199" s="170"/>
      <c r="X199" s="76"/>
      <c r="Y199" s="76"/>
      <c r="Z199" s="113" t="str">
        <f>IFERROR(ROUND('Informations générales'!$E$66*(AE199/SUM($AE$28:$AE$404))/12,0)*12,"")</f>
        <v/>
      </c>
      <c r="AA199" s="114"/>
      <c r="AB199" s="113" t="str">
        <f t="shared" si="29"/>
        <v/>
      </c>
      <c r="AC199" s="89"/>
      <c r="AD199" s="76"/>
      <c r="AE199" s="56">
        <f t="shared" si="41"/>
        <v>0</v>
      </c>
      <c r="AF199" s="56">
        <f t="shared" si="30"/>
        <v>0</v>
      </c>
      <c r="AG199" s="56">
        <f t="shared" si="31"/>
        <v>0</v>
      </c>
      <c r="AH199" s="56">
        <f t="shared" si="32"/>
        <v>0</v>
      </c>
      <c r="AI199" s="56">
        <f t="shared" si="33"/>
        <v>0</v>
      </c>
      <c r="AJ199" s="56">
        <f t="shared" si="34"/>
        <v>0</v>
      </c>
      <c r="AK199" s="56">
        <f t="shared" si="35"/>
        <v>0</v>
      </c>
      <c r="AL199" s="56">
        <f t="shared" si="36"/>
        <v>0</v>
      </c>
      <c r="AM199" s="56">
        <f t="shared" si="42"/>
        <v>0</v>
      </c>
      <c r="AN199" s="60">
        <f t="shared" si="37"/>
        <v>0</v>
      </c>
      <c r="AO199" s="59">
        <f t="shared" si="38"/>
        <v>0</v>
      </c>
      <c r="AP199" s="59">
        <f t="shared" si="39"/>
        <v>0</v>
      </c>
    </row>
    <row r="200" spans="3:42" s="17" customFormat="1" x14ac:dyDescent="0.25">
      <c r="C200" s="241" t="s">
        <v>213</v>
      </c>
      <c r="D200" s="242"/>
      <c r="E200" s="88"/>
      <c r="F200" s="217"/>
      <c r="G200" s="234"/>
      <c r="H200" s="218"/>
      <c r="I200" s="76"/>
      <c r="J200" s="77"/>
      <c r="K200" s="77"/>
      <c r="L200" s="76"/>
      <c r="M200" s="110"/>
      <c r="N200" s="152"/>
      <c r="O200" s="111" t="str">
        <f>IFERROR(MIN(VLOOKUP(ROUNDDOWN(N200,0),'Aide calcul'!$B$2:$C$282,2,FALSE),M200+1),"")</f>
        <v/>
      </c>
      <c r="P200" s="112" t="str">
        <f t="shared" si="40"/>
        <v/>
      </c>
      <c r="Q200" s="170"/>
      <c r="R200" s="170"/>
      <c r="S200" s="170"/>
      <c r="T200" s="170"/>
      <c r="U200" s="170"/>
      <c r="V200" s="170"/>
      <c r="W200" s="170"/>
      <c r="X200" s="76"/>
      <c r="Y200" s="76"/>
      <c r="Z200" s="113" t="str">
        <f>IFERROR(ROUND('Informations générales'!$E$66*(AE200/SUM($AE$28:$AE$404))/12,0)*12,"")</f>
        <v/>
      </c>
      <c r="AA200" s="114"/>
      <c r="AB200" s="113" t="str">
        <f t="shared" si="29"/>
        <v/>
      </c>
      <c r="AC200" s="89"/>
      <c r="AD200" s="76"/>
      <c r="AE200" s="56">
        <f t="shared" si="41"/>
        <v>0</v>
      </c>
      <c r="AF200" s="56">
        <f t="shared" si="30"/>
        <v>0</v>
      </c>
      <c r="AG200" s="56">
        <f t="shared" si="31"/>
        <v>0</v>
      </c>
      <c r="AH200" s="56">
        <f t="shared" si="32"/>
        <v>0</v>
      </c>
      <c r="AI200" s="56">
        <f t="shared" si="33"/>
        <v>0</v>
      </c>
      <c r="AJ200" s="56">
        <f t="shared" si="34"/>
        <v>0</v>
      </c>
      <c r="AK200" s="56">
        <f t="shared" si="35"/>
        <v>0</v>
      </c>
      <c r="AL200" s="56">
        <f t="shared" si="36"/>
        <v>0</v>
      </c>
      <c r="AM200" s="56">
        <f t="shared" si="42"/>
        <v>0</v>
      </c>
      <c r="AN200" s="60">
        <f t="shared" si="37"/>
        <v>0</v>
      </c>
      <c r="AO200" s="59">
        <f t="shared" si="38"/>
        <v>0</v>
      </c>
      <c r="AP200" s="59">
        <f t="shared" si="39"/>
        <v>0</v>
      </c>
    </row>
    <row r="201" spans="3:42" s="17" customFormat="1" x14ac:dyDescent="0.25">
      <c r="C201" s="241" t="s">
        <v>213</v>
      </c>
      <c r="D201" s="242"/>
      <c r="E201" s="88"/>
      <c r="F201" s="217"/>
      <c r="G201" s="234"/>
      <c r="H201" s="218"/>
      <c r="I201" s="76"/>
      <c r="J201" s="77"/>
      <c r="K201" s="77"/>
      <c r="L201" s="76"/>
      <c r="M201" s="110"/>
      <c r="N201" s="152"/>
      <c r="O201" s="111" t="str">
        <f>IFERROR(MIN(VLOOKUP(ROUNDDOWN(N201,0),'Aide calcul'!$B$2:$C$282,2,FALSE),M201+1),"")</f>
        <v/>
      </c>
      <c r="P201" s="112" t="str">
        <f t="shared" si="40"/>
        <v/>
      </c>
      <c r="Q201" s="170"/>
      <c r="R201" s="170"/>
      <c r="S201" s="170"/>
      <c r="T201" s="170"/>
      <c r="U201" s="170"/>
      <c r="V201" s="170"/>
      <c r="W201" s="170"/>
      <c r="X201" s="76"/>
      <c r="Y201" s="76"/>
      <c r="Z201" s="113" t="str">
        <f>IFERROR(ROUND('Informations générales'!$E$66*(AE201/SUM($AE$28:$AE$404))/12,0)*12,"")</f>
        <v/>
      </c>
      <c r="AA201" s="114"/>
      <c r="AB201" s="113" t="str">
        <f t="shared" si="29"/>
        <v/>
      </c>
      <c r="AC201" s="89"/>
      <c r="AD201" s="76"/>
      <c r="AE201" s="56">
        <f t="shared" si="41"/>
        <v>0</v>
      </c>
      <c r="AF201" s="56">
        <f t="shared" si="30"/>
        <v>0</v>
      </c>
      <c r="AG201" s="56">
        <f t="shared" si="31"/>
        <v>0</v>
      </c>
      <c r="AH201" s="56">
        <f t="shared" si="32"/>
        <v>0</v>
      </c>
      <c r="AI201" s="56">
        <f t="shared" si="33"/>
        <v>0</v>
      </c>
      <c r="AJ201" s="56">
        <f t="shared" si="34"/>
        <v>0</v>
      </c>
      <c r="AK201" s="56">
        <f t="shared" si="35"/>
        <v>0</v>
      </c>
      <c r="AL201" s="56">
        <f t="shared" si="36"/>
        <v>0</v>
      </c>
      <c r="AM201" s="56">
        <f t="shared" si="42"/>
        <v>0</v>
      </c>
      <c r="AN201" s="60">
        <f t="shared" si="37"/>
        <v>0</v>
      </c>
      <c r="AO201" s="59">
        <f t="shared" si="38"/>
        <v>0</v>
      </c>
      <c r="AP201" s="59">
        <f t="shared" si="39"/>
        <v>0</v>
      </c>
    </row>
    <row r="202" spans="3:42" s="17" customFormat="1" x14ac:dyDescent="0.25">
      <c r="C202" s="241" t="s">
        <v>213</v>
      </c>
      <c r="D202" s="242"/>
      <c r="E202" s="88"/>
      <c r="F202" s="217"/>
      <c r="G202" s="234"/>
      <c r="H202" s="218"/>
      <c r="I202" s="76"/>
      <c r="J202" s="77"/>
      <c r="K202" s="77"/>
      <c r="L202" s="76"/>
      <c r="M202" s="110"/>
      <c r="N202" s="152"/>
      <c r="O202" s="111" t="str">
        <f>IFERROR(MIN(VLOOKUP(ROUNDDOWN(N202,0),'Aide calcul'!$B$2:$C$282,2,FALSE),M202+1),"")</f>
        <v/>
      </c>
      <c r="P202" s="112" t="str">
        <f t="shared" si="40"/>
        <v/>
      </c>
      <c r="Q202" s="170"/>
      <c r="R202" s="170"/>
      <c r="S202" s="170"/>
      <c r="T202" s="170"/>
      <c r="U202" s="170"/>
      <c r="V202" s="170"/>
      <c r="W202" s="170"/>
      <c r="X202" s="76"/>
      <c r="Y202" s="76"/>
      <c r="Z202" s="113" t="str">
        <f>IFERROR(ROUND('Informations générales'!$E$66*(AE202/SUM($AE$28:$AE$404))/12,0)*12,"")</f>
        <v/>
      </c>
      <c r="AA202" s="114"/>
      <c r="AB202" s="113" t="str">
        <f t="shared" si="29"/>
        <v/>
      </c>
      <c r="AC202" s="89"/>
      <c r="AD202" s="76"/>
      <c r="AE202" s="56">
        <f t="shared" si="41"/>
        <v>0</v>
      </c>
      <c r="AF202" s="56">
        <f t="shared" si="30"/>
        <v>0</v>
      </c>
      <c r="AG202" s="56">
        <f t="shared" si="31"/>
        <v>0</v>
      </c>
      <c r="AH202" s="56">
        <f t="shared" si="32"/>
        <v>0</v>
      </c>
      <c r="AI202" s="56">
        <f t="shared" si="33"/>
        <v>0</v>
      </c>
      <c r="AJ202" s="56">
        <f t="shared" si="34"/>
        <v>0</v>
      </c>
      <c r="AK202" s="56">
        <f t="shared" si="35"/>
        <v>0</v>
      </c>
      <c r="AL202" s="56">
        <f t="shared" si="36"/>
        <v>0</v>
      </c>
      <c r="AM202" s="56">
        <f t="shared" si="42"/>
        <v>0</v>
      </c>
      <c r="AN202" s="60">
        <f t="shared" si="37"/>
        <v>0</v>
      </c>
      <c r="AO202" s="59">
        <f t="shared" si="38"/>
        <v>0</v>
      </c>
      <c r="AP202" s="59">
        <f t="shared" si="39"/>
        <v>0</v>
      </c>
    </row>
    <row r="203" spans="3:42" s="17" customFormat="1" x14ac:dyDescent="0.25">
      <c r="C203" s="241" t="s">
        <v>213</v>
      </c>
      <c r="D203" s="242"/>
      <c r="E203" s="88"/>
      <c r="F203" s="217"/>
      <c r="G203" s="234"/>
      <c r="H203" s="218"/>
      <c r="I203" s="76"/>
      <c r="J203" s="77"/>
      <c r="K203" s="77"/>
      <c r="L203" s="76"/>
      <c r="M203" s="110"/>
      <c r="N203" s="152"/>
      <c r="O203" s="111" t="str">
        <f>IFERROR(MIN(VLOOKUP(ROUNDDOWN(N203,0),'Aide calcul'!$B$2:$C$282,2,FALSE),M203+1),"")</f>
        <v/>
      </c>
      <c r="P203" s="112" t="str">
        <f t="shared" si="40"/>
        <v/>
      </c>
      <c r="Q203" s="170"/>
      <c r="R203" s="170"/>
      <c r="S203" s="170"/>
      <c r="T203" s="170"/>
      <c r="U203" s="170"/>
      <c r="V203" s="170"/>
      <c r="W203" s="170"/>
      <c r="X203" s="76"/>
      <c r="Y203" s="76"/>
      <c r="Z203" s="113" t="str">
        <f>IFERROR(ROUND('Informations générales'!$E$66*(AE203/SUM($AE$28:$AE$404))/12,0)*12,"")</f>
        <v/>
      </c>
      <c r="AA203" s="114"/>
      <c r="AB203" s="113" t="str">
        <f t="shared" si="29"/>
        <v/>
      </c>
      <c r="AC203" s="89"/>
      <c r="AD203" s="76"/>
      <c r="AE203" s="56">
        <f t="shared" si="41"/>
        <v>0</v>
      </c>
      <c r="AF203" s="56">
        <f t="shared" si="30"/>
        <v>0</v>
      </c>
      <c r="AG203" s="56">
        <f t="shared" si="31"/>
        <v>0</v>
      </c>
      <c r="AH203" s="56">
        <f t="shared" si="32"/>
        <v>0</v>
      </c>
      <c r="AI203" s="56">
        <f t="shared" si="33"/>
        <v>0</v>
      </c>
      <c r="AJ203" s="56">
        <f t="shared" si="34"/>
        <v>0</v>
      </c>
      <c r="AK203" s="56">
        <f t="shared" si="35"/>
        <v>0</v>
      </c>
      <c r="AL203" s="56">
        <f t="shared" si="36"/>
        <v>0</v>
      </c>
      <c r="AM203" s="56">
        <f t="shared" si="42"/>
        <v>0</v>
      </c>
      <c r="AN203" s="60">
        <f t="shared" si="37"/>
        <v>0</v>
      </c>
      <c r="AO203" s="59">
        <f t="shared" si="38"/>
        <v>0</v>
      </c>
      <c r="AP203" s="59">
        <f t="shared" si="39"/>
        <v>0</v>
      </c>
    </row>
    <row r="204" spans="3:42" s="17" customFormat="1" x14ac:dyDescent="0.25">
      <c r="C204" s="241" t="s">
        <v>213</v>
      </c>
      <c r="D204" s="242"/>
      <c r="E204" s="88"/>
      <c r="F204" s="217"/>
      <c r="G204" s="234"/>
      <c r="H204" s="218"/>
      <c r="I204" s="76"/>
      <c r="J204" s="77"/>
      <c r="K204" s="77"/>
      <c r="L204" s="76"/>
      <c r="M204" s="110"/>
      <c r="N204" s="152"/>
      <c r="O204" s="111" t="str">
        <f>IFERROR(MIN(VLOOKUP(ROUNDDOWN(N204,0),'Aide calcul'!$B$2:$C$282,2,FALSE),M204+1),"")</f>
        <v/>
      </c>
      <c r="P204" s="112" t="str">
        <f t="shared" si="40"/>
        <v/>
      </c>
      <c r="Q204" s="170"/>
      <c r="R204" s="170"/>
      <c r="S204" s="170"/>
      <c r="T204" s="170"/>
      <c r="U204" s="170"/>
      <c r="V204" s="170"/>
      <c r="W204" s="170"/>
      <c r="X204" s="76"/>
      <c r="Y204" s="76"/>
      <c r="Z204" s="113" t="str">
        <f>IFERROR(ROUND('Informations générales'!$E$66*(AE204/SUM($AE$28:$AE$404))/12,0)*12,"")</f>
        <v/>
      </c>
      <c r="AA204" s="114"/>
      <c r="AB204" s="113" t="str">
        <f t="shared" si="29"/>
        <v/>
      </c>
      <c r="AC204" s="89"/>
      <c r="AD204" s="76"/>
      <c r="AE204" s="56">
        <f t="shared" si="41"/>
        <v>0</v>
      </c>
      <c r="AF204" s="56">
        <f t="shared" si="30"/>
        <v>0</v>
      </c>
      <c r="AG204" s="56">
        <f t="shared" si="31"/>
        <v>0</v>
      </c>
      <c r="AH204" s="56">
        <f t="shared" si="32"/>
        <v>0</v>
      </c>
      <c r="AI204" s="56">
        <f t="shared" si="33"/>
        <v>0</v>
      </c>
      <c r="AJ204" s="56">
        <f t="shared" si="34"/>
        <v>0</v>
      </c>
      <c r="AK204" s="56">
        <f t="shared" si="35"/>
        <v>0</v>
      </c>
      <c r="AL204" s="56">
        <f t="shared" si="36"/>
        <v>0</v>
      </c>
      <c r="AM204" s="56">
        <f t="shared" si="42"/>
        <v>0</v>
      </c>
      <c r="AN204" s="60">
        <f t="shared" si="37"/>
        <v>0</v>
      </c>
      <c r="AO204" s="59">
        <f t="shared" si="38"/>
        <v>0</v>
      </c>
      <c r="AP204" s="59">
        <f t="shared" si="39"/>
        <v>0</v>
      </c>
    </row>
    <row r="205" spans="3:42" s="17" customFormat="1" x14ac:dyDescent="0.25">
      <c r="C205" s="241" t="s">
        <v>213</v>
      </c>
      <c r="D205" s="242"/>
      <c r="E205" s="88"/>
      <c r="F205" s="217"/>
      <c r="G205" s="234"/>
      <c r="H205" s="218"/>
      <c r="I205" s="76"/>
      <c r="J205" s="77"/>
      <c r="K205" s="77"/>
      <c r="L205" s="76"/>
      <c r="M205" s="110"/>
      <c r="N205" s="152"/>
      <c r="O205" s="111" t="str">
        <f>IFERROR(MIN(VLOOKUP(ROUNDDOWN(N205,0),'Aide calcul'!$B$2:$C$282,2,FALSE),M205+1),"")</f>
        <v/>
      </c>
      <c r="P205" s="112" t="str">
        <f t="shared" si="40"/>
        <v/>
      </c>
      <c r="Q205" s="170"/>
      <c r="R205" s="170"/>
      <c r="S205" s="170"/>
      <c r="T205" s="170"/>
      <c r="U205" s="170"/>
      <c r="V205" s="170"/>
      <c r="W205" s="170"/>
      <c r="X205" s="76"/>
      <c r="Y205" s="76"/>
      <c r="Z205" s="113" t="str">
        <f>IFERROR(ROUND('Informations générales'!$E$66*(AE205/SUM($AE$28:$AE$404))/12,0)*12,"")</f>
        <v/>
      </c>
      <c r="AA205" s="114"/>
      <c r="AB205" s="113" t="str">
        <f t="shared" si="29"/>
        <v/>
      </c>
      <c r="AC205" s="89"/>
      <c r="AD205" s="76"/>
      <c r="AE205" s="56">
        <f t="shared" si="41"/>
        <v>0</v>
      </c>
      <c r="AF205" s="56">
        <f t="shared" si="30"/>
        <v>0</v>
      </c>
      <c r="AG205" s="56">
        <f t="shared" si="31"/>
        <v>0</v>
      </c>
      <c r="AH205" s="56">
        <f t="shared" si="32"/>
        <v>0</v>
      </c>
      <c r="AI205" s="56">
        <f t="shared" si="33"/>
        <v>0</v>
      </c>
      <c r="AJ205" s="56">
        <f t="shared" si="34"/>
        <v>0</v>
      </c>
      <c r="AK205" s="56">
        <f t="shared" si="35"/>
        <v>0</v>
      </c>
      <c r="AL205" s="56">
        <f t="shared" si="36"/>
        <v>0</v>
      </c>
      <c r="AM205" s="56">
        <f t="shared" si="42"/>
        <v>0</v>
      </c>
      <c r="AN205" s="60">
        <f t="shared" si="37"/>
        <v>0</v>
      </c>
      <c r="AO205" s="59">
        <f t="shared" si="38"/>
        <v>0</v>
      </c>
      <c r="AP205" s="59">
        <f t="shared" si="39"/>
        <v>0</v>
      </c>
    </row>
    <row r="206" spans="3:42" s="17" customFormat="1" x14ac:dyDescent="0.25">
      <c r="C206" s="241" t="s">
        <v>213</v>
      </c>
      <c r="D206" s="242"/>
      <c r="E206" s="88"/>
      <c r="F206" s="217"/>
      <c r="G206" s="234"/>
      <c r="H206" s="218"/>
      <c r="I206" s="76"/>
      <c r="J206" s="77"/>
      <c r="K206" s="77"/>
      <c r="L206" s="76"/>
      <c r="M206" s="110"/>
      <c r="N206" s="152"/>
      <c r="O206" s="111" t="str">
        <f>IFERROR(MIN(VLOOKUP(ROUNDDOWN(N206,0),'Aide calcul'!$B$2:$C$282,2,FALSE),M206+1),"")</f>
        <v/>
      </c>
      <c r="P206" s="112" t="str">
        <f t="shared" si="40"/>
        <v/>
      </c>
      <c r="Q206" s="170"/>
      <c r="R206" s="170"/>
      <c r="S206" s="170"/>
      <c r="T206" s="170"/>
      <c r="U206" s="170"/>
      <c r="V206" s="170"/>
      <c r="W206" s="170"/>
      <c r="X206" s="76"/>
      <c r="Y206" s="76"/>
      <c r="Z206" s="113" t="str">
        <f>IFERROR(ROUND('Informations générales'!$E$66*(AE206/SUM($AE$28:$AE$404))/12,0)*12,"")</f>
        <v/>
      </c>
      <c r="AA206" s="114"/>
      <c r="AB206" s="113" t="str">
        <f t="shared" si="29"/>
        <v/>
      </c>
      <c r="AC206" s="89"/>
      <c r="AD206" s="76"/>
      <c r="AE206" s="56">
        <f t="shared" si="41"/>
        <v>0</v>
      </c>
      <c r="AF206" s="56">
        <f t="shared" si="30"/>
        <v>0</v>
      </c>
      <c r="AG206" s="56">
        <f t="shared" si="31"/>
        <v>0</v>
      </c>
      <c r="AH206" s="56">
        <f t="shared" si="32"/>
        <v>0</v>
      </c>
      <c r="AI206" s="56">
        <f t="shared" si="33"/>
        <v>0</v>
      </c>
      <c r="AJ206" s="56">
        <f t="shared" si="34"/>
        <v>0</v>
      </c>
      <c r="AK206" s="56">
        <f t="shared" si="35"/>
        <v>0</v>
      </c>
      <c r="AL206" s="56">
        <f t="shared" si="36"/>
        <v>0</v>
      </c>
      <c r="AM206" s="56">
        <f t="shared" si="42"/>
        <v>0</v>
      </c>
      <c r="AN206" s="60">
        <f t="shared" si="37"/>
        <v>0</v>
      </c>
      <c r="AO206" s="59">
        <f t="shared" si="38"/>
        <v>0</v>
      </c>
      <c r="AP206" s="59">
        <f t="shared" si="39"/>
        <v>0</v>
      </c>
    </row>
    <row r="207" spans="3:42" s="17" customFormat="1" x14ac:dyDescent="0.25">
      <c r="C207" s="241" t="s">
        <v>213</v>
      </c>
      <c r="D207" s="242"/>
      <c r="E207" s="88"/>
      <c r="F207" s="217"/>
      <c r="G207" s="234"/>
      <c r="H207" s="218"/>
      <c r="I207" s="76"/>
      <c r="J207" s="77"/>
      <c r="K207" s="77"/>
      <c r="L207" s="76"/>
      <c r="M207" s="110"/>
      <c r="N207" s="152"/>
      <c r="O207" s="111" t="str">
        <f>IFERROR(MIN(VLOOKUP(ROUNDDOWN(N207,0),'Aide calcul'!$B$2:$C$282,2,FALSE),M207+1),"")</f>
        <v/>
      </c>
      <c r="P207" s="112" t="str">
        <f t="shared" si="40"/>
        <v/>
      </c>
      <c r="Q207" s="170"/>
      <c r="R207" s="170"/>
      <c r="S207" s="170"/>
      <c r="T207" s="170"/>
      <c r="U207" s="170"/>
      <c r="V207" s="170"/>
      <c r="W207" s="170"/>
      <c r="X207" s="76"/>
      <c r="Y207" s="76"/>
      <c r="Z207" s="113" t="str">
        <f>IFERROR(ROUND('Informations générales'!$E$66*(AE207/SUM($AE$28:$AE$404))/12,0)*12,"")</f>
        <v/>
      </c>
      <c r="AA207" s="114"/>
      <c r="AB207" s="113" t="str">
        <f t="shared" si="29"/>
        <v/>
      </c>
      <c r="AC207" s="89"/>
      <c r="AD207" s="76"/>
      <c r="AE207" s="56">
        <f t="shared" si="41"/>
        <v>0</v>
      </c>
      <c r="AF207" s="56">
        <f t="shared" si="30"/>
        <v>0</v>
      </c>
      <c r="AG207" s="56">
        <f t="shared" si="31"/>
        <v>0</v>
      </c>
      <c r="AH207" s="56">
        <f t="shared" si="32"/>
        <v>0</v>
      </c>
      <c r="AI207" s="56">
        <f t="shared" si="33"/>
        <v>0</v>
      </c>
      <c r="AJ207" s="56">
        <f t="shared" si="34"/>
        <v>0</v>
      </c>
      <c r="AK207" s="56">
        <f t="shared" si="35"/>
        <v>0</v>
      </c>
      <c r="AL207" s="56">
        <f t="shared" si="36"/>
        <v>0</v>
      </c>
      <c r="AM207" s="56">
        <f t="shared" si="42"/>
        <v>0</v>
      </c>
      <c r="AN207" s="60">
        <f t="shared" si="37"/>
        <v>0</v>
      </c>
      <c r="AO207" s="59">
        <f t="shared" si="38"/>
        <v>0</v>
      </c>
      <c r="AP207" s="59">
        <f t="shared" si="39"/>
        <v>0</v>
      </c>
    </row>
    <row r="208" spans="3:42" s="17" customFormat="1" x14ac:dyDescent="0.25">
      <c r="C208" s="241" t="s">
        <v>213</v>
      </c>
      <c r="D208" s="242"/>
      <c r="E208" s="88"/>
      <c r="F208" s="217"/>
      <c r="G208" s="234"/>
      <c r="H208" s="218"/>
      <c r="I208" s="76"/>
      <c r="J208" s="77"/>
      <c r="K208" s="77"/>
      <c r="L208" s="76"/>
      <c r="M208" s="110"/>
      <c r="N208" s="152"/>
      <c r="O208" s="111" t="str">
        <f>IFERROR(MIN(VLOOKUP(ROUNDDOWN(N208,0),'Aide calcul'!$B$2:$C$282,2,FALSE),M208+1),"")</f>
        <v/>
      </c>
      <c r="P208" s="112" t="str">
        <f t="shared" si="40"/>
        <v/>
      </c>
      <c r="Q208" s="170"/>
      <c r="R208" s="170"/>
      <c r="S208" s="170"/>
      <c r="T208" s="170"/>
      <c r="U208" s="170"/>
      <c r="V208" s="170"/>
      <c r="W208" s="170"/>
      <c r="X208" s="76"/>
      <c r="Y208" s="76"/>
      <c r="Z208" s="113" t="str">
        <f>IFERROR(ROUND('Informations générales'!$E$66*(AE208/SUM($AE$28:$AE$404))/12,0)*12,"")</f>
        <v/>
      </c>
      <c r="AA208" s="114"/>
      <c r="AB208" s="113" t="str">
        <f t="shared" si="29"/>
        <v/>
      </c>
      <c r="AC208" s="89"/>
      <c r="AD208" s="76"/>
      <c r="AE208" s="56">
        <f t="shared" si="41"/>
        <v>0</v>
      </c>
      <c r="AF208" s="56">
        <f t="shared" si="30"/>
        <v>0</v>
      </c>
      <c r="AG208" s="56">
        <f t="shared" si="31"/>
        <v>0</v>
      </c>
      <c r="AH208" s="56">
        <f t="shared" si="32"/>
        <v>0</v>
      </c>
      <c r="AI208" s="56">
        <f t="shared" si="33"/>
        <v>0</v>
      </c>
      <c r="AJ208" s="56">
        <f t="shared" si="34"/>
        <v>0</v>
      </c>
      <c r="AK208" s="56">
        <f t="shared" si="35"/>
        <v>0</v>
      </c>
      <c r="AL208" s="56">
        <f t="shared" si="36"/>
        <v>0</v>
      </c>
      <c r="AM208" s="56">
        <f t="shared" si="42"/>
        <v>0</v>
      </c>
      <c r="AN208" s="60">
        <f t="shared" si="37"/>
        <v>0</v>
      </c>
      <c r="AO208" s="59">
        <f t="shared" si="38"/>
        <v>0</v>
      </c>
      <c r="AP208" s="59">
        <f t="shared" si="39"/>
        <v>0</v>
      </c>
    </row>
    <row r="209" spans="3:42" s="17" customFormat="1" x14ac:dyDescent="0.25">
      <c r="C209" s="241" t="s">
        <v>213</v>
      </c>
      <c r="D209" s="242"/>
      <c r="E209" s="88"/>
      <c r="F209" s="217"/>
      <c r="G209" s="234"/>
      <c r="H209" s="218"/>
      <c r="I209" s="76"/>
      <c r="J209" s="77"/>
      <c r="K209" s="77"/>
      <c r="L209" s="76"/>
      <c r="M209" s="110"/>
      <c r="N209" s="152"/>
      <c r="O209" s="111" t="str">
        <f>IFERROR(MIN(VLOOKUP(ROUNDDOWN(N209,0),'Aide calcul'!$B$2:$C$282,2,FALSE),M209+1),"")</f>
        <v/>
      </c>
      <c r="P209" s="112" t="str">
        <f t="shared" si="40"/>
        <v/>
      </c>
      <c r="Q209" s="170"/>
      <c r="R209" s="170"/>
      <c r="S209" s="170"/>
      <c r="T209" s="170"/>
      <c r="U209" s="170"/>
      <c r="V209" s="170"/>
      <c r="W209" s="170"/>
      <c r="X209" s="76"/>
      <c r="Y209" s="76"/>
      <c r="Z209" s="113" t="str">
        <f>IFERROR(ROUND('Informations générales'!$E$66*(AE209/SUM($AE$28:$AE$404))/12,0)*12,"")</f>
        <v/>
      </c>
      <c r="AA209" s="114"/>
      <c r="AB209" s="113" t="str">
        <f t="shared" si="29"/>
        <v/>
      </c>
      <c r="AC209" s="89"/>
      <c r="AD209" s="76"/>
      <c r="AE209" s="56">
        <f t="shared" si="41"/>
        <v>0</v>
      </c>
      <c r="AF209" s="56">
        <f t="shared" si="30"/>
        <v>0</v>
      </c>
      <c r="AG209" s="56">
        <f t="shared" si="31"/>
        <v>0</v>
      </c>
      <c r="AH209" s="56">
        <f t="shared" si="32"/>
        <v>0</v>
      </c>
      <c r="AI209" s="56">
        <f t="shared" si="33"/>
        <v>0</v>
      </c>
      <c r="AJ209" s="56">
        <f t="shared" si="34"/>
        <v>0</v>
      </c>
      <c r="AK209" s="56">
        <f t="shared" si="35"/>
        <v>0</v>
      </c>
      <c r="AL209" s="56">
        <f t="shared" si="36"/>
        <v>0</v>
      </c>
      <c r="AM209" s="56">
        <f t="shared" si="42"/>
        <v>0</v>
      </c>
      <c r="AN209" s="60">
        <f t="shared" si="37"/>
        <v>0</v>
      </c>
      <c r="AO209" s="59">
        <f t="shared" si="38"/>
        <v>0</v>
      </c>
      <c r="AP209" s="59">
        <f t="shared" si="39"/>
        <v>0</v>
      </c>
    </row>
    <row r="210" spans="3:42" s="17" customFormat="1" x14ac:dyDescent="0.25">
      <c r="C210" s="241" t="s">
        <v>213</v>
      </c>
      <c r="D210" s="242"/>
      <c r="E210" s="88"/>
      <c r="F210" s="217"/>
      <c r="G210" s="234"/>
      <c r="H210" s="218"/>
      <c r="I210" s="76"/>
      <c r="J210" s="77"/>
      <c r="K210" s="77"/>
      <c r="L210" s="76"/>
      <c r="M210" s="110"/>
      <c r="N210" s="152"/>
      <c r="O210" s="111" t="str">
        <f>IFERROR(MIN(VLOOKUP(ROUNDDOWN(N210,0),'Aide calcul'!$B$2:$C$282,2,FALSE),M210+1),"")</f>
        <v/>
      </c>
      <c r="P210" s="112" t="str">
        <f t="shared" si="40"/>
        <v/>
      </c>
      <c r="Q210" s="170"/>
      <c r="R210" s="170"/>
      <c r="S210" s="170"/>
      <c r="T210" s="170"/>
      <c r="U210" s="170"/>
      <c r="V210" s="170"/>
      <c r="W210" s="170"/>
      <c r="X210" s="76"/>
      <c r="Y210" s="76"/>
      <c r="Z210" s="113" t="str">
        <f>IFERROR(ROUND('Informations générales'!$E$66*(AE210/SUM($AE$28:$AE$404))/12,0)*12,"")</f>
        <v/>
      </c>
      <c r="AA210" s="114"/>
      <c r="AB210" s="113" t="str">
        <f t="shared" si="29"/>
        <v/>
      </c>
      <c r="AC210" s="89"/>
      <c r="AD210" s="76"/>
      <c r="AE210" s="56">
        <f t="shared" si="41"/>
        <v>0</v>
      </c>
      <c r="AF210" s="56">
        <f t="shared" si="30"/>
        <v>0</v>
      </c>
      <c r="AG210" s="56">
        <f t="shared" si="31"/>
        <v>0</v>
      </c>
      <c r="AH210" s="56">
        <f t="shared" si="32"/>
        <v>0</v>
      </c>
      <c r="AI210" s="56">
        <f t="shared" si="33"/>
        <v>0</v>
      </c>
      <c r="AJ210" s="56">
        <f t="shared" si="34"/>
        <v>0</v>
      </c>
      <c r="AK210" s="56">
        <f t="shared" si="35"/>
        <v>0</v>
      </c>
      <c r="AL210" s="56">
        <f t="shared" si="36"/>
        <v>0</v>
      </c>
      <c r="AM210" s="56">
        <f t="shared" si="42"/>
        <v>0</v>
      </c>
      <c r="AN210" s="60">
        <f t="shared" si="37"/>
        <v>0</v>
      </c>
      <c r="AO210" s="59">
        <f t="shared" si="38"/>
        <v>0</v>
      </c>
      <c r="AP210" s="59">
        <f t="shared" si="39"/>
        <v>0</v>
      </c>
    </row>
    <row r="211" spans="3:42" s="17" customFormat="1" x14ac:dyDescent="0.25">
      <c r="C211" s="241" t="s">
        <v>213</v>
      </c>
      <c r="D211" s="242"/>
      <c r="E211" s="88"/>
      <c r="F211" s="217"/>
      <c r="G211" s="234"/>
      <c r="H211" s="218"/>
      <c r="I211" s="76"/>
      <c r="J211" s="77"/>
      <c r="K211" s="77"/>
      <c r="L211" s="76"/>
      <c r="M211" s="110"/>
      <c r="N211" s="152"/>
      <c r="O211" s="111" t="str">
        <f>IFERROR(MIN(VLOOKUP(ROUNDDOWN(N211,0),'Aide calcul'!$B$2:$C$282,2,FALSE),M211+1),"")</f>
        <v/>
      </c>
      <c r="P211" s="112" t="str">
        <f t="shared" si="40"/>
        <v/>
      </c>
      <c r="Q211" s="170"/>
      <c r="R211" s="170"/>
      <c r="S211" s="170"/>
      <c r="T211" s="170"/>
      <c r="U211" s="170"/>
      <c r="V211" s="170"/>
      <c r="W211" s="170"/>
      <c r="X211" s="76"/>
      <c r="Y211" s="76"/>
      <c r="Z211" s="113" t="str">
        <f>IFERROR(ROUND('Informations générales'!$E$66*(AE211/SUM($AE$28:$AE$404))/12,0)*12,"")</f>
        <v/>
      </c>
      <c r="AA211" s="114"/>
      <c r="AB211" s="113" t="str">
        <f t="shared" si="29"/>
        <v/>
      </c>
      <c r="AC211" s="89"/>
      <c r="AD211" s="76"/>
      <c r="AE211" s="56">
        <f t="shared" si="41"/>
        <v>0</v>
      </c>
      <c r="AF211" s="56">
        <f t="shared" si="30"/>
        <v>0</v>
      </c>
      <c r="AG211" s="56">
        <f t="shared" si="31"/>
        <v>0</v>
      </c>
      <c r="AH211" s="56">
        <f t="shared" si="32"/>
        <v>0</v>
      </c>
      <c r="AI211" s="56">
        <f t="shared" si="33"/>
        <v>0</v>
      </c>
      <c r="AJ211" s="56">
        <f t="shared" si="34"/>
        <v>0</v>
      </c>
      <c r="AK211" s="56">
        <f t="shared" si="35"/>
        <v>0</v>
      </c>
      <c r="AL211" s="56">
        <f t="shared" si="36"/>
        <v>0</v>
      </c>
      <c r="AM211" s="56">
        <f t="shared" si="42"/>
        <v>0</v>
      </c>
      <c r="AN211" s="60">
        <f t="shared" si="37"/>
        <v>0</v>
      </c>
      <c r="AO211" s="59">
        <f t="shared" si="38"/>
        <v>0</v>
      </c>
      <c r="AP211" s="59">
        <f t="shared" si="39"/>
        <v>0</v>
      </c>
    </row>
    <row r="212" spans="3:42" s="17" customFormat="1" x14ac:dyDescent="0.25">
      <c r="C212" s="241" t="s">
        <v>213</v>
      </c>
      <c r="D212" s="242"/>
      <c r="E212" s="88"/>
      <c r="F212" s="217"/>
      <c r="G212" s="234"/>
      <c r="H212" s="218"/>
      <c r="I212" s="76"/>
      <c r="J212" s="77"/>
      <c r="K212" s="77"/>
      <c r="L212" s="76"/>
      <c r="M212" s="110"/>
      <c r="N212" s="152"/>
      <c r="O212" s="111" t="str">
        <f>IFERROR(MIN(VLOOKUP(ROUNDDOWN(N212,0),'Aide calcul'!$B$2:$C$282,2,FALSE),M212+1),"")</f>
        <v/>
      </c>
      <c r="P212" s="112" t="str">
        <f t="shared" si="40"/>
        <v/>
      </c>
      <c r="Q212" s="170"/>
      <c r="R212" s="170"/>
      <c r="S212" s="170"/>
      <c r="T212" s="170"/>
      <c r="U212" s="170"/>
      <c r="V212" s="170"/>
      <c r="W212" s="170"/>
      <c r="X212" s="76"/>
      <c r="Y212" s="76"/>
      <c r="Z212" s="113" t="str">
        <f>IFERROR(ROUND('Informations générales'!$E$66*(AE212/SUM($AE$28:$AE$404))/12,0)*12,"")</f>
        <v/>
      </c>
      <c r="AA212" s="114"/>
      <c r="AB212" s="113" t="str">
        <f t="shared" si="29"/>
        <v/>
      </c>
      <c r="AC212" s="89"/>
      <c r="AD212" s="76"/>
      <c r="AE212" s="56">
        <f t="shared" si="41"/>
        <v>0</v>
      </c>
      <c r="AF212" s="56">
        <f t="shared" si="30"/>
        <v>0</v>
      </c>
      <c r="AG212" s="56">
        <f t="shared" si="31"/>
        <v>0</v>
      </c>
      <c r="AH212" s="56">
        <f t="shared" si="32"/>
        <v>0</v>
      </c>
      <c r="AI212" s="56">
        <f t="shared" si="33"/>
        <v>0</v>
      </c>
      <c r="AJ212" s="56">
        <f t="shared" si="34"/>
        <v>0</v>
      </c>
      <c r="AK212" s="56">
        <f t="shared" si="35"/>
        <v>0</v>
      </c>
      <c r="AL212" s="56">
        <f t="shared" si="36"/>
        <v>0</v>
      </c>
      <c r="AM212" s="56">
        <f t="shared" si="42"/>
        <v>0</v>
      </c>
      <c r="AN212" s="60">
        <f t="shared" si="37"/>
        <v>0</v>
      </c>
      <c r="AO212" s="59">
        <f t="shared" si="38"/>
        <v>0</v>
      </c>
      <c r="AP212" s="59">
        <f t="shared" si="39"/>
        <v>0</v>
      </c>
    </row>
    <row r="213" spans="3:42" s="17" customFormat="1" x14ac:dyDescent="0.25">
      <c r="C213" s="241" t="s">
        <v>213</v>
      </c>
      <c r="D213" s="242"/>
      <c r="E213" s="88"/>
      <c r="F213" s="217"/>
      <c r="G213" s="234"/>
      <c r="H213" s="218"/>
      <c r="I213" s="76"/>
      <c r="J213" s="77"/>
      <c r="K213" s="77"/>
      <c r="L213" s="76"/>
      <c r="M213" s="110"/>
      <c r="N213" s="152"/>
      <c r="O213" s="111" t="str">
        <f>IFERROR(MIN(VLOOKUP(ROUNDDOWN(N213,0),'Aide calcul'!$B$2:$C$282,2,FALSE),M213+1),"")</f>
        <v/>
      </c>
      <c r="P213" s="112" t="str">
        <f t="shared" si="40"/>
        <v/>
      </c>
      <c r="Q213" s="170"/>
      <c r="R213" s="170"/>
      <c r="S213" s="170"/>
      <c r="T213" s="170"/>
      <c r="U213" s="170"/>
      <c r="V213" s="170"/>
      <c r="W213" s="170"/>
      <c r="X213" s="76"/>
      <c r="Y213" s="76"/>
      <c r="Z213" s="113" t="str">
        <f>IFERROR(ROUND('Informations générales'!$E$66*(AE213/SUM($AE$28:$AE$404))/12,0)*12,"")</f>
        <v/>
      </c>
      <c r="AA213" s="114"/>
      <c r="AB213" s="113" t="str">
        <f t="shared" si="29"/>
        <v/>
      </c>
      <c r="AC213" s="89"/>
      <c r="AD213" s="76"/>
      <c r="AE213" s="56">
        <f t="shared" si="41"/>
        <v>0</v>
      </c>
      <c r="AF213" s="56">
        <f t="shared" si="30"/>
        <v>0</v>
      </c>
      <c r="AG213" s="56">
        <f t="shared" si="31"/>
        <v>0</v>
      </c>
      <c r="AH213" s="56">
        <f t="shared" si="32"/>
        <v>0</v>
      </c>
      <c r="AI213" s="56">
        <f t="shared" si="33"/>
        <v>0</v>
      </c>
      <c r="AJ213" s="56">
        <f t="shared" si="34"/>
        <v>0</v>
      </c>
      <c r="AK213" s="56">
        <f t="shared" si="35"/>
        <v>0</v>
      </c>
      <c r="AL213" s="56">
        <f t="shared" si="36"/>
        <v>0</v>
      </c>
      <c r="AM213" s="56">
        <f t="shared" si="42"/>
        <v>0</v>
      </c>
      <c r="AN213" s="60">
        <f t="shared" si="37"/>
        <v>0</v>
      </c>
      <c r="AO213" s="59">
        <f t="shared" si="38"/>
        <v>0</v>
      </c>
      <c r="AP213" s="59">
        <f t="shared" si="39"/>
        <v>0</v>
      </c>
    </row>
    <row r="214" spans="3:42" s="17" customFormat="1" x14ac:dyDescent="0.25">
      <c r="C214" s="241" t="s">
        <v>213</v>
      </c>
      <c r="D214" s="242"/>
      <c r="E214" s="88"/>
      <c r="F214" s="217"/>
      <c r="G214" s="234"/>
      <c r="H214" s="218"/>
      <c r="I214" s="76"/>
      <c r="J214" s="77"/>
      <c r="K214" s="77"/>
      <c r="L214" s="76"/>
      <c r="M214" s="110"/>
      <c r="N214" s="152"/>
      <c r="O214" s="111" t="str">
        <f>IFERROR(MIN(VLOOKUP(ROUNDDOWN(N214,0),'Aide calcul'!$B$2:$C$282,2,FALSE),M214+1),"")</f>
        <v/>
      </c>
      <c r="P214" s="112" t="str">
        <f t="shared" si="40"/>
        <v/>
      </c>
      <c r="Q214" s="170"/>
      <c r="R214" s="170"/>
      <c r="S214" s="170"/>
      <c r="T214" s="170"/>
      <c r="U214" s="170"/>
      <c r="V214" s="170"/>
      <c r="W214" s="170"/>
      <c r="X214" s="76"/>
      <c r="Y214" s="76"/>
      <c r="Z214" s="113" t="str">
        <f>IFERROR(ROUND('Informations générales'!$E$66*(AE214/SUM($AE$28:$AE$404))/12,0)*12,"")</f>
        <v/>
      </c>
      <c r="AA214" s="114"/>
      <c r="AB214" s="113" t="str">
        <f t="shared" si="29"/>
        <v/>
      </c>
      <c r="AC214" s="89"/>
      <c r="AD214" s="76"/>
      <c r="AE214" s="56">
        <f t="shared" si="41"/>
        <v>0</v>
      </c>
      <c r="AF214" s="56">
        <f t="shared" si="30"/>
        <v>0</v>
      </c>
      <c r="AG214" s="56">
        <f t="shared" si="31"/>
        <v>0</v>
      </c>
      <c r="AH214" s="56">
        <f t="shared" si="32"/>
        <v>0</v>
      </c>
      <c r="AI214" s="56">
        <f t="shared" si="33"/>
        <v>0</v>
      </c>
      <c r="AJ214" s="56">
        <f t="shared" si="34"/>
        <v>0</v>
      </c>
      <c r="AK214" s="56">
        <f t="shared" si="35"/>
        <v>0</v>
      </c>
      <c r="AL214" s="56">
        <f t="shared" si="36"/>
        <v>0</v>
      </c>
      <c r="AM214" s="56">
        <f t="shared" si="42"/>
        <v>0</v>
      </c>
      <c r="AN214" s="60">
        <f t="shared" si="37"/>
        <v>0</v>
      </c>
      <c r="AO214" s="59">
        <f t="shared" si="38"/>
        <v>0</v>
      </c>
      <c r="AP214" s="59">
        <f t="shared" si="39"/>
        <v>0</v>
      </c>
    </row>
    <row r="215" spans="3:42" s="17" customFormat="1" x14ac:dyDescent="0.25">
      <c r="C215" s="241" t="s">
        <v>213</v>
      </c>
      <c r="D215" s="242"/>
      <c r="E215" s="88"/>
      <c r="F215" s="217"/>
      <c r="G215" s="234"/>
      <c r="H215" s="218"/>
      <c r="I215" s="76"/>
      <c r="J215" s="77"/>
      <c r="K215" s="77"/>
      <c r="L215" s="76"/>
      <c r="M215" s="110"/>
      <c r="N215" s="152"/>
      <c r="O215" s="111" t="str">
        <f>IFERROR(MIN(VLOOKUP(ROUNDDOWN(N215,0),'Aide calcul'!$B$2:$C$282,2,FALSE),M215+1),"")</f>
        <v/>
      </c>
      <c r="P215" s="112" t="str">
        <f t="shared" si="40"/>
        <v/>
      </c>
      <c r="Q215" s="170"/>
      <c r="R215" s="170"/>
      <c r="S215" s="170"/>
      <c r="T215" s="170"/>
      <c r="U215" s="170"/>
      <c r="V215" s="170"/>
      <c r="W215" s="170"/>
      <c r="X215" s="76"/>
      <c r="Y215" s="76"/>
      <c r="Z215" s="113" t="str">
        <f>IFERROR(ROUND('Informations générales'!$E$66*(AE215/SUM($AE$28:$AE$404))/12,0)*12,"")</f>
        <v/>
      </c>
      <c r="AA215" s="114"/>
      <c r="AB215" s="113" t="str">
        <f t="shared" si="29"/>
        <v/>
      </c>
      <c r="AC215" s="89"/>
      <c r="AD215" s="76"/>
      <c r="AE215" s="56">
        <f t="shared" si="41"/>
        <v>0</v>
      </c>
      <c r="AF215" s="56">
        <f t="shared" si="30"/>
        <v>0</v>
      </c>
      <c r="AG215" s="56">
        <f t="shared" si="31"/>
        <v>0</v>
      </c>
      <c r="AH215" s="56">
        <f t="shared" si="32"/>
        <v>0</v>
      </c>
      <c r="AI215" s="56">
        <f t="shared" si="33"/>
        <v>0</v>
      </c>
      <c r="AJ215" s="56">
        <f t="shared" si="34"/>
        <v>0</v>
      </c>
      <c r="AK215" s="56">
        <f t="shared" si="35"/>
        <v>0</v>
      </c>
      <c r="AL215" s="56">
        <f t="shared" si="36"/>
        <v>0</v>
      </c>
      <c r="AM215" s="56">
        <f t="shared" si="42"/>
        <v>0</v>
      </c>
      <c r="AN215" s="60">
        <f t="shared" si="37"/>
        <v>0</v>
      </c>
      <c r="AO215" s="59">
        <f t="shared" si="38"/>
        <v>0</v>
      </c>
      <c r="AP215" s="59">
        <f t="shared" si="39"/>
        <v>0</v>
      </c>
    </row>
    <row r="216" spans="3:42" s="17" customFormat="1" x14ac:dyDescent="0.25">
      <c r="C216" s="241" t="s">
        <v>213</v>
      </c>
      <c r="D216" s="242"/>
      <c r="E216" s="88"/>
      <c r="F216" s="217"/>
      <c r="G216" s="234"/>
      <c r="H216" s="218"/>
      <c r="I216" s="76"/>
      <c r="J216" s="77"/>
      <c r="K216" s="77"/>
      <c r="L216" s="76"/>
      <c r="M216" s="110"/>
      <c r="N216" s="152"/>
      <c r="O216" s="111" t="str">
        <f>IFERROR(MIN(VLOOKUP(ROUNDDOWN(N216,0),'Aide calcul'!$B$2:$C$282,2,FALSE),M216+1),"")</f>
        <v/>
      </c>
      <c r="P216" s="112" t="str">
        <f t="shared" si="40"/>
        <v/>
      </c>
      <c r="Q216" s="170"/>
      <c r="R216" s="170"/>
      <c r="S216" s="170"/>
      <c r="T216" s="170"/>
      <c r="U216" s="170"/>
      <c r="V216" s="170"/>
      <c r="W216" s="170"/>
      <c r="X216" s="76"/>
      <c r="Y216" s="76"/>
      <c r="Z216" s="113" t="str">
        <f>IFERROR(ROUND('Informations générales'!$E$66*(AE216/SUM($AE$28:$AE$404))/12,0)*12,"")</f>
        <v/>
      </c>
      <c r="AA216" s="114"/>
      <c r="AB216" s="113" t="str">
        <f t="shared" si="29"/>
        <v/>
      </c>
      <c r="AC216" s="89"/>
      <c r="AD216" s="76"/>
      <c r="AE216" s="56">
        <f t="shared" si="41"/>
        <v>0</v>
      </c>
      <c r="AF216" s="56">
        <f t="shared" si="30"/>
        <v>0</v>
      </c>
      <c r="AG216" s="56">
        <f t="shared" si="31"/>
        <v>0</v>
      </c>
      <c r="AH216" s="56">
        <f t="shared" si="32"/>
        <v>0</v>
      </c>
      <c r="AI216" s="56">
        <f t="shared" si="33"/>
        <v>0</v>
      </c>
      <c r="AJ216" s="56">
        <f t="shared" si="34"/>
        <v>0</v>
      </c>
      <c r="AK216" s="56">
        <f t="shared" si="35"/>
        <v>0</v>
      </c>
      <c r="AL216" s="56">
        <f t="shared" si="36"/>
        <v>0</v>
      </c>
      <c r="AM216" s="56">
        <f t="shared" si="42"/>
        <v>0</v>
      </c>
      <c r="AN216" s="60">
        <f t="shared" si="37"/>
        <v>0</v>
      </c>
      <c r="AO216" s="59">
        <f t="shared" si="38"/>
        <v>0</v>
      </c>
      <c r="AP216" s="59">
        <f t="shared" si="39"/>
        <v>0</v>
      </c>
    </row>
    <row r="217" spans="3:42" s="17" customFormat="1" x14ac:dyDescent="0.25">
      <c r="C217" s="241" t="s">
        <v>213</v>
      </c>
      <c r="D217" s="242"/>
      <c r="E217" s="88"/>
      <c r="F217" s="217"/>
      <c r="G217" s="234"/>
      <c r="H217" s="218"/>
      <c r="I217" s="76"/>
      <c r="J217" s="77"/>
      <c r="K217" s="77"/>
      <c r="L217" s="76"/>
      <c r="M217" s="110"/>
      <c r="N217" s="152"/>
      <c r="O217" s="111" t="str">
        <f>IFERROR(MIN(VLOOKUP(ROUNDDOWN(N217,0),'Aide calcul'!$B$2:$C$282,2,FALSE),M217+1),"")</f>
        <v/>
      </c>
      <c r="P217" s="112" t="str">
        <f t="shared" si="40"/>
        <v/>
      </c>
      <c r="Q217" s="170"/>
      <c r="R217" s="170"/>
      <c r="S217" s="170"/>
      <c r="T217" s="170"/>
      <c r="U217" s="170"/>
      <c r="V217" s="170"/>
      <c r="W217" s="170"/>
      <c r="X217" s="76"/>
      <c r="Y217" s="76"/>
      <c r="Z217" s="113" t="str">
        <f>IFERROR(ROUND('Informations générales'!$E$66*(AE217/SUM($AE$28:$AE$404))/12,0)*12,"")</f>
        <v/>
      </c>
      <c r="AA217" s="114"/>
      <c r="AB217" s="113" t="str">
        <f t="shared" si="29"/>
        <v/>
      </c>
      <c r="AC217" s="89"/>
      <c r="AD217" s="76"/>
      <c r="AE217" s="56">
        <f t="shared" si="41"/>
        <v>0</v>
      </c>
      <c r="AF217" s="56">
        <f t="shared" si="30"/>
        <v>0</v>
      </c>
      <c r="AG217" s="56">
        <f t="shared" si="31"/>
        <v>0</v>
      </c>
      <c r="AH217" s="56">
        <f t="shared" si="32"/>
        <v>0</v>
      </c>
      <c r="AI217" s="56">
        <f t="shared" si="33"/>
        <v>0</v>
      </c>
      <c r="AJ217" s="56">
        <f t="shared" si="34"/>
        <v>0</v>
      </c>
      <c r="AK217" s="56">
        <f t="shared" si="35"/>
        <v>0</v>
      </c>
      <c r="AL217" s="56">
        <f t="shared" si="36"/>
        <v>0</v>
      </c>
      <c r="AM217" s="56">
        <f t="shared" si="42"/>
        <v>0</v>
      </c>
      <c r="AN217" s="60">
        <f t="shared" si="37"/>
        <v>0</v>
      </c>
      <c r="AO217" s="59">
        <f t="shared" si="38"/>
        <v>0</v>
      </c>
      <c r="AP217" s="59">
        <f t="shared" si="39"/>
        <v>0</v>
      </c>
    </row>
    <row r="218" spans="3:42" s="17" customFormat="1" x14ac:dyDescent="0.25">
      <c r="C218" s="241" t="s">
        <v>213</v>
      </c>
      <c r="D218" s="242"/>
      <c r="E218" s="88"/>
      <c r="F218" s="217"/>
      <c r="G218" s="234"/>
      <c r="H218" s="218"/>
      <c r="I218" s="76"/>
      <c r="J218" s="77"/>
      <c r="K218" s="77"/>
      <c r="L218" s="76"/>
      <c r="M218" s="110"/>
      <c r="N218" s="152"/>
      <c r="O218" s="111" t="str">
        <f>IFERROR(MIN(VLOOKUP(ROUNDDOWN(N218,0),'Aide calcul'!$B$2:$C$282,2,FALSE),M218+1),"")</f>
        <v/>
      </c>
      <c r="P218" s="112" t="str">
        <f t="shared" si="40"/>
        <v/>
      </c>
      <c r="Q218" s="170"/>
      <c r="R218" s="170"/>
      <c r="S218" s="170"/>
      <c r="T218" s="170"/>
      <c r="U218" s="170"/>
      <c r="V218" s="170"/>
      <c r="W218" s="170"/>
      <c r="X218" s="76"/>
      <c r="Y218" s="76"/>
      <c r="Z218" s="113" t="str">
        <f>IFERROR(ROUND('Informations générales'!$E$66*(AE218/SUM($AE$28:$AE$404))/12,0)*12,"")</f>
        <v/>
      </c>
      <c r="AA218" s="114"/>
      <c r="AB218" s="113" t="str">
        <f t="shared" si="29"/>
        <v/>
      </c>
      <c r="AC218" s="89"/>
      <c r="AD218" s="76"/>
      <c r="AE218" s="56">
        <f t="shared" si="41"/>
        <v>0</v>
      </c>
      <c r="AF218" s="56">
        <f t="shared" si="30"/>
        <v>0</v>
      </c>
      <c r="AG218" s="56">
        <f t="shared" si="31"/>
        <v>0</v>
      </c>
      <c r="AH218" s="56">
        <f t="shared" si="32"/>
        <v>0</v>
      </c>
      <c r="AI218" s="56">
        <f t="shared" si="33"/>
        <v>0</v>
      </c>
      <c r="AJ218" s="56">
        <f t="shared" si="34"/>
        <v>0</v>
      </c>
      <c r="AK218" s="56">
        <f t="shared" si="35"/>
        <v>0</v>
      </c>
      <c r="AL218" s="56">
        <f t="shared" si="36"/>
        <v>0</v>
      </c>
      <c r="AM218" s="56">
        <f t="shared" si="42"/>
        <v>0</v>
      </c>
      <c r="AN218" s="60">
        <f t="shared" si="37"/>
        <v>0</v>
      </c>
      <c r="AO218" s="59">
        <f t="shared" si="38"/>
        <v>0</v>
      </c>
      <c r="AP218" s="59">
        <f t="shared" si="39"/>
        <v>0</v>
      </c>
    </row>
    <row r="219" spans="3:42" s="17" customFormat="1" x14ac:dyDescent="0.25">
      <c r="C219" s="241" t="s">
        <v>213</v>
      </c>
      <c r="D219" s="242"/>
      <c r="E219" s="88"/>
      <c r="F219" s="217"/>
      <c r="G219" s="234"/>
      <c r="H219" s="218"/>
      <c r="I219" s="76"/>
      <c r="J219" s="77"/>
      <c r="K219" s="77"/>
      <c r="L219" s="76"/>
      <c r="M219" s="110"/>
      <c r="N219" s="152"/>
      <c r="O219" s="111" t="str">
        <f>IFERROR(MIN(VLOOKUP(ROUNDDOWN(N219,0),'Aide calcul'!$B$2:$C$282,2,FALSE),M219+1),"")</f>
        <v/>
      </c>
      <c r="P219" s="112" t="str">
        <f t="shared" si="40"/>
        <v/>
      </c>
      <c r="Q219" s="170"/>
      <c r="R219" s="170"/>
      <c r="S219" s="170"/>
      <c r="T219" s="170"/>
      <c r="U219" s="170"/>
      <c r="V219" s="170"/>
      <c r="W219" s="170"/>
      <c r="X219" s="76"/>
      <c r="Y219" s="76"/>
      <c r="Z219" s="113" t="str">
        <f>IFERROR(ROUND('Informations générales'!$E$66*(AE219/SUM($AE$28:$AE$404))/12,0)*12,"")</f>
        <v/>
      </c>
      <c r="AA219" s="114"/>
      <c r="AB219" s="113" t="str">
        <f t="shared" si="29"/>
        <v/>
      </c>
      <c r="AC219" s="89"/>
      <c r="AD219" s="76"/>
      <c r="AE219" s="56">
        <f t="shared" si="41"/>
        <v>0</v>
      </c>
      <c r="AF219" s="56">
        <f t="shared" si="30"/>
        <v>0</v>
      </c>
      <c r="AG219" s="56">
        <f t="shared" si="31"/>
        <v>0</v>
      </c>
      <c r="AH219" s="56">
        <f t="shared" si="32"/>
        <v>0</v>
      </c>
      <c r="AI219" s="56">
        <f t="shared" si="33"/>
        <v>0</v>
      </c>
      <c r="AJ219" s="56">
        <f t="shared" si="34"/>
        <v>0</v>
      </c>
      <c r="AK219" s="56">
        <f t="shared" si="35"/>
        <v>0</v>
      </c>
      <c r="AL219" s="56">
        <f t="shared" si="36"/>
        <v>0</v>
      </c>
      <c r="AM219" s="56">
        <f t="shared" si="42"/>
        <v>0</v>
      </c>
      <c r="AN219" s="60">
        <f t="shared" si="37"/>
        <v>0</v>
      </c>
      <c r="AO219" s="59">
        <f t="shared" si="38"/>
        <v>0</v>
      </c>
      <c r="AP219" s="59">
        <f t="shared" si="39"/>
        <v>0</v>
      </c>
    </row>
    <row r="220" spans="3:42" s="17" customFormat="1" x14ac:dyDescent="0.25">
      <c r="C220" s="241" t="s">
        <v>213</v>
      </c>
      <c r="D220" s="242"/>
      <c r="E220" s="88"/>
      <c r="F220" s="217"/>
      <c r="G220" s="234"/>
      <c r="H220" s="218"/>
      <c r="I220" s="76"/>
      <c r="J220" s="77"/>
      <c r="K220" s="77"/>
      <c r="L220" s="76"/>
      <c r="M220" s="110"/>
      <c r="N220" s="152"/>
      <c r="O220" s="111" t="str">
        <f>IFERROR(MIN(VLOOKUP(ROUNDDOWN(N220,0),'Aide calcul'!$B$2:$C$282,2,FALSE),M220+1),"")</f>
        <v/>
      </c>
      <c r="P220" s="112" t="str">
        <f t="shared" si="40"/>
        <v/>
      </c>
      <c r="Q220" s="170"/>
      <c r="R220" s="170"/>
      <c r="S220" s="170"/>
      <c r="T220" s="170"/>
      <c r="U220" s="170"/>
      <c r="V220" s="170"/>
      <c r="W220" s="170"/>
      <c r="X220" s="76"/>
      <c r="Y220" s="76"/>
      <c r="Z220" s="113" t="str">
        <f>IFERROR(ROUND('Informations générales'!$E$66*(AE220/SUM($AE$28:$AE$404))/12,0)*12,"")</f>
        <v/>
      </c>
      <c r="AA220" s="114"/>
      <c r="AB220" s="113" t="str">
        <f t="shared" ref="AB220:AB283" si="43">IFERROR(Z220/AM220,"")</f>
        <v/>
      </c>
      <c r="AC220" s="89"/>
      <c r="AD220" s="76"/>
      <c r="AE220" s="56">
        <f t="shared" si="41"/>
        <v>0</v>
      </c>
      <c r="AF220" s="56">
        <f t="shared" ref="AF220:AF283" si="44">Q220*$E$13</f>
        <v>0</v>
      </c>
      <c r="AG220" s="56">
        <f t="shared" ref="AG220:AG283" si="45">R220*$E$14</f>
        <v>0</v>
      </c>
      <c r="AH220" s="56">
        <f t="shared" ref="AH220:AH283" si="46">S220*$E$15</f>
        <v>0</v>
      </c>
      <c r="AI220" s="56">
        <f t="shared" ref="AI220:AI283" si="47">T220*$E$16</f>
        <v>0</v>
      </c>
      <c r="AJ220" s="56">
        <f t="shared" ref="AJ220:AJ283" si="48">U220*$E$17</f>
        <v>0</v>
      </c>
      <c r="AK220" s="56">
        <f t="shared" ref="AK220:AK283" si="49">V220*$E$18</f>
        <v>0</v>
      </c>
      <c r="AL220" s="56">
        <f t="shared" ref="AL220:AL283" si="50">W220*$E$19</f>
        <v>0</v>
      </c>
      <c r="AM220" s="56">
        <f t="shared" si="42"/>
        <v>0</v>
      </c>
      <c r="AN220" s="60">
        <f t="shared" ref="AN220:AN283" si="51">IFERROR(I220*$E$12,0)</f>
        <v>0</v>
      </c>
      <c r="AO220" s="59">
        <f t="shared" ref="AO220:AO283" si="52">IFERROR(VLOOKUP(X220,$H$12:$I$22,2,FALSE),0)</f>
        <v>0</v>
      </c>
      <c r="AP220" s="59">
        <f t="shared" ref="AP220:AP283" si="53">IFERROR(VLOOKUP(Y220,$L$12:$N$19,3,FALSE),0)</f>
        <v>0</v>
      </c>
    </row>
    <row r="221" spans="3:42" s="17" customFormat="1" x14ac:dyDescent="0.25">
      <c r="C221" s="241" t="s">
        <v>213</v>
      </c>
      <c r="D221" s="242"/>
      <c r="E221" s="88"/>
      <c r="F221" s="217"/>
      <c r="G221" s="234"/>
      <c r="H221" s="218"/>
      <c r="I221" s="76"/>
      <c r="J221" s="77"/>
      <c r="K221" s="77"/>
      <c r="L221" s="76"/>
      <c r="M221" s="110"/>
      <c r="N221" s="152"/>
      <c r="O221" s="111" t="str">
        <f>IFERROR(MIN(VLOOKUP(ROUNDDOWN(N221,0),'Aide calcul'!$B$2:$C$282,2,FALSE),M221+1),"")</f>
        <v/>
      </c>
      <c r="P221" s="112" t="str">
        <f t="shared" ref="P221:P284" si="54">IFERROR(TRUNC(O221-0.5),"")</f>
        <v/>
      </c>
      <c r="Q221" s="170"/>
      <c r="R221" s="170"/>
      <c r="S221" s="170"/>
      <c r="T221" s="170"/>
      <c r="U221" s="170"/>
      <c r="V221" s="170"/>
      <c r="W221" s="170"/>
      <c r="X221" s="76"/>
      <c r="Y221" s="76"/>
      <c r="Z221" s="113" t="str">
        <f>IFERROR(ROUND('Informations générales'!$E$66*(AE221/SUM($AE$28:$AE$404))/12,0)*12,"")</f>
        <v/>
      </c>
      <c r="AA221" s="114"/>
      <c r="AB221" s="113" t="str">
        <f t="shared" si="43"/>
        <v/>
      </c>
      <c r="AC221" s="89"/>
      <c r="AD221" s="76"/>
      <c r="AE221" s="56">
        <f t="shared" ref="AE221:AE284" si="55">AM221*(SUM(1,AN221,AO221,AP221))</f>
        <v>0</v>
      </c>
      <c r="AF221" s="56">
        <f t="shared" si="44"/>
        <v>0</v>
      </c>
      <c r="AG221" s="56">
        <f t="shared" si="45"/>
        <v>0</v>
      </c>
      <c r="AH221" s="56">
        <f t="shared" si="46"/>
        <v>0</v>
      </c>
      <c r="AI221" s="56">
        <f t="shared" si="47"/>
        <v>0</v>
      </c>
      <c r="AJ221" s="56">
        <f t="shared" si="48"/>
        <v>0</v>
      </c>
      <c r="AK221" s="56">
        <f t="shared" si="49"/>
        <v>0</v>
      </c>
      <c r="AL221" s="56">
        <f t="shared" si="50"/>
        <v>0</v>
      </c>
      <c r="AM221" s="56">
        <f t="shared" ref="AM221:AM284" si="56">SUM(AF221:AL221)</f>
        <v>0</v>
      </c>
      <c r="AN221" s="60">
        <f t="shared" si="51"/>
        <v>0</v>
      </c>
      <c r="AO221" s="59">
        <f t="shared" si="52"/>
        <v>0</v>
      </c>
      <c r="AP221" s="59">
        <f t="shared" si="53"/>
        <v>0</v>
      </c>
    </row>
    <row r="222" spans="3:42" s="17" customFormat="1" x14ac:dyDescent="0.25">
      <c r="C222" s="241" t="s">
        <v>213</v>
      </c>
      <c r="D222" s="242"/>
      <c r="E222" s="88"/>
      <c r="F222" s="217"/>
      <c r="G222" s="234"/>
      <c r="H222" s="218"/>
      <c r="I222" s="76"/>
      <c r="J222" s="77"/>
      <c r="K222" s="77"/>
      <c r="L222" s="76"/>
      <c r="M222" s="110"/>
      <c r="N222" s="152"/>
      <c r="O222" s="111" t="str">
        <f>IFERROR(MIN(VLOOKUP(ROUNDDOWN(N222,0),'Aide calcul'!$B$2:$C$282,2,FALSE),M222+1),"")</f>
        <v/>
      </c>
      <c r="P222" s="112" t="str">
        <f t="shared" si="54"/>
        <v/>
      </c>
      <c r="Q222" s="170"/>
      <c r="R222" s="170"/>
      <c r="S222" s="170"/>
      <c r="T222" s="170"/>
      <c r="U222" s="170"/>
      <c r="V222" s="170"/>
      <c r="W222" s="170"/>
      <c r="X222" s="76"/>
      <c r="Y222" s="76"/>
      <c r="Z222" s="113" t="str">
        <f>IFERROR(ROUND('Informations générales'!$E$66*(AE222/SUM($AE$28:$AE$404))/12,0)*12,"")</f>
        <v/>
      </c>
      <c r="AA222" s="114"/>
      <c r="AB222" s="113" t="str">
        <f t="shared" si="43"/>
        <v/>
      </c>
      <c r="AC222" s="89"/>
      <c r="AD222" s="76"/>
      <c r="AE222" s="56">
        <f t="shared" si="55"/>
        <v>0</v>
      </c>
      <c r="AF222" s="56">
        <f t="shared" si="44"/>
        <v>0</v>
      </c>
      <c r="AG222" s="56">
        <f t="shared" si="45"/>
        <v>0</v>
      </c>
      <c r="AH222" s="56">
        <f t="shared" si="46"/>
        <v>0</v>
      </c>
      <c r="AI222" s="56">
        <f t="shared" si="47"/>
        <v>0</v>
      </c>
      <c r="AJ222" s="56">
        <f t="shared" si="48"/>
        <v>0</v>
      </c>
      <c r="AK222" s="56">
        <f t="shared" si="49"/>
        <v>0</v>
      </c>
      <c r="AL222" s="56">
        <f t="shared" si="50"/>
        <v>0</v>
      </c>
      <c r="AM222" s="56">
        <f t="shared" si="56"/>
        <v>0</v>
      </c>
      <c r="AN222" s="60">
        <f t="shared" si="51"/>
        <v>0</v>
      </c>
      <c r="AO222" s="59">
        <f t="shared" si="52"/>
        <v>0</v>
      </c>
      <c r="AP222" s="59">
        <f t="shared" si="53"/>
        <v>0</v>
      </c>
    </row>
    <row r="223" spans="3:42" s="17" customFormat="1" x14ac:dyDescent="0.25">
      <c r="C223" s="241" t="s">
        <v>213</v>
      </c>
      <c r="D223" s="242"/>
      <c r="E223" s="88"/>
      <c r="F223" s="217"/>
      <c r="G223" s="234"/>
      <c r="H223" s="218"/>
      <c r="I223" s="76"/>
      <c r="J223" s="77"/>
      <c r="K223" s="77"/>
      <c r="L223" s="76"/>
      <c r="M223" s="110"/>
      <c r="N223" s="152"/>
      <c r="O223" s="111" t="str">
        <f>IFERROR(MIN(VLOOKUP(ROUNDDOWN(N223,0),'Aide calcul'!$B$2:$C$282,2,FALSE),M223+1),"")</f>
        <v/>
      </c>
      <c r="P223" s="112" t="str">
        <f t="shared" si="54"/>
        <v/>
      </c>
      <c r="Q223" s="170"/>
      <c r="R223" s="170"/>
      <c r="S223" s="170"/>
      <c r="T223" s="170"/>
      <c r="U223" s="170"/>
      <c r="V223" s="170"/>
      <c r="W223" s="170"/>
      <c r="X223" s="76"/>
      <c r="Y223" s="76"/>
      <c r="Z223" s="113" t="str">
        <f>IFERROR(ROUND('Informations générales'!$E$66*(AE223/SUM($AE$28:$AE$404))/12,0)*12,"")</f>
        <v/>
      </c>
      <c r="AA223" s="114"/>
      <c r="AB223" s="113" t="str">
        <f t="shared" si="43"/>
        <v/>
      </c>
      <c r="AC223" s="89"/>
      <c r="AD223" s="76"/>
      <c r="AE223" s="56">
        <f t="shared" si="55"/>
        <v>0</v>
      </c>
      <c r="AF223" s="56">
        <f t="shared" si="44"/>
        <v>0</v>
      </c>
      <c r="AG223" s="56">
        <f t="shared" si="45"/>
        <v>0</v>
      </c>
      <c r="AH223" s="56">
        <f t="shared" si="46"/>
        <v>0</v>
      </c>
      <c r="AI223" s="56">
        <f t="shared" si="47"/>
        <v>0</v>
      </c>
      <c r="AJ223" s="56">
        <f t="shared" si="48"/>
        <v>0</v>
      </c>
      <c r="AK223" s="56">
        <f t="shared" si="49"/>
        <v>0</v>
      </c>
      <c r="AL223" s="56">
        <f t="shared" si="50"/>
        <v>0</v>
      </c>
      <c r="AM223" s="56">
        <f t="shared" si="56"/>
        <v>0</v>
      </c>
      <c r="AN223" s="60">
        <f t="shared" si="51"/>
        <v>0</v>
      </c>
      <c r="AO223" s="59">
        <f t="shared" si="52"/>
        <v>0</v>
      </c>
      <c r="AP223" s="59">
        <f t="shared" si="53"/>
        <v>0</v>
      </c>
    </row>
    <row r="224" spans="3:42" s="17" customFormat="1" x14ac:dyDescent="0.25">
      <c r="C224" s="241" t="s">
        <v>213</v>
      </c>
      <c r="D224" s="242"/>
      <c r="E224" s="88"/>
      <c r="F224" s="217"/>
      <c r="G224" s="234"/>
      <c r="H224" s="218"/>
      <c r="I224" s="76"/>
      <c r="J224" s="77"/>
      <c r="K224" s="77"/>
      <c r="L224" s="76"/>
      <c r="M224" s="110"/>
      <c r="N224" s="152"/>
      <c r="O224" s="111" t="str">
        <f>IFERROR(MIN(VLOOKUP(ROUNDDOWN(N224,0),'Aide calcul'!$B$2:$C$282,2,FALSE),M224+1),"")</f>
        <v/>
      </c>
      <c r="P224" s="112" t="str">
        <f t="shared" si="54"/>
        <v/>
      </c>
      <c r="Q224" s="170"/>
      <c r="R224" s="170"/>
      <c r="S224" s="170"/>
      <c r="T224" s="170"/>
      <c r="U224" s="170"/>
      <c r="V224" s="170"/>
      <c r="W224" s="170"/>
      <c r="X224" s="76"/>
      <c r="Y224" s="76"/>
      <c r="Z224" s="113" t="str">
        <f>IFERROR(ROUND('Informations générales'!$E$66*(AE224/SUM($AE$28:$AE$404))/12,0)*12,"")</f>
        <v/>
      </c>
      <c r="AA224" s="114"/>
      <c r="AB224" s="113" t="str">
        <f t="shared" si="43"/>
        <v/>
      </c>
      <c r="AC224" s="89"/>
      <c r="AD224" s="76"/>
      <c r="AE224" s="56">
        <f t="shared" si="55"/>
        <v>0</v>
      </c>
      <c r="AF224" s="56">
        <f t="shared" si="44"/>
        <v>0</v>
      </c>
      <c r="AG224" s="56">
        <f t="shared" si="45"/>
        <v>0</v>
      </c>
      <c r="AH224" s="56">
        <f t="shared" si="46"/>
        <v>0</v>
      </c>
      <c r="AI224" s="56">
        <f t="shared" si="47"/>
        <v>0</v>
      </c>
      <c r="AJ224" s="56">
        <f t="shared" si="48"/>
        <v>0</v>
      </c>
      <c r="AK224" s="56">
        <f t="shared" si="49"/>
        <v>0</v>
      </c>
      <c r="AL224" s="56">
        <f t="shared" si="50"/>
        <v>0</v>
      </c>
      <c r="AM224" s="56">
        <f t="shared" si="56"/>
        <v>0</v>
      </c>
      <c r="AN224" s="60">
        <f t="shared" si="51"/>
        <v>0</v>
      </c>
      <c r="AO224" s="59">
        <f t="shared" si="52"/>
        <v>0</v>
      </c>
      <c r="AP224" s="59">
        <f t="shared" si="53"/>
        <v>0</v>
      </c>
    </row>
    <row r="225" spans="3:42" s="17" customFormat="1" x14ac:dyDescent="0.25">
      <c r="C225" s="241" t="s">
        <v>213</v>
      </c>
      <c r="D225" s="242"/>
      <c r="E225" s="88"/>
      <c r="F225" s="217"/>
      <c r="G225" s="234"/>
      <c r="H225" s="218"/>
      <c r="I225" s="76"/>
      <c r="J225" s="77"/>
      <c r="K225" s="77"/>
      <c r="L225" s="76"/>
      <c r="M225" s="110"/>
      <c r="N225" s="152"/>
      <c r="O225" s="111" t="str">
        <f>IFERROR(MIN(VLOOKUP(ROUNDDOWN(N225,0),'Aide calcul'!$B$2:$C$282,2,FALSE),M225+1),"")</f>
        <v/>
      </c>
      <c r="P225" s="112" t="str">
        <f t="shared" si="54"/>
        <v/>
      </c>
      <c r="Q225" s="170"/>
      <c r="R225" s="170"/>
      <c r="S225" s="170"/>
      <c r="T225" s="170"/>
      <c r="U225" s="170"/>
      <c r="V225" s="170"/>
      <c r="W225" s="170"/>
      <c r="X225" s="76"/>
      <c r="Y225" s="76"/>
      <c r="Z225" s="113" t="str">
        <f>IFERROR(ROUND('Informations générales'!$E$66*(AE225/SUM($AE$28:$AE$404))/12,0)*12,"")</f>
        <v/>
      </c>
      <c r="AA225" s="114"/>
      <c r="AB225" s="113" t="str">
        <f t="shared" si="43"/>
        <v/>
      </c>
      <c r="AC225" s="89"/>
      <c r="AD225" s="76"/>
      <c r="AE225" s="56">
        <f t="shared" si="55"/>
        <v>0</v>
      </c>
      <c r="AF225" s="56">
        <f t="shared" si="44"/>
        <v>0</v>
      </c>
      <c r="AG225" s="56">
        <f t="shared" si="45"/>
        <v>0</v>
      </c>
      <c r="AH225" s="56">
        <f t="shared" si="46"/>
        <v>0</v>
      </c>
      <c r="AI225" s="56">
        <f t="shared" si="47"/>
        <v>0</v>
      </c>
      <c r="AJ225" s="56">
        <f t="shared" si="48"/>
        <v>0</v>
      </c>
      <c r="AK225" s="56">
        <f t="shared" si="49"/>
        <v>0</v>
      </c>
      <c r="AL225" s="56">
        <f t="shared" si="50"/>
        <v>0</v>
      </c>
      <c r="AM225" s="56">
        <f t="shared" si="56"/>
        <v>0</v>
      </c>
      <c r="AN225" s="60">
        <f t="shared" si="51"/>
        <v>0</v>
      </c>
      <c r="AO225" s="59">
        <f t="shared" si="52"/>
        <v>0</v>
      </c>
      <c r="AP225" s="59">
        <f t="shared" si="53"/>
        <v>0</v>
      </c>
    </row>
    <row r="226" spans="3:42" s="17" customFormat="1" x14ac:dyDescent="0.25">
      <c r="C226" s="241" t="s">
        <v>213</v>
      </c>
      <c r="D226" s="242"/>
      <c r="E226" s="88"/>
      <c r="F226" s="217"/>
      <c r="G226" s="234"/>
      <c r="H226" s="218"/>
      <c r="I226" s="76"/>
      <c r="J226" s="77"/>
      <c r="K226" s="77"/>
      <c r="L226" s="76"/>
      <c r="M226" s="110"/>
      <c r="N226" s="152"/>
      <c r="O226" s="111" t="str">
        <f>IFERROR(MIN(VLOOKUP(ROUNDDOWN(N226,0),'Aide calcul'!$B$2:$C$282,2,FALSE),M226+1),"")</f>
        <v/>
      </c>
      <c r="P226" s="112" t="str">
        <f t="shared" si="54"/>
        <v/>
      </c>
      <c r="Q226" s="170"/>
      <c r="R226" s="170"/>
      <c r="S226" s="170"/>
      <c r="T226" s="170"/>
      <c r="U226" s="170"/>
      <c r="V226" s="170"/>
      <c r="W226" s="170"/>
      <c r="X226" s="76"/>
      <c r="Y226" s="76"/>
      <c r="Z226" s="113" t="str">
        <f>IFERROR(ROUND('Informations générales'!$E$66*(AE226/SUM($AE$28:$AE$404))/12,0)*12,"")</f>
        <v/>
      </c>
      <c r="AA226" s="114"/>
      <c r="AB226" s="113" t="str">
        <f t="shared" si="43"/>
        <v/>
      </c>
      <c r="AC226" s="89"/>
      <c r="AD226" s="76"/>
      <c r="AE226" s="56">
        <f t="shared" si="55"/>
        <v>0</v>
      </c>
      <c r="AF226" s="56">
        <f t="shared" si="44"/>
        <v>0</v>
      </c>
      <c r="AG226" s="56">
        <f t="shared" si="45"/>
        <v>0</v>
      </c>
      <c r="AH226" s="56">
        <f t="shared" si="46"/>
        <v>0</v>
      </c>
      <c r="AI226" s="56">
        <f t="shared" si="47"/>
        <v>0</v>
      </c>
      <c r="AJ226" s="56">
        <f t="shared" si="48"/>
        <v>0</v>
      </c>
      <c r="AK226" s="56">
        <f t="shared" si="49"/>
        <v>0</v>
      </c>
      <c r="AL226" s="56">
        <f t="shared" si="50"/>
        <v>0</v>
      </c>
      <c r="AM226" s="56">
        <f t="shared" si="56"/>
        <v>0</v>
      </c>
      <c r="AN226" s="60">
        <f t="shared" si="51"/>
        <v>0</v>
      </c>
      <c r="AO226" s="59">
        <f t="shared" si="52"/>
        <v>0</v>
      </c>
      <c r="AP226" s="59">
        <f t="shared" si="53"/>
        <v>0</v>
      </c>
    </row>
    <row r="227" spans="3:42" s="17" customFormat="1" x14ac:dyDescent="0.25">
      <c r="C227" s="241" t="s">
        <v>213</v>
      </c>
      <c r="D227" s="242"/>
      <c r="E227" s="88"/>
      <c r="F227" s="217"/>
      <c r="G227" s="234"/>
      <c r="H227" s="218"/>
      <c r="I227" s="76"/>
      <c r="J227" s="77"/>
      <c r="K227" s="77"/>
      <c r="L227" s="76"/>
      <c r="M227" s="110"/>
      <c r="N227" s="152"/>
      <c r="O227" s="111" t="str">
        <f>IFERROR(MIN(VLOOKUP(ROUNDDOWN(N227,0),'Aide calcul'!$B$2:$C$282,2,FALSE),M227+1),"")</f>
        <v/>
      </c>
      <c r="P227" s="112" t="str">
        <f t="shared" si="54"/>
        <v/>
      </c>
      <c r="Q227" s="170"/>
      <c r="R227" s="170"/>
      <c r="S227" s="170"/>
      <c r="T227" s="170"/>
      <c r="U227" s="170"/>
      <c r="V227" s="170"/>
      <c r="W227" s="170"/>
      <c r="X227" s="76"/>
      <c r="Y227" s="76"/>
      <c r="Z227" s="113" t="str">
        <f>IFERROR(ROUND('Informations générales'!$E$66*(AE227/SUM($AE$28:$AE$404))/12,0)*12,"")</f>
        <v/>
      </c>
      <c r="AA227" s="114"/>
      <c r="AB227" s="113" t="str">
        <f t="shared" si="43"/>
        <v/>
      </c>
      <c r="AC227" s="89"/>
      <c r="AD227" s="76"/>
      <c r="AE227" s="56">
        <f t="shared" si="55"/>
        <v>0</v>
      </c>
      <c r="AF227" s="56">
        <f t="shared" si="44"/>
        <v>0</v>
      </c>
      <c r="AG227" s="56">
        <f t="shared" si="45"/>
        <v>0</v>
      </c>
      <c r="AH227" s="56">
        <f t="shared" si="46"/>
        <v>0</v>
      </c>
      <c r="AI227" s="56">
        <f t="shared" si="47"/>
        <v>0</v>
      </c>
      <c r="AJ227" s="56">
        <f t="shared" si="48"/>
        <v>0</v>
      </c>
      <c r="AK227" s="56">
        <f t="shared" si="49"/>
        <v>0</v>
      </c>
      <c r="AL227" s="56">
        <f t="shared" si="50"/>
        <v>0</v>
      </c>
      <c r="AM227" s="56">
        <f t="shared" si="56"/>
        <v>0</v>
      </c>
      <c r="AN227" s="60">
        <f t="shared" si="51"/>
        <v>0</v>
      </c>
      <c r="AO227" s="59">
        <f t="shared" si="52"/>
        <v>0</v>
      </c>
      <c r="AP227" s="59">
        <f t="shared" si="53"/>
        <v>0</v>
      </c>
    </row>
    <row r="228" spans="3:42" s="17" customFormat="1" x14ac:dyDescent="0.25">
      <c r="C228" s="241" t="s">
        <v>213</v>
      </c>
      <c r="D228" s="242"/>
      <c r="E228" s="88"/>
      <c r="F228" s="217"/>
      <c r="G228" s="234"/>
      <c r="H228" s="218"/>
      <c r="I228" s="76"/>
      <c r="J228" s="77"/>
      <c r="K228" s="77"/>
      <c r="L228" s="76"/>
      <c r="M228" s="110"/>
      <c r="N228" s="152"/>
      <c r="O228" s="111" t="str">
        <f>IFERROR(MIN(VLOOKUP(ROUNDDOWN(N228,0),'Aide calcul'!$B$2:$C$282,2,FALSE),M228+1),"")</f>
        <v/>
      </c>
      <c r="P228" s="112" t="str">
        <f t="shared" si="54"/>
        <v/>
      </c>
      <c r="Q228" s="170"/>
      <c r="R228" s="170"/>
      <c r="S228" s="170"/>
      <c r="T228" s="170"/>
      <c r="U228" s="170"/>
      <c r="V228" s="170"/>
      <c r="W228" s="170"/>
      <c r="X228" s="76"/>
      <c r="Y228" s="76"/>
      <c r="Z228" s="113" t="str">
        <f>IFERROR(ROUND('Informations générales'!$E$66*(AE228/SUM($AE$28:$AE$404))/12,0)*12,"")</f>
        <v/>
      </c>
      <c r="AA228" s="114"/>
      <c r="AB228" s="113" t="str">
        <f t="shared" si="43"/>
        <v/>
      </c>
      <c r="AC228" s="89"/>
      <c r="AD228" s="76"/>
      <c r="AE228" s="56">
        <f t="shared" si="55"/>
        <v>0</v>
      </c>
      <c r="AF228" s="56">
        <f t="shared" si="44"/>
        <v>0</v>
      </c>
      <c r="AG228" s="56">
        <f t="shared" si="45"/>
        <v>0</v>
      </c>
      <c r="AH228" s="56">
        <f t="shared" si="46"/>
        <v>0</v>
      </c>
      <c r="AI228" s="56">
        <f t="shared" si="47"/>
        <v>0</v>
      </c>
      <c r="AJ228" s="56">
        <f t="shared" si="48"/>
        <v>0</v>
      </c>
      <c r="AK228" s="56">
        <f t="shared" si="49"/>
        <v>0</v>
      </c>
      <c r="AL228" s="56">
        <f t="shared" si="50"/>
        <v>0</v>
      </c>
      <c r="AM228" s="56">
        <f t="shared" si="56"/>
        <v>0</v>
      </c>
      <c r="AN228" s="60">
        <f t="shared" si="51"/>
        <v>0</v>
      </c>
      <c r="AO228" s="59">
        <f t="shared" si="52"/>
        <v>0</v>
      </c>
      <c r="AP228" s="59">
        <f t="shared" si="53"/>
        <v>0</v>
      </c>
    </row>
    <row r="229" spans="3:42" s="17" customFormat="1" x14ac:dyDescent="0.25">
      <c r="C229" s="241" t="s">
        <v>213</v>
      </c>
      <c r="D229" s="242"/>
      <c r="E229" s="88"/>
      <c r="F229" s="217"/>
      <c r="G229" s="234"/>
      <c r="H229" s="218"/>
      <c r="I229" s="76"/>
      <c r="J229" s="77"/>
      <c r="K229" s="77"/>
      <c r="L229" s="76"/>
      <c r="M229" s="110"/>
      <c r="N229" s="152"/>
      <c r="O229" s="111" t="str">
        <f>IFERROR(MIN(VLOOKUP(ROUNDDOWN(N229,0),'Aide calcul'!$B$2:$C$282,2,FALSE),M229+1),"")</f>
        <v/>
      </c>
      <c r="P229" s="112" t="str">
        <f t="shared" si="54"/>
        <v/>
      </c>
      <c r="Q229" s="170"/>
      <c r="R229" s="170"/>
      <c r="S229" s="170"/>
      <c r="T229" s="170"/>
      <c r="U229" s="170"/>
      <c r="V229" s="170"/>
      <c r="W229" s="170"/>
      <c r="X229" s="76"/>
      <c r="Y229" s="76"/>
      <c r="Z229" s="113" t="str">
        <f>IFERROR(ROUND('Informations générales'!$E$66*(AE229/SUM($AE$28:$AE$404))/12,0)*12,"")</f>
        <v/>
      </c>
      <c r="AA229" s="114"/>
      <c r="AB229" s="113" t="str">
        <f t="shared" si="43"/>
        <v/>
      </c>
      <c r="AC229" s="89"/>
      <c r="AD229" s="76"/>
      <c r="AE229" s="56">
        <f t="shared" si="55"/>
        <v>0</v>
      </c>
      <c r="AF229" s="56">
        <f t="shared" si="44"/>
        <v>0</v>
      </c>
      <c r="AG229" s="56">
        <f t="shared" si="45"/>
        <v>0</v>
      </c>
      <c r="AH229" s="56">
        <f t="shared" si="46"/>
        <v>0</v>
      </c>
      <c r="AI229" s="56">
        <f t="shared" si="47"/>
        <v>0</v>
      </c>
      <c r="AJ229" s="56">
        <f t="shared" si="48"/>
        <v>0</v>
      </c>
      <c r="AK229" s="56">
        <f t="shared" si="49"/>
        <v>0</v>
      </c>
      <c r="AL229" s="56">
        <f t="shared" si="50"/>
        <v>0</v>
      </c>
      <c r="AM229" s="56">
        <f t="shared" si="56"/>
        <v>0</v>
      </c>
      <c r="AN229" s="60">
        <f t="shared" si="51"/>
        <v>0</v>
      </c>
      <c r="AO229" s="59">
        <f t="shared" si="52"/>
        <v>0</v>
      </c>
      <c r="AP229" s="59">
        <f t="shared" si="53"/>
        <v>0</v>
      </c>
    </row>
    <row r="230" spans="3:42" s="17" customFormat="1" x14ac:dyDescent="0.25">
      <c r="C230" s="241" t="s">
        <v>213</v>
      </c>
      <c r="D230" s="242"/>
      <c r="E230" s="88"/>
      <c r="F230" s="217"/>
      <c r="G230" s="234"/>
      <c r="H230" s="218"/>
      <c r="I230" s="76"/>
      <c r="J230" s="77"/>
      <c r="K230" s="77"/>
      <c r="L230" s="76"/>
      <c r="M230" s="110"/>
      <c r="N230" s="152"/>
      <c r="O230" s="111" t="str">
        <f>IFERROR(MIN(VLOOKUP(ROUNDDOWN(N230,0),'Aide calcul'!$B$2:$C$282,2,FALSE),M230+1),"")</f>
        <v/>
      </c>
      <c r="P230" s="112" t="str">
        <f t="shared" si="54"/>
        <v/>
      </c>
      <c r="Q230" s="170"/>
      <c r="R230" s="170"/>
      <c r="S230" s="170"/>
      <c r="T230" s="170"/>
      <c r="U230" s="170"/>
      <c r="V230" s="170"/>
      <c r="W230" s="170"/>
      <c r="X230" s="76"/>
      <c r="Y230" s="76"/>
      <c r="Z230" s="113" t="str">
        <f>IFERROR(ROUND('Informations générales'!$E$66*(AE230/SUM($AE$28:$AE$404))/12,0)*12,"")</f>
        <v/>
      </c>
      <c r="AA230" s="114"/>
      <c r="AB230" s="113" t="str">
        <f t="shared" si="43"/>
        <v/>
      </c>
      <c r="AC230" s="89"/>
      <c r="AD230" s="76"/>
      <c r="AE230" s="56">
        <f t="shared" si="55"/>
        <v>0</v>
      </c>
      <c r="AF230" s="56">
        <f t="shared" si="44"/>
        <v>0</v>
      </c>
      <c r="AG230" s="56">
        <f t="shared" si="45"/>
        <v>0</v>
      </c>
      <c r="AH230" s="56">
        <f t="shared" si="46"/>
        <v>0</v>
      </c>
      <c r="AI230" s="56">
        <f t="shared" si="47"/>
        <v>0</v>
      </c>
      <c r="AJ230" s="56">
        <f t="shared" si="48"/>
        <v>0</v>
      </c>
      <c r="AK230" s="56">
        <f t="shared" si="49"/>
        <v>0</v>
      </c>
      <c r="AL230" s="56">
        <f t="shared" si="50"/>
        <v>0</v>
      </c>
      <c r="AM230" s="56">
        <f t="shared" si="56"/>
        <v>0</v>
      </c>
      <c r="AN230" s="60">
        <f t="shared" si="51"/>
        <v>0</v>
      </c>
      <c r="AO230" s="59">
        <f t="shared" si="52"/>
        <v>0</v>
      </c>
      <c r="AP230" s="59">
        <f t="shared" si="53"/>
        <v>0</v>
      </c>
    </row>
    <row r="231" spans="3:42" s="17" customFormat="1" x14ac:dyDescent="0.25">
      <c r="C231" s="241" t="s">
        <v>213</v>
      </c>
      <c r="D231" s="242"/>
      <c r="E231" s="88"/>
      <c r="F231" s="217"/>
      <c r="G231" s="234"/>
      <c r="H231" s="218"/>
      <c r="I231" s="76"/>
      <c r="J231" s="77"/>
      <c r="K231" s="77"/>
      <c r="L231" s="76"/>
      <c r="M231" s="110"/>
      <c r="N231" s="152"/>
      <c r="O231" s="111" t="str">
        <f>IFERROR(MIN(VLOOKUP(ROUNDDOWN(N231,0),'Aide calcul'!$B$2:$C$282,2,FALSE),M231+1),"")</f>
        <v/>
      </c>
      <c r="P231" s="112" t="str">
        <f t="shared" si="54"/>
        <v/>
      </c>
      <c r="Q231" s="170"/>
      <c r="R231" s="170"/>
      <c r="S231" s="170"/>
      <c r="T231" s="170"/>
      <c r="U231" s="170"/>
      <c r="V231" s="170"/>
      <c r="W231" s="170"/>
      <c r="X231" s="76"/>
      <c r="Y231" s="76"/>
      <c r="Z231" s="113" t="str">
        <f>IFERROR(ROUND('Informations générales'!$E$66*(AE231/SUM($AE$28:$AE$404))/12,0)*12,"")</f>
        <v/>
      </c>
      <c r="AA231" s="114"/>
      <c r="AB231" s="113" t="str">
        <f t="shared" si="43"/>
        <v/>
      </c>
      <c r="AC231" s="89"/>
      <c r="AD231" s="76"/>
      <c r="AE231" s="56">
        <f t="shared" si="55"/>
        <v>0</v>
      </c>
      <c r="AF231" s="56">
        <f t="shared" si="44"/>
        <v>0</v>
      </c>
      <c r="AG231" s="56">
        <f t="shared" si="45"/>
        <v>0</v>
      </c>
      <c r="AH231" s="56">
        <f t="shared" si="46"/>
        <v>0</v>
      </c>
      <c r="AI231" s="56">
        <f t="shared" si="47"/>
        <v>0</v>
      </c>
      <c r="AJ231" s="56">
        <f t="shared" si="48"/>
        <v>0</v>
      </c>
      <c r="AK231" s="56">
        <f t="shared" si="49"/>
        <v>0</v>
      </c>
      <c r="AL231" s="56">
        <f t="shared" si="50"/>
        <v>0</v>
      </c>
      <c r="AM231" s="56">
        <f t="shared" si="56"/>
        <v>0</v>
      </c>
      <c r="AN231" s="60">
        <f t="shared" si="51"/>
        <v>0</v>
      </c>
      <c r="AO231" s="59">
        <f t="shared" si="52"/>
        <v>0</v>
      </c>
      <c r="AP231" s="59">
        <f t="shared" si="53"/>
        <v>0</v>
      </c>
    </row>
    <row r="232" spans="3:42" s="17" customFormat="1" x14ac:dyDescent="0.25">
      <c r="C232" s="241" t="s">
        <v>213</v>
      </c>
      <c r="D232" s="242"/>
      <c r="E232" s="88"/>
      <c r="F232" s="217"/>
      <c r="G232" s="234"/>
      <c r="H232" s="218"/>
      <c r="I232" s="76"/>
      <c r="J232" s="77"/>
      <c r="K232" s="77"/>
      <c r="L232" s="76"/>
      <c r="M232" s="110"/>
      <c r="N232" s="152"/>
      <c r="O232" s="111" t="str">
        <f>IFERROR(MIN(VLOOKUP(ROUNDDOWN(N232,0),'Aide calcul'!$B$2:$C$282,2,FALSE),M232+1),"")</f>
        <v/>
      </c>
      <c r="P232" s="112" t="str">
        <f t="shared" si="54"/>
        <v/>
      </c>
      <c r="Q232" s="170"/>
      <c r="R232" s="170"/>
      <c r="S232" s="170"/>
      <c r="T232" s="170"/>
      <c r="U232" s="170"/>
      <c r="V232" s="170"/>
      <c r="W232" s="170"/>
      <c r="X232" s="76"/>
      <c r="Y232" s="76"/>
      <c r="Z232" s="113" t="str">
        <f>IFERROR(ROUND('Informations générales'!$E$66*(AE232/SUM($AE$28:$AE$404))/12,0)*12,"")</f>
        <v/>
      </c>
      <c r="AA232" s="114"/>
      <c r="AB232" s="113" t="str">
        <f t="shared" si="43"/>
        <v/>
      </c>
      <c r="AC232" s="89"/>
      <c r="AD232" s="76"/>
      <c r="AE232" s="56">
        <f t="shared" si="55"/>
        <v>0</v>
      </c>
      <c r="AF232" s="56">
        <f t="shared" si="44"/>
        <v>0</v>
      </c>
      <c r="AG232" s="56">
        <f t="shared" si="45"/>
        <v>0</v>
      </c>
      <c r="AH232" s="56">
        <f t="shared" si="46"/>
        <v>0</v>
      </c>
      <c r="AI232" s="56">
        <f t="shared" si="47"/>
        <v>0</v>
      </c>
      <c r="AJ232" s="56">
        <f t="shared" si="48"/>
        <v>0</v>
      </c>
      <c r="AK232" s="56">
        <f t="shared" si="49"/>
        <v>0</v>
      </c>
      <c r="AL232" s="56">
        <f t="shared" si="50"/>
        <v>0</v>
      </c>
      <c r="AM232" s="56">
        <f t="shared" si="56"/>
        <v>0</v>
      </c>
      <c r="AN232" s="60">
        <f t="shared" si="51"/>
        <v>0</v>
      </c>
      <c r="AO232" s="59">
        <f t="shared" si="52"/>
        <v>0</v>
      </c>
      <c r="AP232" s="59">
        <f t="shared" si="53"/>
        <v>0</v>
      </c>
    </row>
    <row r="233" spans="3:42" s="17" customFormat="1" x14ac:dyDescent="0.25">
      <c r="C233" s="241" t="s">
        <v>213</v>
      </c>
      <c r="D233" s="242"/>
      <c r="E233" s="88"/>
      <c r="F233" s="217"/>
      <c r="G233" s="234"/>
      <c r="H233" s="218"/>
      <c r="I233" s="76"/>
      <c r="J233" s="77"/>
      <c r="K233" s="77"/>
      <c r="L233" s="76"/>
      <c r="M233" s="110"/>
      <c r="N233" s="152"/>
      <c r="O233" s="111" t="str">
        <f>IFERROR(MIN(VLOOKUP(ROUNDDOWN(N233,0),'Aide calcul'!$B$2:$C$282,2,FALSE),M233+1),"")</f>
        <v/>
      </c>
      <c r="P233" s="112" t="str">
        <f t="shared" si="54"/>
        <v/>
      </c>
      <c r="Q233" s="170"/>
      <c r="R233" s="170"/>
      <c r="S233" s="170"/>
      <c r="T233" s="170"/>
      <c r="U233" s="170"/>
      <c r="V233" s="170"/>
      <c r="W233" s="170"/>
      <c r="X233" s="76"/>
      <c r="Y233" s="76"/>
      <c r="Z233" s="113" t="str">
        <f>IFERROR(ROUND('Informations générales'!$E$66*(AE233/SUM($AE$28:$AE$404))/12,0)*12,"")</f>
        <v/>
      </c>
      <c r="AA233" s="114"/>
      <c r="AB233" s="113" t="str">
        <f t="shared" si="43"/>
        <v/>
      </c>
      <c r="AC233" s="89"/>
      <c r="AD233" s="76"/>
      <c r="AE233" s="56">
        <f t="shared" si="55"/>
        <v>0</v>
      </c>
      <c r="AF233" s="56">
        <f t="shared" si="44"/>
        <v>0</v>
      </c>
      <c r="AG233" s="56">
        <f t="shared" si="45"/>
        <v>0</v>
      </c>
      <c r="AH233" s="56">
        <f t="shared" si="46"/>
        <v>0</v>
      </c>
      <c r="AI233" s="56">
        <f t="shared" si="47"/>
        <v>0</v>
      </c>
      <c r="AJ233" s="56">
        <f t="shared" si="48"/>
        <v>0</v>
      </c>
      <c r="AK233" s="56">
        <f t="shared" si="49"/>
        <v>0</v>
      </c>
      <c r="AL233" s="56">
        <f t="shared" si="50"/>
        <v>0</v>
      </c>
      <c r="AM233" s="56">
        <f t="shared" si="56"/>
        <v>0</v>
      </c>
      <c r="AN233" s="60">
        <f t="shared" si="51"/>
        <v>0</v>
      </c>
      <c r="AO233" s="59">
        <f t="shared" si="52"/>
        <v>0</v>
      </c>
      <c r="AP233" s="59">
        <f t="shared" si="53"/>
        <v>0</v>
      </c>
    </row>
    <row r="234" spans="3:42" s="17" customFormat="1" x14ac:dyDescent="0.25">
      <c r="C234" s="241" t="s">
        <v>213</v>
      </c>
      <c r="D234" s="242"/>
      <c r="E234" s="88"/>
      <c r="F234" s="217"/>
      <c r="G234" s="234"/>
      <c r="H234" s="218"/>
      <c r="I234" s="76"/>
      <c r="J234" s="77"/>
      <c r="K234" s="77"/>
      <c r="L234" s="76"/>
      <c r="M234" s="110"/>
      <c r="N234" s="152"/>
      <c r="O234" s="111" t="str">
        <f>IFERROR(MIN(VLOOKUP(ROUNDDOWN(N234,0),'Aide calcul'!$B$2:$C$282,2,FALSE),M234+1),"")</f>
        <v/>
      </c>
      <c r="P234" s="112" t="str">
        <f t="shared" si="54"/>
        <v/>
      </c>
      <c r="Q234" s="170"/>
      <c r="R234" s="170"/>
      <c r="S234" s="170"/>
      <c r="T234" s="170"/>
      <c r="U234" s="170"/>
      <c r="V234" s="170"/>
      <c r="W234" s="170"/>
      <c r="X234" s="76"/>
      <c r="Y234" s="76"/>
      <c r="Z234" s="113" t="str">
        <f>IFERROR(ROUND('Informations générales'!$E$66*(AE234/SUM($AE$28:$AE$404))/12,0)*12,"")</f>
        <v/>
      </c>
      <c r="AA234" s="114"/>
      <c r="AB234" s="113" t="str">
        <f t="shared" si="43"/>
        <v/>
      </c>
      <c r="AC234" s="89"/>
      <c r="AD234" s="76"/>
      <c r="AE234" s="56">
        <f t="shared" si="55"/>
        <v>0</v>
      </c>
      <c r="AF234" s="56">
        <f t="shared" si="44"/>
        <v>0</v>
      </c>
      <c r="AG234" s="56">
        <f t="shared" si="45"/>
        <v>0</v>
      </c>
      <c r="AH234" s="56">
        <f t="shared" si="46"/>
        <v>0</v>
      </c>
      <c r="AI234" s="56">
        <f t="shared" si="47"/>
        <v>0</v>
      </c>
      <c r="AJ234" s="56">
        <f t="shared" si="48"/>
        <v>0</v>
      </c>
      <c r="AK234" s="56">
        <f t="shared" si="49"/>
        <v>0</v>
      </c>
      <c r="AL234" s="56">
        <f t="shared" si="50"/>
        <v>0</v>
      </c>
      <c r="AM234" s="56">
        <f t="shared" si="56"/>
        <v>0</v>
      </c>
      <c r="AN234" s="60">
        <f t="shared" si="51"/>
        <v>0</v>
      </c>
      <c r="AO234" s="59">
        <f t="shared" si="52"/>
        <v>0</v>
      </c>
      <c r="AP234" s="59">
        <f t="shared" si="53"/>
        <v>0</v>
      </c>
    </row>
    <row r="235" spans="3:42" s="17" customFormat="1" x14ac:dyDescent="0.25">
      <c r="C235" s="241" t="s">
        <v>213</v>
      </c>
      <c r="D235" s="242"/>
      <c r="E235" s="88"/>
      <c r="F235" s="217"/>
      <c r="G235" s="234"/>
      <c r="H235" s="218"/>
      <c r="I235" s="76"/>
      <c r="J235" s="77"/>
      <c r="K235" s="77"/>
      <c r="L235" s="76"/>
      <c r="M235" s="110"/>
      <c r="N235" s="152"/>
      <c r="O235" s="111" t="str">
        <f>IFERROR(MIN(VLOOKUP(ROUNDDOWN(N235,0),'Aide calcul'!$B$2:$C$282,2,FALSE),M235+1),"")</f>
        <v/>
      </c>
      <c r="P235" s="112" t="str">
        <f t="shared" si="54"/>
        <v/>
      </c>
      <c r="Q235" s="170"/>
      <c r="R235" s="170"/>
      <c r="S235" s="170"/>
      <c r="T235" s="170"/>
      <c r="U235" s="170"/>
      <c r="V235" s="170"/>
      <c r="W235" s="170"/>
      <c r="X235" s="76"/>
      <c r="Y235" s="76"/>
      <c r="Z235" s="113" t="str">
        <f>IFERROR(ROUND('Informations générales'!$E$66*(AE235/SUM($AE$28:$AE$404))/12,0)*12,"")</f>
        <v/>
      </c>
      <c r="AA235" s="114"/>
      <c r="AB235" s="113" t="str">
        <f t="shared" si="43"/>
        <v/>
      </c>
      <c r="AC235" s="89"/>
      <c r="AD235" s="76"/>
      <c r="AE235" s="56">
        <f t="shared" si="55"/>
        <v>0</v>
      </c>
      <c r="AF235" s="56">
        <f t="shared" si="44"/>
        <v>0</v>
      </c>
      <c r="AG235" s="56">
        <f t="shared" si="45"/>
        <v>0</v>
      </c>
      <c r="AH235" s="56">
        <f t="shared" si="46"/>
        <v>0</v>
      </c>
      <c r="AI235" s="56">
        <f t="shared" si="47"/>
        <v>0</v>
      </c>
      <c r="AJ235" s="56">
        <f t="shared" si="48"/>
        <v>0</v>
      </c>
      <c r="AK235" s="56">
        <f t="shared" si="49"/>
        <v>0</v>
      </c>
      <c r="AL235" s="56">
        <f t="shared" si="50"/>
        <v>0</v>
      </c>
      <c r="AM235" s="56">
        <f t="shared" si="56"/>
        <v>0</v>
      </c>
      <c r="AN235" s="60">
        <f t="shared" si="51"/>
        <v>0</v>
      </c>
      <c r="AO235" s="59">
        <f t="shared" si="52"/>
        <v>0</v>
      </c>
      <c r="AP235" s="59">
        <f t="shared" si="53"/>
        <v>0</v>
      </c>
    </row>
    <row r="236" spans="3:42" s="17" customFormat="1" x14ac:dyDescent="0.25">
      <c r="C236" s="241" t="s">
        <v>213</v>
      </c>
      <c r="D236" s="242"/>
      <c r="E236" s="88"/>
      <c r="F236" s="217"/>
      <c r="G236" s="234"/>
      <c r="H236" s="218"/>
      <c r="I236" s="76"/>
      <c r="J236" s="77"/>
      <c r="K236" s="77"/>
      <c r="L236" s="76"/>
      <c r="M236" s="110"/>
      <c r="N236" s="152"/>
      <c r="O236" s="111" t="str">
        <f>IFERROR(MIN(VLOOKUP(ROUNDDOWN(N236,0),'Aide calcul'!$B$2:$C$282,2,FALSE),M236+1),"")</f>
        <v/>
      </c>
      <c r="P236" s="112" t="str">
        <f t="shared" si="54"/>
        <v/>
      </c>
      <c r="Q236" s="170"/>
      <c r="R236" s="170"/>
      <c r="S236" s="170"/>
      <c r="T236" s="170"/>
      <c r="U236" s="170"/>
      <c r="V236" s="170"/>
      <c r="W236" s="170"/>
      <c r="X236" s="76"/>
      <c r="Y236" s="76"/>
      <c r="Z236" s="113" t="str">
        <f>IFERROR(ROUND('Informations générales'!$E$66*(AE236/SUM($AE$28:$AE$404))/12,0)*12,"")</f>
        <v/>
      </c>
      <c r="AA236" s="114"/>
      <c r="AB236" s="113" t="str">
        <f t="shared" si="43"/>
        <v/>
      </c>
      <c r="AC236" s="89"/>
      <c r="AD236" s="76"/>
      <c r="AE236" s="56">
        <f t="shared" si="55"/>
        <v>0</v>
      </c>
      <c r="AF236" s="56">
        <f t="shared" si="44"/>
        <v>0</v>
      </c>
      <c r="AG236" s="56">
        <f t="shared" si="45"/>
        <v>0</v>
      </c>
      <c r="AH236" s="56">
        <f t="shared" si="46"/>
        <v>0</v>
      </c>
      <c r="AI236" s="56">
        <f t="shared" si="47"/>
        <v>0</v>
      </c>
      <c r="AJ236" s="56">
        <f t="shared" si="48"/>
        <v>0</v>
      </c>
      <c r="AK236" s="56">
        <f t="shared" si="49"/>
        <v>0</v>
      </c>
      <c r="AL236" s="56">
        <f t="shared" si="50"/>
        <v>0</v>
      </c>
      <c r="AM236" s="56">
        <f t="shared" si="56"/>
        <v>0</v>
      </c>
      <c r="AN236" s="60">
        <f t="shared" si="51"/>
        <v>0</v>
      </c>
      <c r="AO236" s="59">
        <f t="shared" si="52"/>
        <v>0</v>
      </c>
      <c r="AP236" s="59">
        <f t="shared" si="53"/>
        <v>0</v>
      </c>
    </row>
    <row r="237" spans="3:42" s="17" customFormat="1" x14ac:dyDescent="0.25">
      <c r="C237" s="241" t="s">
        <v>213</v>
      </c>
      <c r="D237" s="242"/>
      <c r="E237" s="88"/>
      <c r="F237" s="217"/>
      <c r="G237" s="234"/>
      <c r="H237" s="218"/>
      <c r="I237" s="76"/>
      <c r="J237" s="77"/>
      <c r="K237" s="77"/>
      <c r="L237" s="76"/>
      <c r="M237" s="110"/>
      <c r="N237" s="152"/>
      <c r="O237" s="111" t="str">
        <f>IFERROR(MIN(VLOOKUP(ROUNDDOWN(N237,0),'Aide calcul'!$B$2:$C$282,2,FALSE),M237+1),"")</f>
        <v/>
      </c>
      <c r="P237" s="112" t="str">
        <f t="shared" si="54"/>
        <v/>
      </c>
      <c r="Q237" s="170"/>
      <c r="R237" s="170"/>
      <c r="S237" s="170"/>
      <c r="T237" s="170"/>
      <c r="U237" s="170"/>
      <c r="V237" s="170"/>
      <c r="W237" s="170"/>
      <c r="X237" s="76"/>
      <c r="Y237" s="76"/>
      <c r="Z237" s="113" t="str">
        <f>IFERROR(ROUND('Informations générales'!$E$66*(AE237/SUM($AE$28:$AE$404))/12,0)*12,"")</f>
        <v/>
      </c>
      <c r="AA237" s="114"/>
      <c r="AB237" s="113" t="str">
        <f t="shared" si="43"/>
        <v/>
      </c>
      <c r="AC237" s="89"/>
      <c r="AD237" s="76"/>
      <c r="AE237" s="56">
        <f t="shared" si="55"/>
        <v>0</v>
      </c>
      <c r="AF237" s="56">
        <f t="shared" si="44"/>
        <v>0</v>
      </c>
      <c r="AG237" s="56">
        <f t="shared" si="45"/>
        <v>0</v>
      </c>
      <c r="AH237" s="56">
        <f t="shared" si="46"/>
        <v>0</v>
      </c>
      <c r="AI237" s="56">
        <f t="shared" si="47"/>
        <v>0</v>
      </c>
      <c r="AJ237" s="56">
        <f t="shared" si="48"/>
        <v>0</v>
      </c>
      <c r="AK237" s="56">
        <f t="shared" si="49"/>
        <v>0</v>
      </c>
      <c r="AL237" s="56">
        <f t="shared" si="50"/>
        <v>0</v>
      </c>
      <c r="AM237" s="56">
        <f t="shared" si="56"/>
        <v>0</v>
      </c>
      <c r="AN237" s="60">
        <f t="shared" si="51"/>
        <v>0</v>
      </c>
      <c r="AO237" s="59">
        <f t="shared" si="52"/>
        <v>0</v>
      </c>
      <c r="AP237" s="59">
        <f t="shared" si="53"/>
        <v>0</v>
      </c>
    </row>
    <row r="238" spans="3:42" s="17" customFormat="1" x14ac:dyDescent="0.25">
      <c r="C238" s="241" t="s">
        <v>213</v>
      </c>
      <c r="D238" s="242"/>
      <c r="E238" s="88"/>
      <c r="F238" s="217"/>
      <c r="G238" s="234"/>
      <c r="H238" s="218"/>
      <c r="I238" s="76"/>
      <c r="J238" s="77"/>
      <c r="K238" s="77"/>
      <c r="L238" s="76"/>
      <c r="M238" s="110"/>
      <c r="N238" s="152"/>
      <c r="O238" s="111" t="str">
        <f>IFERROR(MIN(VLOOKUP(ROUNDDOWN(N238,0),'Aide calcul'!$B$2:$C$282,2,FALSE),M238+1),"")</f>
        <v/>
      </c>
      <c r="P238" s="112" t="str">
        <f t="shared" si="54"/>
        <v/>
      </c>
      <c r="Q238" s="170"/>
      <c r="R238" s="170"/>
      <c r="S238" s="170"/>
      <c r="T238" s="170"/>
      <c r="U238" s="170"/>
      <c r="V238" s="170"/>
      <c r="W238" s="170"/>
      <c r="X238" s="76"/>
      <c r="Y238" s="76"/>
      <c r="Z238" s="113" t="str">
        <f>IFERROR(ROUND('Informations générales'!$E$66*(AE238/SUM($AE$28:$AE$404))/12,0)*12,"")</f>
        <v/>
      </c>
      <c r="AA238" s="114"/>
      <c r="AB238" s="113" t="str">
        <f t="shared" si="43"/>
        <v/>
      </c>
      <c r="AC238" s="89"/>
      <c r="AD238" s="76"/>
      <c r="AE238" s="56">
        <f t="shared" si="55"/>
        <v>0</v>
      </c>
      <c r="AF238" s="56">
        <f t="shared" si="44"/>
        <v>0</v>
      </c>
      <c r="AG238" s="56">
        <f t="shared" si="45"/>
        <v>0</v>
      </c>
      <c r="AH238" s="56">
        <f t="shared" si="46"/>
        <v>0</v>
      </c>
      <c r="AI238" s="56">
        <f t="shared" si="47"/>
        <v>0</v>
      </c>
      <c r="AJ238" s="56">
        <f t="shared" si="48"/>
        <v>0</v>
      </c>
      <c r="AK238" s="56">
        <f t="shared" si="49"/>
        <v>0</v>
      </c>
      <c r="AL238" s="56">
        <f t="shared" si="50"/>
        <v>0</v>
      </c>
      <c r="AM238" s="56">
        <f t="shared" si="56"/>
        <v>0</v>
      </c>
      <c r="AN238" s="60">
        <f t="shared" si="51"/>
        <v>0</v>
      </c>
      <c r="AO238" s="59">
        <f t="shared" si="52"/>
        <v>0</v>
      </c>
      <c r="AP238" s="59">
        <f t="shared" si="53"/>
        <v>0</v>
      </c>
    </row>
    <row r="239" spans="3:42" s="17" customFormat="1" x14ac:dyDescent="0.25">
      <c r="C239" s="241" t="s">
        <v>213</v>
      </c>
      <c r="D239" s="242"/>
      <c r="E239" s="88"/>
      <c r="F239" s="217"/>
      <c r="G239" s="234"/>
      <c r="H239" s="218"/>
      <c r="I239" s="76"/>
      <c r="J239" s="77"/>
      <c r="K239" s="77"/>
      <c r="L239" s="76"/>
      <c r="M239" s="110"/>
      <c r="N239" s="152"/>
      <c r="O239" s="111" t="str">
        <f>IFERROR(MIN(VLOOKUP(ROUNDDOWN(N239,0),'Aide calcul'!$B$2:$C$282,2,FALSE),M239+1),"")</f>
        <v/>
      </c>
      <c r="P239" s="112" t="str">
        <f t="shared" si="54"/>
        <v/>
      </c>
      <c r="Q239" s="170"/>
      <c r="R239" s="170"/>
      <c r="S239" s="170"/>
      <c r="T239" s="170"/>
      <c r="U239" s="170"/>
      <c r="V239" s="170"/>
      <c r="W239" s="170"/>
      <c r="X239" s="76"/>
      <c r="Y239" s="76"/>
      <c r="Z239" s="113" t="str">
        <f>IFERROR(ROUND('Informations générales'!$E$66*(AE239/SUM($AE$28:$AE$404))/12,0)*12,"")</f>
        <v/>
      </c>
      <c r="AA239" s="114"/>
      <c r="AB239" s="113" t="str">
        <f t="shared" si="43"/>
        <v/>
      </c>
      <c r="AC239" s="89"/>
      <c r="AD239" s="76"/>
      <c r="AE239" s="56">
        <f t="shared" si="55"/>
        <v>0</v>
      </c>
      <c r="AF239" s="56">
        <f t="shared" si="44"/>
        <v>0</v>
      </c>
      <c r="AG239" s="56">
        <f t="shared" si="45"/>
        <v>0</v>
      </c>
      <c r="AH239" s="56">
        <f t="shared" si="46"/>
        <v>0</v>
      </c>
      <c r="AI239" s="56">
        <f t="shared" si="47"/>
        <v>0</v>
      </c>
      <c r="AJ239" s="56">
        <f t="shared" si="48"/>
        <v>0</v>
      </c>
      <c r="AK239" s="56">
        <f t="shared" si="49"/>
        <v>0</v>
      </c>
      <c r="AL239" s="56">
        <f t="shared" si="50"/>
        <v>0</v>
      </c>
      <c r="AM239" s="56">
        <f t="shared" si="56"/>
        <v>0</v>
      </c>
      <c r="AN239" s="60">
        <f t="shared" si="51"/>
        <v>0</v>
      </c>
      <c r="AO239" s="59">
        <f t="shared" si="52"/>
        <v>0</v>
      </c>
      <c r="AP239" s="59">
        <f t="shared" si="53"/>
        <v>0</v>
      </c>
    </row>
    <row r="240" spans="3:42" s="17" customFormat="1" x14ac:dyDescent="0.25">
      <c r="C240" s="241" t="s">
        <v>213</v>
      </c>
      <c r="D240" s="242"/>
      <c r="E240" s="88"/>
      <c r="F240" s="217"/>
      <c r="G240" s="234"/>
      <c r="H240" s="218"/>
      <c r="I240" s="76"/>
      <c r="J240" s="77"/>
      <c r="K240" s="77"/>
      <c r="L240" s="76"/>
      <c r="M240" s="110"/>
      <c r="N240" s="152"/>
      <c r="O240" s="111" t="str">
        <f>IFERROR(MIN(VLOOKUP(ROUNDDOWN(N240,0),'Aide calcul'!$B$2:$C$282,2,FALSE),M240+1),"")</f>
        <v/>
      </c>
      <c r="P240" s="112" t="str">
        <f t="shared" si="54"/>
        <v/>
      </c>
      <c r="Q240" s="170"/>
      <c r="R240" s="170"/>
      <c r="S240" s="170"/>
      <c r="T240" s="170"/>
      <c r="U240" s="170"/>
      <c r="V240" s="170"/>
      <c r="W240" s="170"/>
      <c r="X240" s="76"/>
      <c r="Y240" s="76"/>
      <c r="Z240" s="113" t="str">
        <f>IFERROR(ROUND('Informations générales'!$E$66*(AE240/SUM($AE$28:$AE$404))/12,0)*12,"")</f>
        <v/>
      </c>
      <c r="AA240" s="114"/>
      <c r="AB240" s="113" t="str">
        <f t="shared" si="43"/>
        <v/>
      </c>
      <c r="AC240" s="89"/>
      <c r="AD240" s="76"/>
      <c r="AE240" s="56">
        <f t="shared" si="55"/>
        <v>0</v>
      </c>
      <c r="AF240" s="56">
        <f t="shared" si="44"/>
        <v>0</v>
      </c>
      <c r="AG240" s="56">
        <f t="shared" si="45"/>
        <v>0</v>
      </c>
      <c r="AH240" s="56">
        <f t="shared" si="46"/>
        <v>0</v>
      </c>
      <c r="AI240" s="56">
        <f t="shared" si="47"/>
        <v>0</v>
      </c>
      <c r="AJ240" s="56">
        <f t="shared" si="48"/>
        <v>0</v>
      </c>
      <c r="AK240" s="56">
        <f t="shared" si="49"/>
        <v>0</v>
      </c>
      <c r="AL240" s="56">
        <f t="shared" si="50"/>
        <v>0</v>
      </c>
      <c r="AM240" s="56">
        <f t="shared" si="56"/>
        <v>0</v>
      </c>
      <c r="AN240" s="60">
        <f t="shared" si="51"/>
        <v>0</v>
      </c>
      <c r="AO240" s="59">
        <f t="shared" si="52"/>
        <v>0</v>
      </c>
      <c r="AP240" s="59">
        <f t="shared" si="53"/>
        <v>0</v>
      </c>
    </row>
    <row r="241" spans="3:42" s="17" customFormat="1" x14ac:dyDescent="0.25">
      <c r="C241" s="241" t="s">
        <v>213</v>
      </c>
      <c r="D241" s="242"/>
      <c r="E241" s="88"/>
      <c r="F241" s="217"/>
      <c r="G241" s="234"/>
      <c r="H241" s="218"/>
      <c r="I241" s="76"/>
      <c r="J241" s="77"/>
      <c r="K241" s="77"/>
      <c r="L241" s="76"/>
      <c r="M241" s="110"/>
      <c r="N241" s="152"/>
      <c r="O241" s="111" t="str">
        <f>IFERROR(MIN(VLOOKUP(ROUNDDOWN(N241,0),'Aide calcul'!$B$2:$C$282,2,FALSE),M241+1),"")</f>
        <v/>
      </c>
      <c r="P241" s="112" t="str">
        <f t="shared" si="54"/>
        <v/>
      </c>
      <c r="Q241" s="170"/>
      <c r="R241" s="170"/>
      <c r="S241" s="170"/>
      <c r="T241" s="170"/>
      <c r="U241" s="170"/>
      <c r="V241" s="170"/>
      <c r="W241" s="170"/>
      <c r="X241" s="76"/>
      <c r="Y241" s="76"/>
      <c r="Z241" s="113" t="str">
        <f>IFERROR(ROUND('Informations générales'!$E$66*(AE241/SUM($AE$28:$AE$404))/12,0)*12,"")</f>
        <v/>
      </c>
      <c r="AA241" s="114"/>
      <c r="AB241" s="113" t="str">
        <f t="shared" si="43"/>
        <v/>
      </c>
      <c r="AC241" s="89"/>
      <c r="AD241" s="76"/>
      <c r="AE241" s="56">
        <f t="shared" si="55"/>
        <v>0</v>
      </c>
      <c r="AF241" s="56">
        <f t="shared" si="44"/>
        <v>0</v>
      </c>
      <c r="AG241" s="56">
        <f t="shared" si="45"/>
        <v>0</v>
      </c>
      <c r="AH241" s="56">
        <f t="shared" si="46"/>
        <v>0</v>
      </c>
      <c r="AI241" s="56">
        <f t="shared" si="47"/>
        <v>0</v>
      </c>
      <c r="AJ241" s="56">
        <f t="shared" si="48"/>
        <v>0</v>
      </c>
      <c r="AK241" s="56">
        <f t="shared" si="49"/>
        <v>0</v>
      </c>
      <c r="AL241" s="56">
        <f t="shared" si="50"/>
        <v>0</v>
      </c>
      <c r="AM241" s="56">
        <f t="shared" si="56"/>
        <v>0</v>
      </c>
      <c r="AN241" s="60">
        <f t="shared" si="51"/>
        <v>0</v>
      </c>
      <c r="AO241" s="59">
        <f t="shared" si="52"/>
        <v>0</v>
      </c>
      <c r="AP241" s="59">
        <f t="shared" si="53"/>
        <v>0</v>
      </c>
    </row>
    <row r="242" spans="3:42" s="17" customFormat="1" x14ac:dyDescent="0.25">
      <c r="C242" s="241" t="s">
        <v>213</v>
      </c>
      <c r="D242" s="242"/>
      <c r="E242" s="88"/>
      <c r="F242" s="217"/>
      <c r="G242" s="234"/>
      <c r="H242" s="218"/>
      <c r="I242" s="76"/>
      <c r="J242" s="77"/>
      <c r="K242" s="77"/>
      <c r="L242" s="76"/>
      <c r="M242" s="110"/>
      <c r="N242" s="152"/>
      <c r="O242" s="111" t="str">
        <f>IFERROR(MIN(VLOOKUP(ROUNDDOWN(N242,0),'Aide calcul'!$B$2:$C$282,2,FALSE),M242+1),"")</f>
        <v/>
      </c>
      <c r="P242" s="112" t="str">
        <f t="shared" si="54"/>
        <v/>
      </c>
      <c r="Q242" s="170"/>
      <c r="R242" s="170"/>
      <c r="S242" s="170"/>
      <c r="T242" s="170"/>
      <c r="U242" s="170"/>
      <c r="V242" s="170"/>
      <c r="W242" s="170"/>
      <c r="X242" s="76"/>
      <c r="Y242" s="76"/>
      <c r="Z242" s="113" t="str">
        <f>IFERROR(ROUND('Informations générales'!$E$66*(AE242/SUM($AE$28:$AE$404))/12,0)*12,"")</f>
        <v/>
      </c>
      <c r="AA242" s="114"/>
      <c r="AB242" s="113" t="str">
        <f t="shared" si="43"/>
        <v/>
      </c>
      <c r="AC242" s="89"/>
      <c r="AD242" s="76"/>
      <c r="AE242" s="56">
        <f t="shared" si="55"/>
        <v>0</v>
      </c>
      <c r="AF242" s="56">
        <f t="shared" si="44"/>
        <v>0</v>
      </c>
      <c r="AG242" s="56">
        <f t="shared" si="45"/>
        <v>0</v>
      </c>
      <c r="AH242" s="56">
        <f t="shared" si="46"/>
        <v>0</v>
      </c>
      <c r="AI242" s="56">
        <f t="shared" si="47"/>
        <v>0</v>
      </c>
      <c r="AJ242" s="56">
        <f t="shared" si="48"/>
        <v>0</v>
      </c>
      <c r="AK242" s="56">
        <f t="shared" si="49"/>
        <v>0</v>
      </c>
      <c r="AL242" s="56">
        <f t="shared" si="50"/>
        <v>0</v>
      </c>
      <c r="AM242" s="56">
        <f t="shared" si="56"/>
        <v>0</v>
      </c>
      <c r="AN242" s="60">
        <f t="shared" si="51"/>
        <v>0</v>
      </c>
      <c r="AO242" s="59">
        <f t="shared" si="52"/>
        <v>0</v>
      </c>
      <c r="AP242" s="59">
        <f t="shared" si="53"/>
        <v>0</v>
      </c>
    </row>
    <row r="243" spans="3:42" s="17" customFormat="1" x14ac:dyDescent="0.25">
      <c r="C243" s="241" t="s">
        <v>213</v>
      </c>
      <c r="D243" s="242"/>
      <c r="E243" s="88"/>
      <c r="F243" s="217"/>
      <c r="G243" s="234"/>
      <c r="H243" s="218"/>
      <c r="I243" s="76"/>
      <c r="J243" s="77"/>
      <c r="K243" s="77"/>
      <c r="L243" s="76"/>
      <c r="M243" s="110"/>
      <c r="N243" s="152"/>
      <c r="O243" s="111" t="str">
        <f>IFERROR(MIN(VLOOKUP(ROUNDDOWN(N243,0),'Aide calcul'!$B$2:$C$282,2,FALSE),M243+1),"")</f>
        <v/>
      </c>
      <c r="P243" s="112" t="str">
        <f t="shared" si="54"/>
        <v/>
      </c>
      <c r="Q243" s="170"/>
      <c r="R243" s="170"/>
      <c r="S243" s="170"/>
      <c r="T243" s="170"/>
      <c r="U243" s="170"/>
      <c r="V243" s="170"/>
      <c r="W243" s="170"/>
      <c r="X243" s="76"/>
      <c r="Y243" s="76"/>
      <c r="Z243" s="113" t="str">
        <f>IFERROR(ROUND('Informations générales'!$E$66*(AE243/SUM($AE$28:$AE$404))/12,0)*12,"")</f>
        <v/>
      </c>
      <c r="AA243" s="114"/>
      <c r="AB243" s="113" t="str">
        <f t="shared" si="43"/>
        <v/>
      </c>
      <c r="AC243" s="89"/>
      <c r="AD243" s="76"/>
      <c r="AE243" s="56">
        <f t="shared" si="55"/>
        <v>0</v>
      </c>
      <c r="AF243" s="56">
        <f t="shared" si="44"/>
        <v>0</v>
      </c>
      <c r="AG243" s="56">
        <f t="shared" si="45"/>
        <v>0</v>
      </c>
      <c r="AH243" s="56">
        <f t="shared" si="46"/>
        <v>0</v>
      </c>
      <c r="AI243" s="56">
        <f t="shared" si="47"/>
        <v>0</v>
      </c>
      <c r="AJ243" s="56">
        <f t="shared" si="48"/>
        <v>0</v>
      </c>
      <c r="AK243" s="56">
        <f t="shared" si="49"/>
        <v>0</v>
      </c>
      <c r="AL243" s="56">
        <f t="shared" si="50"/>
        <v>0</v>
      </c>
      <c r="AM243" s="56">
        <f t="shared" si="56"/>
        <v>0</v>
      </c>
      <c r="AN243" s="60">
        <f t="shared" si="51"/>
        <v>0</v>
      </c>
      <c r="AO243" s="59">
        <f t="shared" si="52"/>
        <v>0</v>
      </c>
      <c r="AP243" s="59">
        <f t="shared" si="53"/>
        <v>0</v>
      </c>
    </row>
    <row r="244" spans="3:42" s="17" customFormat="1" x14ac:dyDescent="0.25">
      <c r="C244" s="241" t="s">
        <v>213</v>
      </c>
      <c r="D244" s="242"/>
      <c r="E244" s="88"/>
      <c r="F244" s="217"/>
      <c r="G244" s="234"/>
      <c r="H244" s="218"/>
      <c r="I244" s="76"/>
      <c r="J244" s="77"/>
      <c r="K244" s="77"/>
      <c r="L244" s="76"/>
      <c r="M244" s="110"/>
      <c r="N244" s="152"/>
      <c r="O244" s="111" t="str">
        <f>IFERROR(MIN(VLOOKUP(ROUNDDOWN(N244,0),'Aide calcul'!$B$2:$C$282,2,FALSE),M244+1),"")</f>
        <v/>
      </c>
      <c r="P244" s="112" t="str">
        <f t="shared" si="54"/>
        <v/>
      </c>
      <c r="Q244" s="170"/>
      <c r="R244" s="170"/>
      <c r="S244" s="170"/>
      <c r="T244" s="170"/>
      <c r="U244" s="170"/>
      <c r="V244" s="170"/>
      <c r="W244" s="170"/>
      <c r="X244" s="76"/>
      <c r="Y244" s="76"/>
      <c r="Z244" s="113" t="str">
        <f>IFERROR(ROUND('Informations générales'!$E$66*(AE244/SUM($AE$28:$AE$404))/12,0)*12,"")</f>
        <v/>
      </c>
      <c r="AA244" s="114"/>
      <c r="AB244" s="113" t="str">
        <f t="shared" si="43"/>
        <v/>
      </c>
      <c r="AC244" s="89"/>
      <c r="AD244" s="76"/>
      <c r="AE244" s="56">
        <f t="shared" si="55"/>
        <v>0</v>
      </c>
      <c r="AF244" s="56">
        <f t="shared" si="44"/>
        <v>0</v>
      </c>
      <c r="AG244" s="56">
        <f t="shared" si="45"/>
        <v>0</v>
      </c>
      <c r="AH244" s="56">
        <f t="shared" si="46"/>
        <v>0</v>
      </c>
      <c r="AI244" s="56">
        <f t="shared" si="47"/>
        <v>0</v>
      </c>
      <c r="AJ244" s="56">
        <f t="shared" si="48"/>
        <v>0</v>
      </c>
      <c r="AK244" s="56">
        <f t="shared" si="49"/>
        <v>0</v>
      </c>
      <c r="AL244" s="56">
        <f t="shared" si="50"/>
        <v>0</v>
      </c>
      <c r="AM244" s="56">
        <f t="shared" si="56"/>
        <v>0</v>
      </c>
      <c r="AN244" s="60">
        <f t="shared" si="51"/>
        <v>0</v>
      </c>
      <c r="AO244" s="59">
        <f t="shared" si="52"/>
        <v>0</v>
      </c>
      <c r="AP244" s="59">
        <f t="shared" si="53"/>
        <v>0</v>
      </c>
    </row>
    <row r="245" spans="3:42" s="17" customFormat="1" x14ac:dyDescent="0.25">
      <c r="C245" s="241" t="s">
        <v>213</v>
      </c>
      <c r="D245" s="242"/>
      <c r="E245" s="88"/>
      <c r="F245" s="217"/>
      <c r="G245" s="234"/>
      <c r="H245" s="218"/>
      <c r="I245" s="76"/>
      <c r="J245" s="77"/>
      <c r="K245" s="77"/>
      <c r="L245" s="76"/>
      <c r="M245" s="110"/>
      <c r="N245" s="152"/>
      <c r="O245" s="111" t="str">
        <f>IFERROR(MIN(VLOOKUP(ROUNDDOWN(N245,0),'Aide calcul'!$B$2:$C$282,2,FALSE),M245+1),"")</f>
        <v/>
      </c>
      <c r="P245" s="112" t="str">
        <f t="shared" si="54"/>
        <v/>
      </c>
      <c r="Q245" s="170"/>
      <c r="R245" s="170"/>
      <c r="S245" s="170"/>
      <c r="T245" s="170"/>
      <c r="U245" s="170"/>
      <c r="V245" s="170"/>
      <c r="W245" s="170"/>
      <c r="X245" s="76"/>
      <c r="Y245" s="76"/>
      <c r="Z245" s="113" t="str">
        <f>IFERROR(ROUND('Informations générales'!$E$66*(AE245/SUM($AE$28:$AE$404))/12,0)*12,"")</f>
        <v/>
      </c>
      <c r="AA245" s="114"/>
      <c r="AB245" s="113" t="str">
        <f t="shared" si="43"/>
        <v/>
      </c>
      <c r="AC245" s="89"/>
      <c r="AD245" s="76"/>
      <c r="AE245" s="56">
        <f t="shared" si="55"/>
        <v>0</v>
      </c>
      <c r="AF245" s="56">
        <f t="shared" si="44"/>
        <v>0</v>
      </c>
      <c r="AG245" s="56">
        <f t="shared" si="45"/>
        <v>0</v>
      </c>
      <c r="AH245" s="56">
        <f t="shared" si="46"/>
        <v>0</v>
      </c>
      <c r="AI245" s="56">
        <f t="shared" si="47"/>
        <v>0</v>
      </c>
      <c r="AJ245" s="56">
        <f t="shared" si="48"/>
        <v>0</v>
      </c>
      <c r="AK245" s="56">
        <f t="shared" si="49"/>
        <v>0</v>
      </c>
      <c r="AL245" s="56">
        <f t="shared" si="50"/>
        <v>0</v>
      </c>
      <c r="AM245" s="56">
        <f t="shared" si="56"/>
        <v>0</v>
      </c>
      <c r="AN245" s="60">
        <f t="shared" si="51"/>
        <v>0</v>
      </c>
      <c r="AO245" s="59">
        <f t="shared" si="52"/>
        <v>0</v>
      </c>
      <c r="AP245" s="59">
        <f t="shared" si="53"/>
        <v>0</v>
      </c>
    </row>
    <row r="246" spans="3:42" s="17" customFormat="1" x14ac:dyDescent="0.25">
      <c r="C246" s="241" t="s">
        <v>213</v>
      </c>
      <c r="D246" s="242"/>
      <c r="E246" s="88"/>
      <c r="F246" s="217"/>
      <c r="G246" s="234"/>
      <c r="H246" s="218"/>
      <c r="I246" s="76"/>
      <c r="J246" s="77"/>
      <c r="K246" s="77"/>
      <c r="L246" s="76"/>
      <c r="M246" s="110"/>
      <c r="N246" s="152"/>
      <c r="O246" s="111" t="str">
        <f>IFERROR(MIN(VLOOKUP(ROUNDDOWN(N246,0),'Aide calcul'!$B$2:$C$282,2,FALSE),M246+1),"")</f>
        <v/>
      </c>
      <c r="P246" s="112" t="str">
        <f t="shared" si="54"/>
        <v/>
      </c>
      <c r="Q246" s="170"/>
      <c r="R246" s="170"/>
      <c r="S246" s="170"/>
      <c r="T246" s="170"/>
      <c r="U246" s="170"/>
      <c r="V246" s="170"/>
      <c r="W246" s="170"/>
      <c r="X246" s="76"/>
      <c r="Y246" s="76"/>
      <c r="Z246" s="113" t="str">
        <f>IFERROR(ROUND('Informations générales'!$E$66*(AE246/SUM($AE$28:$AE$404))/12,0)*12,"")</f>
        <v/>
      </c>
      <c r="AA246" s="114"/>
      <c r="AB246" s="113" t="str">
        <f t="shared" si="43"/>
        <v/>
      </c>
      <c r="AC246" s="89"/>
      <c r="AD246" s="76"/>
      <c r="AE246" s="56">
        <f t="shared" si="55"/>
        <v>0</v>
      </c>
      <c r="AF246" s="56">
        <f t="shared" si="44"/>
        <v>0</v>
      </c>
      <c r="AG246" s="56">
        <f t="shared" si="45"/>
        <v>0</v>
      </c>
      <c r="AH246" s="56">
        <f t="shared" si="46"/>
        <v>0</v>
      </c>
      <c r="AI246" s="56">
        <f t="shared" si="47"/>
        <v>0</v>
      </c>
      <c r="AJ246" s="56">
        <f t="shared" si="48"/>
        <v>0</v>
      </c>
      <c r="AK246" s="56">
        <f t="shared" si="49"/>
        <v>0</v>
      </c>
      <c r="AL246" s="56">
        <f t="shared" si="50"/>
        <v>0</v>
      </c>
      <c r="AM246" s="56">
        <f t="shared" si="56"/>
        <v>0</v>
      </c>
      <c r="AN246" s="60">
        <f t="shared" si="51"/>
        <v>0</v>
      </c>
      <c r="AO246" s="59">
        <f t="shared" si="52"/>
        <v>0</v>
      </c>
      <c r="AP246" s="59">
        <f t="shared" si="53"/>
        <v>0</v>
      </c>
    </row>
    <row r="247" spans="3:42" s="17" customFormat="1" x14ac:dyDescent="0.25">
      <c r="C247" s="241" t="s">
        <v>213</v>
      </c>
      <c r="D247" s="242"/>
      <c r="E247" s="88"/>
      <c r="F247" s="217"/>
      <c r="G247" s="234"/>
      <c r="H247" s="218"/>
      <c r="I247" s="76"/>
      <c r="J247" s="77"/>
      <c r="K247" s="77"/>
      <c r="L247" s="76"/>
      <c r="M247" s="110"/>
      <c r="N247" s="152"/>
      <c r="O247" s="111" t="str">
        <f>IFERROR(MIN(VLOOKUP(ROUNDDOWN(N247,0),'Aide calcul'!$B$2:$C$282,2,FALSE),M247+1),"")</f>
        <v/>
      </c>
      <c r="P247" s="112" t="str">
        <f t="shared" si="54"/>
        <v/>
      </c>
      <c r="Q247" s="170"/>
      <c r="R247" s="170"/>
      <c r="S247" s="170"/>
      <c r="T247" s="170"/>
      <c r="U247" s="170"/>
      <c r="V247" s="170"/>
      <c r="W247" s="170"/>
      <c r="X247" s="76"/>
      <c r="Y247" s="76"/>
      <c r="Z247" s="113" t="str">
        <f>IFERROR(ROUND('Informations générales'!$E$66*(AE247/SUM($AE$28:$AE$404))/12,0)*12,"")</f>
        <v/>
      </c>
      <c r="AA247" s="114"/>
      <c r="AB247" s="113" t="str">
        <f t="shared" si="43"/>
        <v/>
      </c>
      <c r="AC247" s="89"/>
      <c r="AD247" s="76"/>
      <c r="AE247" s="56">
        <f t="shared" si="55"/>
        <v>0</v>
      </c>
      <c r="AF247" s="56">
        <f t="shared" si="44"/>
        <v>0</v>
      </c>
      <c r="AG247" s="56">
        <f t="shared" si="45"/>
        <v>0</v>
      </c>
      <c r="AH247" s="56">
        <f t="shared" si="46"/>
        <v>0</v>
      </c>
      <c r="AI247" s="56">
        <f t="shared" si="47"/>
        <v>0</v>
      </c>
      <c r="AJ247" s="56">
        <f t="shared" si="48"/>
        <v>0</v>
      </c>
      <c r="AK247" s="56">
        <f t="shared" si="49"/>
        <v>0</v>
      </c>
      <c r="AL247" s="56">
        <f t="shared" si="50"/>
        <v>0</v>
      </c>
      <c r="AM247" s="56">
        <f t="shared" si="56"/>
        <v>0</v>
      </c>
      <c r="AN247" s="60">
        <f t="shared" si="51"/>
        <v>0</v>
      </c>
      <c r="AO247" s="59">
        <f t="shared" si="52"/>
        <v>0</v>
      </c>
      <c r="AP247" s="59">
        <f t="shared" si="53"/>
        <v>0</v>
      </c>
    </row>
    <row r="248" spans="3:42" s="17" customFormat="1" x14ac:dyDescent="0.25">
      <c r="C248" s="241" t="s">
        <v>213</v>
      </c>
      <c r="D248" s="242"/>
      <c r="E248" s="88"/>
      <c r="F248" s="217"/>
      <c r="G248" s="234"/>
      <c r="H248" s="218"/>
      <c r="I248" s="76"/>
      <c r="J248" s="77"/>
      <c r="K248" s="77"/>
      <c r="L248" s="76"/>
      <c r="M248" s="110"/>
      <c r="N248" s="152"/>
      <c r="O248" s="111" t="str">
        <f>IFERROR(MIN(VLOOKUP(ROUNDDOWN(N248,0),'Aide calcul'!$B$2:$C$282,2,FALSE),M248+1),"")</f>
        <v/>
      </c>
      <c r="P248" s="112" t="str">
        <f t="shared" si="54"/>
        <v/>
      </c>
      <c r="Q248" s="170"/>
      <c r="R248" s="170"/>
      <c r="S248" s="170"/>
      <c r="T248" s="170"/>
      <c r="U248" s="170"/>
      <c r="V248" s="170"/>
      <c r="W248" s="170"/>
      <c r="X248" s="76"/>
      <c r="Y248" s="76"/>
      <c r="Z248" s="113" t="str">
        <f>IFERROR(ROUND('Informations générales'!$E$66*(AE248/SUM($AE$28:$AE$404))/12,0)*12,"")</f>
        <v/>
      </c>
      <c r="AA248" s="114"/>
      <c r="AB248" s="113" t="str">
        <f t="shared" si="43"/>
        <v/>
      </c>
      <c r="AC248" s="89"/>
      <c r="AD248" s="76"/>
      <c r="AE248" s="56">
        <f t="shared" si="55"/>
        <v>0</v>
      </c>
      <c r="AF248" s="56">
        <f t="shared" si="44"/>
        <v>0</v>
      </c>
      <c r="AG248" s="56">
        <f t="shared" si="45"/>
        <v>0</v>
      </c>
      <c r="AH248" s="56">
        <f t="shared" si="46"/>
        <v>0</v>
      </c>
      <c r="AI248" s="56">
        <f t="shared" si="47"/>
        <v>0</v>
      </c>
      <c r="AJ248" s="56">
        <f t="shared" si="48"/>
        <v>0</v>
      </c>
      <c r="AK248" s="56">
        <f t="shared" si="49"/>
        <v>0</v>
      </c>
      <c r="AL248" s="56">
        <f t="shared" si="50"/>
        <v>0</v>
      </c>
      <c r="AM248" s="56">
        <f t="shared" si="56"/>
        <v>0</v>
      </c>
      <c r="AN248" s="60">
        <f t="shared" si="51"/>
        <v>0</v>
      </c>
      <c r="AO248" s="59">
        <f t="shared" si="52"/>
        <v>0</v>
      </c>
      <c r="AP248" s="59">
        <f t="shared" si="53"/>
        <v>0</v>
      </c>
    </row>
    <row r="249" spans="3:42" s="17" customFormat="1" x14ac:dyDescent="0.25">
      <c r="C249" s="241" t="s">
        <v>213</v>
      </c>
      <c r="D249" s="242"/>
      <c r="E249" s="88"/>
      <c r="F249" s="217"/>
      <c r="G249" s="234"/>
      <c r="H249" s="218"/>
      <c r="I249" s="76"/>
      <c r="J249" s="77"/>
      <c r="K249" s="77"/>
      <c r="L249" s="76"/>
      <c r="M249" s="110"/>
      <c r="N249" s="152"/>
      <c r="O249" s="111" t="str">
        <f>IFERROR(MIN(VLOOKUP(ROUNDDOWN(N249,0),'Aide calcul'!$B$2:$C$282,2,FALSE),M249+1),"")</f>
        <v/>
      </c>
      <c r="P249" s="112" t="str">
        <f t="shared" si="54"/>
        <v/>
      </c>
      <c r="Q249" s="170"/>
      <c r="R249" s="170"/>
      <c r="S249" s="170"/>
      <c r="T249" s="170"/>
      <c r="U249" s="170"/>
      <c r="V249" s="170"/>
      <c r="W249" s="170"/>
      <c r="X249" s="76"/>
      <c r="Y249" s="76"/>
      <c r="Z249" s="113" t="str">
        <f>IFERROR(ROUND('Informations générales'!$E$66*(AE249/SUM($AE$28:$AE$404))/12,0)*12,"")</f>
        <v/>
      </c>
      <c r="AA249" s="114"/>
      <c r="AB249" s="113" t="str">
        <f t="shared" si="43"/>
        <v/>
      </c>
      <c r="AC249" s="89"/>
      <c r="AD249" s="76"/>
      <c r="AE249" s="56">
        <f t="shared" si="55"/>
        <v>0</v>
      </c>
      <c r="AF249" s="56">
        <f t="shared" si="44"/>
        <v>0</v>
      </c>
      <c r="AG249" s="56">
        <f t="shared" si="45"/>
        <v>0</v>
      </c>
      <c r="AH249" s="56">
        <f t="shared" si="46"/>
        <v>0</v>
      </c>
      <c r="AI249" s="56">
        <f t="shared" si="47"/>
        <v>0</v>
      </c>
      <c r="AJ249" s="56">
        <f t="shared" si="48"/>
        <v>0</v>
      </c>
      <c r="AK249" s="56">
        <f t="shared" si="49"/>
        <v>0</v>
      </c>
      <c r="AL249" s="56">
        <f t="shared" si="50"/>
        <v>0</v>
      </c>
      <c r="AM249" s="56">
        <f t="shared" si="56"/>
        <v>0</v>
      </c>
      <c r="AN249" s="60">
        <f t="shared" si="51"/>
        <v>0</v>
      </c>
      <c r="AO249" s="59">
        <f t="shared" si="52"/>
        <v>0</v>
      </c>
      <c r="AP249" s="59">
        <f t="shared" si="53"/>
        <v>0</v>
      </c>
    </row>
    <row r="250" spans="3:42" s="17" customFormat="1" x14ac:dyDescent="0.25">
      <c r="C250" s="241" t="s">
        <v>213</v>
      </c>
      <c r="D250" s="242"/>
      <c r="E250" s="88"/>
      <c r="F250" s="217"/>
      <c r="G250" s="234"/>
      <c r="H250" s="218"/>
      <c r="I250" s="76"/>
      <c r="J250" s="77"/>
      <c r="K250" s="77"/>
      <c r="L250" s="76"/>
      <c r="M250" s="110"/>
      <c r="N250" s="152"/>
      <c r="O250" s="111" t="str">
        <f>IFERROR(MIN(VLOOKUP(ROUNDDOWN(N250,0),'Aide calcul'!$B$2:$C$282,2,FALSE),M250+1),"")</f>
        <v/>
      </c>
      <c r="P250" s="112" t="str">
        <f t="shared" si="54"/>
        <v/>
      </c>
      <c r="Q250" s="170"/>
      <c r="R250" s="170"/>
      <c r="S250" s="170"/>
      <c r="T250" s="170"/>
      <c r="U250" s="170"/>
      <c r="V250" s="170"/>
      <c r="W250" s="170"/>
      <c r="X250" s="76"/>
      <c r="Y250" s="76"/>
      <c r="Z250" s="113" t="str">
        <f>IFERROR(ROUND('Informations générales'!$E$66*(AE250/SUM($AE$28:$AE$404))/12,0)*12,"")</f>
        <v/>
      </c>
      <c r="AA250" s="114"/>
      <c r="AB250" s="113" t="str">
        <f t="shared" si="43"/>
        <v/>
      </c>
      <c r="AC250" s="89"/>
      <c r="AD250" s="76"/>
      <c r="AE250" s="56">
        <f t="shared" si="55"/>
        <v>0</v>
      </c>
      <c r="AF250" s="56">
        <f t="shared" si="44"/>
        <v>0</v>
      </c>
      <c r="AG250" s="56">
        <f t="shared" si="45"/>
        <v>0</v>
      </c>
      <c r="AH250" s="56">
        <f t="shared" si="46"/>
        <v>0</v>
      </c>
      <c r="AI250" s="56">
        <f t="shared" si="47"/>
        <v>0</v>
      </c>
      <c r="AJ250" s="56">
        <f t="shared" si="48"/>
        <v>0</v>
      </c>
      <c r="AK250" s="56">
        <f t="shared" si="49"/>
        <v>0</v>
      </c>
      <c r="AL250" s="56">
        <f t="shared" si="50"/>
        <v>0</v>
      </c>
      <c r="AM250" s="56">
        <f t="shared" si="56"/>
        <v>0</v>
      </c>
      <c r="AN250" s="60">
        <f t="shared" si="51"/>
        <v>0</v>
      </c>
      <c r="AO250" s="59">
        <f t="shared" si="52"/>
        <v>0</v>
      </c>
      <c r="AP250" s="59">
        <f t="shared" si="53"/>
        <v>0</v>
      </c>
    </row>
    <row r="251" spans="3:42" s="17" customFormat="1" x14ac:dyDescent="0.25">
      <c r="C251" s="241" t="s">
        <v>213</v>
      </c>
      <c r="D251" s="242"/>
      <c r="E251" s="88"/>
      <c r="F251" s="217"/>
      <c r="G251" s="234"/>
      <c r="H251" s="218"/>
      <c r="I251" s="76"/>
      <c r="J251" s="77"/>
      <c r="K251" s="77"/>
      <c r="L251" s="76"/>
      <c r="M251" s="110"/>
      <c r="N251" s="152"/>
      <c r="O251" s="111" t="str">
        <f>IFERROR(MIN(VLOOKUP(ROUNDDOWN(N251,0),'Aide calcul'!$B$2:$C$282,2,FALSE),M251+1),"")</f>
        <v/>
      </c>
      <c r="P251" s="112" t="str">
        <f t="shared" si="54"/>
        <v/>
      </c>
      <c r="Q251" s="170"/>
      <c r="R251" s="170"/>
      <c r="S251" s="170"/>
      <c r="T251" s="170"/>
      <c r="U251" s="170"/>
      <c r="V251" s="170"/>
      <c r="W251" s="170"/>
      <c r="X251" s="76"/>
      <c r="Y251" s="76"/>
      <c r="Z251" s="113" t="str">
        <f>IFERROR(ROUND('Informations générales'!$E$66*(AE251/SUM($AE$28:$AE$404))/12,0)*12,"")</f>
        <v/>
      </c>
      <c r="AA251" s="114"/>
      <c r="AB251" s="113" t="str">
        <f t="shared" si="43"/>
        <v/>
      </c>
      <c r="AC251" s="89"/>
      <c r="AD251" s="76"/>
      <c r="AE251" s="56">
        <f t="shared" si="55"/>
        <v>0</v>
      </c>
      <c r="AF251" s="56">
        <f t="shared" si="44"/>
        <v>0</v>
      </c>
      <c r="AG251" s="56">
        <f t="shared" si="45"/>
        <v>0</v>
      </c>
      <c r="AH251" s="56">
        <f t="shared" si="46"/>
        <v>0</v>
      </c>
      <c r="AI251" s="56">
        <f t="shared" si="47"/>
        <v>0</v>
      </c>
      <c r="AJ251" s="56">
        <f t="shared" si="48"/>
        <v>0</v>
      </c>
      <c r="AK251" s="56">
        <f t="shared" si="49"/>
        <v>0</v>
      </c>
      <c r="AL251" s="56">
        <f t="shared" si="50"/>
        <v>0</v>
      </c>
      <c r="AM251" s="56">
        <f t="shared" si="56"/>
        <v>0</v>
      </c>
      <c r="AN251" s="60">
        <f t="shared" si="51"/>
        <v>0</v>
      </c>
      <c r="AO251" s="59">
        <f t="shared" si="52"/>
        <v>0</v>
      </c>
      <c r="AP251" s="59">
        <f t="shared" si="53"/>
        <v>0</v>
      </c>
    </row>
    <row r="252" spans="3:42" s="17" customFormat="1" x14ac:dyDescent="0.25">
      <c r="C252" s="241" t="s">
        <v>213</v>
      </c>
      <c r="D252" s="242"/>
      <c r="E252" s="88"/>
      <c r="F252" s="217"/>
      <c r="G252" s="234"/>
      <c r="H252" s="218"/>
      <c r="I252" s="76"/>
      <c r="J252" s="77"/>
      <c r="K252" s="77"/>
      <c r="L252" s="76"/>
      <c r="M252" s="110"/>
      <c r="N252" s="152"/>
      <c r="O252" s="111" t="str">
        <f>IFERROR(MIN(VLOOKUP(ROUNDDOWN(N252,0),'Aide calcul'!$B$2:$C$282,2,FALSE),M252+1),"")</f>
        <v/>
      </c>
      <c r="P252" s="112" t="str">
        <f t="shared" si="54"/>
        <v/>
      </c>
      <c r="Q252" s="170"/>
      <c r="R252" s="170"/>
      <c r="S252" s="170"/>
      <c r="T252" s="170"/>
      <c r="U252" s="170"/>
      <c r="V252" s="170"/>
      <c r="W252" s="170"/>
      <c r="X252" s="76"/>
      <c r="Y252" s="76"/>
      <c r="Z252" s="113" t="str">
        <f>IFERROR(ROUND('Informations générales'!$E$66*(AE252/SUM($AE$28:$AE$404))/12,0)*12,"")</f>
        <v/>
      </c>
      <c r="AA252" s="114"/>
      <c r="AB252" s="113" t="str">
        <f t="shared" si="43"/>
        <v/>
      </c>
      <c r="AC252" s="89"/>
      <c r="AD252" s="76"/>
      <c r="AE252" s="56">
        <f t="shared" si="55"/>
        <v>0</v>
      </c>
      <c r="AF252" s="56">
        <f t="shared" si="44"/>
        <v>0</v>
      </c>
      <c r="AG252" s="56">
        <f t="shared" si="45"/>
        <v>0</v>
      </c>
      <c r="AH252" s="56">
        <f t="shared" si="46"/>
        <v>0</v>
      </c>
      <c r="AI252" s="56">
        <f t="shared" si="47"/>
        <v>0</v>
      </c>
      <c r="AJ252" s="56">
        <f t="shared" si="48"/>
        <v>0</v>
      </c>
      <c r="AK252" s="56">
        <f t="shared" si="49"/>
        <v>0</v>
      </c>
      <c r="AL252" s="56">
        <f t="shared" si="50"/>
        <v>0</v>
      </c>
      <c r="AM252" s="56">
        <f t="shared" si="56"/>
        <v>0</v>
      </c>
      <c r="AN252" s="60">
        <f t="shared" si="51"/>
        <v>0</v>
      </c>
      <c r="AO252" s="59">
        <f t="shared" si="52"/>
        <v>0</v>
      </c>
      <c r="AP252" s="59">
        <f t="shared" si="53"/>
        <v>0</v>
      </c>
    </row>
    <row r="253" spans="3:42" s="17" customFormat="1" x14ac:dyDescent="0.25">
      <c r="C253" s="241" t="s">
        <v>213</v>
      </c>
      <c r="D253" s="242"/>
      <c r="E253" s="88"/>
      <c r="F253" s="217"/>
      <c r="G253" s="234"/>
      <c r="H253" s="218"/>
      <c r="I253" s="76"/>
      <c r="J253" s="77"/>
      <c r="K253" s="77"/>
      <c r="L253" s="76"/>
      <c r="M253" s="110"/>
      <c r="N253" s="152"/>
      <c r="O253" s="111" t="str">
        <f>IFERROR(MIN(VLOOKUP(ROUNDDOWN(N253,0),'Aide calcul'!$B$2:$C$282,2,FALSE),M253+1),"")</f>
        <v/>
      </c>
      <c r="P253" s="112" t="str">
        <f t="shared" si="54"/>
        <v/>
      </c>
      <c r="Q253" s="170"/>
      <c r="R253" s="170"/>
      <c r="S253" s="170"/>
      <c r="T253" s="170"/>
      <c r="U253" s="170"/>
      <c r="V253" s="170"/>
      <c r="W253" s="170"/>
      <c r="X253" s="76"/>
      <c r="Y253" s="76"/>
      <c r="Z253" s="113" t="str">
        <f>IFERROR(ROUND('Informations générales'!$E$66*(AE253/SUM($AE$28:$AE$404))/12,0)*12,"")</f>
        <v/>
      </c>
      <c r="AA253" s="114"/>
      <c r="AB253" s="113" t="str">
        <f t="shared" si="43"/>
        <v/>
      </c>
      <c r="AC253" s="89"/>
      <c r="AD253" s="76"/>
      <c r="AE253" s="56">
        <f t="shared" si="55"/>
        <v>0</v>
      </c>
      <c r="AF253" s="56">
        <f t="shared" si="44"/>
        <v>0</v>
      </c>
      <c r="AG253" s="56">
        <f t="shared" si="45"/>
        <v>0</v>
      </c>
      <c r="AH253" s="56">
        <f t="shared" si="46"/>
        <v>0</v>
      </c>
      <c r="AI253" s="56">
        <f t="shared" si="47"/>
        <v>0</v>
      </c>
      <c r="AJ253" s="56">
        <f t="shared" si="48"/>
        <v>0</v>
      </c>
      <c r="AK253" s="56">
        <f t="shared" si="49"/>
        <v>0</v>
      </c>
      <c r="AL253" s="56">
        <f t="shared" si="50"/>
        <v>0</v>
      </c>
      <c r="AM253" s="56">
        <f t="shared" si="56"/>
        <v>0</v>
      </c>
      <c r="AN253" s="60">
        <f t="shared" si="51"/>
        <v>0</v>
      </c>
      <c r="AO253" s="59">
        <f t="shared" si="52"/>
        <v>0</v>
      </c>
      <c r="AP253" s="59">
        <f t="shared" si="53"/>
        <v>0</v>
      </c>
    </row>
    <row r="254" spans="3:42" s="17" customFormat="1" x14ac:dyDescent="0.25">
      <c r="C254" s="241" t="s">
        <v>213</v>
      </c>
      <c r="D254" s="242"/>
      <c r="E254" s="88"/>
      <c r="F254" s="217"/>
      <c r="G254" s="234"/>
      <c r="H254" s="218"/>
      <c r="I254" s="76"/>
      <c r="J254" s="77"/>
      <c r="K254" s="77"/>
      <c r="L254" s="76"/>
      <c r="M254" s="110"/>
      <c r="N254" s="152"/>
      <c r="O254" s="111" t="str">
        <f>IFERROR(MIN(VLOOKUP(ROUNDDOWN(N254,0),'Aide calcul'!$B$2:$C$282,2,FALSE),M254+1),"")</f>
        <v/>
      </c>
      <c r="P254" s="112" t="str">
        <f t="shared" si="54"/>
        <v/>
      </c>
      <c r="Q254" s="170"/>
      <c r="R254" s="170"/>
      <c r="S254" s="170"/>
      <c r="T254" s="170"/>
      <c r="U254" s="170"/>
      <c r="V254" s="170"/>
      <c r="W254" s="170"/>
      <c r="X254" s="76"/>
      <c r="Y254" s="76"/>
      <c r="Z254" s="113" t="str">
        <f>IFERROR(ROUND('Informations générales'!$E$66*(AE254/SUM($AE$28:$AE$404))/12,0)*12,"")</f>
        <v/>
      </c>
      <c r="AA254" s="114"/>
      <c r="AB254" s="113" t="str">
        <f t="shared" si="43"/>
        <v/>
      </c>
      <c r="AC254" s="89"/>
      <c r="AD254" s="76"/>
      <c r="AE254" s="56">
        <f t="shared" si="55"/>
        <v>0</v>
      </c>
      <c r="AF254" s="56">
        <f t="shared" si="44"/>
        <v>0</v>
      </c>
      <c r="AG254" s="56">
        <f t="shared" si="45"/>
        <v>0</v>
      </c>
      <c r="AH254" s="56">
        <f t="shared" si="46"/>
        <v>0</v>
      </c>
      <c r="AI254" s="56">
        <f t="shared" si="47"/>
        <v>0</v>
      </c>
      <c r="AJ254" s="56">
        <f t="shared" si="48"/>
        <v>0</v>
      </c>
      <c r="AK254" s="56">
        <f t="shared" si="49"/>
        <v>0</v>
      </c>
      <c r="AL254" s="56">
        <f t="shared" si="50"/>
        <v>0</v>
      </c>
      <c r="AM254" s="56">
        <f t="shared" si="56"/>
        <v>0</v>
      </c>
      <c r="AN254" s="60">
        <f t="shared" si="51"/>
        <v>0</v>
      </c>
      <c r="AO254" s="59">
        <f t="shared" si="52"/>
        <v>0</v>
      </c>
      <c r="AP254" s="59">
        <f t="shared" si="53"/>
        <v>0</v>
      </c>
    </row>
    <row r="255" spans="3:42" s="17" customFormat="1" x14ac:dyDescent="0.25">
      <c r="C255" s="241" t="s">
        <v>213</v>
      </c>
      <c r="D255" s="242"/>
      <c r="E255" s="88"/>
      <c r="F255" s="217"/>
      <c r="G255" s="234"/>
      <c r="H255" s="218"/>
      <c r="I255" s="76"/>
      <c r="J255" s="77"/>
      <c r="K255" s="77"/>
      <c r="L255" s="76"/>
      <c r="M255" s="110"/>
      <c r="N255" s="152"/>
      <c r="O255" s="111" t="str">
        <f>IFERROR(MIN(VLOOKUP(ROUNDDOWN(N255,0),'Aide calcul'!$B$2:$C$282,2,FALSE),M255+1),"")</f>
        <v/>
      </c>
      <c r="P255" s="112" t="str">
        <f t="shared" si="54"/>
        <v/>
      </c>
      <c r="Q255" s="170"/>
      <c r="R255" s="170"/>
      <c r="S255" s="170"/>
      <c r="T255" s="170"/>
      <c r="U255" s="170"/>
      <c r="V255" s="170"/>
      <c r="W255" s="170"/>
      <c r="X255" s="76"/>
      <c r="Y255" s="76"/>
      <c r="Z255" s="113" t="str">
        <f>IFERROR(ROUND('Informations générales'!$E$66*(AE255/SUM($AE$28:$AE$404))/12,0)*12,"")</f>
        <v/>
      </c>
      <c r="AA255" s="114"/>
      <c r="AB255" s="113" t="str">
        <f t="shared" si="43"/>
        <v/>
      </c>
      <c r="AC255" s="89"/>
      <c r="AD255" s="76"/>
      <c r="AE255" s="56">
        <f t="shared" si="55"/>
        <v>0</v>
      </c>
      <c r="AF255" s="56">
        <f t="shared" si="44"/>
        <v>0</v>
      </c>
      <c r="AG255" s="56">
        <f t="shared" si="45"/>
        <v>0</v>
      </c>
      <c r="AH255" s="56">
        <f t="shared" si="46"/>
        <v>0</v>
      </c>
      <c r="AI255" s="56">
        <f t="shared" si="47"/>
        <v>0</v>
      </c>
      <c r="AJ255" s="56">
        <f t="shared" si="48"/>
        <v>0</v>
      </c>
      <c r="AK255" s="56">
        <f t="shared" si="49"/>
        <v>0</v>
      </c>
      <c r="AL255" s="56">
        <f t="shared" si="50"/>
        <v>0</v>
      </c>
      <c r="AM255" s="56">
        <f t="shared" si="56"/>
        <v>0</v>
      </c>
      <c r="AN255" s="60">
        <f t="shared" si="51"/>
        <v>0</v>
      </c>
      <c r="AO255" s="59">
        <f t="shared" si="52"/>
        <v>0</v>
      </c>
      <c r="AP255" s="59">
        <f t="shared" si="53"/>
        <v>0</v>
      </c>
    </row>
    <row r="256" spans="3:42" s="17" customFormat="1" x14ac:dyDescent="0.25">
      <c r="C256" s="241" t="s">
        <v>213</v>
      </c>
      <c r="D256" s="242"/>
      <c r="E256" s="88"/>
      <c r="F256" s="217"/>
      <c r="G256" s="234"/>
      <c r="H256" s="218"/>
      <c r="I256" s="76"/>
      <c r="J256" s="77"/>
      <c r="K256" s="77"/>
      <c r="L256" s="76"/>
      <c r="M256" s="110"/>
      <c r="N256" s="152"/>
      <c r="O256" s="111" t="str">
        <f>IFERROR(MIN(VLOOKUP(ROUNDDOWN(N256,0),'Aide calcul'!$B$2:$C$282,2,FALSE),M256+1),"")</f>
        <v/>
      </c>
      <c r="P256" s="112" t="str">
        <f t="shared" si="54"/>
        <v/>
      </c>
      <c r="Q256" s="170"/>
      <c r="R256" s="170"/>
      <c r="S256" s="170"/>
      <c r="T256" s="170"/>
      <c r="U256" s="170"/>
      <c r="V256" s="170"/>
      <c r="W256" s="170"/>
      <c r="X256" s="76"/>
      <c r="Y256" s="76"/>
      <c r="Z256" s="113" t="str">
        <f>IFERROR(ROUND('Informations générales'!$E$66*(AE256/SUM($AE$28:$AE$404))/12,0)*12,"")</f>
        <v/>
      </c>
      <c r="AA256" s="114"/>
      <c r="AB256" s="113" t="str">
        <f t="shared" si="43"/>
        <v/>
      </c>
      <c r="AC256" s="89"/>
      <c r="AD256" s="76"/>
      <c r="AE256" s="56">
        <f t="shared" si="55"/>
        <v>0</v>
      </c>
      <c r="AF256" s="56">
        <f t="shared" si="44"/>
        <v>0</v>
      </c>
      <c r="AG256" s="56">
        <f t="shared" si="45"/>
        <v>0</v>
      </c>
      <c r="AH256" s="56">
        <f t="shared" si="46"/>
        <v>0</v>
      </c>
      <c r="AI256" s="56">
        <f t="shared" si="47"/>
        <v>0</v>
      </c>
      <c r="AJ256" s="56">
        <f t="shared" si="48"/>
        <v>0</v>
      </c>
      <c r="AK256" s="56">
        <f t="shared" si="49"/>
        <v>0</v>
      </c>
      <c r="AL256" s="56">
        <f t="shared" si="50"/>
        <v>0</v>
      </c>
      <c r="AM256" s="56">
        <f t="shared" si="56"/>
        <v>0</v>
      </c>
      <c r="AN256" s="60">
        <f t="shared" si="51"/>
        <v>0</v>
      </c>
      <c r="AO256" s="59">
        <f t="shared" si="52"/>
        <v>0</v>
      </c>
      <c r="AP256" s="59">
        <f t="shared" si="53"/>
        <v>0</v>
      </c>
    </row>
    <row r="257" spans="3:42" s="17" customFormat="1" x14ac:dyDescent="0.25">
      <c r="C257" s="241" t="s">
        <v>213</v>
      </c>
      <c r="D257" s="242"/>
      <c r="E257" s="88"/>
      <c r="F257" s="217"/>
      <c r="G257" s="234"/>
      <c r="H257" s="218"/>
      <c r="I257" s="76"/>
      <c r="J257" s="77"/>
      <c r="K257" s="77"/>
      <c r="L257" s="76"/>
      <c r="M257" s="110"/>
      <c r="N257" s="152"/>
      <c r="O257" s="111" t="str">
        <f>IFERROR(MIN(VLOOKUP(ROUNDDOWN(N257,0),'Aide calcul'!$B$2:$C$282,2,FALSE),M257+1),"")</f>
        <v/>
      </c>
      <c r="P257" s="112" t="str">
        <f t="shared" si="54"/>
        <v/>
      </c>
      <c r="Q257" s="170"/>
      <c r="R257" s="170"/>
      <c r="S257" s="170"/>
      <c r="T257" s="170"/>
      <c r="U257" s="170"/>
      <c r="V257" s="170"/>
      <c r="W257" s="170"/>
      <c r="X257" s="76"/>
      <c r="Y257" s="76"/>
      <c r="Z257" s="113" t="str">
        <f>IFERROR(ROUND('Informations générales'!$E$66*(AE257/SUM($AE$28:$AE$404))/12,0)*12,"")</f>
        <v/>
      </c>
      <c r="AA257" s="114"/>
      <c r="AB257" s="113" t="str">
        <f t="shared" si="43"/>
        <v/>
      </c>
      <c r="AC257" s="89"/>
      <c r="AD257" s="76"/>
      <c r="AE257" s="56">
        <f t="shared" si="55"/>
        <v>0</v>
      </c>
      <c r="AF257" s="56">
        <f t="shared" si="44"/>
        <v>0</v>
      </c>
      <c r="AG257" s="56">
        <f t="shared" si="45"/>
        <v>0</v>
      </c>
      <c r="AH257" s="56">
        <f t="shared" si="46"/>
        <v>0</v>
      </c>
      <c r="AI257" s="56">
        <f t="shared" si="47"/>
        <v>0</v>
      </c>
      <c r="AJ257" s="56">
        <f t="shared" si="48"/>
        <v>0</v>
      </c>
      <c r="AK257" s="56">
        <f t="shared" si="49"/>
        <v>0</v>
      </c>
      <c r="AL257" s="56">
        <f t="shared" si="50"/>
        <v>0</v>
      </c>
      <c r="AM257" s="56">
        <f t="shared" si="56"/>
        <v>0</v>
      </c>
      <c r="AN257" s="60">
        <f t="shared" si="51"/>
        <v>0</v>
      </c>
      <c r="AO257" s="59">
        <f t="shared" si="52"/>
        <v>0</v>
      </c>
      <c r="AP257" s="59">
        <f t="shared" si="53"/>
        <v>0</v>
      </c>
    </row>
    <row r="258" spans="3:42" s="17" customFormat="1" x14ac:dyDescent="0.25">
      <c r="C258" s="241" t="s">
        <v>213</v>
      </c>
      <c r="D258" s="242"/>
      <c r="E258" s="88"/>
      <c r="F258" s="217"/>
      <c r="G258" s="234"/>
      <c r="H258" s="218"/>
      <c r="I258" s="76"/>
      <c r="J258" s="77"/>
      <c r="K258" s="77"/>
      <c r="L258" s="76"/>
      <c r="M258" s="110"/>
      <c r="N258" s="152"/>
      <c r="O258" s="111" t="str">
        <f>IFERROR(MIN(VLOOKUP(ROUNDDOWN(N258,0),'Aide calcul'!$B$2:$C$282,2,FALSE),M258+1),"")</f>
        <v/>
      </c>
      <c r="P258" s="112" t="str">
        <f t="shared" si="54"/>
        <v/>
      </c>
      <c r="Q258" s="170"/>
      <c r="R258" s="170"/>
      <c r="S258" s="170"/>
      <c r="T258" s="170"/>
      <c r="U258" s="170"/>
      <c r="V258" s="170"/>
      <c r="W258" s="170"/>
      <c r="X258" s="76"/>
      <c r="Y258" s="76"/>
      <c r="Z258" s="113" t="str">
        <f>IFERROR(ROUND('Informations générales'!$E$66*(AE258/SUM($AE$28:$AE$404))/12,0)*12,"")</f>
        <v/>
      </c>
      <c r="AA258" s="114"/>
      <c r="AB258" s="113" t="str">
        <f t="shared" si="43"/>
        <v/>
      </c>
      <c r="AC258" s="89"/>
      <c r="AD258" s="76"/>
      <c r="AE258" s="56">
        <f t="shared" si="55"/>
        <v>0</v>
      </c>
      <c r="AF258" s="56">
        <f t="shared" si="44"/>
        <v>0</v>
      </c>
      <c r="AG258" s="56">
        <f t="shared" si="45"/>
        <v>0</v>
      </c>
      <c r="AH258" s="56">
        <f t="shared" si="46"/>
        <v>0</v>
      </c>
      <c r="AI258" s="56">
        <f t="shared" si="47"/>
        <v>0</v>
      </c>
      <c r="AJ258" s="56">
        <f t="shared" si="48"/>
        <v>0</v>
      </c>
      <c r="AK258" s="56">
        <f t="shared" si="49"/>
        <v>0</v>
      </c>
      <c r="AL258" s="56">
        <f t="shared" si="50"/>
        <v>0</v>
      </c>
      <c r="AM258" s="56">
        <f t="shared" si="56"/>
        <v>0</v>
      </c>
      <c r="AN258" s="60">
        <f t="shared" si="51"/>
        <v>0</v>
      </c>
      <c r="AO258" s="59">
        <f t="shared" si="52"/>
        <v>0</v>
      </c>
      <c r="AP258" s="59">
        <f t="shared" si="53"/>
        <v>0</v>
      </c>
    </row>
    <row r="259" spans="3:42" s="17" customFormat="1" x14ac:dyDescent="0.25">
      <c r="C259" s="241" t="s">
        <v>213</v>
      </c>
      <c r="D259" s="242"/>
      <c r="E259" s="88"/>
      <c r="F259" s="217"/>
      <c r="G259" s="234"/>
      <c r="H259" s="218"/>
      <c r="I259" s="76"/>
      <c r="J259" s="77"/>
      <c r="K259" s="77"/>
      <c r="L259" s="76"/>
      <c r="M259" s="110"/>
      <c r="N259" s="152"/>
      <c r="O259" s="111" t="str">
        <f>IFERROR(MIN(VLOOKUP(ROUNDDOWN(N259,0),'Aide calcul'!$B$2:$C$282,2,FALSE),M259+1),"")</f>
        <v/>
      </c>
      <c r="P259" s="112" t="str">
        <f t="shared" si="54"/>
        <v/>
      </c>
      <c r="Q259" s="170"/>
      <c r="R259" s="170"/>
      <c r="S259" s="170"/>
      <c r="T259" s="170"/>
      <c r="U259" s="170"/>
      <c r="V259" s="170"/>
      <c r="W259" s="170"/>
      <c r="X259" s="76"/>
      <c r="Y259" s="76"/>
      <c r="Z259" s="113" t="str">
        <f>IFERROR(ROUND('Informations générales'!$E$66*(AE259/SUM($AE$28:$AE$404))/12,0)*12,"")</f>
        <v/>
      </c>
      <c r="AA259" s="114"/>
      <c r="AB259" s="113" t="str">
        <f t="shared" si="43"/>
        <v/>
      </c>
      <c r="AC259" s="89"/>
      <c r="AD259" s="76"/>
      <c r="AE259" s="56">
        <f t="shared" si="55"/>
        <v>0</v>
      </c>
      <c r="AF259" s="56">
        <f t="shared" si="44"/>
        <v>0</v>
      </c>
      <c r="AG259" s="56">
        <f t="shared" si="45"/>
        <v>0</v>
      </c>
      <c r="AH259" s="56">
        <f t="shared" si="46"/>
        <v>0</v>
      </c>
      <c r="AI259" s="56">
        <f t="shared" si="47"/>
        <v>0</v>
      </c>
      <c r="AJ259" s="56">
        <f t="shared" si="48"/>
        <v>0</v>
      </c>
      <c r="AK259" s="56">
        <f t="shared" si="49"/>
        <v>0</v>
      </c>
      <c r="AL259" s="56">
        <f t="shared" si="50"/>
        <v>0</v>
      </c>
      <c r="AM259" s="56">
        <f t="shared" si="56"/>
        <v>0</v>
      </c>
      <c r="AN259" s="60">
        <f t="shared" si="51"/>
        <v>0</v>
      </c>
      <c r="AO259" s="59">
        <f t="shared" si="52"/>
        <v>0</v>
      </c>
      <c r="AP259" s="59">
        <f t="shared" si="53"/>
        <v>0</v>
      </c>
    </row>
    <row r="260" spans="3:42" s="17" customFormat="1" x14ac:dyDescent="0.25">
      <c r="C260" s="241" t="s">
        <v>213</v>
      </c>
      <c r="D260" s="242"/>
      <c r="E260" s="88"/>
      <c r="F260" s="217"/>
      <c r="G260" s="234"/>
      <c r="H260" s="218"/>
      <c r="I260" s="76"/>
      <c r="J260" s="77"/>
      <c r="K260" s="77"/>
      <c r="L260" s="76"/>
      <c r="M260" s="110"/>
      <c r="N260" s="152"/>
      <c r="O260" s="111" t="str">
        <f>IFERROR(MIN(VLOOKUP(ROUNDDOWN(N260,0),'Aide calcul'!$B$2:$C$282,2,FALSE),M260+1),"")</f>
        <v/>
      </c>
      <c r="P260" s="112" t="str">
        <f t="shared" si="54"/>
        <v/>
      </c>
      <c r="Q260" s="170"/>
      <c r="R260" s="170"/>
      <c r="S260" s="170"/>
      <c r="T260" s="170"/>
      <c r="U260" s="170"/>
      <c r="V260" s="170"/>
      <c r="W260" s="170"/>
      <c r="X260" s="76"/>
      <c r="Y260" s="76"/>
      <c r="Z260" s="113" t="str">
        <f>IFERROR(ROUND('Informations générales'!$E$66*(AE260/SUM($AE$28:$AE$404))/12,0)*12,"")</f>
        <v/>
      </c>
      <c r="AA260" s="114"/>
      <c r="AB260" s="113" t="str">
        <f t="shared" si="43"/>
        <v/>
      </c>
      <c r="AC260" s="89"/>
      <c r="AD260" s="76"/>
      <c r="AE260" s="56">
        <f t="shared" si="55"/>
        <v>0</v>
      </c>
      <c r="AF260" s="56">
        <f t="shared" si="44"/>
        <v>0</v>
      </c>
      <c r="AG260" s="56">
        <f t="shared" si="45"/>
        <v>0</v>
      </c>
      <c r="AH260" s="56">
        <f t="shared" si="46"/>
        <v>0</v>
      </c>
      <c r="AI260" s="56">
        <f t="shared" si="47"/>
        <v>0</v>
      </c>
      <c r="AJ260" s="56">
        <f t="shared" si="48"/>
        <v>0</v>
      </c>
      <c r="AK260" s="56">
        <f t="shared" si="49"/>
        <v>0</v>
      </c>
      <c r="AL260" s="56">
        <f t="shared" si="50"/>
        <v>0</v>
      </c>
      <c r="AM260" s="56">
        <f t="shared" si="56"/>
        <v>0</v>
      </c>
      <c r="AN260" s="60">
        <f t="shared" si="51"/>
        <v>0</v>
      </c>
      <c r="AO260" s="59">
        <f t="shared" si="52"/>
        <v>0</v>
      </c>
      <c r="AP260" s="59">
        <f t="shared" si="53"/>
        <v>0</v>
      </c>
    </row>
    <row r="261" spans="3:42" s="17" customFormat="1" x14ac:dyDescent="0.25">
      <c r="C261" s="241" t="s">
        <v>213</v>
      </c>
      <c r="D261" s="242"/>
      <c r="E261" s="88"/>
      <c r="F261" s="217"/>
      <c r="G261" s="234"/>
      <c r="H261" s="218"/>
      <c r="I261" s="76"/>
      <c r="J261" s="77"/>
      <c r="K261" s="77"/>
      <c r="L261" s="76"/>
      <c r="M261" s="110"/>
      <c r="N261" s="152"/>
      <c r="O261" s="111" t="str">
        <f>IFERROR(MIN(VLOOKUP(ROUNDDOWN(N261,0),'Aide calcul'!$B$2:$C$282,2,FALSE),M261+1),"")</f>
        <v/>
      </c>
      <c r="P261" s="112" t="str">
        <f t="shared" si="54"/>
        <v/>
      </c>
      <c r="Q261" s="170"/>
      <c r="R261" s="170"/>
      <c r="S261" s="170"/>
      <c r="T261" s="170"/>
      <c r="U261" s="170"/>
      <c r="V261" s="170"/>
      <c r="W261" s="170"/>
      <c r="X261" s="76"/>
      <c r="Y261" s="76"/>
      <c r="Z261" s="113" t="str">
        <f>IFERROR(ROUND('Informations générales'!$E$66*(AE261/SUM($AE$28:$AE$404))/12,0)*12,"")</f>
        <v/>
      </c>
      <c r="AA261" s="114"/>
      <c r="AB261" s="113" t="str">
        <f t="shared" si="43"/>
        <v/>
      </c>
      <c r="AC261" s="89"/>
      <c r="AD261" s="76"/>
      <c r="AE261" s="56">
        <f t="shared" si="55"/>
        <v>0</v>
      </c>
      <c r="AF261" s="56">
        <f t="shared" si="44"/>
        <v>0</v>
      </c>
      <c r="AG261" s="56">
        <f t="shared" si="45"/>
        <v>0</v>
      </c>
      <c r="AH261" s="56">
        <f t="shared" si="46"/>
        <v>0</v>
      </c>
      <c r="AI261" s="56">
        <f t="shared" si="47"/>
        <v>0</v>
      </c>
      <c r="AJ261" s="56">
        <f t="shared" si="48"/>
        <v>0</v>
      </c>
      <c r="AK261" s="56">
        <f t="shared" si="49"/>
        <v>0</v>
      </c>
      <c r="AL261" s="56">
        <f t="shared" si="50"/>
        <v>0</v>
      </c>
      <c r="AM261" s="56">
        <f t="shared" si="56"/>
        <v>0</v>
      </c>
      <c r="AN261" s="60">
        <f t="shared" si="51"/>
        <v>0</v>
      </c>
      <c r="AO261" s="59">
        <f t="shared" si="52"/>
        <v>0</v>
      </c>
      <c r="AP261" s="59">
        <f t="shared" si="53"/>
        <v>0</v>
      </c>
    </row>
    <row r="262" spans="3:42" s="17" customFormat="1" x14ac:dyDescent="0.25">
      <c r="C262" s="241" t="s">
        <v>213</v>
      </c>
      <c r="D262" s="242"/>
      <c r="E262" s="88"/>
      <c r="F262" s="217"/>
      <c r="G262" s="234"/>
      <c r="H262" s="218"/>
      <c r="I262" s="76"/>
      <c r="J262" s="77"/>
      <c r="K262" s="77"/>
      <c r="L262" s="76"/>
      <c r="M262" s="110"/>
      <c r="N262" s="152"/>
      <c r="O262" s="111" t="str">
        <f>IFERROR(MIN(VLOOKUP(ROUNDDOWN(N262,0),'Aide calcul'!$B$2:$C$282,2,FALSE),M262+1),"")</f>
        <v/>
      </c>
      <c r="P262" s="112" t="str">
        <f t="shared" si="54"/>
        <v/>
      </c>
      <c r="Q262" s="170"/>
      <c r="R262" s="170"/>
      <c r="S262" s="170"/>
      <c r="T262" s="170"/>
      <c r="U262" s="170"/>
      <c r="V262" s="170"/>
      <c r="W262" s="170"/>
      <c r="X262" s="76"/>
      <c r="Y262" s="76"/>
      <c r="Z262" s="113" t="str">
        <f>IFERROR(ROUND('Informations générales'!$E$66*(AE262/SUM($AE$28:$AE$404))/12,0)*12,"")</f>
        <v/>
      </c>
      <c r="AA262" s="114"/>
      <c r="AB262" s="113" t="str">
        <f t="shared" si="43"/>
        <v/>
      </c>
      <c r="AC262" s="89"/>
      <c r="AD262" s="76"/>
      <c r="AE262" s="56">
        <f t="shared" si="55"/>
        <v>0</v>
      </c>
      <c r="AF262" s="56">
        <f t="shared" si="44"/>
        <v>0</v>
      </c>
      <c r="AG262" s="56">
        <f t="shared" si="45"/>
        <v>0</v>
      </c>
      <c r="AH262" s="56">
        <f t="shared" si="46"/>
        <v>0</v>
      </c>
      <c r="AI262" s="56">
        <f t="shared" si="47"/>
        <v>0</v>
      </c>
      <c r="AJ262" s="56">
        <f t="shared" si="48"/>
        <v>0</v>
      </c>
      <c r="AK262" s="56">
        <f t="shared" si="49"/>
        <v>0</v>
      </c>
      <c r="AL262" s="56">
        <f t="shared" si="50"/>
        <v>0</v>
      </c>
      <c r="AM262" s="56">
        <f t="shared" si="56"/>
        <v>0</v>
      </c>
      <c r="AN262" s="60">
        <f t="shared" si="51"/>
        <v>0</v>
      </c>
      <c r="AO262" s="59">
        <f t="shared" si="52"/>
        <v>0</v>
      </c>
      <c r="AP262" s="59">
        <f t="shared" si="53"/>
        <v>0</v>
      </c>
    </row>
    <row r="263" spans="3:42" s="17" customFormat="1" x14ac:dyDescent="0.25">
      <c r="C263" s="241" t="s">
        <v>213</v>
      </c>
      <c r="D263" s="242"/>
      <c r="E263" s="88"/>
      <c r="F263" s="217"/>
      <c r="G263" s="234"/>
      <c r="H263" s="218"/>
      <c r="I263" s="76"/>
      <c r="J263" s="77"/>
      <c r="K263" s="77"/>
      <c r="L263" s="76"/>
      <c r="M263" s="110"/>
      <c r="N263" s="152"/>
      <c r="O263" s="111" t="str">
        <f>IFERROR(MIN(VLOOKUP(ROUNDDOWN(N263,0),'Aide calcul'!$B$2:$C$282,2,FALSE),M263+1),"")</f>
        <v/>
      </c>
      <c r="P263" s="112" t="str">
        <f t="shared" si="54"/>
        <v/>
      </c>
      <c r="Q263" s="170"/>
      <c r="R263" s="170"/>
      <c r="S263" s="170"/>
      <c r="T263" s="170"/>
      <c r="U263" s="170"/>
      <c r="V263" s="170"/>
      <c r="W263" s="170"/>
      <c r="X263" s="76"/>
      <c r="Y263" s="76"/>
      <c r="Z263" s="113" t="str">
        <f>IFERROR(ROUND('Informations générales'!$E$66*(AE263/SUM($AE$28:$AE$404))/12,0)*12,"")</f>
        <v/>
      </c>
      <c r="AA263" s="114"/>
      <c r="AB263" s="113" t="str">
        <f t="shared" si="43"/>
        <v/>
      </c>
      <c r="AC263" s="89"/>
      <c r="AD263" s="76"/>
      <c r="AE263" s="56">
        <f t="shared" si="55"/>
        <v>0</v>
      </c>
      <c r="AF263" s="56">
        <f t="shared" si="44"/>
        <v>0</v>
      </c>
      <c r="AG263" s="56">
        <f t="shared" si="45"/>
        <v>0</v>
      </c>
      <c r="AH263" s="56">
        <f t="shared" si="46"/>
        <v>0</v>
      </c>
      <c r="AI263" s="56">
        <f t="shared" si="47"/>
        <v>0</v>
      </c>
      <c r="AJ263" s="56">
        <f t="shared" si="48"/>
        <v>0</v>
      </c>
      <c r="AK263" s="56">
        <f t="shared" si="49"/>
        <v>0</v>
      </c>
      <c r="AL263" s="56">
        <f t="shared" si="50"/>
        <v>0</v>
      </c>
      <c r="AM263" s="56">
        <f t="shared" si="56"/>
        <v>0</v>
      </c>
      <c r="AN263" s="60">
        <f t="shared" si="51"/>
        <v>0</v>
      </c>
      <c r="AO263" s="59">
        <f t="shared" si="52"/>
        <v>0</v>
      </c>
      <c r="AP263" s="59">
        <f t="shared" si="53"/>
        <v>0</v>
      </c>
    </row>
    <row r="264" spans="3:42" s="17" customFormat="1" x14ac:dyDescent="0.25">
      <c r="C264" s="241" t="s">
        <v>213</v>
      </c>
      <c r="D264" s="242"/>
      <c r="E264" s="88"/>
      <c r="F264" s="217"/>
      <c r="G264" s="234"/>
      <c r="H264" s="218"/>
      <c r="I264" s="76"/>
      <c r="J264" s="77"/>
      <c r="K264" s="77"/>
      <c r="L264" s="76"/>
      <c r="M264" s="110"/>
      <c r="N264" s="152"/>
      <c r="O264" s="111" t="str">
        <f>IFERROR(MIN(VLOOKUP(ROUNDDOWN(N264,0),'Aide calcul'!$B$2:$C$282,2,FALSE),M264+1),"")</f>
        <v/>
      </c>
      <c r="P264" s="112" t="str">
        <f t="shared" si="54"/>
        <v/>
      </c>
      <c r="Q264" s="170"/>
      <c r="R264" s="170"/>
      <c r="S264" s="170"/>
      <c r="T264" s="170"/>
      <c r="U264" s="170"/>
      <c r="V264" s="170"/>
      <c r="W264" s="170"/>
      <c r="X264" s="76"/>
      <c r="Y264" s="76"/>
      <c r="Z264" s="113" t="str">
        <f>IFERROR(ROUND('Informations générales'!$E$66*(AE264/SUM($AE$28:$AE$404))/12,0)*12,"")</f>
        <v/>
      </c>
      <c r="AA264" s="114"/>
      <c r="AB264" s="113" t="str">
        <f t="shared" si="43"/>
        <v/>
      </c>
      <c r="AC264" s="89"/>
      <c r="AD264" s="76"/>
      <c r="AE264" s="56">
        <f t="shared" si="55"/>
        <v>0</v>
      </c>
      <c r="AF264" s="56">
        <f t="shared" si="44"/>
        <v>0</v>
      </c>
      <c r="AG264" s="56">
        <f t="shared" si="45"/>
        <v>0</v>
      </c>
      <c r="AH264" s="56">
        <f t="shared" si="46"/>
        <v>0</v>
      </c>
      <c r="AI264" s="56">
        <f t="shared" si="47"/>
        <v>0</v>
      </c>
      <c r="AJ264" s="56">
        <f t="shared" si="48"/>
        <v>0</v>
      </c>
      <c r="AK264" s="56">
        <f t="shared" si="49"/>
        <v>0</v>
      </c>
      <c r="AL264" s="56">
        <f t="shared" si="50"/>
        <v>0</v>
      </c>
      <c r="AM264" s="56">
        <f t="shared" si="56"/>
        <v>0</v>
      </c>
      <c r="AN264" s="60">
        <f t="shared" si="51"/>
        <v>0</v>
      </c>
      <c r="AO264" s="59">
        <f t="shared" si="52"/>
        <v>0</v>
      </c>
      <c r="AP264" s="59">
        <f t="shared" si="53"/>
        <v>0</v>
      </c>
    </row>
    <row r="265" spans="3:42" s="17" customFormat="1" x14ac:dyDescent="0.25">
      <c r="C265" s="241" t="s">
        <v>213</v>
      </c>
      <c r="D265" s="242"/>
      <c r="E265" s="88"/>
      <c r="F265" s="217"/>
      <c r="G265" s="234"/>
      <c r="H265" s="218"/>
      <c r="I265" s="76"/>
      <c r="J265" s="77"/>
      <c r="K265" s="77"/>
      <c r="L265" s="76"/>
      <c r="M265" s="110"/>
      <c r="N265" s="152"/>
      <c r="O265" s="111" t="str">
        <f>IFERROR(MIN(VLOOKUP(ROUNDDOWN(N265,0),'Aide calcul'!$B$2:$C$282,2,FALSE),M265+1),"")</f>
        <v/>
      </c>
      <c r="P265" s="112" t="str">
        <f t="shared" si="54"/>
        <v/>
      </c>
      <c r="Q265" s="170"/>
      <c r="R265" s="170"/>
      <c r="S265" s="170"/>
      <c r="T265" s="170"/>
      <c r="U265" s="170"/>
      <c r="V265" s="170"/>
      <c r="W265" s="170"/>
      <c r="X265" s="76"/>
      <c r="Y265" s="76"/>
      <c r="Z265" s="113" t="str">
        <f>IFERROR(ROUND('Informations générales'!$E$66*(AE265/SUM($AE$28:$AE$404))/12,0)*12,"")</f>
        <v/>
      </c>
      <c r="AA265" s="114"/>
      <c r="AB265" s="113" t="str">
        <f t="shared" si="43"/>
        <v/>
      </c>
      <c r="AC265" s="89"/>
      <c r="AD265" s="76"/>
      <c r="AE265" s="56">
        <f t="shared" si="55"/>
        <v>0</v>
      </c>
      <c r="AF265" s="56">
        <f t="shared" si="44"/>
        <v>0</v>
      </c>
      <c r="AG265" s="56">
        <f t="shared" si="45"/>
        <v>0</v>
      </c>
      <c r="AH265" s="56">
        <f t="shared" si="46"/>
        <v>0</v>
      </c>
      <c r="AI265" s="56">
        <f t="shared" si="47"/>
        <v>0</v>
      </c>
      <c r="AJ265" s="56">
        <f t="shared" si="48"/>
        <v>0</v>
      </c>
      <c r="AK265" s="56">
        <f t="shared" si="49"/>
        <v>0</v>
      </c>
      <c r="AL265" s="56">
        <f t="shared" si="50"/>
        <v>0</v>
      </c>
      <c r="AM265" s="56">
        <f t="shared" si="56"/>
        <v>0</v>
      </c>
      <c r="AN265" s="60">
        <f t="shared" si="51"/>
        <v>0</v>
      </c>
      <c r="AO265" s="59">
        <f t="shared" si="52"/>
        <v>0</v>
      </c>
      <c r="AP265" s="59">
        <f t="shared" si="53"/>
        <v>0</v>
      </c>
    </row>
    <row r="266" spans="3:42" s="17" customFormat="1" x14ac:dyDescent="0.25">
      <c r="C266" s="241" t="s">
        <v>213</v>
      </c>
      <c r="D266" s="242"/>
      <c r="E266" s="88"/>
      <c r="F266" s="217"/>
      <c r="G266" s="234"/>
      <c r="H266" s="218"/>
      <c r="I266" s="76"/>
      <c r="J266" s="77"/>
      <c r="K266" s="77"/>
      <c r="L266" s="76"/>
      <c r="M266" s="110"/>
      <c r="N266" s="152"/>
      <c r="O266" s="111" t="str">
        <f>IFERROR(MIN(VLOOKUP(ROUNDDOWN(N266,0),'Aide calcul'!$B$2:$C$282,2,FALSE),M266+1),"")</f>
        <v/>
      </c>
      <c r="P266" s="112" t="str">
        <f t="shared" si="54"/>
        <v/>
      </c>
      <c r="Q266" s="170"/>
      <c r="R266" s="170"/>
      <c r="S266" s="170"/>
      <c r="T266" s="170"/>
      <c r="U266" s="170"/>
      <c r="V266" s="170"/>
      <c r="W266" s="170"/>
      <c r="X266" s="76"/>
      <c r="Y266" s="76"/>
      <c r="Z266" s="113" t="str">
        <f>IFERROR(ROUND('Informations générales'!$E$66*(AE266/SUM($AE$28:$AE$404))/12,0)*12,"")</f>
        <v/>
      </c>
      <c r="AA266" s="114"/>
      <c r="AB266" s="113" t="str">
        <f t="shared" si="43"/>
        <v/>
      </c>
      <c r="AC266" s="89"/>
      <c r="AD266" s="76"/>
      <c r="AE266" s="56">
        <f t="shared" si="55"/>
        <v>0</v>
      </c>
      <c r="AF266" s="56">
        <f t="shared" si="44"/>
        <v>0</v>
      </c>
      <c r="AG266" s="56">
        <f t="shared" si="45"/>
        <v>0</v>
      </c>
      <c r="AH266" s="56">
        <f t="shared" si="46"/>
        <v>0</v>
      </c>
      <c r="AI266" s="56">
        <f t="shared" si="47"/>
        <v>0</v>
      </c>
      <c r="AJ266" s="56">
        <f t="shared" si="48"/>
        <v>0</v>
      </c>
      <c r="AK266" s="56">
        <f t="shared" si="49"/>
        <v>0</v>
      </c>
      <c r="AL266" s="56">
        <f t="shared" si="50"/>
        <v>0</v>
      </c>
      <c r="AM266" s="56">
        <f t="shared" si="56"/>
        <v>0</v>
      </c>
      <c r="AN266" s="60">
        <f t="shared" si="51"/>
        <v>0</v>
      </c>
      <c r="AO266" s="59">
        <f t="shared" si="52"/>
        <v>0</v>
      </c>
      <c r="AP266" s="59">
        <f t="shared" si="53"/>
        <v>0</v>
      </c>
    </row>
    <row r="267" spans="3:42" s="17" customFormat="1" x14ac:dyDescent="0.25">
      <c r="C267" s="241" t="s">
        <v>213</v>
      </c>
      <c r="D267" s="242"/>
      <c r="E267" s="88"/>
      <c r="F267" s="217"/>
      <c r="G267" s="234"/>
      <c r="H267" s="218"/>
      <c r="I267" s="76"/>
      <c r="J267" s="77"/>
      <c r="K267" s="77"/>
      <c r="L267" s="76"/>
      <c r="M267" s="110"/>
      <c r="N267" s="152"/>
      <c r="O267" s="111" t="str">
        <f>IFERROR(MIN(VLOOKUP(ROUNDDOWN(N267,0),'Aide calcul'!$B$2:$C$282,2,FALSE),M267+1),"")</f>
        <v/>
      </c>
      <c r="P267" s="112" t="str">
        <f t="shared" si="54"/>
        <v/>
      </c>
      <c r="Q267" s="170"/>
      <c r="R267" s="170"/>
      <c r="S267" s="170"/>
      <c r="T267" s="170"/>
      <c r="U267" s="170"/>
      <c r="V267" s="170"/>
      <c r="W267" s="170"/>
      <c r="X267" s="76"/>
      <c r="Y267" s="76"/>
      <c r="Z267" s="113" t="str">
        <f>IFERROR(ROUND('Informations générales'!$E$66*(AE267/SUM($AE$28:$AE$404))/12,0)*12,"")</f>
        <v/>
      </c>
      <c r="AA267" s="114"/>
      <c r="AB267" s="113" t="str">
        <f t="shared" si="43"/>
        <v/>
      </c>
      <c r="AC267" s="89"/>
      <c r="AD267" s="76"/>
      <c r="AE267" s="56">
        <f t="shared" si="55"/>
        <v>0</v>
      </c>
      <c r="AF267" s="56">
        <f t="shared" si="44"/>
        <v>0</v>
      </c>
      <c r="AG267" s="56">
        <f t="shared" si="45"/>
        <v>0</v>
      </c>
      <c r="AH267" s="56">
        <f t="shared" si="46"/>
        <v>0</v>
      </c>
      <c r="AI267" s="56">
        <f t="shared" si="47"/>
        <v>0</v>
      </c>
      <c r="AJ267" s="56">
        <f t="shared" si="48"/>
        <v>0</v>
      </c>
      <c r="AK267" s="56">
        <f t="shared" si="49"/>
        <v>0</v>
      </c>
      <c r="AL267" s="56">
        <f t="shared" si="50"/>
        <v>0</v>
      </c>
      <c r="AM267" s="56">
        <f t="shared" si="56"/>
        <v>0</v>
      </c>
      <c r="AN267" s="60">
        <f t="shared" si="51"/>
        <v>0</v>
      </c>
      <c r="AO267" s="59">
        <f t="shared" si="52"/>
        <v>0</v>
      </c>
      <c r="AP267" s="59">
        <f t="shared" si="53"/>
        <v>0</v>
      </c>
    </row>
    <row r="268" spans="3:42" s="17" customFormat="1" x14ac:dyDescent="0.25">
      <c r="C268" s="241" t="s">
        <v>213</v>
      </c>
      <c r="D268" s="242"/>
      <c r="E268" s="88"/>
      <c r="F268" s="217"/>
      <c r="G268" s="234"/>
      <c r="H268" s="218"/>
      <c r="I268" s="76"/>
      <c r="J268" s="77"/>
      <c r="K268" s="77"/>
      <c r="L268" s="76"/>
      <c r="M268" s="110"/>
      <c r="N268" s="152"/>
      <c r="O268" s="111" t="str">
        <f>IFERROR(MIN(VLOOKUP(ROUNDDOWN(N268,0),'Aide calcul'!$B$2:$C$282,2,FALSE),M268+1),"")</f>
        <v/>
      </c>
      <c r="P268" s="112" t="str">
        <f t="shared" si="54"/>
        <v/>
      </c>
      <c r="Q268" s="170"/>
      <c r="R268" s="170"/>
      <c r="S268" s="170"/>
      <c r="T268" s="170"/>
      <c r="U268" s="170"/>
      <c r="V268" s="170"/>
      <c r="W268" s="170"/>
      <c r="X268" s="76"/>
      <c r="Y268" s="76"/>
      <c r="Z268" s="113" t="str">
        <f>IFERROR(ROUND('Informations générales'!$E$66*(AE268/SUM($AE$28:$AE$404))/12,0)*12,"")</f>
        <v/>
      </c>
      <c r="AA268" s="114"/>
      <c r="AB268" s="113" t="str">
        <f t="shared" si="43"/>
        <v/>
      </c>
      <c r="AC268" s="89"/>
      <c r="AD268" s="76"/>
      <c r="AE268" s="56">
        <f t="shared" si="55"/>
        <v>0</v>
      </c>
      <c r="AF268" s="56">
        <f t="shared" si="44"/>
        <v>0</v>
      </c>
      <c r="AG268" s="56">
        <f t="shared" si="45"/>
        <v>0</v>
      </c>
      <c r="AH268" s="56">
        <f t="shared" si="46"/>
        <v>0</v>
      </c>
      <c r="AI268" s="56">
        <f t="shared" si="47"/>
        <v>0</v>
      </c>
      <c r="AJ268" s="56">
        <f t="shared" si="48"/>
        <v>0</v>
      </c>
      <c r="AK268" s="56">
        <f t="shared" si="49"/>
        <v>0</v>
      </c>
      <c r="AL268" s="56">
        <f t="shared" si="50"/>
        <v>0</v>
      </c>
      <c r="AM268" s="56">
        <f t="shared" si="56"/>
        <v>0</v>
      </c>
      <c r="AN268" s="60">
        <f t="shared" si="51"/>
        <v>0</v>
      </c>
      <c r="AO268" s="59">
        <f t="shared" si="52"/>
        <v>0</v>
      </c>
      <c r="AP268" s="59">
        <f t="shared" si="53"/>
        <v>0</v>
      </c>
    </row>
    <row r="269" spans="3:42" s="17" customFormat="1" x14ac:dyDescent="0.25">
      <c r="C269" s="241" t="s">
        <v>213</v>
      </c>
      <c r="D269" s="242"/>
      <c r="E269" s="88"/>
      <c r="F269" s="217"/>
      <c r="G269" s="234"/>
      <c r="H269" s="218"/>
      <c r="I269" s="76"/>
      <c r="J269" s="77"/>
      <c r="K269" s="77"/>
      <c r="L269" s="76"/>
      <c r="M269" s="110"/>
      <c r="N269" s="152"/>
      <c r="O269" s="111" t="str">
        <f>IFERROR(MIN(VLOOKUP(ROUNDDOWN(N269,0),'Aide calcul'!$B$2:$C$282,2,FALSE),M269+1),"")</f>
        <v/>
      </c>
      <c r="P269" s="112" t="str">
        <f t="shared" si="54"/>
        <v/>
      </c>
      <c r="Q269" s="170"/>
      <c r="R269" s="170"/>
      <c r="S269" s="170"/>
      <c r="T269" s="170"/>
      <c r="U269" s="170"/>
      <c r="V269" s="170"/>
      <c r="W269" s="170"/>
      <c r="X269" s="76"/>
      <c r="Y269" s="76"/>
      <c r="Z269" s="113" t="str">
        <f>IFERROR(ROUND('Informations générales'!$E$66*(AE269/SUM($AE$28:$AE$404))/12,0)*12,"")</f>
        <v/>
      </c>
      <c r="AA269" s="114"/>
      <c r="AB269" s="113" t="str">
        <f t="shared" si="43"/>
        <v/>
      </c>
      <c r="AC269" s="89"/>
      <c r="AD269" s="76"/>
      <c r="AE269" s="56">
        <f t="shared" si="55"/>
        <v>0</v>
      </c>
      <c r="AF269" s="56">
        <f t="shared" si="44"/>
        <v>0</v>
      </c>
      <c r="AG269" s="56">
        <f t="shared" si="45"/>
        <v>0</v>
      </c>
      <c r="AH269" s="56">
        <f t="shared" si="46"/>
        <v>0</v>
      </c>
      <c r="AI269" s="56">
        <f t="shared" si="47"/>
        <v>0</v>
      </c>
      <c r="AJ269" s="56">
        <f t="shared" si="48"/>
        <v>0</v>
      </c>
      <c r="AK269" s="56">
        <f t="shared" si="49"/>
        <v>0</v>
      </c>
      <c r="AL269" s="56">
        <f t="shared" si="50"/>
        <v>0</v>
      </c>
      <c r="AM269" s="56">
        <f t="shared" si="56"/>
        <v>0</v>
      </c>
      <c r="AN269" s="60">
        <f t="shared" si="51"/>
        <v>0</v>
      </c>
      <c r="AO269" s="59">
        <f t="shared" si="52"/>
        <v>0</v>
      </c>
      <c r="AP269" s="59">
        <f t="shared" si="53"/>
        <v>0</v>
      </c>
    </row>
    <row r="270" spans="3:42" s="17" customFormat="1" x14ac:dyDescent="0.25">
      <c r="C270" s="241" t="s">
        <v>213</v>
      </c>
      <c r="D270" s="242"/>
      <c r="E270" s="88"/>
      <c r="F270" s="217"/>
      <c r="G270" s="234"/>
      <c r="H270" s="218"/>
      <c r="I270" s="76"/>
      <c r="J270" s="77"/>
      <c r="K270" s="77"/>
      <c r="L270" s="76"/>
      <c r="M270" s="110"/>
      <c r="N270" s="152"/>
      <c r="O270" s="111" t="str">
        <f>IFERROR(MIN(VLOOKUP(ROUNDDOWN(N270,0),'Aide calcul'!$B$2:$C$282,2,FALSE),M270+1),"")</f>
        <v/>
      </c>
      <c r="P270" s="112" t="str">
        <f t="shared" si="54"/>
        <v/>
      </c>
      <c r="Q270" s="170"/>
      <c r="R270" s="170"/>
      <c r="S270" s="170"/>
      <c r="T270" s="170"/>
      <c r="U270" s="170"/>
      <c r="V270" s="170"/>
      <c r="W270" s="170"/>
      <c r="X270" s="76"/>
      <c r="Y270" s="76"/>
      <c r="Z270" s="113" t="str">
        <f>IFERROR(ROUND('Informations générales'!$E$66*(AE270/SUM($AE$28:$AE$404))/12,0)*12,"")</f>
        <v/>
      </c>
      <c r="AA270" s="114"/>
      <c r="AB270" s="113" t="str">
        <f t="shared" si="43"/>
        <v/>
      </c>
      <c r="AC270" s="89"/>
      <c r="AD270" s="76"/>
      <c r="AE270" s="56">
        <f t="shared" si="55"/>
        <v>0</v>
      </c>
      <c r="AF270" s="56">
        <f t="shared" si="44"/>
        <v>0</v>
      </c>
      <c r="AG270" s="56">
        <f t="shared" si="45"/>
        <v>0</v>
      </c>
      <c r="AH270" s="56">
        <f t="shared" si="46"/>
        <v>0</v>
      </c>
      <c r="AI270" s="56">
        <f t="shared" si="47"/>
        <v>0</v>
      </c>
      <c r="AJ270" s="56">
        <f t="shared" si="48"/>
        <v>0</v>
      </c>
      <c r="AK270" s="56">
        <f t="shared" si="49"/>
        <v>0</v>
      </c>
      <c r="AL270" s="56">
        <f t="shared" si="50"/>
        <v>0</v>
      </c>
      <c r="AM270" s="56">
        <f t="shared" si="56"/>
        <v>0</v>
      </c>
      <c r="AN270" s="60">
        <f t="shared" si="51"/>
        <v>0</v>
      </c>
      <c r="AO270" s="59">
        <f t="shared" si="52"/>
        <v>0</v>
      </c>
      <c r="AP270" s="59">
        <f t="shared" si="53"/>
        <v>0</v>
      </c>
    </row>
    <row r="271" spans="3:42" s="17" customFormat="1" x14ac:dyDescent="0.25">
      <c r="C271" s="241" t="s">
        <v>213</v>
      </c>
      <c r="D271" s="242"/>
      <c r="E271" s="88"/>
      <c r="F271" s="217"/>
      <c r="G271" s="234"/>
      <c r="H271" s="218"/>
      <c r="I271" s="76"/>
      <c r="J271" s="77"/>
      <c r="K271" s="77"/>
      <c r="L271" s="76"/>
      <c r="M271" s="110"/>
      <c r="N271" s="152"/>
      <c r="O271" s="111" t="str">
        <f>IFERROR(MIN(VLOOKUP(ROUNDDOWN(N271,0),'Aide calcul'!$B$2:$C$282,2,FALSE),M271+1),"")</f>
        <v/>
      </c>
      <c r="P271" s="112" t="str">
        <f t="shared" si="54"/>
        <v/>
      </c>
      <c r="Q271" s="170"/>
      <c r="R271" s="170"/>
      <c r="S271" s="170"/>
      <c r="T271" s="170"/>
      <c r="U271" s="170"/>
      <c r="V271" s="170"/>
      <c r="W271" s="170"/>
      <c r="X271" s="76"/>
      <c r="Y271" s="76"/>
      <c r="Z271" s="113" t="str">
        <f>IFERROR(ROUND('Informations générales'!$E$66*(AE271/SUM($AE$28:$AE$404))/12,0)*12,"")</f>
        <v/>
      </c>
      <c r="AA271" s="114"/>
      <c r="AB271" s="113" t="str">
        <f t="shared" si="43"/>
        <v/>
      </c>
      <c r="AC271" s="89"/>
      <c r="AD271" s="76"/>
      <c r="AE271" s="56">
        <f t="shared" si="55"/>
        <v>0</v>
      </c>
      <c r="AF271" s="56">
        <f t="shared" si="44"/>
        <v>0</v>
      </c>
      <c r="AG271" s="56">
        <f t="shared" si="45"/>
        <v>0</v>
      </c>
      <c r="AH271" s="56">
        <f t="shared" si="46"/>
        <v>0</v>
      </c>
      <c r="AI271" s="56">
        <f t="shared" si="47"/>
        <v>0</v>
      </c>
      <c r="AJ271" s="56">
        <f t="shared" si="48"/>
        <v>0</v>
      </c>
      <c r="AK271" s="56">
        <f t="shared" si="49"/>
        <v>0</v>
      </c>
      <c r="AL271" s="56">
        <f t="shared" si="50"/>
        <v>0</v>
      </c>
      <c r="AM271" s="56">
        <f t="shared" si="56"/>
        <v>0</v>
      </c>
      <c r="AN271" s="60">
        <f t="shared" si="51"/>
        <v>0</v>
      </c>
      <c r="AO271" s="59">
        <f t="shared" si="52"/>
        <v>0</v>
      </c>
      <c r="AP271" s="59">
        <f t="shared" si="53"/>
        <v>0</v>
      </c>
    </row>
    <row r="272" spans="3:42" s="17" customFormat="1" x14ac:dyDescent="0.25">
      <c r="C272" s="241" t="s">
        <v>213</v>
      </c>
      <c r="D272" s="242"/>
      <c r="E272" s="88"/>
      <c r="F272" s="217"/>
      <c r="G272" s="234"/>
      <c r="H272" s="218"/>
      <c r="I272" s="76"/>
      <c r="J272" s="77"/>
      <c r="K272" s="77"/>
      <c r="L272" s="76"/>
      <c r="M272" s="110"/>
      <c r="N272" s="152"/>
      <c r="O272" s="111" t="str">
        <f>IFERROR(MIN(VLOOKUP(ROUNDDOWN(N272,0),'Aide calcul'!$B$2:$C$282,2,FALSE),M272+1),"")</f>
        <v/>
      </c>
      <c r="P272" s="112" t="str">
        <f t="shared" si="54"/>
        <v/>
      </c>
      <c r="Q272" s="170"/>
      <c r="R272" s="170"/>
      <c r="S272" s="170"/>
      <c r="T272" s="170"/>
      <c r="U272" s="170"/>
      <c r="V272" s="170"/>
      <c r="W272" s="170"/>
      <c r="X272" s="76"/>
      <c r="Y272" s="76"/>
      <c r="Z272" s="113" t="str">
        <f>IFERROR(ROUND('Informations générales'!$E$66*(AE272/SUM($AE$28:$AE$404))/12,0)*12,"")</f>
        <v/>
      </c>
      <c r="AA272" s="114"/>
      <c r="AB272" s="113" t="str">
        <f t="shared" si="43"/>
        <v/>
      </c>
      <c r="AC272" s="89"/>
      <c r="AD272" s="76"/>
      <c r="AE272" s="56">
        <f t="shared" si="55"/>
        <v>0</v>
      </c>
      <c r="AF272" s="56">
        <f t="shared" si="44"/>
        <v>0</v>
      </c>
      <c r="AG272" s="56">
        <f t="shared" si="45"/>
        <v>0</v>
      </c>
      <c r="AH272" s="56">
        <f t="shared" si="46"/>
        <v>0</v>
      </c>
      <c r="AI272" s="56">
        <f t="shared" si="47"/>
        <v>0</v>
      </c>
      <c r="AJ272" s="56">
        <f t="shared" si="48"/>
        <v>0</v>
      </c>
      <c r="AK272" s="56">
        <f t="shared" si="49"/>
        <v>0</v>
      </c>
      <c r="AL272" s="56">
        <f t="shared" si="50"/>
        <v>0</v>
      </c>
      <c r="AM272" s="56">
        <f t="shared" si="56"/>
        <v>0</v>
      </c>
      <c r="AN272" s="60">
        <f t="shared" si="51"/>
        <v>0</v>
      </c>
      <c r="AO272" s="59">
        <f t="shared" si="52"/>
        <v>0</v>
      </c>
      <c r="AP272" s="59">
        <f t="shared" si="53"/>
        <v>0</v>
      </c>
    </row>
    <row r="273" spans="3:42" s="17" customFormat="1" x14ac:dyDescent="0.25">
      <c r="C273" s="241" t="s">
        <v>213</v>
      </c>
      <c r="D273" s="242"/>
      <c r="E273" s="88"/>
      <c r="F273" s="217"/>
      <c r="G273" s="234"/>
      <c r="H273" s="218"/>
      <c r="I273" s="76"/>
      <c r="J273" s="77"/>
      <c r="K273" s="77"/>
      <c r="L273" s="76"/>
      <c r="M273" s="110"/>
      <c r="N273" s="152"/>
      <c r="O273" s="111" t="str">
        <f>IFERROR(MIN(VLOOKUP(ROUNDDOWN(N273,0),'Aide calcul'!$B$2:$C$282,2,FALSE),M273+1),"")</f>
        <v/>
      </c>
      <c r="P273" s="112" t="str">
        <f t="shared" si="54"/>
        <v/>
      </c>
      <c r="Q273" s="170"/>
      <c r="R273" s="170"/>
      <c r="S273" s="170"/>
      <c r="T273" s="170"/>
      <c r="U273" s="170"/>
      <c r="V273" s="170"/>
      <c r="W273" s="170"/>
      <c r="X273" s="76"/>
      <c r="Y273" s="76"/>
      <c r="Z273" s="113" t="str">
        <f>IFERROR(ROUND('Informations générales'!$E$66*(AE273/SUM($AE$28:$AE$404))/12,0)*12,"")</f>
        <v/>
      </c>
      <c r="AA273" s="114"/>
      <c r="AB273" s="113" t="str">
        <f t="shared" si="43"/>
        <v/>
      </c>
      <c r="AC273" s="89"/>
      <c r="AD273" s="76"/>
      <c r="AE273" s="56">
        <f t="shared" si="55"/>
        <v>0</v>
      </c>
      <c r="AF273" s="56">
        <f t="shared" si="44"/>
        <v>0</v>
      </c>
      <c r="AG273" s="56">
        <f t="shared" si="45"/>
        <v>0</v>
      </c>
      <c r="AH273" s="56">
        <f t="shared" si="46"/>
        <v>0</v>
      </c>
      <c r="AI273" s="56">
        <f t="shared" si="47"/>
        <v>0</v>
      </c>
      <c r="AJ273" s="56">
        <f t="shared" si="48"/>
        <v>0</v>
      </c>
      <c r="AK273" s="56">
        <f t="shared" si="49"/>
        <v>0</v>
      </c>
      <c r="AL273" s="56">
        <f t="shared" si="50"/>
        <v>0</v>
      </c>
      <c r="AM273" s="56">
        <f t="shared" si="56"/>
        <v>0</v>
      </c>
      <c r="AN273" s="60">
        <f t="shared" si="51"/>
        <v>0</v>
      </c>
      <c r="AO273" s="59">
        <f t="shared" si="52"/>
        <v>0</v>
      </c>
      <c r="AP273" s="59">
        <f t="shared" si="53"/>
        <v>0</v>
      </c>
    </row>
    <row r="274" spans="3:42" s="17" customFormat="1" x14ac:dyDescent="0.25">
      <c r="C274" s="241" t="s">
        <v>213</v>
      </c>
      <c r="D274" s="242"/>
      <c r="E274" s="88"/>
      <c r="F274" s="217"/>
      <c r="G274" s="234"/>
      <c r="H274" s="218"/>
      <c r="I274" s="76"/>
      <c r="J274" s="77"/>
      <c r="K274" s="77"/>
      <c r="L274" s="76"/>
      <c r="M274" s="110"/>
      <c r="N274" s="152"/>
      <c r="O274" s="111" t="str">
        <f>IFERROR(MIN(VLOOKUP(ROUNDDOWN(N274,0),'Aide calcul'!$B$2:$C$282,2,FALSE),M274+1),"")</f>
        <v/>
      </c>
      <c r="P274" s="112" t="str">
        <f t="shared" si="54"/>
        <v/>
      </c>
      <c r="Q274" s="170"/>
      <c r="R274" s="170"/>
      <c r="S274" s="170"/>
      <c r="T274" s="170"/>
      <c r="U274" s="170"/>
      <c r="V274" s="170"/>
      <c r="W274" s="170"/>
      <c r="X274" s="76"/>
      <c r="Y274" s="76"/>
      <c r="Z274" s="113" t="str">
        <f>IFERROR(ROUND('Informations générales'!$E$66*(AE274/SUM($AE$28:$AE$404))/12,0)*12,"")</f>
        <v/>
      </c>
      <c r="AA274" s="114"/>
      <c r="AB274" s="113" t="str">
        <f t="shared" si="43"/>
        <v/>
      </c>
      <c r="AC274" s="89"/>
      <c r="AD274" s="76"/>
      <c r="AE274" s="56">
        <f t="shared" si="55"/>
        <v>0</v>
      </c>
      <c r="AF274" s="56">
        <f t="shared" si="44"/>
        <v>0</v>
      </c>
      <c r="AG274" s="56">
        <f t="shared" si="45"/>
        <v>0</v>
      </c>
      <c r="AH274" s="56">
        <f t="shared" si="46"/>
        <v>0</v>
      </c>
      <c r="AI274" s="56">
        <f t="shared" si="47"/>
        <v>0</v>
      </c>
      <c r="AJ274" s="56">
        <f t="shared" si="48"/>
        <v>0</v>
      </c>
      <c r="AK274" s="56">
        <f t="shared" si="49"/>
        <v>0</v>
      </c>
      <c r="AL274" s="56">
        <f t="shared" si="50"/>
        <v>0</v>
      </c>
      <c r="AM274" s="56">
        <f t="shared" si="56"/>
        <v>0</v>
      </c>
      <c r="AN274" s="60">
        <f t="shared" si="51"/>
        <v>0</v>
      </c>
      <c r="AO274" s="59">
        <f t="shared" si="52"/>
        <v>0</v>
      </c>
      <c r="AP274" s="59">
        <f t="shared" si="53"/>
        <v>0</v>
      </c>
    </row>
    <row r="275" spans="3:42" s="17" customFormat="1" x14ac:dyDescent="0.25">
      <c r="C275" s="241" t="s">
        <v>213</v>
      </c>
      <c r="D275" s="242"/>
      <c r="E275" s="88"/>
      <c r="F275" s="217"/>
      <c r="G275" s="234"/>
      <c r="H275" s="218"/>
      <c r="I275" s="76"/>
      <c r="J275" s="77"/>
      <c r="K275" s="77"/>
      <c r="L275" s="76"/>
      <c r="M275" s="110"/>
      <c r="N275" s="152"/>
      <c r="O275" s="111" t="str">
        <f>IFERROR(MIN(VLOOKUP(ROUNDDOWN(N275,0),'Aide calcul'!$B$2:$C$282,2,FALSE),M275+1),"")</f>
        <v/>
      </c>
      <c r="P275" s="112" t="str">
        <f t="shared" si="54"/>
        <v/>
      </c>
      <c r="Q275" s="170"/>
      <c r="R275" s="170"/>
      <c r="S275" s="170"/>
      <c r="T275" s="170"/>
      <c r="U275" s="170"/>
      <c r="V275" s="170"/>
      <c r="W275" s="170"/>
      <c r="X275" s="76"/>
      <c r="Y275" s="76"/>
      <c r="Z275" s="113" t="str">
        <f>IFERROR(ROUND('Informations générales'!$E$66*(AE275/SUM($AE$28:$AE$404))/12,0)*12,"")</f>
        <v/>
      </c>
      <c r="AA275" s="114"/>
      <c r="AB275" s="113" t="str">
        <f t="shared" si="43"/>
        <v/>
      </c>
      <c r="AC275" s="89"/>
      <c r="AD275" s="76"/>
      <c r="AE275" s="56">
        <f t="shared" si="55"/>
        <v>0</v>
      </c>
      <c r="AF275" s="56">
        <f t="shared" si="44"/>
        <v>0</v>
      </c>
      <c r="AG275" s="56">
        <f t="shared" si="45"/>
        <v>0</v>
      </c>
      <c r="AH275" s="56">
        <f t="shared" si="46"/>
        <v>0</v>
      </c>
      <c r="AI275" s="56">
        <f t="shared" si="47"/>
        <v>0</v>
      </c>
      <c r="AJ275" s="56">
        <f t="shared" si="48"/>
        <v>0</v>
      </c>
      <c r="AK275" s="56">
        <f t="shared" si="49"/>
        <v>0</v>
      </c>
      <c r="AL275" s="56">
        <f t="shared" si="50"/>
        <v>0</v>
      </c>
      <c r="AM275" s="56">
        <f t="shared" si="56"/>
        <v>0</v>
      </c>
      <c r="AN275" s="60">
        <f t="shared" si="51"/>
        <v>0</v>
      </c>
      <c r="AO275" s="59">
        <f t="shared" si="52"/>
        <v>0</v>
      </c>
      <c r="AP275" s="59">
        <f t="shared" si="53"/>
        <v>0</v>
      </c>
    </row>
    <row r="276" spans="3:42" s="17" customFormat="1" x14ac:dyDescent="0.25">
      <c r="C276" s="241" t="s">
        <v>213</v>
      </c>
      <c r="D276" s="242"/>
      <c r="E276" s="88"/>
      <c r="F276" s="217"/>
      <c r="G276" s="234"/>
      <c r="H276" s="218"/>
      <c r="I276" s="76"/>
      <c r="J276" s="77"/>
      <c r="K276" s="77"/>
      <c r="L276" s="76"/>
      <c r="M276" s="110"/>
      <c r="N276" s="152"/>
      <c r="O276" s="111" t="str">
        <f>IFERROR(MIN(VLOOKUP(ROUNDDOWN(N276,0),'Aide calcul'!$B$2:$C$282,2,FALSE),M276+1),"")</f>
        <v/>
      </c>
      <c r="P276" s="112" t="str">
        <f t="shared" si="54"/>
        <v/>
      </c>
      <c r="Q276" s="170"/>
      <c r="R276" s="170"/>
      <c r="S276" s="170"/>
      <c r="T276" s="170"/>
      <c r="U276" s="170"/>
      <c r="V276" s="170"/>
      <c r="W276" s="170"/>
      <c r="X276" s="76"/>
      <c r="Y276" s="76"/>
      <c r="Z276" s="113" t="str">
        <f>IFERROR(ROUND('Informations générales'!$E$66*(AE276/SUM($AE$28:$AE$404))/12,0)*12,"")</f>
        <v/>
      </c>
      <c r="AA276" s="114"/>
      <c r="AB276" s="113" t="str">
        <f t="shared" si="43"/>
        <v/>
      </c>
      <c r="AC276" s="89"/>
      <c r="AD276" s="76"/>
      <c r="AE276" s="56">
        <f t="shared" si="55"/>
        <v>0</v>
      </c>
      <c r="AF276" s="56">
        <f t="shared" si="44"/>
        <v>0</v>
      </c>
      <c r="AG276" s="56">
        <f t="shared" si="45"/>
        <v>0</v>
      </c>
      <c r="AH276" s="56">
        <f t="shared" si="46"/>
        <v>0</v>
      </c>
      <c r="AI276" s="56">
        <f t="shared" si="47"/>
        <v>0</v>
      </c>
      <c r="AJ276" s="56">
        <f t="shared" si="48"/>
        <v>0</v>
      </c>
      <c r="AK276" s="56">
        <f t="shared" si="49"/>
        <v>0</v>
      </c>
      <c r="AL276" s="56">
        <f t="shared" si="50"/>
        <v>0</v>
      </c>
      <c r="AM276" s="56">
        <f t="shared" si="56"/>
        <v>0</v>
      </c>
      <c r="AN276" s="60">
        <f t="shared" si="51"/>
        <v>0</v>
      </c>
      <c r="AO276" s="59">
        <f t="shared" si="52"/>
        <v>0</v>
      </c>
      <c r="AP276" s="59">
        <f t="shared" si="53"/>
        <v>0</v>
      </c>
    </row>
    <row r="277" spans="3:42" s="17" customFormat="1" x14ac:dyDescent="0.25">
      <c r="C277" s="241" t="s">
        <v>213</v>
      </c>
      <c r="D277" s="242"/>
      <c r="E277" s="88"/>
      <c r="F277" s="217"/>
      <c r="G277" s="234"/>
      <c r="H277" s="218"/>
      <c r="I277" s="76"/>
      <c r="J277" s="77"/>
      <c r="K277" s="77"/>
      <c r="L277" s="76"/>
      <c r="M277" s="110"/>
      <c r="N277" s="152"/>
      <c r="O277" s="111" t="str">
        <f>IFERROR(MIN(VLOOKUP(ROUNDDOWN(N277,0),'Aide calcul'!$B$2:$C$282,2,FALSE),M277+1),"")</f>
        <v/>
      </c>
      <c r="P277" s="112" t="str">
        <f t="shared" si="54"/>
        <v/>
      </c>
      <c r="Q277" s="170"/>
      <c r="R277" s="170"/>
      <c r="S277" s="170"/>
      <c r="T277" s="170"/>
      <c r="U277" s="170"/>
      <c r="V277" s="170"/>
      <c r="W277" s="170"/>
      <c r="X277" s="76"/>
      <c r="Y277" s="76"/>
      <c r="Z277" s="113" t="str">
        <f>IFERROR(ROUND('Informations générales'!$E$66*(AE277/SUM($AE$28:$AE$404))/12,0)*12,"")</f>
        <v/>
      </c>
      <c r="AA277" s="114"/>
      <c r="AB277" s="113" t="str">
        <f t="shared" si="43"/>
        <v/>
      </c>
      <c r="AC277" s="89"/>
      <c r="AD277" s="76"/>
      <c r="AE277" s="56">
        <f t="shared" si="55"/>
        <v>0</v>
      </c>
      <c r="AF277" s="56">
        <f t="shared" si="44"/>
        <v>0</v>
      </c>
      <c r="AG277" s="56">
        <f t="shared" si="45"/>
        <v>0</v>
      </c>
      <c r="AH277" s="56">
        <f t="shared" si="46"/>
        <v>0</v>
      </c>
      <c r="AI277" s="56">
        <f t="shared" si="47"/>
        <v>0</v>
      </c>
      <c r="AJ277" s="56">
        <f t="shared" si="48"/>
        <v>0</v>
      </c>
      <c r="AK277" s="56">
        <f t="shared" si="49"/>
        <v>0</v>
      </c>
      <c r="AL277" s="56">
        <f t="shared" si="50"/>
        <v>0</v>
      </c>
      <c r="AM277" s="56">
        <f t="shared" si="56"/>
        <v>0</v>
      </c>
      <c r="AN277" s="60">
        <f t="shared" si="51"/>
        <v>0</v>
      </c>
      <c r="AO277" s="59">
        <f t="shared" si="52"/>
        <v>0</v>
      </c>
      <c r="AP277" s="59">
        <f t="shared" si="53"/>
        <v>0</v>
      </c>
    </row>
    <row r="278" spans="3:42" s="17" customFormat="1" x14ac:dyDescent="0.25">
      <c r="C278" s="241" t="s">
        <v>213</v>
      </c>
      <c r="D278" s="242"/>
      <c r="E278" s="88"/>
      <c r="F278" s="217"/>
      <c r="G278" s="234"/>
      <c r="H278" s="218"/>
      <c r="I278" s="76"/>
      <c r="J278" s="77"/>
      <c r="K278" s="77"/>
      <c r="L278" s="76"/>
      <c r="M278" s="110"/>
      <c r="N278" s="152"/>
      <c r="O278" s="111" t="str">
        <f>IFERROR(MIN(VLOOKUP(ROUNDDOWN(N278,0),'Aide calcul'!$B$2:$C$282,2,FALSE),M278+1),"")</f>
        <v/>
      </c>
      <c r="P278" s="112" t="str">
        <f t="shared" si="54"/>
        <v/>
      </c>
      <c r="Q278" s="170"/>
      <c r="R278" s="170"/>
      <c r="S278" s="170"/>
      <c r="T278" s="170"/>
      <c r="U278" s="170"/>
      <c r="V278" s="170"/>
      <c r="W278" s="170"/>
      <c r="X278" s="76"/>
      <c r="Y278" s="76"/>
      <c r="Z278" s="113" t="str">
        <f>IFERROR(ROUND('Informations générales'!$E$66*(AE278/SUM($AE$28:$AE$404))/12,0)*12,"")</f>
        <v/>
      </c>
      <c r="AA278" s="114"/>
      <c r="AB278" s="113" t="str">
        <f t="shared" si="43"/>
        <v/>
      </c>
      <c r="AC278" s="89"/>
      <c r="AD278" s="76"/>
      <c r="AE278" s="56">
        <f t="shared" si="55"/>
        <v>0</v>
      </c>
      <c r="AF278" s="56">
        <f t="shared" si="44"/>
        <v>0</v>
      </c>
      <c r="AG278" s="56">
        <f t="shared" si="45"/>
        <v>0</v>
      </c>
      <c r="AH278" s="56">
        <f t="shared" si="46"/>
        <v>0</v>
      </c>
      <c r="AI278" s="56">
        <f t="shared" si="47"/>
        <v>0</v>
      </c>
      <c r="AJ278" s="56">
        <f t="shared" si="48"/>
        <v>0</v>
      </c>
      <c r="AK278" s="56">
        <f t="shared" si="49"/>
        <v>0</v>
      </c>
      <c r="AL278" s="56">
        <f t="shared" si="50"/>
        <v>0</v>
      </c>
      <c r="AM278" s="56">
        <f t="shared" si="56"/>
        <v>0</v>
      </c>
      <c r="AN278" s="60">
        <f t="shared" si="51"/>
        <v>0</v>
      </c>
      <c r="AO278" s="59">
        <f t="shared" si="52"/>
        <v>0</v>
      </c>
      <c r="AP278" s="59">
        <f t="shared" si="53"/>
        <v>0</v>
      </c>
    </row>
    <row r="279" spans="3:42" s="17" customFormat="1" x14ac:dyDescent="0.25">
      <c r="C279" s="241" t="s">
        <v>213</v>
      </c>
      <c r="D279" s="242"/>
      <c r="E279" s="88"/>
      <c r="F279" s="217"/>
      <c r="G279" s="234"/>
      <c r="H279" s="218"/>
      <c r="I279" s="76"/>
      <c r="J279" s="77"/>
      <c r="K279" s="77"/>
      <c r="L279" s="76"/>
      <c r="M279" s="110"/>
      <c r="N279" s="152"/>
      <c r="O279" s="111" t="str">
        <f>IFERROR(MIN(VLOOKUP(ROUNDDOWN(N279,0),'Aide calcul'!$B$2:$C$282,2,FALSE),M279+1),"")</f>
        <v/>
      </c>
      <c r="P279" s="112" t="str">
        <f t="shared" si="54"/>
        <v/>
      </c>
      <c r="Q279" s="170"/>
      <c r="R279" s="170"/>
      <c r="S279" s="170"/>
      <c r="T279" s="170"/>
      <c r="U279" s="170"/>
      <c r="V279" s="170"/>
      <c r="W279" s="170"/>
      <c r="X279" s="76"/>
      <c r="Y279" s="76"/>
      <c r="Z279" s="113" t="str">
        <f>IFERROR(ROUND('Informations générales'!$E$66*(AE279/SUM($AE$28:$AE$404))/12,0)*12,"")</f>
        <v/>
      </c>
      <c r="AA279" s="114"/>
      <c r="AB279" s="113" t="str">
        <f t="shared" si="43"/>
        <v/>
      </c>
      <c r="AC279" s="89"/>
      <c r="AD279" s="76"/>
      <c r="AE279" s="56">
        <f t="shared" si="55"/>
        <v>0</v>
      </c>
      <c r="AF279" s="56">
        <f t="shared" si="44"/>
        <v>0</v>
      </c>
      <c r="AG279" s="56">
        <f t="shared" si="45"/>
        <v>0</v>
      </c>
      <c r="AH279" s="56">
        <f t="shared" si="46"/>
        <v>0</v>
      </c>
      <c r="AI279" s="56">
        <f t="shared" si="47"/>
        <v>0</v>
      </c>
      <c r="AJ279" s="56">
        <f t="shared" si="48"/>
        <v>0</v>
      </c>
      <c r="AK279" s="56">
        <f t="shared" si="49"/>
        <v>0</v>
      </c>
      <c r="AL279" s="56">
        <f t="shared" si="50"/>
        <v>0</v>
      </c>
      <c r="AM279" s="56">
        <f t="shared" si="56"/>
        <v>0</v>
      </c>
      <c r="AN279" s="60">
        <f t="shared" si="51"/>
        <v>0</v>
      </c>
      <c r="AO279" s="59">
        <f t="shared" si="52"/>
        <v>0</v>
      </c>
      <c r="AP279" s="59">
        <f t="shared" si="53"/>
        <v>0</v>
      </c>
    </row>
    <row r="280" spans="3:42" s="17" customFormat="1" x14ac:dyDescent="0.25">
      <c r="C280" s="241" t="s">
        <v>213</v>
      </c>
      <c r="D280" s="242"/>
      <c r="E280" s="88"/>
      <c r="F280" s="217"/>
      <c r="G280" s="234"/>
      <c r="H280" s="218"/>
      <c r="I280" s="76"/>
      <c r="J280" s="77"/>
      <c r="K280" s="77"/>
      <c r="L280" s="76"/>
      <c r="M280" s="110"/>
      <c r="N280" s="152"/>
      <c r="O280" s="111" t="str">
        <f>IFERROR(MIN(VLOOKUP(ROUNDDOWN(N280,0),'Aide calcul'!$B$2:$C$282,2,FALSE),M280+1),"")</f>
        <v/>
      </c>
      <c r="P280" s="112" t="str">
        <f t="shared" si="54"/>
        <v/>
      </c>
      <c r="Q280" s="170"/>
      <c r="R280" s="170"/>
      <c r="S280" s="170"/>
      <c r="T280" s="170"/>
      <c r="U280" s="170"/>
      <c r="V280" s="170"/>
      <c r="W280" s="170"/>
      <c r="X280" s="76"/>
      <c r="Y280" s="76"/>
      <c r="Z280" s="113" t="str">
        <f>IFERROR(ROUND('Informations générales'!$E$66*(AE280/SUM($AE$28:$AE$404))/12,0)*12,"")</f>
        <v/>
      </c>
      <c r="AA280" s="114"/>
      <c r="AB280" s="113" t="str">
        <f t="shared" si="43"/>
        <v/>
      </c>
      <c r="AC280" s="89"/>
      <c r="AD280" s="76"/>
      <c r="AE280" s="56">
        <f t="shared" si="55"/>
        <v>0</v>
      </c>
      <c r="AF280" s="56">
        <f t="shared" si="44"/>
        <v>0</v>
      </c>
      <c r="AG280" s="56">
        <f t="shared" si="45"/>
        <v>0</v>
      </c>
      <c r="AH280" s="56">
        <f t="shared" si="46"/>
        <v>0</v>
      </c>
      <c r="AI280" s="56">
        <f t="shared" si="47"/>
        <v>0</v>
      </c>
      <c r="AJ280" s="56">
        <f t="shared" si="48"/>
        <v>0</v>
      </c>
      <c r="AK280" s="56">
        <f t="shared" si="49"/>
        <v>0</v>
      </c>
      <c r="AL280" s="56">
        <f t="shared" si="50"/>
        <v>0</v>
      </c>
      <c r="AM280" s="56">
        <f t="shared" si="56"/>
        <v>0</v>
      </c>
      <c r="AN280" s="60">
        <f t="shared" si="51"/>
        <v>0</v>
      </c>
      <c r="AO280" s="59">
        <f t="shared" si="52"/>
        <v>0</v>
      </c>
      <c r="AP280" s="59">
        <f t="shared" si="53"/>
        <v>0</v>
      </c>
    </row>
    <row r="281" spans="3:42" s="17" customFormat="1" x14ac:dyDescent="0.25">
      <c r="C281" s="241" t="s">
        <v>213</v>
      </c>
      <c r="D281" s="242"/>
      <c r="E281" s="88"/>
      <c r="F281" s="217"/>
      <c r="G281" s="234"/>
      <c r="H281" s="218"/>
      <c r="I281" s="76"/>
      <c r="J281" s="77"/>
      <c r="K281" s="77"/>
      <c r="L281" s="76"/>
      <c r="M281" s="110"/>
      <c r="N281" s="152"/>
      <c r="O281" s="111" t="str">
        <f>IFERROR(MIN(VLOOKUP(ROUNDDOWN(N281,0),'Aide calcul'!$B$2:$C$282,2,FALSE),M281+1),"")</f>
        <v/>
      </c>
      <c r="P281" s="112" t="str">
        <f t="shared" si="54"/>
        <v/>
      </c>
      <c r="Q281" s="170"/>
      <c r="R281" s="170"/>
      <c r="S281" s="170"/>
      <c r="T281" s="170"/>
      <c r="U281" s="170"/>
      <c r="V281" s="170"/>
      <c r="W281" s="170"/>
      <c r="X281" s="76"/>
      <c r="Y281" s="76"/>
      <c r="Z281" s="113" t="str">
        <f>IFERROR(ROUND('Informations générales'!$E$66*(AE281/SUM($AE$28:$AE$404))/12,0)*12,"")</f>
        <v/>
      </c>
      <c r="AA281" s="114"/>
      <c r="AB281" s="113" t="str">
        <f t="shared" si="43"/>
        <v/>
      </c>
      <c r="AC281" s="89"/>
      <c r="AD281" s="76"/>
      <c r="AE281" s="56">
        <f t="shared" si="55"/>
        <v>0</v>
      </c>
      <c r="AF281" s="56">
        <f t="shared" si="44"/>
        <v>0</v>
      </c>
      <c r="AG281" s="56">
        <f t="shared" si="45"/>
        <v>0</v>
      </c>
      <c r="AH281" s="56">
        <f t="shared" si="46"/>
        <v>0</v>
      </c>
      <c r="AI281" s="56">
        <f t="shared" si="47"/>
        <v>0</v>
      </c>
      <c r="AJ281" s="56">
        <f t="shared" si="48"/>
        <v>0</v>
      </c>
      <c r="AK281" s="56">
        <f t="shared" si="49"/>
        <v>0</v>
      </c>
      <c r="AL281" s="56">
        <f t="shared" si="50"/>
        <v>0</v>
      </c>
      <c r="AM281" s="56">
        <f t="shared" si="56"/>
        <v>0</v>
      </c>
      <c r="AN281" s="60">
        <f t="shared" si="51"/>
        <v>0</v>
      </c>
      <c r="AO281" s="59">
        <f t="shared" si="52"/>
        <v>0</v>
      </c>
      <c r="AP281" s="59">
        <f t="shared" si="53"/>
        <v>0</v>
      </c>
    </row>
    <row r="282" spans="3:42" s="17" customFormat="1" x14ac:dyDescent="0.25">
      <c r="C282" s="241" t="s">
        <v>213</v>
      </c>
      <c r="D282" s="242"/>
      <c r="E282" s="88"/>
      <c r="F282" s="217"/>
      <c r="G282" s="234"/>
      <c r="H282" s="218"/>
      <c r="I282" s="76"/>
      <c r="J282" s="77"/>
      <c r="K282" s="77"/>
      <c r="L282" s="76"/>
      <c r="M282" s="110"/>
      <c r="N282" s="152"/>
      <c r="O282" s="111" t="str">
        <f>IFERROR(MIN(VLOOKUP(ROUNDDOWN(N282,0),'Aide calcul'!$B$2:$C$282,2,FALSE),M282+1),"")</f>
        <v/>
      </c>
      <c r="P282" s="112" t="str">
        <f t="shared" si="54"/>
        <v/>
      </c>
      <c r="Q282" s="170"/>
      <c r="R282" s="170"/>
      <c r="S282" s="170"/>
      <c r="T282" s="170"/>
      <c r="U282" s="170"/>
      <c r="V282" s="170"/>
      <c r="W282" s="170"/>
      <c r="X282" s="76"/>
      <c r="Y282" s="76"/>
      <c r="Z282" s="113" t="str">
        <f>IFERROR(ROUND('Informations générales'!$E$66*(AE282/SUM($AE$28:$AE$404))/12,0)*12,"")</f>
        <v/>
      </c>
      <c r="AA282" s="114"/>
      <c r="AB282" s="113" t="str">
        <f t="shared" si="43"/>
        <v/>
      </c>
      <c r="AC282" s="89"/>
      <c r="AD282" s="76"/>
      <c r="AE282" s="56">
        <f t="shared" si="55"/>
        <v>0</v>
      </c>
      <c r="AF282" s="56">
        <f t="shared" si="44"/>
        <v>0</v>
      </c>
      <c r="AG282" s="56">
        <f t="shared" si="45"/>
        <v>0</v>
      </c>
      <c r="AH282" s="56">
        <f t="shared" si="46"/>
        <v>0</v>
      </c>
      <c r="AI282" s="56">
        <f t="shared" si="47"/>
        <v>0</v>
      </c>
      <c r="AJ282" s="56">
        <f t="shared" si="48"/>
        <v>0</v>
      </c>
      <c r="AK282" s="56">
        <f t="shared" si="49"/>
        <v>0</v>
      </c>
      <c r="AL282" s="56">
        <f t="shared" si="50"/>
        <v>0</v>
      </c>
      <c r="AM282" s="56">
        <f t="shared" si="56"/>
        <v>0</v>
      </c>
      <c r="AN282" s="60">
        <f t="shared" si="51"/>
        <v>0</v>
      </c>
      <c r="AO282" s="59">
        <f t="shared" si="52"/>
        <v>0</v>
      </c>
      <c r="AP282" s="59">
        <f t="shared" si="53"/>
        <v>0</v>
      </c>
    </row>
    <row r="283" spans="3:42" s="17" customFormat="1" x14ac:dyDescent="0.25">
      <c r="C283" s="241" t="s">
        <v>213</v>
      </c>
      <c r="D283" s="242"/>
      <c r="E283" s="88"/>
      <c r="F283" s="217"/>
      <c r="G283" s="234"/>
      <c r="H283" s="218"/>
      <c r="I283" s="76"/>
      <c r="J283" s="77"/>
      <c r="K283" s="77"/>
      <c r="L283" s="76"/>
      <c r="M283" s="110"/>
      <c r="N283" s="152"/>
      <c r="O283" s="111" t="str">
        <f>IFERROR(MIN(VLOOKUP(ROUNDDOWN(N283,0),'Aide calcul'!$B$2:$C$282,2,FALSE),M283+1),"")</f>
        <v/>
      </c>
      <c r="P283" s="112" t="str">
        <f t="shared" si="54"/>
        <v/>
      </c>
      <c r="Q283" s="170"/>
      <c r="R283" s="170"/>
      <c r="S283" s="170"/>
      <c r="T283" s="170"/>
      <c r="U283" s="170"/>
      <c r="V283" s="170"/>
      <c r="W283" s="170"/>
      <c r="X283" s="76"/>
      <c r="Y283" s="76"/>
      <c r="Z283" s="113" t="str">
        <f>IFERROR(ROUND('Informations générales'!$E$66*(AE283/SUM($AE$28:$AE$404))/12,0)*12,"")</f>
        <v/>
      </c>
      <c r="AA283" s="114"/>
      <c r="AB283" s="113" t="str">
        <f t="shared" si="43"/>
        <v/>
      </c>
      <c r="AC283" s="89"/>
      <c r="AD283" s="76"/>
      <c r="AE283" s="56">
        <f t="shared" si="55"/>
        <v>0</v>
      </c>
      <c r="AF283" s="56">
        <f t="shared" si="44"/>
        <v>0</v>
      </c>
      <c r="AG283" s="56">
        <f t="shared" si="45"/>
        <v>0</v>
      </c>
      <c r="AH283" s="56">
        <f t="shared" si="46"/>
        <v>0</v>
      </c>
      <c r="AI283" s="56">
        <f t="shared" si="47"/>
        <v>0</v>
      </c>
      <c r="AJ283" s="56">
        <f t="shared" si="48"/>
        <v>0</v>
      </c>
      <c r="AK283" s="56">
        <f t="shared" si="49"/>
        <v>0</v>
      </c>
      <c r="AL283" s="56">
        <f t="shared" si="50"/>
        <v>0</v>
      </c>
      <c r="AM283" s="56">
        <f t="shared" si="56"/>
        <v>0</v>
      </c>
      <c r="AN283" s="60">
        <f t="shared" si="51"/>
        <v>0</v>
      </c>
      <c r="AO283" s="59">
        <f t="shared" si="52"/>
        <v>0</v>
      </c>
      <c r="AP283" s="59">
        <f t="shared" si="53"/>
        <v>0</v>
      </c>
    </row>
    <row r="284" spans="3:42" s="17" customFormat="1" x14ac:dyDescent="0.25">
      <c r="C284" s="241" t="s">
        <v>213</v>
      </c>
      <c r="D284" s="242"/>
      <c r="E284" s="88"/>
      <c r="F284" s="217"/>
      <c r="G284" s="234"/>
      <c r="H284" s="218"/>
      <c r="I284" s="76"/>
      <c r="J284" s="77"/>
      <c r="K284" s="77"/>
      <c r="L284" s="76"/>
      <c r="M284" s="110"/>
      <c r="N284" s="152"/>
      <c r="O284" s="111" t="str">
        <f>IFERROR(MIN(VLOOKUP(ROUNDDOWN(N284,0),'Aide calcul'!$B$2:$C$282,2,FALSE),M284+1),"")</f>
        <v/>
      </c>
      <c r="P284" s="112" t="str">
        <f t="shared" si="54"/>
        <v/>
      </c>
      <c r="Q284" s="170"/>
      <c r="R284" s="170"/>
      <c r="S284" s="170"/>
      <c r="T284" s="170"/>
      <c r="U284" s="170"/>
      <c r="V284" s="170"/>
      <c r="W284" s="170"/>
      <c r="X284" s="76"/>
      <c r="Y284" s="76"/>
      <c r="Z284" s="113" t="str">
        <f>IFERROR(ROUND('Informations générales'!$E$66*(AE284/SUM($AE$28:$AE$404))/12,0)*12,"")</f>
        <v/>
      </c>
      <c r="AA284" s="114"/>
      <c r="AB284" s="113" t="str">
        <f t="shared" ref="AB284:AB347" si="57">IFERROR(Z284/AM284,"")</f>
        <v/>
      </c>
      <c r="AC284" s="89"/>
      <c r="AD284" s="76"/>
      <c r="AE284" s="56">
        <f t="shared" si="55"/>
        <v>0</v>
      </c>
      <c r="AF284" s="56">
        <f t="shared" ref="AF284:AF347" si="58">Q284*$E$13</f>
        <v>0</v>
      </c>
      <c r="AG284" s="56">
        <f t="shared" ref="AG284:AG347" si="59">R284*$E$14</f>
        <v>0</v>
      </c>
      <c r="AH284" s="56">
        <f t="shared" ref="AH284:AH347" si="60">S284*$E$15</f>
        <v>0</v>
      </c>
      <c r="AI284" s="56">
        <f t="shared" ref="AI284:AI347" si="61">T284*$E$16</f>
        <v>0</v>
      </c>
      <c r="AJ284" s="56">
        <f t="shared" ref="AJ284:AJ347" si="62">U284*$E$17</f>
        <v>0</v>
      </c>
      <c r="AK284" s="56">
        <f t="shared" ref="AK284:AK347" si="63">V284*$E$18</f>
        <v>0</v>
      </c>
      <c r="AL284" s="56">
        <f t="shared" ref="AL284:AL347" si="64">W284*$E$19</f>
        <v>0</v>
      </c>
      <c r="AM284" s="56">
        <f t="shared" si="56"/>
        <v>0</v>
      </c>
      <c r="AN284" s="60">
        <f t="shared" ref="AN284:AN347" si="65">IFERROR(I284*$E$12,0)</f>
        <v>0</v>
      </c>
      <c r="AO284" s="59">
        <f t="shared" ref="AO284:AO347" si="66">IFERROR(VLOOKUP(X284,$H$12:$I$22,2,FALSE),0)</f>
        <v>0</v>
      </c>
      <c r="AP284" s="59">
        <f t="shared" ref="AP284:AP347" si="67">IFERROR(VLOOKUP(Y284,$L$12:$N$19,3,FALSE),0)</f>
        <v>0</v>
      </c>
    </row>
    <row r="285" spans="3:42" s="17" customFormat="1" x14ac:dyDescent="0.25">
      <c r="C285" s="241" t="s">
        <v>213</v>
      </c>
      <c r="D285" s="242"/>
      <c r="E285" s="88"/>
      <c r="F285" s="217"/>
      <c r="G285" s="234"/>
      <c r="H285" s="218"/>
      <c r="I285" s="76"/>
      <c r="J285" s="77"/>
      <c r="K285" s="77"/>
      <c r="L285" s="76"/>
      <c r="M285" s="110"/>
      <c r="N285" s="152"/>
      <c r="O285" s="111" t="str">
        <f>IFERROR(MIN(VLOOKUP(ROUNDDOWN(N285,0),'Aide calcul'!$B$2:$C$282,2,FALSE),M285+1),"")</f>
        <v/>
      </c>
      <c r="P285" s="112" t="str">
        <f t="shared" ref="P285:P348" si="68">IFERROR(TRUNC(O285-0.5),"")</f>
        <v/>
      </c>
      <c r="Q285" s="170"/>
      <c r="R285" s="170"/>
      <c r="S285" s="170"/>
      <c r="T285" s="170"/>
      <c r="U285" s="170"/>
      <c r="V285" s="170"/>
      <c r="W285" s="170"/>
      <c r="X285" s="76"/>
      <c r="Y285" s="76"/>
      <c r="Z285" s="113" t="str">
        <f>IFERROR(ROUND('Informations générales'!$E$66*(AE285/SUM($AE$28:$AE$404))/12,0)*12,"")</f>
        <v/>
      </c>
      <c r="AA285" s="114"/>
      <c r="AB285" s="113" t="str">
        <f t="shared" si="57"/>
        <v/>
      </c>
      <c r="AC285" s="89"/>
      <c r="AD285" s="76"/>
      <c r="AE285" s="56">
        <f t="shared" ref="AE285:AE348" si="69">AM285*(SUM(1,AN285,AO285,AP285))</f>
        <v>0</v>
      </c>
      <c r="AF285" s="56">
        <f t="shared" si="58"/>
        <v>0</v>
      </c>
      <c r="AG285" s="56">
        <f t="shared" si="59"/>
        <v>0</v>
      </c>
      <c r="AH285" s="56">
        <f t="shared" si="60"/>
        <v>0</v>
      </c>
      <c r="AI285" s="56">
        <f t="shared" si="61"/>
        <v>0</v>
      </c>
      <c r="AJ285" s="56">
        <f t="shared" si="62"/>
        <v>0</v>
      </c>
      <c r="AK285" s="56">
        <f t="shared" si="63"/>
        <v>0</v>
      </c>
      <c r="AL285" s="56">
        <f t="shared" si="64"/>
        <v>0</v>
      </c>
      <c r="AM285" s="56">
        <f t="shared" ref="AM285:AM348" si="70">SUM(AF285:AL285)</f>
        <v>0</v>
      </c>
      <c r="AN285" s="60">
        <f t="shared" si="65"/>
        <v>0</v>
      </c>
      <c r="AO285" s="59">
        <f t="shared" si="66"/>
        <v>0</v>
      </c>
      <c r="AP285" s="59">
        <f t="shared" si="67"/>
        <v>0</v>
      </c>
    </row>
    <row r="286" spans="3:42" s="17" customFormat="1" x14ac:dyDescent="0.25">
      <c r="C286" s="241" t="s">
        <v>213</v>
      </c>
      <c r="D286" s="242"/>
      <c r="E286" s="88"/>
      <c r="F286" s="217"/>
      <c r="G286" s="234"/>
      <c r="H286" s="218"/>
      <c r="I286" s="76"/>
      <c r="J286" s="77"/>
      <c r="K286" s="77"/>
      <c r="L286" s="76"/>
      <c r="M286" s="110"/>
      <c r="N286" s="152"/>
      <c r="O286" s="111" t="str">
        <f>IFERROR(MIN(VLOOKUP(ROUNDDOWN(N286,0),'Aide calcul'!$B$2:$C$282,2,FALSE),M286+1),"")</f>
        <v/>
      </c>
      <c r="P286" s="112" t="str">
        <f t="shared" si="68"/>
        <v/>
      </c>
      <c r="Q286" s="170"/>
      <c r="R286" s="170"/>
      <c r="S286" s="170"/>
      <c r="T286" s="170"/>
      <c r="U286" s="170"/>
      <c r="V286" s="170"/>
      <c r="W286" s="170"/>
      <c r="X286" s="76"/>
      <c r="Y286" s="76"/>
      <c r="Z286" s="113" t="str">
        <f>IFERROR(ROUND('Informations générales'!$E$66*(AE286/SUM($AE$28:$AE$404))/12,0)*12,"")</f>
        <v/>
      </c>
      <c r="AA286" s="114"/>
      <c r="AB286" s="113" t="str">
        <f t="shared" si="57"/>
        <v/>
      </c>
      <c r="AC286" s="89"/>
      <c r="AD286" s="76"/>
      <c r="AE286" s="56">
        <f t="shared" si="69"/>
        <v>0</v>
      </c>
      <c r="AF286" s="56">
        <f t="shared" si="58"/>
        <v>0</v>
      </c>
      <c r="AG286" s="56">
        <f t="shared" si="59"/>
        <v>0</v>
      </c>
      <c r="AH286" s="56">
        <f t="shared" si="60"/>
        <v>0</v>
      </c>
      <c r="AI286" s="56">
        <f t="shared" si="61"/>
        <v>0</v>
      </c>
      <c r="AJ286" s="56">
        <f t="shared" si="62"/>
        <v>0</v>
      </c>
      <c r="AK286" s="56">
        <f t="shared" si="63"/>
        <v>0</v>
      </c>
      <c r="AL286" s="56">
        <f t="shared" si="64"/>
        <v>0</v>
      </c>
      <c r="AM286" s="56">
        <f t="shared" si="70"/>
        <v>0</v>
      </c>
      <c r="AN286" s="60">
        <f t="shared" si="65"/>
        <v>0</v>
      </c>
      <c r="AO286" s="59">
        <f t="shared" si="66"/>
        <v>0</v>
      </c>
      <c r="AP286" s="59">
        <f t="shared" si="67"/>
        <v>0</v>
      </c>
    </row>
    <row r="287" spans="3:42" s="17" customFormat="1" x14ac:dyDescent="0.25">
      <c r="C287" s="241" t="s">
        <v>213</v>
      </c>
      <c r="D287" s="242"/>
      <c r="E287" s="88"/>
      <c r="F287" s="217"/>
      <c r="G287" s="234"/>
      <c r="H287" s="218"/>
      <c r="I287" s="76"/>
      <c r="J287" s="77"/>
      <c r="K287" s="77"/>
      <c r="L287" s="76"/>
      <c r="M287" s="110"/>
      <c r="N287" s="152"/>
      <c r="O287" s="111" t="str">
        <f>IFERROR(MIN(VLOOKUP(ROUNDDOWN(N287,0),'Aide calcul'!$B$2:$C$282,2,FALSE),M287+1),"")</f>
        <v/>
      </c>
      <c r="P287" s="112" t="str">
        <f t="shared" si="68"/>
        <v/>
      </c>
      <c r="Q287" s="170"/>
      <c r="R287" s="170"/>
      <c r="S287" s="170"/>
      <c r="T287" s="170"/>
      <c r="U287" s="170"/>
      <c r="V287" s="170"/>
      <c r="W287" s="170"/>
      <c r="X287" s="76"/>
      <c r="Y287" s="76"/>
      <c r="Z287" s="113" t="str">
        <f>IFERROR(ROUND('Informations générales'!$E$66*(AE287/SUM($AE$28:$AE$404))/12,0)*12,"")</f>
        <v/>
      </c>
      <c r="AA287" s="114"/>
      <c r="AB287" s="113" t="str">
        <f t="shared" si="57"/>
        <v/>
      </c>
      <c r="AC287" s="89"/>
      <c r="AD287" s="76"/>
      <c r="AE287" s="56">
        <f t="shared" si="69"/>
        <v>0</v>
      </c>
      <c r="AF287" s="56">
        <f t="shared" si="58"/>
        <v>0</v>
      </c>
      <c r="AG287" s="56">
        <f t="shared" si="59"/>
        <v>0</v>
      </c>
      <c r="AH287" s="56">
        <f t="shared" si="60"/>
        <v>0</v>
      </c>
      <c r="AI287" s="56">
        <f t="shared" si="61"/>
        <v>0</v>
      </c>
      <c r="AJ287" s="56">
        <f t="shared" si="62"/>
        <v>0</v>
      </c>
      <c r="AK287" s="56">
        <f t="shared" si="63"/>
        <v>0</v>
      </c>
      <c r="AL287" s="56">
        <f t="shared" si="64"/>
        <v>0</v>
      </c>
      <c r="AM287" s="56">
        <f t="shared" si="70"/>
        <v>0</v>
      </c>
      <c r="AN287" s="60">
        <f t="shared" si="65"/>
        <v>0</v>
      </c>
      <c r="AO287" s="59">
        <f t="shared" si="66"/>
        <v>0</v>
      </c>
      <c r="AP287" s="59">
        <f t="shared" si="67"/>
        <v>0</v>
      </c>
    </row>
    <row r="288" spans="3:42" s="17" customFormat="1" x14ac:dyDescent="0.25">
      <c r="C288" s="241" t="s">
        <v>213</v>
      </c>
      <c r="D288" s="242"/>
      <c r="E288" s="88"/>
      <c r="F288" s="217"/>
      <c r="G288" s="234"/>
      <c r="H288" s="218"/>
      <c r="I288" s="76"/>
      <c r="J288" s="77"/>
      <c r="K288" s="77"/>
      <c r="L288" s="76"/>
      <c r="M288" s="110"/>
      <c r="N288" s="152"/>
      <c r="O288" s="111" t="str">
        <f>IFERROR(MIN(VLOOKUP(ROUNDDOWN(N288,0),'Aide calcul'!$B$2:$C$282,2,FALSE),M288+1),"")</f>
        <v/>
      </c>
      <c r="P288" s="112" t="str">
        <f t="shared" si="68"/>
        <v/>
      </c>
      <c r="Q288" s="170"/>
      <c r="R288" s="170"/>
      <c r="S288" s="170"/>
      <c r="T288" s="170"/>
      <c r="U288" s="170"/>
      <c r="V288" s="170"/>
      <c r="W288" s="170"/>
      <c r="X288" s="76"/>
      <c r="Y288" s="76"/>
      <c r="Z288" s="113" t="str">
        <f>IFERROR(ROUND('Informations générales'!$E$66*(AE288/SUM($AE$28:$AE$404))/12,0)*12,"")</f>
        <v/>
      </c>
      <c r="AA288" s="114"/>
      <c r="AB288" s="113" t="str">
        <f t="shared" si="57"/>
        <v/>
      </c>
      <c r="AC288" s="89"/>
      <c r="AD288" s="76"/>
      <c r="AE288" s="56">
        <f t="shared" si="69"/>
        <v>0</v>
      </c>
      <c r="AF288" s="56">
        <f t="shared" si="58"/>
        <v>0</v>
      </c>
      <c r="AG288" s="56">
        <f t="shared" si="59"/>
        <v>0</v>
      </c>
      <c r="AH288" s="56">
        <f t="shared" si="60"/>
        <v>0</v>
      </c>
      <c r="AI288" s="56">
        <f t="shared" si="61"/>
        <v>0</v>
      </c>
      <c r="AJ288" s="56">
        <f t="shared" si="62"/>
        <v>0</v>
      </c>
      <c r="AK288" s="56">
        <f t="shared" si="63"/>
        <v>0</v>
      </c>
      <c r="AL288" s="56">
        <f t="shared" si="64"/>
        <v>0</v>
      </c>
      <c r="AM288" s="56">
        <f t="shared" si="70"/>
        <v>0</v>
      </c>
      <c r="AN288" s="60">
        <f t="shared" si="65"/>
        <v>0</v>
      </c>
      <c r="AO288" s="59">
        <f t="shared" si="66"/>
        <v>0</v>
      </c>
      <c r="AP288" s="59">
        <f t="shared" si="67"/>
        <v>0</v>
      </c>
    </row>
    <row r="289" spans="3:42" s="17" customFormat="1" x14ac:dyDescent="0.25">
      <c r="C289" s="241" t="s">
        <v>213</v>
      </c>
      <c r="D289" s="242"/>
      <c r="E289" s="88"/>
      <c r="F289" s="217"/>
      <c r="G289" s="234"/>
      <c r="H289" s="218"/>
      <c r="I289" s="76"/>
      <c r="J289" s="77"/>
      <c r="K289" s="77"/>
      <c r="L289" s="76"/>
      <c r="M289" s="110"/>
      <c r="N289" s="152"/>
      <c r="O289" s="111" t="str">
        <f>IFERROR(MIN(VLOOKUP(ROUNDDOWN(N289,0),'Aide calcul'!$B$2:$C$282,2,FALSE),M289+1),"")</f>
        <v/>
      </c>
      <c r="P289" s="112" t="str">
        <f t="shared" si="68"/>
        <v/>
      </c>
      <c r="Q289" s="170"/>
      <c r="R289" s="170"/>
      <c r="S289" s="170"/>
      <c r="T289" s="170"/>
      <c r="U289" s="170"/>
      <c r="V289" s="170"/>
      <c r="W289" s="170"/>
      <c r="X289" s="76"/>
      <c r="Y289" s="76"/>
      <c r="Z289" s="113" t="str">
        <f>IFERROR(ROUND('Informations générales'!$E$66*(AE289/SUM($AE$28:$AE$404))/12,0)*12,"")</f>
        <v/>
      </c>
      <c r="AA289" s="114"/>
      <c r="AB289" s="113" t="str">
        <f t="shared" si="57"/>
        <v/>
      </c>
      <c r="AC289" s="89"/>
      <c r="AD289" s="76"/>
      <c r="AE289" s="56">
        <f t="shared" si="69"/>
        <v>0</v>
      </c>
      <c r="AF289" s="56">
        <f t="shared" si="58"/>
        <v>0</v>
      </c>
      <c r="AG289" s="56">
        <f t="shared" si="59"/>
        <v>0</v>
      </c>
      <c r="AH289" s="56">
        <f t="shared" si="60"/>
        <v>0</v>
      </c>
      <c r="AI289" s="56">
        <f t="shared" si="61"/>
        <v>0</v>
      </c>
      <c r="AJ289" s="56">
        <f t="shared" si="62"/>
        <v>0</v>
      </c>
      <c r="AK289" s="56">
        <f t="shared" si="63"/>
        <v>0</v>
      </c>
      <c r="AL289" s="56">
        <f t="shared" si="64"/>
        <v>0</v>
      </c>
      <c r="AM289" s="56">
        <f t="shared" si="70"/>
        <v>0</v>
      </c>
      <c r="AN289" s="60">
        <f t="shared" si="65"/>
        <v>0</v>
      </c>
      <c r="AO289" s="59">
        <f t="shared" si="66"/>
        <v>0</v>
      </c>
      <c r="AP289" s="59">
        <f t="shared" si="67"/>
        <v>0</v>
      </c>
    </row>
    <row r="290" spans="3:42" s="17" customFormat="1" x14ac:dyDescent="0.25">
      <c r="C290" s="241" t="s">
        <v>213</v>
      </c>
      <c r="D290" s="242"/>
      <c r="E290" s="88"/>
      <c r="F290" s="217"/>
      <c r="G290" s="234"/>
      <c r="H290" s="218"/>
      <c r="I290" s="76"/>
      <c r="J290" s="77"/>
      <c r="K290" s="77"/>
      <c r="L290" s="76"/>
      <c r="M290" s="110"/>
      <c r="N290" s="152"/>
      <c r="O290" s="111" t="str">
        <f>IFERROR(MIN(VLOOKUP(ROUNDDOWN(N290,0),'Aide calcul'!$B$2:$C$282,2,FALSE),M290+1),"")</f>
        <v/>
      </c>
      <c r="P290" s="112" t="str">
        <f t="shared" si="68"/>
        <v/>
      </c>
      <c r="Q290" s="170"/>
      <c r="R290" s="170"/>
      <c r="S290" s="170"/>
      <c r="T290" s="170"/>
      <c r="U290" s="170"/>
      <c r="V290" s="170"/>
      <c r="W290" s="170"/>
      <c r="X290" s="76"/>
      <c r="Y290" s="76"/>
      <c r="Z290" s="113" t="str">
        <f>IFERROR(ROUND('Informations générales'!$E$66*(AE290/SUM($AE$28:$AE$404))/12,0)*12,"")</f>
        <v/>
      </c>
      <c r="AA290" s="114"/>
      <c r="AB290" s="113" t="str">
        <f t="shared" si="57"/>
        <v/>
      </c>
      <c r="AC290" s="89"/>
      <c r="AD290" s="76"/>
      <c r="AE290" s="56">
        <f t="shared" si="69"/>
        <v>0</v>
      </c>
      <c r="AF290" s="56">
        <f t="shared" si="58"/>
        <v>0</v>
      </c>
      <c r="AG290" s="56">
        <f t="shared" si="59"/>
        <v>0</v>
      </c>
      <c r="AH290" s="56">
        <f t="shared" si="60"/>
        <v>0</v>
      </c>
      <c r="AI290" s="56">
        <f t="shared" si="61"/>
        <v>0</v>
      </c>
      <c r="AJ290" s="56">
        <f t="shared" si="62"/>
        <v>0</v>
      </c>
      <c r="AK290" s="56">
        <f t="shared" si="63"/>
        <v>0</v>
      </c>
      <c r="AL290" s="56">
        <f t="shared" si="64"/>
        <v>0</v>
      </c>
      <c r="AM290" s="56">
        <f t="shared" si="70"/>
        <v>0</v>
      </c>
      <c r="AN290" s="60">
        <f t="shared" si="65"/>
        <v>0</v>
      </c>
      <c r="AO290" s="59">
        <f t="shared" si="66"/>
        <v>0</v>
      </c>
      <c r="AP290" s="59">
        <f t="shared" si="67"/>
        <v>0</v>
      </c>
    </row>
    <row r="291" spans="3:42" s="17" customFormat="1" x14ac:dyDescent="0.25">
      <c r="C291" s="241" t="s">
        <v>213</v>
      </c>
      <c r="D291" s="242"/>
      <c r="E291" s="88"/>
      <c r="F291" s="217"/>
      <c r="G291" s="234"/>
      <c r="H291" s="218"/>
      <c r="I291" s="76"/>
      <c r="J291" s="77"/>
      <c r="K291" s="77"/>
      <c r="L291" s="76"/>
      <c r="M291" s="110"/>
      <c r="N291" s="152"/>
      <c r="O291" s="111" t="str">
        <f>IFERROR(MIN(VLOOKUP(ROUNDDOWN(N291,0),'Aide calcul'!$B$2:$C$282,2,FALSE),M291+1),"")</f>
        <v/>
      </c>
      <c r="P291" s="112" t="str">
        <f t="shared" si="68"/>
        <v/>
      </c>
      <c r="Q291" s="170"/>
      <c r="R291" s="170"/>
      <c r="S291" s="170"/>
      <c r="T291" s="170"/>
      <c r="U291" s="170"/>
      <c r="V291" s="170"/>
      <c r="W291" s="170"/>
      <c r="X291" s="76"/>
      <c r="Y291" s="76"/>
      <c r="Z291" s="113" t="str">
        <f>IFERROR(ROUND('Informations générales'!$E$66*(AE291/SUM($AE$28:$AE$404))/12,0)*12,"")</f>
        <v/>
      </c>
      <c r="AA291" s="114"/>
      <c r="AB291" s="113" t="str">
        <f t="shared" si="57"/>
        <v/>
      </c>
      <c r="AC291" s="89"/>
      <c r="AD291" s="76"/>
      <c r="AE291" s="56">
        <f t="shared" si="69"/>
        <v>0</v>
      </c>
      <c r="AF291" s="56">
        <f t="shared" si="58"/>
        <v>0</v>
      </c>
      <c r="AG291" s="56">
        <f t="shared" si="59"/>
        <v>0</v>
      </c>
      <c r="AH291" s="56">
        <f t="shared" si="60"/>
        <v>0</v>
      </c>
      <c r="AI291" s="56">
        <f t="shared" si="61"/>
        <v>0</v>
      </c>
      <c r="AJ291" s="56">
        <f t="shared" si="62"/>
        <v>0</v>
      </c>
      <c r="AK291" s="56">
        <f t="shared" si="63"/>
        <v>0</v>
      </c>
      <c r="AL291" s="56">
        <f t="shared" si="64"/>
        <v>0</v>
      </c>
      <c r="AM291" s="56">
        <f t="shared" si="70"/>
        <v>0</v>
      </c>
      <c r="AN291" s="60">
        <f t="shared" si="65"/>
        <v>0</v>
      </c>
      <c r="AO291" s="59">
        <f t="shared" si="66"/>
        <v>0</v>
      </c>
      <c r="AP291" s="59">
        <f t="shared" si="67"/>
        <v>0</v>
      </c>
    </row>
    <row r="292" spans="3:42" s="17" customFormat="1" x14ac:dyDescent="0.25">
      <c r="C292" s="241" t="s">
        <v>213</v>
      </c>
      <c r="D292" s="242"/>
      <c r="E292" s="88"/>
      <c r="F292" s="217"/>
      <c r="G292" s="234"/>
      <c r="H292" s="218"/>
      <c r="I292" s="76"/>
      <c r="J292" s="77"/>
      <c r="K292" s="77"/>
      <c r="L292" s="76"/>
      <c r="M292" s="110"/>
      <c r="N292" s="152"/>
      <c r="O292" s="111" t="str">
        <f>IFERROR(MIN(VLOOKUP(ROUNDDOWN(N292,0),'Aide calcul'!$B$2:$C$282,2,FALSE),M292+1),"")</f>
        <v/>
      </c>
      <c r="P292" s="112" t="str">
        <f t="shared" si="68"/>
        <v/>
      </c>
      <c r="Q292" s="170"/>
      <c r="R292" s="170"/>
      <c r="S292" s="170"/>
      <c r="T292" s="170"/>
      <c r="U292" s="170"/>
      <c r="V292" s="170"/>
      <c r="W292" s="170"/>
      <c r="X292" s="76"/>
      <c r="Y292" s="76"/>
      <c r="Z292" s="113" t="str">
        <f>IFERROR(ROUND('Informations générales'!$E$66*(AE292/SUM($AE$28:$AE$404))/12,0)*12,"")</f>
        <v/>
      </c>
      <c r="AA292" s="114"/>
      <c r="AB292" s="113" t="str">
        <f t="shared" si="57"/>
        <v/>
      </c>
      <c r="AC292" s="89"/>
      <c r="AD292" s="76"/>
      <c r="AE292" s="56">
        <f t="shared" si="69"/>
        <v>0</v>
      </c>
      <c r="AF292" s="56">
        <f t="shared" si="58"/>
        <v>0</v>
      </c>
      <c r="AG292" s="56">
        <f t="shared" si="59"/>
        <v>0</v>
      </c>
      <c r="AH292" s="56">
        <f t="shared" si="60"/>
        <v>0</v>
      </c>
      <c r="AI292" s="56">
        <f t="shared" si="61"/>
        <v>0</v>
      </c>
      <c r="AJ292" s="56">
        <f t="shared" si="62"/>
        <v>0</v>
      </c>
      <c r="AK292" s="56">
        <f t="shared" si="63"/>
        <v>0</v>
      </c>
      <c r="AL292" s="56">
        <f t="shared" si="64"/>
        <v>0</v>
      </c>
      <c r="AM292" s="56">
        <f t="shared" si="70"/>
        <v>0</v>
      </c>
      <c r="AN292" s="60">
        <f t="shared" si="65"/>
        <v>0</v>
      </c>
      <c r="AO292" s="59">
        <f t="shared" si="66"/>
        <v>0</v>
      </c>
      <c r="AP292" s="59">
        <f t="shared" si="67"/>
        <v>0</v>
      </c>
    </row>
    <row r="293" spans="3:42" s="17" customFormat="1" x14ac:dyDescent="0.25">
      <c r="C293" s="241" t="s">
        <v>213</v>
      </c>
      <c r="D293" s="242"/>
      <c r="E293" s="88"/>
      <c r="F293" s="217"/>
      <c r="G293" s="234"/>
      <c r="H293" s="218"/>
      <c r="I293" s="76"/>
      <c r="J293" s="77"/>
      <c r="K293" s="77"/>
      <c r="L293" s="76"/>
      <c r="M293" s="110"/>
      <c r="N293" s="152"/>
      <c r="O293" s="111" t="str">
        <f>IFERROR(MIN(VLOOKUP(ROUNDDOWN(N293,0),'Aide calcul'!$B$2:$C$282,2,FALSE),M293+1),"")</f>
        <v/>
      </c>
      <c r="P293" s="112" t="str">
        <f t="shared" si="68"/>
        <v/>
      </c>
      <c r="Q293" s="170"/>
      <c r="R293" s="170"/>
      <c r="S293" s="170"/>
      <c r="T293" s="170"/>
      <c r="U293" s="170"/>
      <c r="V293" s="170"/>
      <c r="W293" s="170"/>
      <c r="X293" s="76"/>
      <c r="Y293" s="76"/>
      <c r="Z293" s="113" t="str">
        <f>IFERROR(ROUND('Informations générales'!$E$66*(AE293/SUM($AE$28:$AE$404))/12,0)*12,"")</f>
        <v/>
      </c>
      <c r="AA293" s="114"/>
      <c r="AB293" s="113" t="str">
        <f t="shared" si="57"/>
        <v/>
      </c>
      <c r="AC293" s="89"/>
      <c r="AD293" s="76"/>
      <c r="AE293" s="56">
        <f t="shared" si="69"/>
        <v>0</v>
      </c>
      <c r="AF293" s="56">
        <f t="shared" si="58"/>
        <v>0</v>
      </c>
      <c r="AG293" s="56">
        <f t="shared" si="59"/>
        <v>0</v>
      </c>
      <c r="AH293" s="56">
        <f t="shared" si="60"/>
        <v>0</v>
      </c>
      <c r="AI293" s="56">
        <f t="shared" si="61"/>
        <v>0</v>
      </c>
      <c r="AJ293" s="56">
        <f t="shared" si="62"/>
        <v>0</v>
      </c>
      <c r="AK293" s="56">
        <f t="shared" si="63"/>
        <v>0</v>
      </c>
      <c r="AL293" s="56">
        <f t="shared" si="64"/>
        <v>0</v>
      </c>
      <c r="AM293" s="56">
        <f t="shared" si="70"/>
        <v>0</v>
      </c>
      <c r="AN293" s="60">
        <f t="shared" si="65"/>
        <v>0</v>
      </c>
      <c r="AO293" s="59">
        <f t="shared" si="66"/>
        <v>0</v>
      </c>
      <c r="AP293" s="59">
        <f t="shared" si="67"/>
        <v>0</v>
      </c>
    </row>
    <row r="294" spans="3:42" s="17" customFormat="1" x14ac:dyDescent="0.25">
      <c r="C294" s="241" t="s">
        <v>213</v>
      </c>
      <c r="D294" s="242"/>
      <c r="E294" s="88"/>
      <c r="F294" s="217"/>
      <c r="G294" s="234"/>
      <c r="H294" s="218"/>
      <c r="I294" s="76"/>
      <c r="J294" s="77"/>
      <c r="K294" s="77"/>
      <c r="L294" s="76"/>
      <c r="M294" s="110"/>
      <c r="N294" s="152"/>
      <c r="O294" s="111" t="str">
        <f>IFERROR(MIN(VLOOKUP(ROUNDDOWN(N294,0),'Aide calcul'!$B$2:$C$282,2,FALSE),M294+1),"")</f>
        <v/>
      </c>
      <c r="P294" s="112" t="str">
        <f t="shared" si="68"/>
        <v/>
      </c>
      <c r="Q294" s="170"/>
      <c r="R294" s="170"/>
      <c r="S294" s="170"/>
      <c r="T294" s="170"/>
      <c r="U294" s="170"/>
      <c r="V294" s="170"/>
      <c r="W294" s="170"/>
      <c r="X294" s="76"/>
      <c r="Y294" s="76"/>
      <c r="Z294" s="113" t="str">
        <f>IFERROR(ROUND('Informations générales'!$E$66*(AE294/SUM($AE$28:$AE$404))/12,0)*12,"")</f>
        <v/>
      </c>
      <c r="AA294" s="114"/>
      <c r="AB294" s="113" t="str">
        <f t="shared" si="57"/>
        <v/>
      </c>
      <c r="AC294" s="89"/>
      <c r="AD294" s="76"/>
      <c r="AE294" s="56">
        <f t="shared" si="69"/>
        <v>0</v>
      </c>
      <c r="AF294" s="56">
        <f t="shared" si="58"/>
        <v>0</v>
      </c>
      <c r="AG294" s="56">
        <f t="shared" si="59"/>
        <v>0</v>
      </c>
      <c r="AH294" s="56">
        <f t="shared" si="60"/>
        <v>0</v>
      </c>
      <c r="AI294" s="56">
        <f t="shared" si="61"/>
        <v>0</v>
      </c>
      <c r="AJ294" s="56">
        <f t="shared" si="62"/>
        <v>0</v>
      </c>
      <c r="AK294" s="56">
        <f t="shared" si="63"/>
        <v>0</v>
      </c>
      <c r="AL294" s="56">
        <f t="shared" si="64"/>
        <v>0</v>
      </c>
      <c r="AM294" s="56">
        <f t="shared" si="70"/>
        <v>0</v>
      </c>
      <c r="AN294" s="60">
        <f t="shared" si="65"/>
        <v>0</v>
      </c>
      <c r="AO294" s="59">
        <f t="shared" si="66"/>
        <v>0</v>
      </c>
      <c r="AP294" s="59">
        <f t="shared" si="67"/>
        <v>0</v>
      </c>
    </row>
    <row r="295" spans="3:42" s="17" customFormat="1" x14ac:dyDescent="0.25">
      <c r="C295" s="241" t="s">
        <v>213</v>
      </c>
      <c r="D295" s="242"/>
      <c r="E295" s="88"/>
      <c r="F295" s="217"/>
      <c r="G295" s="234"/>
      <c r="H295" s="218"/>
      <c r="I295" s="76"/>
      <c r="J295" s="77"/>
      <c r="K295" s="77"/>
      <c r="L295" s="76"/>
      <c r="M295" s="110"/>
      <c r="N295" s="152"/>
      <c r="O295" s="111" t="str">
        <f>IFERROR(MIN(VLOOKUP(ROUNDDOWN(N295,0),'Aide calcul'!$B$2:$C$282,2,FALSE),M295+1),"")</f>
        <v/>
      </c>
      <c r="P295" s="112" t="str">
        <f t="shared" si="68"/>
        <v/>
      </c>
      <c r="Q295" s="170"/>
      <c r="R295" s="170"/>
      <c r="S295" s="170"/>
      <c r="T295" s="170"/>
      <c r="U295" s="170"/>
      <c r="V295" s="170"/>
      <c r="W295" s="170"/>
      <c r="X295" s="76"/>
      <c r="Y295" s="76"/>
      <c r="Z295" s="113" t="str">
        <f>IFERROR(ROUND('Informations générales'!$E$66*(AE295/SUM($AE$28:$AE$404))/12,0)*12,"")</f>
        <v/>
      </c>
      <c r="AA295" s="114"/>
      <c r="AB295" s="113" t="str">
        <f t="shared" si="57"/>
        <v/>
      </c>
      <c r="AC295" s="89"/>
      <c r="AD295" s="76"/>
      <c r="AE295" s="56">
        <f t="shared" si="69"/>
        <v>0</v>
      </c>
      <c r="AF295" s="56">
        <f t="shared" si="58"/>
        <v>0</v>
      </c>
      <c r="AG295" s="56">
        <f t="shared" si="59"/>
        <v>0</v>
      </c>
      <c r="AH295" s="56">
        <f t="shared" si="60"/>
        <v>0</v>
      </c>
      <c r="AI295" s="56">
        <f t="shared" si="61"/>
        <v>0</v>
      </c>
      <c r="AJ295" s="56">
        <f t="shared" si="62"/>
        <v>0</v>
      </c>
      <c r="AK295" s="56">
        <f t="shared" si="63"/>
        <v>0</v>
      </c>
      <c r="AL295" s="56">
        <f t="shared" si="64"/>
        <v>0</v>
      </c>
      <c r="AM295" s="56">
        <f t="shared" si="70"/>
        <v>0</v>
      </c>
      <c r="AN295" s="60">
        <f t="shared" si="65"/>
        <v>0</v>
      </c>
      <c r="AO295" s="59">
        <f t="shared" si="66"/>
        <v>0</v>
      </c>
      <c r="AP295" s="59">
        <f t="shared" si="67"/>
        <v>0</v>
      </c>
    </row>
    <row r="296" spans="3:42" s="17" customFormat="1" x14ac:dyDescent="0.25">
      <c r="C296" s="241" t="s">
        <v>213</v>
      </c>
      <c r="D296" s="242"/>
      <c r="E296" s="88"/>
      <c r="F296" s="217"/>
      <c r="G296" s="234"/>
      <c r="H296" s="218"/>
      <c r="I296" s="76"/>
      <c r="J296" s="77"/>
      <c r="K296" s="77"/>
      <c r="L296" s="76"/>
      <c r="M296" s="110"/>
      <c r="N296" s="152"/>
      <c r="O296" s="111" t="str">
        <f>IFERROR(MIN(VLOOKUP(ROUNDDOWN(N296,0),'Aide calcul'!$B$2:$C$282,2,FALSE),M296+1),"")</f>
        <v/>
      </c>
      <c r="P296" s="112" t="str">
        <f t="shared" si="68"/>
        <v/>
      </c>
      <c r="Q296" s="170"/>
      <c r="R296" s="170"/>
      <c r="S296" s="170"/>
      <c r="T296" s="170"/>
      <c r="U296" s="170"/>
      <c r="V296" s="170"/>
      <c r="W296" s="170"/>
      <c r="X296" s="76"/>
      <c r="Y296" s="76"/>
      <c r="Z296" s="113" t="str">
        <f>IFERROR(ROUND('Informations générales'!$E$66*(AE296/SUM($AE$28:$AE$404))/12,0)*12,"")</f>
        <v/>
      </c>
      <c r="AA296" s="114"/>
      <c r="AB296" s="113" t="str">
        <f t="shared" si="57"/>
        <v/>
      </c>
      <c r="AC296" s="89"/>
      <c r="AD296" s="76"/>
      <c r="AE296" s="56">
        <f t="shared" si="69"/>
        <v>0</v>
      </c>
      <c r="AF296" s="56">
        <f t="shared" si="58"/>
        <v>0</v>
      </c>
      <c r="AG296" s="56">
        <f t="shared" si="59"/>
        <v>0</v>
      </c>
      <c r="AH296" s="56">
        <f t="shared" si="60"/>
        <v>0</v>
      </c>
      <c r="AI296" s="56">
        <f t="shared" si="61"/>
        <v>0</v>
      </c>
      <c r="AJ296" s="56">
        <f t="shared" si="62"/>
        <v>0</v>
      </c>
      <c r="AK296" s="56">
        <f t="shared" si="63"/>
        <v>0</v>
      </c>
      <c r="AL296" s="56">
        <f t="shared" si="64"/>
        <v>0</v>
      </c>
      <c r="AM296" s="56">
        <f t="shared" si="70"/>
        <v>0</v>
      </c>
      <c r="AN296" s="60">
        <f t="shared" si="65"/>
        <v>0</v>
      </c>
      <c r="AO296" s="59">
        <f t="shared" si="66"/>
        <v>0</v>
      </c>
      <c r="AP296" s="59">
        <f t="shared" si="67"/>
        <v>0</v>
      </c>
    </row>
    <row r="297" spans="3:42" s="17" customFormat="1" x14ac:dyDescent="0.25">
      <c r="C297" s="241" t="s">
        <v>213</v>
      </c>
      <c r="D297" s="242"/>
      <c r="E297" s="88"/>
      <c r="F297" s="217"/>
      <c r="G297" s="234"/>
      <c r="H297" s="218"/>
      <c r="I297" s="76"/>
      <c r="J297" s="77"/>
      <c r="K297" s="77"/>
      <c r="L297" s="76"/>
      <c r="M297" s="110"/>
      <c r="N297" s="152"/>
      <c r="O297" s="111" t="str">
        <f>IFERROR(MIN(VLOOKUP(ROUNDDOWN(N297,0),'Aide calcul'!$B$2:$C$282,2,FALSE),M297+1),"")</f>
        <v/>
      </c>
      <c r="P297" s="112" t="str">
        <f t="shared" si="68"/>
        <v/>
      </c>
      <c r="Q297" s="170"/>
      <c r="R297" s="170"/>
      <c r="S297" s="170"/>
      <c r="T297" s="170"/>
      <c r="U297" s="170"/>
      <c r="V297" s="170"/>
      <c r="W297" s="170"/>
      <c r="X297" s="76"/>
      <c r="Y297" s="76"/>
      <c r="Z297" s="113" t="str">
        <f>IFERROR(ROUND('Informations générales'!$E$66*(AE297/SUM($AE$28:$AE$404))/12,0)*12,"")</f>
        <v/>
      </c>
      <c r="AA297" s="114"/>
      <c r="AB297" s="113" t="str">
        <f t="shared" si="57"/>
        <v/>
      </c>
      <c r="AC297" s="89"/>
      <c r="AD297" s="76"/>
      <c r="AE297" s="56">
        <f t="shared" si="69"/>
        <v>0</v>
      </c>
      <c r="AF297" s="56">
        <f t="shared" si="58"/>
        <v>0</v>
      </c>
      <c r="AG297" s="56">
        <f t="shared" si="59"/>
        <v>0</v>
      </c>
      <c r="AH297" s="56">
        <f t="shared" si="60"/>
        <v>0</v>
      </c>
      <c r="AI297" s="56">
        <f t="shared" si="61"/>
        <v>0</v>
      </c>
      <c r="AJ297" s="56">
        <f t="shared" si="62"/>
        <v>0</v>
      </c>
      <c r="AK297" s="56">
        <f t="shared" si="63"/>
        <v>0</v>
      </c>
      <c r="AL297" s="56">
        <f t="shared" si="64"/>
        <v>0</v>
      </c>
      <c r="AM297" s="56">
        <f t="shared" si="70"/>
        <v>0</v>
      </c>
      <c r="AN297" s="60">
        <f t="shared" si="65"/>
        <v>0</v>
      </c>
      <c r="AO297" s="59">
        <f t="shared" si="66"/>
        <v>0</v>
      </c>
      <c r="AP297" s="59">
        <f t="shared" si="67"/>
        <v>0</v>
      </c>
    </row>
    <row r="298" spans="3:42" s="17" customFormat="1" x14ac:dyDescent="0.25">
      <c r="C298" s="241" t="s">
        <v>213</v>
      </c>
      <c r="D298" s="242"/>
      <c r="E298" s="88"/>
      <c r="F298" s="217"/>
      <c r="G298" s="234"/>
      <c r="H298" s="218"/>
      <c r="I298" s="76"/>
      <c r="J298" s="77"/>
      <c r="K298" s="77"/>
      <c r="L298" s="76"/>
      <c r="M298" s="110"/>
      <c r="N298" s="152"/>
      <c r="O298" s="111" t="str">
        <f>IFERROR(MIN(VLOOKUP(ROUNDDOWN(N298,0),'Aide calcul'!$B$2:$C$282,2,FALSE),M298+1),"")</f>
        <v/>
      </c>
      <c r="P298" s="112" t="str">
        <f t="shared" si="68"/>
        <v/>
      </c>
      <c r="Q298" s="170"/>
      <c r="R298" s="170"/>
      <c r="S298" s="170"/>
      <c r="T298" s="170"/>
      <c r="U298" s="170"/>
      <c r="V298" s="170"/>
      <c r="W298" s="170"/>
      <c r="X298" s="76"/>
      <c r="Y298" s="76"/>
      <c r="Z298" s="113" t="str">
        <f>IFERROR(ROUND('Informations générales'!$E$66*(AE298/SUM($AE$28:$AE$404))/12,0)*12,"")</f>
        <v/>
      </c>
      <c r="AA298" s="114"/>
      <c r="AB298" s="113" t="str">
        <f t="shared" si="57"/>
        <v/>
      </c>
      <c r="AC298" s="89"/>
      <c r="AD298" s="76"/>
      <c r="AE298" s="56">
        <f t="shared" si="69"/>
        <v>0</v>
      </c>
      <c r="AF298" s="56">
        <f t="shared" si="58"/>
        <v>0</v>
      </c>
      <c r="AG298" s="56">
        <f t="shared" si="59"/>
        <v>0</v>
      </c>
      <c r="AH298" s="56">
        <f t="shared" si="60"/>
        <v>0</v>
      </c>
      <c r="AI298" s="56">
        <f t="shared" si="61"/>
        <v>0</v>
      </c>
      <c r="AJ298" s="56">
        <f t="shared" si="62"/>
        <v>0</v>
      </c>
      <c r="AK298" s="56">
        <f t="shared" si="63"/>
        <v>0</v>
      </c>
      <c r="AL298" s="56">
        <f t="shared" si="64"/>
        <v>0</v>
      </c>
      <c r="AM298" s="56">
        <f t="shared" si="70"/>
        <v>0</v>
      </c>
      <c r="AN298" s="60">
        <f t="shared" si="65"/>
        <v>0</v>
      </c>
      <c r="AO298" s="59">
        <f t="shared" si="66"/>
        <v>0</v>
      </c>
      <c r="AP298" s="59">
        <f t="shared" si="67"/>
        <v>0</v>
      </c>
    </row>
    <row r="299" spans="3:42" s="17" customFormat="1" x14ac:dyDescent="0.25">
      <c r="C299" s="241" t="s">
        <v>213</v>
      </c>
      <c r="D299" s="242"/>
      <c r="E299" s="88"/>
      <c r="F299" s="217"/>
      <c r="G299" s="234"/>
      <c r="H299" s="218"/>
      <c r="I299" s="76"/>
      <c r="J299" s="77"/>
      <c r="K299" s="77"/>
      <c r="L299" s="76"/>
      <c r="M299" s="110"/>
      <c r="N299" s="152"/>
      <c r="O299" s="111" t="str">
        <f>IFERROR(MIN(VLOOKUP(ROUNDDOWN(N299,0),'Aide calcul'!$B$2:$C$282,2,FALSE),M299+1),"")</f>
        <v/>
      </c>
      <c r="P299" s="112" t="str">
        <f t="shared" si="68"/>
        <v/>
      </c>
      <c r="Q299" s="170"/>
      <c r="R299" s="170"/>
      <c r="S299" s="170"/>
      <c r="T299" s="170"/>
      <c r="U299" s="170"/>
      <c r="V299" s="170"/>
      <c r="W299" s="170"/>
      <c r="X299" s="76"/>
      <c r="Y299" s="76"/>
      <c r="Z299" s="113" t="str">
        <f>IFERROR(ROUND('Informations générales'!$E$66*(AE299/SUM($AE$28:$AE$404))/12,0)*12,"")</f>
        <v/>
      </c>
      <c r="AA299" s="114"/>
      <c r="AB299" s="113" t="str">
        <f t="shared" si="57"/>
        <v/>
      </c>
      <c r="AC299" s="89"/>
      <c r="AD299" s="76"/>
      <c r="AE299" s="56">
        <f t="shared" si="69"/>
        <v>0</v>
      </c>
      <c r="AF299" s="56">
        <f t="shared" si="58"/>
        <v>0</v>
      </c>
      <c r="AG299" s="56">
        <f t="shared" si="59"/>
        <v>0</v>
      </c>
      <c r="AH299" s="56">
        <f t="shared" si="60"/>
        <v>0</v>
      </c>
      <c r="AI299" s="56">
        <f t="shared" si="61"/>
        <v>0</v>
      </c>
      <c r="AJ299" s="56">
        <f t="shared" si="62"/>
        <v>0</v>
      </c>
      <c r="AK299" s="56">
        <f t="shared" si="63"/>
        <v>0</v>
      </c>
      <c r="AL299" s="56">
        <f t="shared" si="64"/>
        <v>0</v>
      </c>
      <c r="AM299" s="56">
        <f t="shared" si="70"/>
        <v>0</v>
      </c>
      <c r="AN299" s="60">
        <f t="shared" si="65"/>
        <v>0</v>
      </c>
      <c r="AO299" s="59">
        <f t="shared" si="66"/>
        <v>0</v>
      </c>
      <c r="AP299" s="59">
        <f t="shared" si="67"/>
        <v>0</v>
      </c>
    </row>
    <row r="300" spans="3:42" s="17" customFormat="1" x14ac:dyDescent="0.25">
      <c r="C300" s="241" t="s">
        <v>213</v>
      </c>
      <c r="D300" s="242"/>
      <c r="E300" s="88"/>
      <c r="F300" s="217"/>
      <c r="G300" s="234"/>
      <c r="H300" s="218"/>
      <c r="I300" s="76"/>
      <c r="J300" s="77"/>
      <c r="K300" s="77"/>
      <c r="L300" s="76"/>
      <c r="M300" s="110"/>
      <c r="N300" s="152"/>
      <c r="O300" s="111" t="str">
        <f>IFERROR(MIN(VLOOKUP(ROUNDDOWN(N300,0),'Aide calcul'!$B$2:$C$282,2,FALSE),M300+1),"")</f>
        <v/>
      </c>
      <c r="P300" s="112" t="str">
        <f t="shared" si="68"/>
        <v/>
      </c>
      <c r="Q300" s="170"/>
      <c r="R300" s="170"/>
      <c r="S300" s="170"/>
      <c r="T300" s="170"/>
      <c r="U300" s="170"/>
      <c r="V300" s="170"/>
      <c r="W300" s="170"/>
      <c r="X300" s="76"/>
      <c r="Y300" s="76"/>
      <c r="Z300" s="113" t="str">
        <f>IFERROR(ROUND('Informations générales'!$E$66*(AE300/SUM($AE$28:$AE$404))/12,0)*12,"")</f>
        <v/>
      </c>
      <c r="AA300" s="114"/>
      <c r="AB300" s="113" t="str">
        <f t="shared" si="57"/>
        <v/>
      </c>
      <c r="AC300" s="89"/>
      <c r="AD300" s="76"/>
      <c r="AE300" s="56">
        <f t="shared" si="69"/>
        <v>0</v>
      </c>
      <c r="AF300" s="56">
        <f t="shared" si="58"/>
        <v>0</v>
      </c>
      <c r="AG300" s="56">
        <f t="shared" si="59"/>
        <v>0</v>
      </c>
      <c r="AH300" s="56">
        <f t="shared" si="60"/>
        <v>0</v>
      </c>
      <c r="AI300" s="56">
        <f t="shared" si="61"/>
        <v>0</v>
      </c>
      <c r="AJ300" s="56">
        <f t="shared" si="62"/>
        <v>0</v>
      </c>
      <c r="AK300" s="56">
        <f t="shared" si="63"/>
        <v>0</v>
      </c>
      <c r="AL300" s="56">
        <f t="shared" si="64"/>
        <v>0</v>
      </c>
      <c r="AM300" s="56">
        <f t="shared" si="70"/>
        <v>0</v>
      </c>
      <c r="AN300" s="60">
        <f t="shared" si="65"/>
        <v>0</v>
      </c>
      <c r="AO300" s="59">
        <f t="shared" si="66"/>
        <v>0</v>
      </c>
      <c r="AP300" s="59">
        <f t="shared" si="67"/>
        <v>0</v>
      </c>
    </row>
    <row r="301" spans="3:42" s="17" customFormat="1" x14ac:dyDescent="0.25">
      <c r="C301" s="241" t="s">
        <v>213</v>
      </c>
      <c r="D301" s="242"/>
      <c r="E301" s="88"/>
      <c r="F301" s="217"/>
      <c r="G301" s="234"/>
      <c r="H301" s="218"/>
      <c r="I301" s="76"/>
      <c r="J301" s="77"/>
      <c r="K301" s="77"/>
      <c r="L301" s="76"/>
      <c r="M301" s="110"/>
      <c r="N301" s="152"/>
      <c r="O301" s="111" t="str">
        <f>IFERROR(MIN(VLOOKUP(ROUNDDOWN(N301,0),'Aide calcul'!$B$2:$C$282,2,FALSE),M301+1),"")</f>
        <v/>
      </c>
      <c r="P301" s="112" t="str">
        <f t="shared" si="68"/>
        <v/>
      </c>
      <c r="Q301" s="170"/>
      <c r="R301" s="170"/>
      <c r="S301" s="170"/>
      <c r="T301" s="170"/>
      <c r="U301" s="170"/>
      <c r="V301" s="170"/>
      <c r="W301" s="170"/>
      <c r="X301" s="76"/>
      <c r="Y301" s="76"/>
      <c r="Z301" s="113" t="str">
        <f>IFERROR(ROUND('Informations générales'!$E$66*(AE301/SUM($AE$28:$AE$404))/12,0)*12,"")</f>
        <v/>
      </c>
      <c r="AA301" s="114"/>
      <c r="AB301" s="113" t="str">
        <f t="shared" si="57"/>
        <v/>
      </c>
      <c r="AC301" s="89"/>
      <c r="AD301" s="76"/>
      <c r="AE301" s="56">
        <f t="shared" si="69"/>
        <v>0</v>
      </c>
      <c r="AF301" s="56">
        <f t="shared" si="58"/>
        <v>0</v>
      </c>
      <c r="AG301" s="56">
        <f t="shared" si="59"/>
        <v>0</v>
      </c>
      <c r="AH301" s="56">
        <f t="shared" si="60"/>
        <v>0</v>
      </c>
      <c r="AI301" s="56">
        <f t="shared" si="61"/>
        <v>0</v>
      </c>
      <c r="AJ301" s="56">
        <f t="shared" si="62"/>
        <v>0</v>
      </c>
      <c r="AK301" s="56">
        <f t="shared" si="63"/>
        <v>0</v>
      </c>
      <c r="AL301" s="56">
        <f t="shared" si="64"/>
        <v>0</v>
      </c>
      <c r="AM301" s="56">
        <f t="shared" si="70"/>
        <v>0</v>
      </c>
      <c r="AN301" s="60">
        <f t="shared" si="65"/>
        <v>0</v>
      </c>
      <c r="AO301" s="59">
        <f t="shared" si="66"/>
        <v>0</v>
      </c>
      <c r="AP301" s="59">
        <f t="shared" si="67"/>
        <v>0</v>
      </c>
    </row>
    <row r="302" spans="3:42" s="17" customFormat="1" x14ac:dyDescent="0.25">
      <c r="C302" s="241" t="s">
        <v>213</v>
      </c>
      <c r="D302" s="242"/>
      <c r="E302" s="88"/>
      <c r="F302" s="217"/>
      <c r="G302" s="234"/>
      <c r="H302" s="218"/>
      <c r="I302" s="76"/>
      <c r="J302" s="77"/>
      <c r="K302" s="77"/>
      <c r="L302" s="76"/>
      <c r="M302" s="110"/>
      <c r="N302" s="152"/>
      <c r="O302" s="111" t="str">
        <f>IFERROR(MIN(VLOOKUP(ROUNDDOWN(N302,0),'Aide calcul'!$B$2:$C$282,2,FALSE),M302+1),"")</f>
        <v/>
      </c>
      <c r="P302" s="112" t="str">
        <f t="shared" si="68"/>
        <v/>
      </c>
      <c r="Q302" s="170"/>
      <c r="R302" s="170"/>
      <c r="S302" s="170"/>
      <c r="T302" s="170"/>
      <c r="U302" s="170"/>
      <c r="V302" s="170"/>
      <c r="W302" s="170"/>
      <c r="X302" s="76"/>
      <c r="Y302" s="76"/>
      <c r="Z302" s="113" t="str">
        <f>IFERROR(ROUND('Informations générales'!$E$66*(AE302/SUM($AE$28:$AE$404))/12,0)*12,"")</f>
        <v/>
      </c>
      <c r="AA302" s="114"/>
      <c r="AB302" s="113" t="str">
        <f t="shared" si="57"/>
        <v/>
      </c>
      <c r="AC302" s="89"/>
      <c r="AD302" s="76"/>
      <c r="AE302" s="56">
        <f t="shared" si="69"/>
        <v>0</v>
      </c>
      <c r="AF302" s="56">
        <f t="shared" si="58"/>
        <v>0</v>
      </c>
      <c r="AG302" s="56">
        <f t="shared" si="59"/>
        <v>0</v>
      </c>
      <c r="AH302" s="56">
        <f t="shared" si="60"/>
        <v>0</v>
      </c>
      <c r="AI302" s="56">
        <f t="shared" si="61"/>
        <v>0</v>
      </c>
      <c r="AJ302" s="56">
        <f t="shared" si="62"/>
        <v>0</v>
      </c>
      <c r="AK302" s="56">
        <f t="shared" si="63"/>
        <v>0</v>
      </c>
      <c r="AL302" s="56">
        <f t="shared" si="64"/>
        <v>0</v>
      </c>
      <c r="AM302" s="56">
        <f t="shared" si="70"/>
        <v>0</v>
      </c>
      <c r="AN302" s="60">
        <f t="shared" si="65"/>
        <v>0</v>
      </c>
      <c r="AO302" s="59">
        <f t="shared" si="66"/>
        <v>0</v>
      </c>
      <c r="AP302" s="59">
        <f t="shared" si="67"/>
        <v>0</v>
      </c>
    </row>
    <row r="303" spans="3:42" s="17" customFormat="1" x14ac:dyDescent="0.25">
      <c r="C303" s="241" t="s">
        <v>213</v>
      </c>
      <c r="D303" s="242"/>
      <c r="E303" s="88"/>
      <c r="F303" s="217"/>
      <c r="G303" s="234"/>
      <c r="H303" s="218"/>
      <c r="I303" s="76"/>
      <c r="J303" s="77"/>
      <c r="K303" s="77"/>
      <c r="L303" s="76"/>
      <c r="M303" s="110"/>
      <c r="N303" s="152"/>
      <c r="O303" s="111" t="str">
        <f>IFERROR(MIN(VLOOKUP(ROUNDDOWN(N303,0),'Aide calcul'!$B$2:$C$282,2,FALSE),M303+1),"")</f>
        <v/>
      </c>
      <c r="P303" s="112" t="str">
        <f t="shared" si="68"/>
        <v/>
      </c>
      <c r="Q303" s="170"/>
      <c r="R303" s="170"/>
      <c r="S303" s="170"/>
      <c r="T303" s="170"/>
      <c r="U303" s="170"/>
      <c r="V303" s="170"/>
      <c r="W303" s="170"/>
      <c r="X303" s="76"/>
      <c r="Y303" s="76"/>
      <c r="Z303" s="113" t="str">
        <f>IFERROR(ROUND('Informations générales'!$E$66*(AE303/SUM($AE$28:$AE$404))/12,0)*12,"")</f>
        <v/>
      </c>
      <c r="AA303" s="114"/>
      <c r="AB303" s="113" t="str">
        <f t="shared" si="57"/>
        <v/>
      </c>
      <c r="AC303" s="89"/>
      <c r="AD303" s="76"/>
      <c r="AE303" s="56">
        <f t="shared" si="69"/>
        <v>0</v>
      </c>
      <c r="AF303" s="56">
        <f t="shared" si="58"/>
        <v>0</v>
      </c>
      <c r="AG303" s="56">
        <f t="shared" si="59"/>
        <v>0</v>
      </c>
      <c r="AH303" s="56">
        <f t="shared" si="60"/>
        <v>0</v>
      </c>
      <c r="AI303" s="56">
        <f t="shared" si="61"/>
        <v>0</v>
      </c>
      <c r="AJ303" s="56">
        <f t="shared" si="62"/>
        <v>0</v>
      </c>
      <c r="AK303" s="56">
        <f t="shared" si="63"/>
        <v>0</v>
      </c>
      <c r="AL303" s="56">
        <f t="shared" si="64"/>
        <v>0</v>
      </c>
      <c r="AM303" s="56">
        <f t="shared" si="70"/>
        <v>0</v>
      </c>
      <c r="AN303" s="60">
        <f t="shared" si="65"/>
        <v>0</v>
      </c>
      <c r="AO303" s="59">
        <f t="shared" si="66"/>
        <v>0</v>
      </c>
      <c r="AP303" s="59">
        <f t="shared" si="67"/>
        <v>0</v>
      </c>
    </row>
    <row r="304" spans="3:42" s="17" customFormat="1" x14ac:dyDescent="0.25">
      <c r="C304" s="241" t="s">
        <v>213</v>
      </c>
      <c r="D304" s="242"/>
      <c r="E304" s="88"/>
      <c r="F304" s="217"/>
      <c r="G304" s="234"/>
      <c r="H304" s="218"/>
      <c r="I304" s="76"/>
      <c r="J304" s="77"/>
      <c r="K304" s="77"/>
      <c r="L304" s="76"/>
      <c r="M304" s="110"/>
      <c r="N304" s="152"/>
      <c r="O304" s="111" t="str">
        <f>IFERROR(MIN(VLOOKUP(ROUNDDOWN(N304,0),'Aide calcul'!$B$2:$C$282,2,FALSE),M304+1),"")</f>
        <v/>
      </c>
      <c r="P304" s="112" t="str">
        <f t="shared" si="68"/>
        <v/>
      </c>
      <c r="Q304" s="170"/>
      <c r="R304" s="170"/>
      <c r="S304" s="170"/>
      <c r="T304" s="170"/>
      <c r="U304" s="170"/>
      <c r="V304" s="170"/>
      <c r="W304" s="170"/>
      <c r="X304" s="76"/>
      <c r="Y304" s="76"/>
      <c r="Z304" s="113" t="str">
        <f>IFERROR(ROUND('Informations générales'!$E$66*(AE304/SUM($AE$28:$AE$404))/12,0)*12,"")</f>
        <v/>
      </c>
      <c r="AA304" s="114"/>
      <c r="AB304" s="113" t="str">
        <f t="shared" si="57"/>
        <v/>
      </c>
      <c r="AC304" s="89"/>
      <c r="AD304" s="76"/>
      <c r="AE304" s="56">
        <f t="shared" si="69"/>
        <v>0</v>
      </c>
      <c r="AF304" s="56">
        <f t="shared" si="58"/>
        <v>0</v>
      </c>
      <c r="AG304" s="56">
        <f t="shared" si="59"/>
        <v>0</v>
      </c>
      <c r="AH304" s="56">
        <f t="shared" si="60"/>
        <v>0</v>
      </c>
      <c r="AI304" s="56">
        <f t="shared" si="61"/>
        <v>0</v>
      </c>
      <c r="AJ304" s="56">
        <f t="shared" si="62"/>
        <v>0</v>
      </c>
      <c r="AK304" s="56">
        <f t="shared" si="63"/>
        <v>0</v>
      </c>
      <c r="AL304" s="56">
        <f t="shared" si="64"/>
        <v>0</v>
      </c>
      <c r="AM304" s="56">
        <f t="shared" si="70"/>
        <v>0</v>
      </c>
      <c r="AN304" s="60">
        <f t="shared" si="65"/>
        <v>0</v>
      </c>
      <c r="AO304" s="59">
        <f t="shared" si="66"/>
        <v>0</v>
      </c>
      <c r="AP304" s="59">
        <f t="shared" si="67"/>
        <v>0</v>
      </c>
    </row>
    <row r="305" spans="3:42" s="17" customFormat="1" x14ac:dyDescent="0.25">
      <c r="C305" s="241" t="s">
        <v>213</v>
      </c>
      <c r="D305" s="242"/>
      <c r="E305" s="88"/>
      <c r="F305" s="217"/>
      <c r="G305" s="234"/>
      <c r="H305" s="218"/>
      <c r="I305" s="76"/>
      <c r="J305" s="77"/>
      <c r="K305" s="77"/>
      <c r="L305" s="76"/>
      <c r="M305" s="110"/>
      <c r="N305" s="152"/>
      <c r="O305" s="111" t="str">
        <f>IFERROR(MIN(VLOOKUP(ROUNDDOWN(N305,0),'Aide calcul'!$B$2:$C$282,2,FALSE),M305+1),"")</f>
        <v/>
      </c>
      <c r="P305" s="112" t="str">
        <f t="shared" si="68"/>
        <v/>
      </c>
      <c r="Q305" s="170"/>
      <c r="R305" s="170"/>
      <c r="S305" s="170"/>
      <c r="T305" s="170"/>
      <c r="U305" s="170"/>
      <c r="V305" s="170"/>
      <c r="W305" s="170"/>
      <c r="X305" s="76"/>
      <c r="Y305" s="76"/>
      <c r="Z305" s="113" t="str">
        <f>IFERROR(ROUND('Informations générales'!$E$66*(AE305/SUM($AE$28:$AE$404))/12,0)*12,"")</f>
        <v/>
      </c>
      <c r="AA305" s="114"/>
      <c r="AB305" s="113" t="str">
        <f t="shared" si="57"/>
        <v/>
      </c>
      <c r="AC305" s="89"/>
      <c r="AD305" s="76"/>
      <c r="AE305" s="56">
        <f t="shared" si="69"/>
        <v>0</v>
      </c>
      <c r="AF305" s="56">
        <f t="shared" si="58"/>
        <v>0</v>
      </c>
      <c r="AG305" s="56">
        <f t="shared" si="59"/>
        <v>0</v>
      </c>
      <c r="AH305" s="56">
        <f t="shared" si="60"/>
        <v>0</v>
      </c>
      <c r="AI305" s="56">
        <f t="shared" si="61"/>
        <v>0</v>
      </c>
      <c r="AJ305" s="56">
        <f t="shared" si="62"/>
        <v>0</v>
      </c>
      <c r="AK305" s="56">
        <f t="shared" si="63"/>
        <v>0</v>
      </c>
      <c r="AL305" s="56">
        <f t="shared" si="64"/>
        <v>0</v>
      </c>
      <c r="AM305" s="56">
        <f t="shared" si="70"/>
        <v>0</v>
      </c>
      <c r="AN305" s="60">
        <f t="shared" si="65"/>
        <v>0</v>
      </c>
      <c r="AO305" s="59">
        <f t="shared" si="66"/>
        <v>0</v>
      </c>
      <c r="AP305" s="59">
        <f t="shared" si="67"/>
        <v>0</v>
      </c>
    </row>
    <row r="306" spans="3:42" s="17" customFormat="1" x14ac:dyDescent="0.25">
      <c r="C306" s="241" t="s">
        <v>213</v>
      </c>
      <c r="D306" s="242"/>
      <c r="E306" s="88"/>
      <c r="F306" s="217"/>
      <c r="G306" s="234"/>
      <c r="H306" s="218"/>
      <c r="I306" s="76"/>
      <c r="J306" s="77"/>
      <c r="K306" s="77"/>
      <c r="L306" s="76"/>
      <c r="M306" s="110"/>
      <c r="N306" s="152"/>
      <c r="O306" s="111" t="str">
        <f>IFERROR(MIN(VLOOKUP(ROUNDDOWN(N306,0),'Aide calcul'!$B$2:$C$282,2,FALSE),M306+1),"")</f>
        <v/>
      </c>
      <c r="P306" s="112" t="str">
        <f t="shared" si="68"/>
        <v/>
      </c>
      <c r="Q306" s="170"/>
      <c r="R306" s="170"/>
      <c r="S306" s="170"/>
      <c r="T306" s="170"/>
      <c r="U306" s="170"/>
      <c r="V306" s="170"/>
      <c r="W306" s="170"/>
      <c r="X306" s="76"/>
      <c r="Y306" s="76"/>
      <c r="Z306" s="113" t="str">
        <f>IFERROR(ROUND('Informations générales'!$E$66*(AE306/SUM($AE$28:$AE$404))/12,0)*12,"")</f>
        <v/>
      </c>
      <c r="AA306" s="114"/>
      <c r="AB306" s="113" t="str">
        <f t="shared" si="57"/>
        <v/>
      </c>
      <c r="AC306" s="89"/>
      <c r="AD306" s="76"/>
      <c r="AE306" s="56">
        <f t="shared" si="69"/>
        <v>0</v>
      </c>
      <c r="AF306" s="56">
        <f t="shared" si="58"/>
        <v>0</v>
      </c>
      <c r="AG306" s="56">
        <f t="shared" si="59"/>
        <v>0</v>
      </c>
      <c r="AH306" s="56">
        <f t="shared" si="60"/>
        <v>0</v>
      </c>
      <c r="AI306" s="56">
        <f t="shared" si="61"/>
        <v>0</v>
      </c>
      <c r="AJ306" s="56">
        <f t="shared" si="62"/>
        <v>0</v>
      </c>
      <c r="AK306" s="56">
        <f t="shared" si="63"/>
        <v>0</v>
      </c>
      <c r="AL306" s="56">
        <f t="shared" si="64"/>
        <v>0</v>
      </c>
      <c r="AM306" s="56">
        <f t="shared" si="70"/>
        <v>0</v>
      </c>
      <c r="AN306" s="60">
        <f t="shared" si="65"/>
        <v>0</v>
      </c>
      <c r="AO306" s="59">
        <f t="shared" si="66"/>
        <v>0</v>
      </c>
      <c r="AP306" s="59">
        <f t="shared" si="67"/>
        <v>0</v>
      </c>
    </row>
    <row r="307" spans="3:42" s="17" customFormat="1" x14ac:dyDescent="0.25">
      <c r="C307" s="241" t="s">
        <v>213</v>
      </c>
      <c r="D307" s="242"/>
      <c r="E307" s="88"/>
      <c r="F307" s="217"/>
      <c r="G307" s="234"/>
      <c r="H307" s="218"/>
      <c r="I307" s="76"/>
      <c r="J307" s="77"/>
      <c r="K307" s="77"/>
      <c r="L307" s="76"/>
      <c r="M307" s="110"/>
      <c r="N307" s="152"/>
      <c r="O307" s="111" t="str">
        <f>IFERROR(MIN(VLOOKUP(ROUNDDOWN(N307,0),'Aide calcul'!$B$2:$C$282,2,FALSE),M307+1),"")</f>
        <v/>
      </c>
      <c r="P307" s="112" t="str">
        <f t="shared" si="68"/>
        <v/>
      </c>
      <c r="Q307" s="170"/>
      <c r="R307" s="170"/>
      <c r="S307" s="170"/>
      <c r="T307" s="170"/>
      <c r="U307" s="170"/>
      <c r="V307" s="170"/>
      <c r="W307" s="170"/>
      <c r="X307" s="76"/>
      <c r="Y307" s="76"/>
      <c r="Z307" s="113" t="str">
        <f>IFERROR(ROUND('Informations générales'!$E$66*(AE307/SUM($AE$28:$AE$404))/12,0)*12,"")</f>
        <v/>
      </c>
      <c r="AA307" s="114"/>
      <c r="AB307" s="113" t="str">
        <f t="shared" si="57"/>
        <v/>
      </c>
      <c r="AC307" s="89"/>
      <c r="AD307" s="76"/>
      <c r="AE307" s="56">
        <f t="shared" si="69"/>
        <v>0</v>
      </c>
      <c r="AF307" s="56">
        <f t="shared" si="58"/>
        <v>0</v>
      </c>
      <c r="AG307" s="56">
        <f t="shared" si="59"/>
        <v>0</v>
      </c>
      <c r="AH307" s="56">
        <f t="shared" si="60"/>
        <v>0</v>
      </c>
      <c r="AI307" s="56">
        <f t="shared" si="61"/>
        <v>0</v>
      </c>
      <c r="AJ307" s="56">
        <f t="shared" si="62"/>
        <v>0</v>
      </c>
      <c r="AK307" s="56">
        <f t="shared" si="63"/>
        <v>0</v>
      </c>
      <c r="AL307" s="56">
        <f t="shared" si="64"/>
        <v>0</v>
      </c>
      <c r="AM307" s="56">
        <f t="shared" si="70"/>
        <v>0</v>
      </c>
      <c r="AN307" s="60">
        <f t="shared" si="65"/>
        <v>0</v>
      </c>
      <c r="AO307" s="59">
        <f t="shared" si="66"/>
        <v>0</v>
      </c>
      <c r="AP307" s="59">
        <f t="shared" si="67"/>
        <v>0</v>
      </c>
    </row>
    <row r="308" spans="3:42" s="17" customFormat="1" x14ac:dyDescent="0.25">
      <c r="C308" s="241" t="s">
        <v>213</v>
      </c>
      <c r="D308" s="242"/>
      <c r="E308" s="88"/>
      <c r="F308" s="217"/>
      <c r="G308" s="234"/>
      <c r="H308" s="218"/>
      <c r="I308" s="76"/>
      <c r="J308" s="77"/>
      <c r="K308" s="77"/>
      <c r="L308" s="76"/>
      <c r="M308" s="110"/>
      <c r="N308" s="152"/>
      <c r="O308" s="111" t="str">
        <f>IFERROR(MIN(VLOOKUP(ROUNDDOWN(N308,0),'Aide calcul'!$B$2:$C$282,2,FALSE),M308+1),"")</f>
        <v/>
      </c>
      <c r="P308" s="112" t="str">
        <f t="shared" si="68"/>
        <v/>
      </c>
      <c r="Q308" s="170"/>
      <c r="R308" s="170"/>
      <c r="S308" s="170"/>
      <c r="T308" s="170"/>
      <c r="U308" s="170"/>
      <c r="V308" s="170"/>
      <c r="W308" s="170"/>
      <c r="X308" s="76"/>
      <c r="Y308" s="76"/>
      <c r="Z308" s="113" t="str">
        <f>IFERROR(ROUND('Informations générales'!$E$66*(AE308/SUM($AE$28:$AE$404))/12,0)*12,"")</f>
        <v/>
      </c>
      <c r="AA308" s="114"/>
      <c r="AB308" s="113" t="str">
        <f t="shared" si="57"/>
        <v/>
      </c>
      <c r="AC308" s="89"/>
      <c r="AD308" s="76"/>
      <c r="AE308" s="56">
        <f t="shared" si="69"/>
        <v>0</v>
      </c>
      <c r="AF308" s="56">
        <f t="shared" si="58"/>
        <v>0</v>
      </c>
      <c r="AG308" s="56">
        <f t="shared" si="59"/>
        <v>0</v>
      </c>
      <c r="AH308" s="56">
        <f t="shared" si="60"/>
        <v>0</v>
      </c>
      <c r="AI308" s="56">
        <f t="shared" si="61"/>
        <v>0</v>
      </c>
      <c r="AJ308" s="56">
        <f t="shared" si="62"/>
        <v>0</v>
      </c>
      <c r="AK308" s="56">
        <f t="shared" si="63"/>
        <v>0</v>
      </c>
      <c r="AL308" s="56">
        <f t="shared" si="64"/>
        <v>0</v>
      </c>
      <c r="AM308" s="56">
        <f t="shared" si="70"/>
        <v>0</v>
      </c>
      <c r="AN308" s="60">
        <f t="shared" si="65"/>
        <v>0</v>
      </c>
      <c r="AO308" s="59">
        <f t="shared" si="66"/>
        <v>0</v>
      </c>
      <c r="AP308" s="59">
        <f t="shared" si="67"/>
        <v>0</v>
      </c>
    </row>
    <row r="309" spans="3:42" s="17" customFormat="1" x14ac:dyDescent="0.25">
      <c r="C309" s="241" t="s">
        <v>213</v>
      </c>
      <c r="D309" s="242"/>
      <c r="E309" s="88"/>
      <c r="F309" s="217"/>
      <c r="G309" s="234"/>
      <c r="H309" s="218"/>
      <c r="I309" s="76"/>
      <c r="J309" s="77"/>
      <c r="K309" s="77"/>
      <c r="L309" s="76"/>
      <c r="M309" s="110"/>
      <c r="N309" s="152"/>
      <c r="O309" s="111" t="str">
        <f>IFERROR(MIN(VLOOKUP(ROUNDDOWN(N309,0),'Aide calcul'!$B$2:$C$282,2,FALSE),M309+1),"")</f>
        <v/>
      </c>
      <c r="P309" s="112" t="str">
        <f t="shared" si="68"/>
        <v/>
      </c>
      <c r="Q309" s="170"/>
      <c r="R309" s="170"/>
      <c r="S309" s="170"/>
      <c r="T309" s="170"/>
      <c r="U309" s="170"/>
      <c r="V309" s="170"/>
      <c r="W309" s="170"/>
      <c r="X309" s="76"/>
      <c r="Y309" s="76"/>
      <c r="Z309" s="113" t="str">
        <f>IFERROR(ROUND('Informations générales'!$E$66*(AE309/SUM($AE$28:$AE$404))/12,0)*12,"")</f>
        <v/>
      </c>
      <c r="AA309" s="114"/>
      <c r="AB309" s="113" t="str">
        <f t="shared" si="57"/>
        <v/>
      </c>
      <c r="AC309" s="89"/>
      <c r="AD309" s="76"/>
      <c r="AE309" s="56">
        <f t="shared" si="69"/>
        <v>0</v>
      </c>
      <c r="AF309" s="56">
        <f t="shared" si="58"/>
        <v>0</v>
      </c>
      <c r="AG309" s="56">
        <f t="shared" si="59"/>
        <v>0</v>
      </c>
      <c r="AH309" s="56">
        <f t="shared" si="60"/>
        <v>0</v>
      </c>
      <c r="AI309" s="56">
        <f t="shared" si="61"/>
        <v>0</v>
      </c>
      <c r="AJ309" s="56">
        <f t="shared" si="62"/>
        <v>0</v>
      </c>
      <c r="AK309" s="56">
        <f t="shared" si="63"/>
        <v>0</v>
      </c>
      <c r="AL309" s="56">
        <f t="shared" si="64"/>
        <v>0</v>
      </c>
      <c r="AM309" s="56">
        <f t="shared" si="70"/>
        <v>0</v>
      </c>
      <c r="AN309" s="60">
        <f t="shared" si="65"/>
        <v>0</v>
      </c>
      <c r="AO309" s="59">
        <f t="shared" si="66"/>
        <v>0</v>
      </c>
      <c r="AP309" s="59">
        <f t="shared" si="67"/>
        <v>0</v>
      </c>
    </row>
    <row r="310" spans="3:42" s="17" customFormat="1" x14ac:dyDescent="0.25">
      <c r="C310" s="241" t="s">
        <v>213</v>
      </c>
      <c r="D310" s="242"/>
      <c r="E310" s="88"/>
      <c r="F310" s="217"/>
      <c r="G310" s="234"/>
      <c r="H310" s="218"/>
      <c r="I310" s="76"/>
      <c r="J310" s="77"/>
      <c r="K310" s="77"/>
      <c r="L310" s="76"/>
      <c r="M310" s="110"/>
      <c r="N310" s="152"/>
      <c r="O310" s="111" t="str">
        <f>IFERROR(MIN(VLOOKUP(ROUNDDOWN(N310,0),'Aide calcul'!$B$2:$C$282,2,FALSE),M310+1),"")</f>
        <v/>
      </c>
      <c r="P310" s="112" t="str">
        <f t="shared" si="68"/>
        <v/>
      </c>
      <c r="Q310" s="170"/>
      <c r="R310" s="170"/>
      <c r="S310" s="170"/>
      <c r="T310" s="170"/>
      <c r="U310" s="170"/>
      <c r="V310" s="170"/>
      <c r="W310" s="170"/>
      <c r="X310" s="76"/>
      <c r="Y310" s="76"/>
      <c r="Z310" s="113" t="str">
        <f>IFERROR(ROUND('Informations générales'!$E$66*(AE310/SUM($AE$28:$AE$404))/12,0)*12,"")</f>
        <v/>
      </c>
      <c r="AA310" s="114"/>
      <c r="AB310" s="113" t="str">
        <f t="shared" si="57"/>
        <v/>
      </c>
      <c r="AC310" s="89"/>
      <c r="AD310" s="76"/>
      <c r="AE310" s="56">
        <f t="shared" si="69"/>
        <v>0</v>
      </c>
      <c r="AF310" s="56">
        <f t="shared" si="58"/>
        <v>0</v>
      </c>
      <c r="AG310" s="56">
        <f t="shared" si="59"/>
        <v>0</v>
      </c>
      <c r="AH310" s="56">
        <f t="shared" si="60"/>
        <v>0</v>
      </c>
      <c r="AI310" s="56">
        <f t="shared" si="61"/>
        <v>0</v>
      </c>
      <c r="AJ310" s="56">
        <f t="shared" si="62"/>
        <v>0</v>
      </c>
      <c r="AK310" s="56">
        <f t="shared" si="63"/>
        <v>0</v>
      </c>
      <c r="AL310" s="56">
        <f t="shared" si="64"/>
        <v>0</v>
      </c>
      <c r="AM310" s="56">
        <f t="shared" si="70"/>
        <v>0</v>
      </c>
      <c r="AN310" s="60">
        <f t="shared" si="65"/>
        <v>0</v>
      </c>
      <c r="AO310" s="59">
        <f t="shared" si="66"/>
        <v>0</v>
      </c>
      <c r="AP310" s="59">
        <f t="shared" si="67"/>
        <v>0</v>
      </c>
    </row>
    <row r="311" spans="3:42" s="17" customFormat="1" x14ac:dyDescent="0.25">
      <c r="C311" s="241" t="s">
        <v>213</v>
      </c>
      <c r="D311" s="242"/>
      <c r="E311" s="88"/>
      <c r="F311" s="217"/>
      <c r="G311" s="234"/>
      <c r="H311" s="218"/>
      <c r="I311" s="76"/>
      <c r="J311" s="77"/>
      <c r="K311" s="77"/>
      <c r="L311" s="76"/>
      <c r="M311" s="110"/>
      <c r="N311" s="152"/>
      <c r="O311" s="111" t="str">
        <f>IFERROR(MIN(VLOOKUP(ROUNDDOWN(N311,0),'Aide calcul'!$B$2:$C$282,2,FALSE),M311+1),"")</f>
        <v/>
      </c>
      <c r="P311" s="112" t="str">
        <f t="shared" si="68"/>
        <v/>
      </c>
      <c r="Q311" s="170"/>
      <c r="R311" s="170"/>
      <c r="S311" s="170"/>
      <c r="T311" s="170"/>
      <c r="U311" s="170"/>
      <c r="V311" s="170"/>
      <c r="W311" s="170"/>
      <c r="X311" s="76"/>
      <c r="Y311" s="76"/>
      <c r="Z311" s="113" t="str">
        <f>IFERROR(ROUND('Informations générales'!$E$66*(AE311/SUM($AE$28:$AE$404))/12,0)*12,"")</f>
        <v/>
      </c>
      <c r="AA311" s="114"/>
      <c r="AB311" s="113" t="str">
        <f t="shared" si="57"/>
        <v/>
      </c>
      <c r="AC311" s="89"/>
      <c r="AD311" s="76"/>
      <c r="AE311" s="56">
        <f t="shared" si="69"/>
        <v>0</v>
      </c>
      <c r="AF311" s="56">
        <f t="shared" si="58"/>
        <v>0</v>
      </c>
      <c r="AG311" s="56">
        <f t="shared" si="59"/>
        <v>0</v>
      </c>
      <c r="AH311" s="56">
        <f t="shared" si="60"/>
        <v>0</v>
      </c>
      <c r="AI311" s="56">
        <f t="shared" si="61"/>
        <v>0</v>
      </c>
      <c r="AJ311" s="56">
        <f t="shared" si="62"/>
        <v>0</v>
      </c>
      <c r="AK311" s="56">
        <f t="shared" si="63"/>
        <v>0</v>
      </c>
      <c r="AL311" s="56">
        <f t="shared" si="64"/>
        <v>0</v>
      </c>
      <c r="AM311" s="56">
        <f t="shared" si="70"/>
        <v>0</v>
      </c>
      <c r="AN311" s="60">
        <f t="shared" si="65"/>
        <v>0</v>
      </c>
      <c r="AO311" s="59">
        <f t="shared" si="66"/>
        <v>0</v>
      </c>
      <c r="AP311" s="59">
        <f t="shared" si="67"/>
        <v>0</v>
      </c>
    </row>
    <row r="312" spans="3:42" s="17" customFormat="1" x14ac:dyDescent="0.25">
      <c r="C312" s="241" t="s">
        <v>213</v>
      </c>
      <c r="D312" s="242"/>
      <c r="E312" s="88"/>
      <c r="F312" s="217"/>
      <c r="G312" s="234"/>
      <c r="H312" s="218"/>
      <c r="I312" s="76"/>
      <c r="J312" s="77"/>
      <c r="K312" s="77"/>
      <c r="L312" s="76"/>
      <c r="M312" s="110"/>
      <c r="N312" s="152"/>
      <c r="O312" s="111" t="str">
        <f>IFERROR(MIN(VLOOKUP(ROUNDDOWN(N312,0),'Aide calcul'!$B$2:$C$282,2,FALSE),M312+1),"")</f>
        <v/>
      </c>
      <c r="P312" s="112" t="str">
        <f t="shared" si="68"/>
        <v/>
      </c>
      <c r="Q312" s="170"/>
      <c r="R312" s="170"/>
      <c r="S312" s="170"/>
      <c r="T312" s="170"/>
      <c r="U312" s="170"/>
      <c r="V312" s="170"/>
      <c r="W312" s="170"/>
      <c r="X312" s="76"/>
      <c r="Y312" s="76"/>
      <c r="Z312" s="113" t="str">
        <f>IFERROR(ROUND('Informations générales'!$E$66*(AE312/SUM($AE$28:$AE$404))/12,0)*12,"")</f>
        <v/>
      </c>
      <c r="AA312" s="114"/>
      <c r="AB312" s="113" t="str">
        <f t="shared" si="57"/>
        <v/>
      </c>
      <c r="AC312" s="89"/>
      <c r="AD312" s="76"/>
      <c r="AE312" s="56">
        <f t="shared" si="69"/>
        <v>0</v>
      </c>
      <c r="AF312" s="56">
        <f t="shared" si="58"/>
        <v>0</v>
      </c>
      <c r="AG312" s="56">
        <f t="shared" si="59"/>
        <v>0</v>
      </c>
      <c r="AH312" s="56">
        <f t="shared" si="60"/>
        <v>0</v>
      </c>
      <c r="AI312" s="56">
        <f t="shared" si="61"/>
        <v>0</v>
      </c>
      <c r="AJ312" s="56">
        <f t="shared" si="62"/>
        <v>0</v>
      </c>
      <c r="AK312" s="56">
        <f t="shared" si="63"/>
        <v>0</v>
      </c>
      <c r="AL312" s="56">
        <f t="shared" si="64"/>
        <v>0</v>
      </c>
      <c r="AM312" s="56">
        <f t="shared" si="70"/>
        <v>0</v>
      </c>
      <c r="AN312" s="60">
        <f t="shared" si="65"/>
        <v>0</v>
      </c>
      <c r="AO312" s="59">
        <f t="shared" si="66"/>
        <v>0</v>
      </c>
      <c r="AP312" s="59">
        <f t="shared" si="67"/>
        <v>0</v>
      </c>
    </row>
    <row r="313" spans="3:42" s="17" customFormat="1" x14ac:dyDescent="0.25">
      <c r="C313" s="241" t="s">
        <v>213</v>
      </c>
      <c r="D313" s="242"/>
      <c r="E313" s="88"/>
      <c r="F313" s="217"/>
      <c r="G313" s="234"/>
      <c r="H313" s="218"/>
      <c r="I313" s="76"/>
      <c r="J313" s="77"/>
      <c r="K313" s="77"/>
      <c r="L313" s="76"/>
      <c r="M313" s="110"/>
      <c r="N313" s="152"/>
      <c r="O313" s="111" t="str">
        <f>IFERROR(MIN(VLOOKUP(ROUNDDOWN(N313,0),'Aide calcul'!$B$2:$C$282,2,FALSE),M313+1),"")</f>
        <v/>
      </c>
      <c r="P313" s="112" t="str">
        <f t="shared" si="68"/>
        <v/>
      </c>
      <c r="Q313" s="170"/>
      <c r="R313" s="170"/>
      <c r="S313" s="170"/>
      <c r="T313" s="170"/>
      <c r="U313" s="170"/>
      <c r="V313" s="170"/>
      <c r="W313" s="170"/>
      <c r="X313" s="76"/>
      <c r="Y313" s="76"/>
      <c r="Z313" s="113" t="str">
        <f>IFERROR(ROUND('Informations générales'!$E$66*(AE313/SUM($AE$28:$AE$404))/12,0)*12,"")</f>
        <v/>
      </c>
      <c r="AA313" s="114"/>
      <c r="AB313" s="113" t="str">
        <f t="shared" si="57"/>
        <v/>
      </c>
      <c r="AC313" s="89"/>
      <c r="AD313" s="76"/>
      <c r="AE313" s="56">
        <f t="shared" si="69"/>
        <v>0</v>
      </c>
      <c r="AF313" s="56">
        <f t="shared" si="58"/>
        <v>0</v>
      </c>
      <c r="AG313" s="56">
        <f t="shared" si="59"/>
        <v>0</v>
      </c>
      <c r="AH313" s="56">
        <f t="shared" si="60"/>
        <v>0</v>
      </c>
      <c r="AI313" s="56">
        <f t="shared" si="61"/>
        <v>0</v>
      </c>
      <c r="AJ313" s="56">
        <f t="shared" si="62"/>
        <v>0</v>
      </c>
      <c r="AK313" s="56">
        <f t="shared" si="63"/>
        <v>0</v>
      </c>
      <c r="AL313" s="56">
        <f t="shared" si="64"/>
        <v>0</v>
      </c>
      <c r="AM313" s="56">
        <f t="shared" si="70"/>
        <v>0</v>
      </c>
      <c r="AN313" s="60">
        <f t="shared" si="65"/>
        <v>0</v>
      </c>
      <c r="AO313" s="59">
        <f t="shared" si="66"/>
        <v>0</v>
      </c>
      <c r="AP313" s="59">
        <f t="shared" si="67"/>
        <v>0</v>
      </c>
    </row>
    <row r="314" spans="3:42" s="17" customFormat="1" x14ac:dyDescent="0.25">
      <c r="C314" s="241" t="s">
        <v>213</v>
      </c>
      <c r="D314" s="242"/>
      <c r="E314" s="88"/>
      <c r="F314" s="217"/>
      <c r="G314" s="234"/>
      <c r="H314" s="218"/>
      <c r="I314" s="76"/>
      <c r="J314" s="77"/>
      <c r="K314" s="77"/>
      <c r="L314" s="76"/>
      <c r="M314" s="110"/>
      <c r="N314" s="152"/>
      <c r="O314" s="111" t="str">
        <f>IFERROR(MIN(VLOOKUP(ROUNDDOWN(N314,0),'Aide calcul'!$B$2:$C$282,2,FALSE),M314+1),"")</f>
        <v/>
      </c>
      <c r="P314" s="112" t="str">
        <f t="shared" si="68"/>
        <v/>
      </c>
      <c r="Q314" s="170"/>
      <c r="R314" s="170"/>
      <c r="S314" s="170"/>
      <c r="T314" s="170"/>
      <c r="U314" s="170"/>
      <c r="V314" s="170"/>
      <c r="W314" s="170"/>
      <c r="X314" s="76"/>
      <c r="Y314" s="76"/>
      <c r="Z314" s="113" t="str">
        <f>IFERROR(ROUND('Informations générales'!$E$66*(AE314/SUM($AE$28:$AE$404))/12,0)*12,"")</f>
        <v/>
      </c>
      <c r="AA314" s="114"/>
      <c r="AB314" s="113" t="str">
        <f t="shared" si="57"/>
        <v/>
      </c>
      <c r="AC314" s="89"/>
      <c r="AD314" s="76"/>
      <c r="AE314" s="56">
        <f t="shared" si="69"/>
        <v>0</v>
      </c>
      <c r="AF314" s="56">
        <f t="shared" si="58"/>
        <v>0</v>
      </c>
      <c r="AG314" s="56">
        <f t="shared" si="59"/>
        <v>0</v>
      </c>
      <c r="AH314" s="56">
        <f t="shared" si="60"/>
        <v>0</v>
      </c>
      <c r="AI314" s="56">
        <f t="shared" si="61"/>
        <v>0</v>
      </c>
      <c r="AJ314" s="56">
        <f t="shared" si="62"/>
        <v>0</v>
      </c>
      <c r="AK314" s="56">
        <f t="shared" si="63"/>
        <v>0</v>
      </c>
      <c r="AL314" s="56">
        <f t="shared" si="64"/>
        <v>0</v>
      </c>
      <c r="AM314" s="56">
        <f t="shared" si="70"/>
        <v>0</v>
      </c>
      <c r="AN314" s="60">
        <f t="shared" si="65"/>
        <v>0</v>
      </c>
      <c r="AO314" s="59">
        <f t="shared" si="66"/>
        <v>0</v>
      </c>
      <c r="AP314" s="59">
        <f t="shared" si="67"/>
        <v>0</v>
      </c>
    </row>
    <row r="315" spans="3:42" s="17" customFormat="1" x14ac:dyDescent="0.25">
      <c r="C315" s="241" t="s">
        <v>213</v>
      </c>
      <c r="D315" s="242"/>
      <c r="E315" s="88"/>
      <c r="F315" s="217"/>
      <c r="G315" s="234"/>
      <c r="H315" s="218"/>
      <c r="I315" s="76"/>
      <c r="J315" s="77"/>
      <c r="K315" s="77"/>
      <c r="L315" s="76"/>
      <c r="M315" s="110"/>
      <c r="N315" s="152"/>
      <c r="O315" s="111" t="str">
        <f>IFERROR(MIN(VLOOKUP(ROUNDDOWN(N315,0),'Aide calcul'!$B$2:$C$282,2,FALSE),M315+1),"")</f>
        <v/>
      </c>
      <c r="P315" s="112" t="str">
        <f t="shared" si="68"/>
        <v/>
      </c>
      <c r="Q315" s="170"/>
      <c r="R315" s="170"/>
      <c r="S315" s="170"/>
      <c r="T315" s="170"/>
      <c r="U315" s="170"/>
      <c r="V315" s="170"/>
      <c r="W315" s="170"/>
      <c r="X315" s="76"/>
      <c r="Y315" s="76"/>
      <c r="Z315" s="113" t="str">
        <f>IFERROR(ROUND('Informations générales'!$E$66*(AE315/SUM($AE$28:$AE$404))/12,0)*12,"")</f>
        <v/>
      </c>
      <c r="AA315" s="114"/>
      <c r="AB315" s="113" t="str">
        <f t="shared" si="57"/>
        <v/>
      </c>
      <c r="AC315" s="89"/>
      <c r="AD315" s="76"/>
      <c r="AE315" s="56">
        <f t="shared" si="69"/>
        <v>0</v>
      </c>
      <c r="AF315" s="56">
        <f t="shared" si="58"/>
        <v>0</v>
      </c>
      <c r="AG315" s="56">
        <f t="shared" si="59"/>
        <v>0</v>
      </c>
      <c r="AH315" s="56">
        <f t="shared" si="60"/>
        <v>0</v>
      </c>
      <c r="AI315" s="56">
        <f t="shared" si="61"/>
        <v>0</v>
      </c>
      <c r="AJ315" s="56">
        <f t="shared" si="62"/>
        <v>0</v>
      </c>
      <c r="AK315" s="56">
        <f t="shared" si="63"/>
        <v>0</v>
      </c>
      <c r="AL315" s="56">
        <f t="shared" si="64"/>
        <v>0</v>
      </c>
      <c r="AM315" s="56">
        <f t="shared" si="70"/>
        <v>0</v>
      </c>
      <c r="AN315" s="60">
        <f t="shared" si="65"/>
        <v>0</v>
      </c>
      <c r="AO315" s="59">
        <f t="shared" si="66"/>
        <v>0</v>
      </c>
      <c r="AP315" s="59">
        <f t="shared" si="67"/>
        <v>0</v>
      </c>
    </row>
    <row r="316" spans="3:42" s="17" customFormat="1" x14ac:dyDescent="0.25">
      <c r="C316" s="241" t="s">
        <v>213</v>
      </c>
      <c r="D316" s="242"/>
      <c r="E316" s="88"/>
      <c r="F316" s="217"/>
      <c r="G316" s="234"/>
      <c r="H316" s="218"/>
      <c r="I316" s="76"/>
      <c r="J316" s="77"/>
      <c r="K316" s="77"/>
      <c r="L316" s="76"/>
      <c r="M316" s="110"/>
      <c r="N316" s="152"/>
      <c r="O316" s="111" t="str">
        <f>IFERROR(MIN(VLOOKUP(ROUNDDOWN(N316,0),'Aide calcul'!$B$2:$C$282,2,FALSE),M316+1),"")</f>
        <v/>
      </c>
      <c r="P316" s="112" t="str">
        <f t="shared" si="68"/>
        <v/>
      </c>
      <c r="Q316" s="170"/>
      <c r="R316" s="170"/>
      <c r="S316" s="170"/>
      <c r="T316" s="170"/>
      <c r="U316" s="170"/>
      <c r="V316" s="170"/>
      <c r="W316" s="170"/>
      <c r="X316" s="76"/>
      <c r="Y316" s="76"/>
      <c r="Z316" s="113" t="str">
        <f>IFERROR(ROUND('Informations générales'!$E$66*(AE316/SUM($AE$28:$AE$404))/12,0)*12,"")</f>
        <v/>
      </c>
      <c r="AA316" s="114"/>
      <c r="AB316" s="113" t="str">
        <f t="shared" si="57"/>
        <v/>
      </c>
      <c r="AC316" s="89"/>
      <c r="AD316" s="76"/>
      <c r="AE316" s="56">
        <f t="shared" si="69"/>
        <v>0</v>
      </c>
      <c r="AF316" s="56">
        <f t="shared" si="58"/>
        <v>0</v>
      </c>
      <c r="AG316" s="56">
        <f t="shared" si="59"/>
        <v>0</v>
      </c>
      <c r="AH316" s="56">
        <f t="shared" si="60"/>
        <v>0</v>
      </c>
      <c r="AI316" s="56">
        <f t="shared" si="61"/>
        <v>0</v>
      </c>
      <c r="AJ316" s="56">
        <f t="shared" si="62"/>
        <v>0</v>
      </c>
      <c r="AK316" s="56">
        <f t="shared" si="63"/>
        <v>0</v>
      </c>
      <c r="AL316" s="56">
        <f t="shared" si="64"/>
        <v>0</v>
      </c>
      <c r="AM316" s="56">
        <f t="shared" si="70"/>
        <v>0</v>
      </c>
      <c r="AN316" s="60">
        <f t="shared" si="65"/>
        <v>0</v>
      </c>
      <c r="AO316" s="59">
        <f t="shared" si="66"/>
        <v>0</v>
      </c>
      <c r="AP316" s="59">
        <f t="shared" si="67"/>
        <v>0</v>
      </c>
    </row>
    <row r="317" spans="3:42" s="17" customFormat="1" x14ac:dyDescent="0.25">
      <c r="C317" s="241" t="s">
        <v>213</v>
      </c>
      <c r="D317" s="242"/>
      <c r="E317" s="88"/>
      <c r="F317" s="217"/>
      <c r="G317" s="234"/>
      <c r="H317" s="218"/>
      <c r="I317" s="76"/>
      <c r="J317" s="77"/>
      <c r="K317" s="77"/>
      <c r="L317" s="76"/>
      <c r="M317" s="110"/>
      <c r="N317" s="152"/>
      <c r="O317" s="111" t="str">
        <f>IFERROR(MIN(VLOOKUP(ROUNDDOWN(N317,0),'Aide calcul'!$B$2:$C$282,2,FALSE),M317+1),"")</f>
        <v/>
      </c>
      <c r="P317" s="112" t="str">
        <f t="shared" si="68"/>
        <v/>
      </c>
      <c r="Q317" s="170"/>
      <c r="R317" s="170"/>
      <c r="S317" s="170"/>
      <c r="T317" s="170"/>
      <c r="U317" s="170"/>
      <c r="V317" s="170"/>
      <c r="W317" s="170"/>
      <c r="X317" s="76"/>
      <c r="Y317" s="76"/>
      <c r="Z317" s="113" t="str">
        <f>IFERROR(ROUND('Informations générales'!$E$66*(AE317/SUM($AE$28:$AE$404))/12,0)*12,"")</f>
        <v/>
      </c>
      <c r="AA317" s="114"/>
      <c r="AB317" s="113" t="str">
        <f t="shared" si="57"/>
        <v/>
      </c>
      <c r="AC317" s="89"/>
      <c r="AD317" s="76"/>
      <c r="AE317" s="56">
        <f t="shared" si="69"/>
        <v>0</v>
      </c>
      <c r="AF317" s="56">
        <f t="shared" si="58"/>
        <v>0</v>
      </c>
      <c r="AG317" s="56">
        <f t="shared" si="59"/>
        <v>0</v>
      </c>
      <c r="AH317" s="56">
        <f t="shared" si="60"/>
        <v>0</v>
      </c>
      <c r="AI317" s="56">
        <f t="shared" si="61"/>
        <v>0</v>
      </c>
      <c r="AJ317" s="56">
        <f t="shared" si="62"/>
        <v>0</v>
      </c>
      <c r="AK317" s="56">
        <f t="shared" si="63"/>
        <v>0</v>
      </c>
      <c r="AL317" s="56">
        <f t="shared" si="64"/>
        <v>0</v>
      </c>
      <c r="AM317" s="56">
        <f t="shared" si="70"/>
        <v>0</v>
      </c>
      <c r="AN317" s="60">
        <f t="shared" si="65"/>
        <v>0</v>
      </c>
      <c r="AO317" s="59">
        <f t="shared" si="66"/>
        <v>0</v>
      </c>
      <c r="AP317" s="59">
        <f t="shared" si="67"/>
        <v>0</v>
      </c>
    </row>
    <row r="318" spans="3:42" s="17" customFormat="1" x14ac:dyDescent="0.25">
      <c r="C318" s="241" t="s">
        <v>213</v>
      </c>
      <c r="D318" s="242"/>
      <c r="E318" s="88"/>
      <c r="F318" s="217"/>
      <c r="G318" s="234"/>
      <c r="H318" s="218"/>
      <c r="I318" s="76"/>
      <c r="J318" s="77"/>
      <c r="K318" s="77"/>
      <c r="L318" s="76"/>
      <c r="M318" s="110"/>
      <c r="N318" s="152"/>
      <c r="O318" s="111" t="str">
        <f>IFERROR(MIN(VLOOKUP(ROUNDDOWN(N318,0),'Aide calcul'!$B$2:$C$282,2,FALSE),M318+1),"")</f>
        <v/>
      </c>
      <c r="P318" s="112" t="str">
        <f t="shared" si="68"/>
        <v/>
      </c>
      <c r="Q318" s="170"/>
      <c r="R318" s="170"/>
      <c r="S318" s="170"/>
      <c r="T318" s="170"/>
      <c r="U318" s="170"/>
      <c r="V318" s="170"/>
      <c r="W318" s="170"/>
      <c r="X318" s="76"/>
      <c r="Y318" s="76"/>
      <c r="Z318" s="113" t="str">
        <f>IFERROR(ROUND('Informations générales'!$E$66*(AE318/SUM($AE$28:$AE$404))/12,0)*12,"")</f>
        <v/>
      </c>
      <c r="AA318" s="114"/>
      <c r="AB318" s="113" t="str">
        <f t="shared" si="57"/>
        <v/>
      </c>
      <c r="AC318" s="89"/>
      <c r="AD318" s="76"/>
      <c r="AE318" s="56">
        <f t="shared" si="69"/>
        <v>0</v>
      </c>
      <c r="AF318" s="56">
        <f t="shared" si="58"/>
        <v>0</v>
      </c>
      <c r="AG318" s="56">
        <f t="shared" si="59"/>
        <v>0</v>
      </c>
      <c r="AH318" s="56">
        <f t="shared" si="60"/>
        <v>0</v>
      </c>
      <c r="AI318" s="56">
        <f t="shared" si="61"/>
        <v>0</v>
      </c>
      <c r="AJ318" s="56">
        <f t="shared" si="62"/>
        <v>0</v>
      </c>
      <c r="AK318" s="56">
        <f t="shared" si="63"/>
        <v>0</v>
      </c>
      <c r="AL318" s="56">
        <f t="shared" si="64"/>
        <v>0</v>
      </c>
      <c r="AM318" s="56">
        <f t="shared" si="70"/>
        <v>0</v>
      </c>
      <c r="AN318" s="60">
        <f t="shared" si="65"/>
        <v>0</v>
      </c>
      <c r="AO318" s="59">
        <f t="shared" si="66"/>
        <v>0</v>
      </c>
      <c r="AP318" s="59">
        <f t="shared" si="67"/>
        <v>0</v>
      </c>
    </row>
    <row r="319" spans="3:42" s="17" customFormat="1" x14ac:dyDescent="0.25">
      <c r="C319" s="241" t="s">
        <v>213</v>
      </c>
      <c r="D319" s="242"/>
      <c r="E319" s="88"/>
      <c r="F319" s="217"/>
      <c r="G319" s="234"/>
      <c r="H319" s="218"/>
      <c r="I319" s="76"/>
      <c r="J319" s="77"/>
      <c r="K319" s="77"/>
      <c r="L319" s="76"/>
      <c r="M319" s="110"/>
      <c r="N319" s="152"/>
      <c r="O319" s="111" t="str">
        <f>IFERROR(MIN(VLOOKUP(ROUNDDOWN(N319,0),'Aide calcul'!$B$2:$C$282,2,FALSE),M319+1),"")</f>
        <v/>
      </c>
      <c r="P319" s="112" t="str">
        <f t="shared" si="68"/>
        <v/>
      </c>
      <c r="Q319" s="170"/>
      <c r="R319" s="170"/>
      <c r="S319" s="170"/>
      <c r="T319" s="170"/>
      <c r="U319" s="170"/>
      <c r="V319" s="170"/>
      <c r="W319" s="170"/>
      <c r="X319" s="76"/>
      <c r="Y319" s="76"/>
      <c r="Z319" s="113" t="str">
        <f>IFERROR(ROUND('Informations générales'!$E$66*(AE319/SUM($AE$28:$AE$404))/12,0)*12,"")</f>
        <v/>
      </c>
      <c r="AA319" s="114"/>
      <c r="AB319" s="113" t="str">
        <f t="shared" si="57"/>
        <v/>
      </c>
      <c r="AC319" s="89"/>
      <c r="AD319" s="76"/>
      <c r="AE319" s="56">
        <f t="shared" si="69"/>
        <v>0</v>
      </c>
      <c r="AF319" s="56">
        <f t="shared" si="58"/>
        <v>0</v>
      </c>
      <c r="AG319" s="56">
        <f t="shared" si="59"/>
        <v>0</v>
      </c>
      <c r="AH319" s="56">
        <f t="shared" si="60"/>
        <v>0</v>
      </c>
      <c r="AI319" s="56">
        <f t="shared" si="61"/>
        <v>0</v>
      </c>
      <c r="AJ319" s="56">
        <f t="shared" si="62"/>
        <v>0</v>
      </c>
      <c r="AK319" s="56">
        <f t="shared" si="63"/>
        <v>0</v>
      </c>
      <c r="AL319" s="56">
        <f t="shared" si="64"/>
        <v>0</v>
      </c>
      <c r="AM319" s="56">
        <f t="shared" si="70"/>
        <v>0</v>
      </c>
      <c r="AN319" s="60">
        <f t="shared" si="65"/>
        <v>0</v>
      </c>
      <c r="AO319" s="59">
        <f t="shared" si="66"/>
        <v>0</v>
      </c>
      <c r="AP319" s="59">
        <f t="shared" si="67"/>
        <v>0</v>
      </c>
    </row>
    <row r="320" spans="3:42" s="17" customFormat="1" x14ac:dyDescent="0.25">
      <c r="C320" s="241" t="s">
        <v>213</v>
      </c>
      <c r="D320" s="242"/>
      <c r="E320" s="88"/>
      <c r="F320" s="217"/>
      <c r="G320" s="234"/>
      <c r="H320" s="218"/>
      <c r="I320" s="76"/>
      <c r="J320" s="77"/>
      <c r="K320" s="77"/>
      <c r="L320" s="76"/>
      <c r="M320" s="110"/>
      <c r="N320" s="152"/>
      <c r="O320" s="111" t="str">
        <f>IFERROR(MIN(VLOOKUP(ROUNDDOWN(N320,0),'Aide calcul'!$B$2:$C$282,2,FALSE),M320+1),"")</f>
        <v/>
      </c>
      <c r="P320" s="112" t="str">
        <f t="shared" si="68"/>
        <v/>
      </c>
      <c r="Q320" s="170"/>
      <c r="R320" s="170"/>
      <c r="S320" s="170"/>
      <c r="T320" s="170"/>
      <c r="U320" s="170"/>
      <c r="V320" s="170"/>
      <c r="W320" s="170"/>
      <c r="X320" s="76"/>
      <c r="Y320" s="76"/>
      <c r="Z320" s="113" t="str">
        <f>IFERROR(ROUND('Informations générales'!$E$66*(AE320/SUM($AE$28:$AE$404))/12,0)*12,"")</f>
        <v/>
      </c>
      <c r="AA320" s="114"/>
      <c r="AB320" s="113" t="str">
        <f t="shared" si="57"/>
        <v/>
      </c>
      <c r="AC320" s="89"/>
      <c r="AD320" s="76"/>
      <c r="AE320" s="56">
        <f t="shared" si="69"/>
        <v>0</v>
      </c>
      <c r="AF320" s="56">
        <f t="shared" si="58"/>
        <v>0</v>
      </c>
      <c r="AG320" s="56">
        <f t="shared" si="59"/>
        <v>0</v>
      </c>
      <c r="AH320" s="56">
        <f t="shared" si="60"/>
        <v>0</v>
      </c>
      <c r="AI320" s="56">
        <f t="shared" si="61"/>
        <v>0</v>
      </c>
      <c r="AJ320" s="56">
        <f t="shared" si="62"/>
        <v>0</v>
      </c>
      <c r="AK320" s="56">
        <f t="shared" si="63"/>
        <v>0</v>
      </c>
      <c r="AL320" s="56">
        <f t="shared" si="64"/>
        <v>0</v>
      </c>
      <c r="AM320" s="56">
        <f t="shared" si="70"/>
        <v>0</v>
      </c>
      <c r="AN320" s="60">
        <f t="shared" si="65"/>
        <v>0</v>
      </c>
      <c r="AO320" s="59">
        <f t="shared" si="66"/>
        <v>0</v>
      </c>
      <c r="AP320" s="59">
        <f t="shared" si="67"/>
        <v>0</v>
      </c>
    </row>
    <row r="321" spans="3:42" s="17" customFormat="1" x14ac:dyDescent="0.25">
      <c r="C321" s="241" t="s">
        <v>213</v>
      </c>
      <c r="D321" s="242"/>
      <c r="E321" s="88"/>
      <c r="F321" s="217"/>
      <c r="G321" s="234"/>
      <c r="H321" s="218"/>
      <c r="I321" s="76"/>
      <c r="J321" s="77"/>
      <c r="K321" s="77"/>
      <c r="L321" s="76"/>
      <c r="M321" s="110"/>
      <c r="N321" s="152"/>
      <c r="O321" s="111" t="str">
        <f>IFERROR(MIN(VLOOKUP(ROUNDDOWN(N321,0),'Aide calcul'!$B$2:$C$282,2,FALSE),M321+1),"")</f>
        <v/>
      </c>
      <c r="P321" s="112" t="str">
        <f t="shared" si="68"/>
        <v/>
      </c>
      <c r="Q321" s="170"/>
      <c r="R321" s="170"/>
      <c r="S321" s="170"/>
      <c r="T321" s="170"/>
      <c r="U321" s="170"/>
      <c r="V321" s="170"/>
      <c r="W321" s="170"/>
      <c r="X321" s="76"/>
      <c r="Y321" s="76"/>
      <c r="Z321" s="113" t="str">
        <f>IFERROR(ROUND('Informations générales'!$E$66*(AE321/SUM($AE$28:$AE$404))/12,0)*12,"")</f>
        <v/>
      </c>
      <c r="AA321" s="114"/>
      <c r="AB321" s="113" t="str">
        <f t="shared" si="57"/>
        <v/>
      </c>
      <c r="AC321" s="89"/>
      <c r="AD321" s="76"/>
      <c r="AE321" s="56">
        <f t="shared" si="69"/>
        <v>0</v>
      </c>
      <c r="AF321" s="56">
        <f t="shared" si="58"/>
        <v>0</v>
      </c>
      <c r="AG321" s="56">
        <f t="shared" si="59"/>
        <v>0</v>
      </c>
      <c r="AH321" s="56">
        <f t="shared" si="60"/>
        <v>0</v>
      </c>
      <c r="AI321" s="56">
        <f t="shared" si="61"/>
        <v>0</v>
      </c>
      <c r="AJ321" s="56">
        <f t="shared" si="62"/>
        <v>0</v>
      </c>
      <c r="AK321" s="56">
        <f t="shared" si="63"/>
        <v>0</v>
      </c>
      <c r="AL321" s="56">
        <f t="shared" si="64"/>
        <v>0</v>
      </c>
      <c r="AM321" s="56">
        <f t="shared" si="70"/>
        <v>0</v>
      </c>
      <c r="AN321" s="60">
        <f t="shared" si="65"/>
        <v>0</v>
      </c>
      <c r="AO321" s="59">
        <f t="shared" si="66"/>
        <v>0</v>
      </c>
      <c r="AP321" s="59">
        <f t="shared" si="67"/>
        <v>0</v>
      </c>
    </row>
    <row r="322" spans="3:42" s="17" customFormat="1" x14ac:dyDescent="0.25">
      <c r="C322" s="241" t="s">
        <v>213</v>
      </c>
      <c r="D322" s="242"/>
      <c r="E322" s="88"/>
      <c r="F322" s="217"/>
      <c r="G322" s="234"/>
      <c r="H322" s="218"/>
      <c r="I322" s="76"/>
      <c r="J322" s="77"/>
      <c r="K322" s="77"/>
      <c r="L322" s="76"/>
      <c r="M322" s="110"/>
      <c r="N322" s="152"/>
      <c r="O322" s="111" t="str">
        <f>IFERROR(MIN(VLOOKUP(ROUNDDOWN(N322,0),'Aide calcul'!$B$2:$C$282,2,FALSE),M322+1),"")</f>
        <v/>
      </c>
      <c r="P322" s="112" t="str">
        <f t="shared" si="68"/>
        <v/>
      </c>
      <c r="Q322" s="170"/>
      <c r="R322" s="170"/>
      <c r="S322" s="170"/>
      <c r="T322" s="170"/>
      <c r="U322" s="170"/>
      <c r="V322" s="170"/>
      <c r="W322" s="170"/>
      <c r="X322" s="76"/>
      <c r="Y322" s="76"/>
      <c r="Z322" s="113" t="str">
        <f>IFERROR(ROUND('Informations générales'!$E$66*(AE322/SUM($AE$28:$AE$404))/12,0)*12,"")</f>
        <v/>
      </c>
      <c r="AA322" s="114"/>
      <c r="AB322" s="113" t="str">
        <f t="shared" si="57"/>
        <v/>
      </c>
      <c r="AC322" s="89"/>
      <c r="AD322" s="76"/>
      <c r="AE322" s="56">
        <f t="shared" si="69"/>
        <v>0</v>
      </c>
      <c r="AF322" s="56">
        <f t="shared" si="58"/>
        <v>0</v>
      </c>
      <c r="AG322" s="56">
        <f t="shared" si="59"/>
        <v>0</v>
      </c>
      <c r="AH322" s="56">
        <f t="shared" si="60"/>
        <v>0</v>
      </c>
      <c r="AI322" s="56">
        <f t="shared" si="61"/>
        <v>0</v>
      </c>
      <c r="AJ322" s="56">
        <f t="shared" si="62"/>
        <v>0</v>
      </c>
      <c r="AK322" s="56">
        <f t="shared" si="63"/>
        <v>0</v>
      </c>
      <c r="AL322" s="56">
        <f t="shared" si="64"/>
        <v>0</v>
      </c>
      <c r="AM322" s="56">
        <f t="shared" si="70"/>
        <v>0</v>
      </c>
      <c r="AN322" s="60">
        <f t="shared" si="65"/>
        <v>0</v>
      </c>
      <c r="AO322" s="59">
        <f t="shared" si="66"/>
        <v>0</v>
      </c>
      <c r="AP322" s="59">
        <f t="shared" si="67"/>
        <v>0</v>
      </c>
    </row>
    <row r="323" spans="3:42" s="17" customFormat="1" x14ac:dyDescent="0.25">
      <c r="C323" s="241" t="s">
        <v>213</v>
      </c>
      <c r="D323" s="242"/>
      <c r="E323" s="88"/>
      <c r="F323" s="217"/>
      <c r="G323" s="234"/>
      <c r="H323" s="218"/>
      <c r="I323" s="76"/>
      <c r="J323" s="77"/>
      <c r="K323" s="77"/>
      <c r="L323" s="76"/>
      <c r="M323" s="110"/>
      <c r="N323" s="152"/>
      <c r="O323" s="111" t="str">
        <f>IFERROR(MIN(VLOOKUP(ROUNDDOWN(N323,0),'Aide calcul'!$B$2:$C$282,2,FALSE),M323+1),"")</f>
        <v/>
      </c>
      <c r="P323" s="112" t="str">
        <f t="shared" si="68"/>
        <v/>
      </c>
      <c r="Q323" s="170"/>
      <c r="R323" s="170"/>
      <c r="S323" s="170"/>
      <c r="T323" s="170"/>
      <c r="U323" s="170"/>
      <c r="V323" s="170"/>
      <c r="W323" s="170"/>
      <c r="X323" s="76"/>
      <c r="Y323" s="76"/>
      <c r="Z323" s="113" t="str">
        <f>IFERROR(ROUND('Informations générales'!$E$66*(AE323/SUM($AE$28:$AE$404))/12,0)*12,"")</f>
        <v/>
      </c>
      <c r="AA323" s="114"/>
      <c r="AB323" s="113" t="str">
        <f t="shared" si="57"/>
        <v/>
      </c>
      <c r="AC323" s="89"/>
      <c r="AD323" s="76"/>
      <c r="AE323" s="56">
        <f t="shared" si="69"/>
        <v>0</v>
      </c>
      <c r="AF323" s="56">
        <f t="shared" si="58"/>
        <v>0</v>
      </c>
      <c r="AG323" s="56">
        <f t="shared" si="59"/>
        <v>0</v>
      </c>
      <c r="AH323" s="56">
        <f t="shared" si="60"/>
        <v>0</v>
      </c>
      <c r="AI323" s="56">
        <f t="shared" si="61"/>
        <v>0</v>
      </c>
      <c r="AJ323" s="56">
        <f t="shared" si="62"/>
        <v>0</v>
      </c>
      <c r="AK323" s="56">
        <f t="shared" si="63"/>
        <v>0</v>
      </c>
      <c r="AL323" s="56">
        <f t="shared" si="64"/>
        <v>0</v>
      </c>
      <c r="AM323" s="56">
        <f t="shared" si="70"/>
        <v>0</v>
      </c>
      <c r="AN323" s="60">
        <f t="shared" si="65"/>
        <v>0</v>
      </c>
      <c r="AO323" s="59">
        <f t="shared" si="66"/>
        <v>0</v>
      </c>
      <c r="AP323" s="59">
        <f t="shared" si="67"/>
        <v>0</v>
      </c>
    </row>
    <row r="324" spans="3:42" s="17" customFormat="1" x14ac:dyDescent="0.25">
      <c r="C324" s="241" t="s">
        <v>213</v>
      </c>
      <c r="D324" s="242"/>
      <c r="E324" s="88"/>
      <c r="F324" s="217"/>
      <c r="G324" s="234"/>
      <c r="H324" s="218"/>
      <c r="I324" s="76"/>
      <c r="J324" s="77"/>
      <c r="K324" s="77"/>
      <c r="L324" s="76"/>
      <c r="M324" s="110"/>
      <c r="N324" s="152"/>
      <c r="O324" s="111" t="str">
        <f>IFERROR(MIN(VLOOKUP(ROUNDDOWN(N324,0),'Aide calcul'!$B$2:$C$282,2,FALSE),M324+1),"")</f>
        <v/>
      </c>
      <c r="P324" s="112" t="str">
        <f t="shared" si="68"/>
        <v/>
      </c>
      <c r="Q324" s="170"/>
      <c r="R324" s="170"/>
      <c r="S324" s="170"/>
      <c r="T324" s="170"/>
      <c r="U324" s="170"/>
      <c r="V324" s="170"/>
      <c r="W324" s="170"/>
      <c r="X324" s="76"/>
      <c r="Y324" s="76"/>
      <c r="Z324" s="113" t="str">
        <f>IFERROR(ROUND('Informations générales'!$E$66*(AE324/SUM($AE$28:$AE$404))/12,0)*12,"")</f>
        <v/>
      </c>
      <c r="AA324" s="114"/>
      <c r="AB324" s="113" t="str">
        <f t="shared" si="57"/>
        <v/>
      </c>
      <c r="AC324" s="89"/>
      <c r="AD324" s="76"/>
      <c r="AE324" s="56">
        <f t="shared" si="69"/>
        <v>0</v>
      </c>
      <c r="AF324" s="56">
        <f t="shared" si="58"/>
        <v>0</v>
      </c>
      <c r="AG324" s="56">
        <f t="shared" si="59"/>
        <v>0</v>
      </c>
      <c r="AH324" s="56">
        <f t="shared" si="60"/>
        <v>0</v>
      </c>
      <c r="AI324" s="56">
        <f t="shared" si="61"/>
        <v>0</v>
      </c>
      <c r="AJ324" s="56">
        <f t="shared" si="62"/>
        <v>0</v>
      </c>
      <c r="AK324" s="56">
        <f t="shared" si="63"/>
        <v>0</v>
      </c>
      <c r="AL324" s="56">
        <f t="shared" si="64"/>
        <v>0</v>
      </c>
      <c r="AM324" s="56">
        <f t="shared" si="70"/>
        <v>0</v>
      </c>
      <c r="AN324" s="60">
        <f t="shared" si="65"/>
        <v>0</v>
      </c>
      <c r="AO324" s="59">
        <f t="shared" si="66"/>
        <v>0</v>
      </c>
      <c r="AP324" s="59">
        <f t="shared" si="67"/>
        <v>0</v>
      </c>
    </row>
    <row r="325" spans="3:42" s="17" customFormat="1" x14ac:dyDescent="0.25">
      <c r="C325" s="241" t="s">
        <v>213</v>
      </c>
      <c r="D325" s="242"/>
      <c r="E325" s="88"/>
      <c r="F325" s="217"/>
      <c r="G325" s="234"/>
      <c r="H325" s="218"/>
      <c r="I325" s="76"/>
      <c r="J325" s="77"/>
      <c r="K325" s="77"/>
      <c r="L325" s="76"/>
      <c r="M325" s="110"/>
      <c r="N325" s="152"/>
      <c r="O325" s="111" t="str">
        <f>IFERROR(MIN(VLOOKUP(ROUNDDOWN(N325,0),'Aide calcul'!$B$2:$C$282,2,FALSE),M325+1),"")</f>
        <v/>
      </c>
      <c r="P325" s="112" t="str">
        <f t="shared" si="68"/>
        <v/>
      </c>
      <c r="Q325" s="170"/>
      <c r="R325" s="170"/>
      <c r="S325" s="170"/>
      <c r="T325" s="170"/>
      <c r="U325" s="170"/>
      <c r="V325" s="170"/>
      <c r="W325" s="170"/>
      <c r="X325" s="76"/>
      <c r="Y325" s="76"/>
      <c r="Z325" s="113" t="str">
        <f>IFERROR(ROUND('Informations générales'!$E$66*(AE325/SUM($AE$28:$AE$404))/12,0)*12,"")</f>
        <v/>
      </c>
      <c r="AA325" s="114"/>
      <c r="AB325" s="113" t="str">
        <f t="shared" si="57"/>
        <v/>
      </c>
      <c r="AC325" s="89"/>
      <c r="AD325" s="76"/>
      <c r="AE325" s="56">
        <f t="shared" si="69"/>
        <v>0</v>
      </c>
      <c r="AF325" s="56">
        <f t="shared" si="58"/>
        <v>0</v>
      </c>
      <c r="AG325" s="56">
        <f t="shared" si="59"/>
        <v>0</v>
      </c>
      <c r="AH325" s="56">
        <f t="shared" si="60"/>
        <v>0</v>
      </c>
      <c r="AI325" s="56">
        <f t="shared" si="61"/>
        <v>0</v>
      </c>
      <c r="AJ325" s="56">
        <f t="shared" si="62"/>
        <v>0</v>
      </c>
      <c r="AK325" s="56">
        <f t="shared" si="63"/>
        <v>0</v>
      </c>
      <c r="AL325" s="56">
        <f t="shared" si="64"/>
        <v>0</v>
      </c>
      <c r="AM325" s="56">
        <f t="shared" si="70"/>
        <v>0</v>
      </c>
      <c r="AN325" s="60">
        <f t="shared" si="65"/>
        <v>0</v>
      </c>
      <c r="AO325" s="59">
        <f t="shared" si="66"/>
        <v>0</v>
      </c>
      <c r="AP325" s="59">
        <f t="shared" si="67"/>
        <v>0</v>
      </c>
    </row>
    <row r="326" spans="3:42" s="17" customFormat="1" x14ac:dyDescent="0.25">
      <c r="C326" s="241" t="s">
        <v>213</v>
      </c>
      <c r="D326" s="242"/>
      <c r="E326" s="88"/>
      <c r="F326" s="217"/>
      <c r="G326" s="234"/>
      <c r="H326" s="218"/>
      <c r="I326" s="76"/>
      <c r="J326" s="77"/>
      <c r="K326" s="77"/>
      <c r="L326" s="76"/>
      <c r="M326" s="110"/>
      <c r="N326" s="152"/>
      <c r="O326" s="111" t="str">
        <f>IFERROR(MIN(VLOOKUP(ROUNDDOWN(N326,0),'Aide calcul'!$B$2:$C$282,2,FALSE),M326+1),"")</f>
        <v/>
      </c>
      <c r="P326" s="112" t="str">
        <f t="shared" si="68"/>
        <v/>
      </c>
      <c r="Q326" s="170"/>
      <c r="R326" s="170"/>
      <c r="S326" s="170"/>
      <c r="T326" s="170"/>
      <c r="U326" s="170"/>
      <c r="V326" s="170"/>
      <c r="W326" s="170"/>
      <c r="X326" s="76"/>
      <c r="Y326" s="76"/>
      <c r="Z326" s="113" t="str">
        <f>IFERROR(ROUND('Informations générales'!$E$66*(AE326/SUM($AE$28:$AE$404))/12,0)*12,"")</f>
        <v/>
      </c>
      <c r="AA326" s="114"/>
      <c r="AB326" s="113" t="str">
        <f t="shared" si="57"/>
        <v/>
      </c>
      <c r="AC326" s="89"/>
      <c r="AD326" s="76"/>
      <c r="AE326" s="56">
        <f t="shared" si="69"/>
        <v>0</v>
      </c>
      <c r="AF326" s="56">
        <f t="shared" si="58"/>
        <v>0</v>
      </c>
      <c r="AG326" s="56">
        <f t="shared" si="59"/>
        <v>0</v>
      </c>
      <c r="AH326" s="56">
        <f t="shared" si="60"/>
        <v>0</v>
      </c>
      <c r="AI326" s="56">
        <f t="shared" si="61"/>
        <v>0</v>
      </c>
      <c r="AJ326" s="56">
        <f t="shared" si="62"/>
        <v>0</v>
      </c>
      <c r="AK326" s="56">
        <f t="shared" si="63"/>
        <v>0</v>
      </c>
      <c r="AL326" s="56">
        <f t="shared" si="64"/>
        <v>0</v>
      </c>
      <c r="AM326" s="56">
        <f t="shared" si="70"/>
        <v>0</v>
      </c>
      <c r="AN326" s="60">
        <f t="shared" si="65"/>
        <v>0</v>
      </c>
      <c r="AO326" s="59">
        <f t="shared" si="66"/>
        <v>0</v>
      </c>
      <c r="AP326" s="59">
        <f t="shared" si="67"/>
        <v>0</v>
      </c>
    </row>
    <row r="327" spans="3:42" s="17" customFormat="1" x14ac:dyDescent="0.25">
      <c r="C327" s="241" t="s">
        <v>213</v>
      </c>
      <c r="D327" s="242"/>
      <c r="E327" s="88"/>
      <c r="F327" s="217"/>
      <c r="G327" s="234"/>
      <c r="H327" s="218"/>
      <c r="I327" s="76"/>
      <c r="J327" s="77"/>
      <c r="K327" s="77"/>
      <c r="L327" s="76"/>
      <c r="M327" s="110"/>
      <c r="N327" s="152"/>
      <c r="O327" s="111" t="str">
        <f>IFERROR(MIN(VLOOKUP(ROUNDDOWN(N327,0),'Aide calcul'!$B$2:$C$282,2,FALSE),M327+1),"")</f>
        <v/>
      </c>
      <c r="P327" s="112" t="str">
        <f t="shared" si="68"/>
        <v/>
      </c>
      <c r="Q327" s="170"/>
      <c r="R327" s="170"/>
      <c r="S327" s="170"/>
      <c r="T327" s="170"/>
      <c r="U327" s="170"/>
      <c r="V327" s="170"/>
      <c r="W327" s="170"/>
      <c r="X327" s="76"/>
      <c r="Y327" s="76"/>
      <c r="Z327" s="113" t="str">
        <f>IFERROR(ROUND('Informations générales'!$E$66*(AE327/SUM($AE$28:$AE$404))/12,0)*12,"")</f>
        <v/>
      </c>
      <c r="AA327" s="114"/>
      <c r="AB327" s="113" t="str">
        <f t="shared" si="57"/>
        <v/>
      </c>
      <c r="AC327" s="89"/>
      <c r="AD327" s="76"/>
      <c r="AE327" s="56">
        <f t="shared" si="69"/>
        <v>0</v>
      </c>
      <c r="AF327" s="56">
        <f t="shared" si="58"/>
        <v>0</v>
      </c>
      <c r="AG327" s="56">
        <f t="shared" si="59"/>
        <v>0</v>
      </c>
      <c r="AH327" s="56">
        <f t="shared" si="60"/>
        <v>0</v>
      </c>
      <c r="AI327" s="56">
        <f t="shared" si="61"/>
        <v>0</v>
      </c>
      <c r="AJ327" s="56">
        <f t="shared" si="62"/>
        <v>0</v>
      </c>
      <c r="AK327" s="56">
        <f t="shared" si="63"/>
        <v>0</v>
      </c>
      <c r="AL327" s="56">
        <f t="shared" si="64"/>
        <v>0</v>
      </c>
      <c r="AM327" s="56">
        <f t="shared" si="70"/>
        <v>0</v>
      </c>
      <c r="AN327" s="60">
        <f t="shared" si="65"/>
        <v>0</v>
      </c>
      <c r="AO327" s="59">
        <f t="shared" si="66"/>
        <v>0</v>
      </c>
      <c r="AP327" s="59">
        <f t="shared" si="67"/>
        <v>0</v>
      </c>
    </row>
    <row r="328" spans="3:42" s="17" customFormat="1" x14ac:dyDescent="0.25">
      <c r="C328" s="241" t="s">
        <v>213</v>
      </c>
      <c r="D328" s="242"/>
      <c r="E328" s="88"/>
      <c r="F328" s="217"/>
      <c r="G328" s="234"/>
      <c r="H328" s="218"/>
      <c r="I328" s="76"/>
      <c r="J328" s="77"/>
      <c r="K328" s="77"/>
      <c r="L328" s="76"/>
      <c r="M328" s="110"/>
      <c r="N328" s="152"/>
      <c r="O328" s="111" t="str">
        <f>IFERROR(MIN(VLOOKUP(ROUNDDOWN(N328,0),'Aide calcul'!$B$2:$C$282,2,FALSE),M328+1),"")</f>
        <v/>
      </c>
      <c r="P328" s="112" t="str">
        <f t="shared" si="68"/>
        <v/>
      </c>
      <c r="Q328" s="170"/>
      <c r="R328" s="170"/>
      <c r="S328" s="170"/>
      <c r="T328" s="170"/>
      <c r="U328" s="170"/>
      <c r="V328" s="170"/>
      <c r="W328" s="170"/>
      <c r="X328" s="76"/>
      <c r="Y328" s="76"/>
      <c r="Z328" s="113" t="str">
        <f>IFERROR(ROUND('Informations générales'!$E$66*(AE328/SUM($AE$28:$AE$404))/12,0)*12,"")</f>
        <v/>
      </c>
      <c r="AA328" s="114"/>
      <c r="AB328" s="113" t="str">
        <f t="shared" si="57"/>
        <v/>
      </c>
      <c r="AC328" s="89"/>
      <c r="AD328" s="76"/>
      <c r="AE328" s="56">
        <f t="shared" si="69"/>
        <v>0</v>
      </c>
      <c r="AF328" s="56">
        <f t="shared" si="58"/>
        <v>0</v>
      </c>
      <c r="AG328" s="56">
        <f t="shared" si="59"/>
        <v>0</v>
      </c>
      <c r="AH328" s="56">
        <f t="shared" si="60"/>
        <v>0</v>
      </c>
      <c r="AI328" s="56">
        <f t="shared" si="61"/>
        <v>0</v>
      </c>
      <c r="AJ328" s="56">
        <f t="shared" si="62"/>
        <v>0</v>
      </c>
      <c r="AK328" s="56">
        <f t="shared" si="63"/>
        <v>0</v>
      </c>
      <c r="AL328" s="56">
        <f t="shared" si="64"/>
        <v>0</v>
      </c>
      <c r="AM328" s="56">
        <f t="shared" si="70"/>
        <v>0</v>
      </c>
      <c r="AN328" s="60">
        <f t="shared" si="65"/>
        <v>0</v>
      </c>
      <c r="AO328" s="59">
        <f t="shared" si="66"/>
        <v>0</v>
      </c>
      <c r="AP328" s="59">
        <f t="shared" si="67"/>
        <v>0</v>
      </c>
    </row>
    <row r="329" spans="3:42" s="17" customFormat="1" x14ac:dyDescent="0.25">
      <c r="C329" s="241" t="s">
        <v>213</v>
      </c>
      <c r="D329" s="242"/>
      <c r="E329" s="88"/>
      <c r="F329" s="217"/>
      <c r="G329" s="234"/>
      <c r="H329" s="218"/>
      <c r="I329" s="76"/>
      <c r="J329" s="77"/>
      <c r="K329" s="77"/>
      <c r="L329" s="76"/>
      <c r="M329" s="110"/>
      <c r="N329" s="152"/>
      <c r="O329" s="111" t="str">
        <f>IFERROR(MIN(VLOOKUP(ROUNDDOWN(N329,0),'Aide calcul'!$B$2:$C$282,2,FALSE),M329+1),"")</f>
        <v/>
      </c>
      <c r="P329" s="112" t="str">
        <f t="shared" si="68"/>
        <v/>
      </c>
      <c r="Q329" s="170"/>
      <c r="R329" s="170"/>
      <c r="S329" s="170"/>
      <c r="T329" s="170"/>
      <c r="U329" s="170"/>
      <c r="V329" s="170"/>
      <c r="W329" s="170"/>
      <c r="X329" s="76"/>
      <c r="Y329" s="76"/>
      <c r="Z329" s="113" t="str">
        <f>IFERROR(ROUND('Informations générales'!$E$66*(AE329/SUM($AE$28:$AE$404))/12,0)*12,"")</f>
        <v/>
      </c>
      <c r="AA329" s="114"/>
      <c r="AB329" s="113" t="str">
        <f t="shared" si="57"/>
        <v/>
      </c>
      <c r="AC329" s="89"/>
      <c r="AD329" s="76"/>
      <c r="AE329" s="56">
        <f t="shared" si="69"/>
        <v>0</v>
      </c>
      <c r="AF329" s="56">
        <f t="shared" si="58"/>
        <v>0</v>
      </c>
      <c r="AG329" s="56">
        <f t="shared" si="59"/>
        <v>0</v>
      </c>
      <c r="AH329" s="56">
        <f t="shared" si="60"/>
        <v>0</v>
      </c>
      <c r="AI329" s="56">
        <f t="shared" si="61"/>
        <v>0</v>
      </c>
      <c r="AJ329" s="56">
        <f t="shared" si="62"/>
        <v>0</v>
      </c>
      <c r="AK329" s="56">
        <f t="shared" si="63"/>
        <v>0</v>
      </c>
      <c r="AL329" s="56">
        <f t="shared" si="64"/>
        <v>0</v>
      </c>
      <c r="AM329" s="56">
        <f t="shared" si="70"/>
        <v>0</v>
      </c>
      <c r="AN329" s="60">
        <f t="shared" si="65"/>
        <v>0</v>
      </c>
      <c r="AO329" s="59">
        <f t="shared" si="66"/>
        <v>0</v>
      </c>
      <c r="AP329" s="59">
        <f t="shared" si="67"/>
        <v>0</v>
      </c>
    </row>
    <row r="330" spans="3:42" s="17" customFormat="1" x14ac:dyDescent="0.25">
      <c r="C330" s="241" t="s">
        <v>213</v>
      </c>
      <c r="D330" s="242"/>
      <c r="E330" s="88"/>
      <c r="F330" s="217"/>
      <c r="G330" s="234"/>
      <c r="H330" s="218"/>
      <c r="I330" s="76"/>
      <c r="J330" s="77"/>
      <c r="K330" s="77"/>
      <c r="L330" s="76"/>
      <c r="M330" s="110"/>
      <c r="N330" s="152"/>
      <c r="O330" s="111" t="str">
        <f>IFERROR(MIN(VLOOKUP(ROUNDDOWN(N330,0),'Aide calcul'!$B$2:$C$282,2,FALSE),M330+1),"")</f>
        <v/>
      </c>
      <c r="P330" s="112" t="str">
        <f t="shared" si="68"/>
        <v/>
      </c>
      <c r="Q330" s="170"/>
      <c r="R330" s="170"/>
      <c r="S330" s="170"/>
      <c r="T330" s="170"/>
      <c r="U330" s="170"/>
      <c r="V330" s="170"/>
      <c r="W330" s="170"/>
      <c r="X330" s="76"/>
      <c r="Y330" s="76"/>
      <c r="Z330" s="113" t="str">
        <f>IFERROR(ROUND('Informations générales'!$E$66*(AE330/SUM($AE$28:$AE$404))/12,0)*12,"")</f>
        <v/>
      </c>
      <c r="AA330" s="114"/>
      <c r="AB330" s="113" t="str">
        <f t="shared" si="57"/>
        <v/>
      </c>
      <c r="AC330" s="89"/>
      <c r="AD330" s="76"/>
      <c r="AE330" s="56">
        <f t="shared" si="69"/>
        <v>0</v>
      </c>
      <c r="AF330" s="56">
        <f t="shared" si="58"/>
        <v>0</v>
      </c>
      <c r="AG330" s="56">
        <f t="shared" si="59"/>
        <v>0</v>
      </c>
      <c r="AH330" s="56">
        <f t="shared" si="60"/>
        <v>0</v>
      </c>
      <c r="AI330" s="56">
        <f t="shared" si="61"/>
        <v>0</v>
      </c>
      <c r="AJ330" s="56">
        <f t="shared" si="62"/>
        <v>0</v>
      </c>
      <c r="AK330" s="56">
        <f t="shared" si="63"/>
        <v>0</v>
      </c>
      <c r="AL330" s="56">
        <f t="shared" si="64"/>
        <v>0</v>
      </c>
      <c r="AM330" s="56">
        <f t="shared" si="70"/>
        <v>0</v>
      </c>
      <c r="AN330" s="60">
        <f t="shared" si="65"/>
        <v>0</v>
      </c>
      <c r="AO330" s="59">
        <f t="shared" si="66"/>
        <v>0</v>
      </c>
      <c r="AP330" s="59">
        <f t="shared" si="67"/>
        <v>0</v>
      </c>
    </row>
    <row r="331" spans="3:42" s="17" customFormat="1" x14ac:dyDescent="0.25">
      <c r="C331" s="241" t="s">
        <v>213</v>
      </c>
      <c r="D331" s="242"/>
      <c r="E331" s="88"/>
      <c r="F331" s="217"/>
      <c r="G331" s="234"/>
      <c r="H331" s="218"/>
      <c r="I331" s="76"/>
      <c r="J331" s="77"/>
      <c r="K331" s="77"/>
      <c r="L331" s="76"/>
      <c r="M331" s="110"/>
      <c r="N331" s="152"/>
      <c r="O331" s="111" t="str">
        <f>IFERROR(MIN(VLOOKUP(ROUNDDOWN(N331,0),'Aide calcul'!$B$2:$C$282,2,FALSE),M331+1),"")</f>
        <v/>
      </c>
      <c r="P331" s="112" t="str">
        <f t="shared" si="68"/>
        <v/>
      </c>
      <c r="Q331" s="170"/>
      <c r="R331" s="170"/>
      <c r="S331" s="170"/>
      <c r="T331" s="170"/>
      <c r="U331" s="170"/>
      <c r="V331" s="170"/>
      <c r="W331" s="170"/>
      <c r="X331" s="76"/>
      <c r="Y331" s="76"/>
      <c r="Z331" s="113" t="str">
        <f>IFERROR(ROUND('Informations générales'!$E$66*(AE331/SUM($AE$28:$AE$404))/12,0)*12,"")</f>
        <v/>
      </c>
      <c r="AA331" s="114"/>
      <c r="AB331" s="113" t="str">
        <f t="shared" si="57"/>
        <v/>
      </c>
      <c r="AC331" s="89"/>
      <c r="AD331" s="76"/>
      <c r="AE331" s="56">
        <f t="shared" si="69"/>
        <v>0</v>
      </c>
      <c r="AF331" s="56">
        <f t="shared" si="58"/>
        <v>0</v>
      </c>
      <c r="AG331" s="56">
        <f t="shared" si="59"/>
        <v>0</v>
      </c>
      <c r="AH331" s="56">
        <f t="shared" si="60"/>
        <v>0</v>
      </c>
      <c r="AI331" s="56">
        <f t="shared" si="61"/>
        <v>0</v>
      </c>
      <c r="AJ331" s="56">
        <f t="shared" si="62"/>
        <v>0</v>
      </c>
      <c r="AK331" s="56">
        <f t="shared" si="63"/>
        <v>0</v>
      </c>
      <c r="AL331" s="56">
        <f t="shared" si="64"/>
        <v>0</v>
      </c>
      <c r="AM331" s="56">
        <f t="shared" si="70"/>
        <v>0</v>
      </c>
      <c r="AN331" s="60">
        <f t="shared" si="65"/>
        <v>0</v>
      </c>
      <c r="AO331" s="59">
        <f t="shared" si="66"/>
        <v>0</v>
      </c>
      <c r="AP331" s="59">
        <f t="shared" si="67"/>
        <v>0</v>
      </c>
    </row>
    <row r="332" spans="3:42" s="17" customFormat="1" x14ac:dyDescent="0.25">
      <c r="C332" s="241" t="s">
        <v>213</v>
      </c>
      <c r="D332" s="242"/>
      <c r="E332" s="88"/>
      <c r="F332" s="217"/>
      <c r="G332" s="234"/>
      <c r="H332" s="218"/>
      <c r="I332" s="76"/>
      <c r="J332" s="77"/>
      <c r="K332" s="77"/>
      <c r="L332" s="76"/>
      <c r="M332" s="110"/>
      <c r="N332" s="152"/>
      <c r="O332" s="111" t="str">
        <f>IFERROR(MIN(VLOOKUP(ROUNDDOWN(N332,0),'Aide calcul'!$B$2:$C$282,2,FALSE),M332+1),"")</f>
        <v/>
      </c>
      <c r="P332" s="112" t="str">
        <f t="shared" si="68"/>
        <v/>
      </c>
      <c r="Q332" s="170"/>
      <c r="R332" s="170"/>
      <c r="S332" s="170"/>
      <c r="T332" s="170"/>
      <c r="U332" s="170"/>
      <c r="V332" s="170"/>
      <c r="W332" s="170"/>
      <c r="X332" s="76"/>
      <c r="Y332" s="76"/>
      <c r="Z332" s="113" t="str">
        <f>IFERROR(ROUND('Informations générales'!$E$66*(AE332/SUM($AE$28:$AE$404))/12,0)*12,"")</f>
        <v/>
      </c>
      <c r="AA332" s="114"/>
      <c r="AB332" s="113" t="str">
        <f t="shared" si="57"/>
        <v/>
      </c>
      <c r="AC332" s="89"/>
      <c r="AD332" s="76"/>
      <c r="AE332" s="56">
        <f t="shared" si="69"/>
        <v>0</v>
      </c>
      <c r="AF332" s="56">
        <f t="shared" si="58"/>
        <v>0</v>
      </c>
      <c r="AG332" s="56">
        <f t="shared" si="59"/>
        <v>0</v>
      </c>
      <c r="AH332" s="56">
        <f t="shared" si="60"/>
        <v>0</v>
      </c>
      <c r="AI332" s="56">
        <f t="shared" si="61"/>
        <v>0</v>
      </c>
      <c r="AJ332" s="56">
        <f t="shared" si="62"/>
        <v>0</v>
      </c>
      <c r="AK332" s="56">
        <f t="shared" si="63"/>
        <v>0</v>
      </c>
      <c r="AL332" s="56">
        <f t="shared" si="64"/>
        <v>0</v>
      </c>
      <c r="AM332" s="56">
        <f t="shared" si="70"/>
        <v>0</v>
      </c>
      <c r="AN332" s="60">
        <f t="shared" si="65"/>
        <v>0</v>
      </c>
      <c r="AO332" s="59">
        <f t="shared" si="66"/>
        <v>0</v>
      </c>
      <c r="AP332" s="59">
        <f t="shared" si="67"/>
        <v>0</v>
      </c>
    </row>
    <row r="333" spans="3:42" s="17" customFormat="1" x14ac:dyDescent="0.25">
      <c r="C333" s="241" t="s">
        <v>213</v>
      </c>
      <c r="D333" s="242"/>
      <c r="E333" s="88"/>
      <c r="F333" s="217"/>
      <c r="G333" s="234"/>
      <c r="H333" s="218"/>
      <c r="I333" s="76"/>
      <c r="J333" s="77"/>
      <c r="K333" s="77"/>
      <c r="L333" s="76"/>
      <c r="M333" s="110"/>
      <c r="N333" s="152"/>
      <c r="O333" s="111" t="str">
        <f>IFERROR(MIN(VLOOKUP(ROUNDDOWN(N333,0),'Aide calcul'!$B$2:$C$282,2,FALSE),M333+1),"")</f>
        <v/>
      </c>
      <c r="P333" s="112" t="str">
        <f t="shared" si="68"/>
        <v/>
      </c>
      <c r="Q333" s="170"/>
      <c r="R333" s="170"/>
      <c r="S333" s="170"/>
      <c r="T333" s="170"/>
      <c r="U333" s="170"/>
      <c r="V333" s="170"/>
      <c r="W333" s="170"/>
      <c r="X333" s="76"/>
      <c r="Y333" s="76"/>
      <c r="Z333" s="113" t="str">
        <f>IFERROR(ROUND('Informations générales'!$E$66*(AE333/SUM($AE$28:$AE$404))/12,0)*12,"")</f>
        <v/>
      </c>
      <c r="AA333" s="114"/>
      <c r="AB333" s="113" t="str">
        <f t="shared" si="57"/>
        <v/>
      </c>
      <c r="AC333" s="89"/>
      <c r="AD333" s="76"/>
      <c r="AE333" s="56">
        <f t="shared" si="69"/>
        <v>0</v>
      </c>
      <c r="AF333" s="56">
        <f t="shared" si="58"/>
        <v>0</v>
      </c>
      <c r="AG333" s="56">
        <f t="shared" si="59"/>
        <v>0</v>
      </c>
      <c r="AH333" s="56">
        <f t="shared" si="60"/>
        <v>0</v>
      </c>
      <c r="AI333" s="56">
        <f t="shared" si="61"/>
        <v>0</v>
      </c>
      <c r="AJ333" s="56">
        <f t="shared" si="62"/>
        <v>0</v>
      </c>
      <c r="AK333" s="56">
        <f t="shared" si="63"/>
        <v>0</v>
      </c>
      <c r="AL333" s="56">
        <f t="shared" si="64"/>
        <v>0</v>
      </c>
      <c r="AM333" s="56">
        <f t="shared" si="70"/>
        <v>0</v>
      </c>
      <c r="AN333" s="60">
        <f t="shared" si="65"/>
        <v>0</v>
      </c>
      <c r="AO333" s="59">
        <f t="shared" si="66"/>
        <v>0</v>
      </c>
      <c r="AP333" s="59">
        <f t="shared" si="67"/>
        <v>0</v>
      </c>
    </row>
    <row r="334" spans="3:42" s="17" customFormat="1" x14ac:dyDescent="0.25">
      <c r="C334" s="241" t="s">
        <v>213</v>
      </c>
      <c r="D334" s="242"/>
      <c r="E334" s="88"/>
      <c r="F334" s="217"/>
      <c r="G334" s="234"/>
      <c r="H334" s="218"/>
      <c r="I334" s="76"/>
      <c r="J334" s="77"/>
      <c r="K334" s="77"/>
      <c r="L334" s="76"/>
      <c r="M334" s="110"/>
      <c r="N334" s="152"/>
      <c r="O334" s="111" t="str">
        <f>IFERROR(MIN(VLOOKUP(ROUNDDOWN(N334,0),'Aide calcul'!$B$2:$C$282,2,FALSE),M334+1),"")</f>
        <v/>
      </c>
      <c r="P334" s="112" t="str">
        <f t="shared" si="68"/>
        <v/>
      </c>
      <c r="Q334" s="170"/>
      <c r="R334" s="170"/>
      <c r="S334" s="170"/>
      <c r="T334" s="170"/>
      <c r="U334" s="170"/>
      <c r="V334" s="170"/>
      <c r="W334" s="170"/>
      <c r="X334" s="76"/>
      <c r="Y334" s="76"/>
      <c r="Z334" s="113" t="str">
        <f>IFERROR(ROUND('Informations générales'!$E$66*(AE334/SUM($AE$28:$AE$404))/12,0)*12,"")</f>
        <v/>
      </c>
      <c r="AA334" s="114"/>
      <c r="AB334" s="113" t="str">
        <f t="shared" si="57"/>
        <v/>
      </c>
      <c r="AC334" s="89"/>
      <c r="AD334" s="76"/>
      <c r="AE334" s="56">
        <f t="shared" si="69"/>
        <v>0</v>
      </c>
      <c r="AF334" s="56">
        <f t="shared" si="58"/>
        <v>0</v>
      </c>
      <c r="AG334" s="56">
        <f t="shared" si="59"/>
        <v>0</v>
      </c>
      <c r="AH334" s="56">
        <f t="shared" si="60"/>
        <v>0</v>
      </c>
      <c r="AI334" s="56">
        <f t="shared" si="61"/>
        <v>0</v>
      </c>
      <c r="AJ334" s="56">
        <f t="shared" si="62"/>
        <v>0</v>
      </c>
      <c r="AK334" s="56">
        <f t="shared" si="63"/>
        <v>0</v>
      </c>
      <c r="AL334" s="56">
        <f t="shared" si="64"/>
        <v>0</v>
      </c>
      <c r="AM334" s="56">
        <f t="shared" si="70"/>
        <v>0</v>
      </c>
      <c r="AN334" s="60">
        <f t="shared" si="65"/>
        <v>0</v>
      </c>
      <c r="AO334" s="59">
        <f t="shared" si="66"/>
        <v>0</v>
      </c>
      <c r="AP334" s="59">
        <f t="shared" si="67"/>
        <v>0</v>
      </c>
    </row>
    <row r="335" spans="3:42" s="17" customFormat="1" x14ac:dyDescent="0.25">
      <c r="C335" s="241" t="s">
        <v>213</v>
      </c>
      <c r="D335" s="242"/>
      <c r="E335" s="88"/>
      <c r="F335" s="217"/>
      <c r="G335" s="234"/>
      <c r="H335" s="218"/>
      <c r="I335" s="76"/>
      <c r="J335" s="77"/>
      <c r="K335" s="77"/>
      <c r="L335" s="76"/>
      <c r="M335" s="110"/>
      <c r="N335" s="152"/>
      <c r="O335" s="111" t="str">
        <f>IFERROR(MIN(VLOOKUP(ROUNDDOWN(N335,0),'Aide calcul'!$B$2:$C$282,2,FALSE),M335+1),"")</f>
        <v/>
      </c>
      <c r="P335" s="112" t="str">
        <f t="shared" si="68"/>
        <v/>
      </c>
      <c r="Q335" s="170"/>
      <c r="R335" s="170"/>
      <c r="S335" s="170"/>
      <c r="T335" s="170"/>
      <c r="U335" s="170"/>
      <c r="V335" s="170"/>
      <c r="W335" s="170"/>
      <c r="X335" s="76"/>
      <c r="Y335" s="76"/>
      <c r="Z335" s="113" t="str">
        <f>IFERROR(ROUND('Informations générales'!$E$66*(AE335/SUM($AE$28:$AE$404))/12,0)*12,"")</f>
        <v/>
      </c>
      <c r="AA335" s="114"/>
      <c r="AB335" s="113" t="str">
        <f t="shared" si="57"/>
        <v/>
      </c>
      <c r="AC335" s="89"/>
      <c r="AD335" s="76"/>
      <c r="AE335" s="56">
        <f t="shared" si="69"/>
        <v>0</v>
      </c>
      <c r="AF335" s="56">
        <f t="shared" si="58"/>
        <v>0</v>
      </c>
      <c r="AG335" s="56">
        <f t="shared" si="59"/>
        <v>0</v>
      </c>
      <c r="AH335" s="56">
        <f t="shared" si="60"/>
        <v>0</v>
      </c>
      <c r="AI335" s="56">
        <f t="shared" si="61"/>
        <v>0</v>
      </c>
      <c r="AJ335" s="56">
        <f t="shared" si="62"/>
        <v>0</v>
      </c>
      <c r="AK335" s="56">
        <f t="shared" si="63"/>
        <v>0</v>
      </c>
      <c r="AL335" s="56">
        <f t="shared" si="64"/>
        <v>0</v>
      </c>
      <c r="AM335" s="56">
        <f t="shared" si="70"/>
        <v>0</v>
      </c>
      <c r="AN335" s="60">
        <f t="shared" si="65"/>
        <v>0</v>
      </c>
      <c r="AO335" s="59">
        <f t="shared" si="66"/>
        <v>0</v>
      </c>
      <c r="AP335" s="59">
        <f t="shared" si="67"/>
        <v>0</v>
      </c>
    </row>
    <row r="336" spans="3:42" s="17" customFormat="1" x14ac:dyDescent="0.25">
      <c r="C336" s="241" t="s">
        <v>213</v>
      </c>
      <c r="D336" s="242"/>
      <c r="E336" s="88"/>
      <c r="F336" s="217"/>
      <c r="G336" s="234"/>
      <c r="H336" s="218"/>
      <c r="I336" s="76"/>
      <c r="J336" s="77"/>
      <c r="K336" s="77"/>
      <c r="L336" s="76"/>
      <c r="M336" s="110"/>
      <c r="N336" s="152"/>
      <c r="O336" s="111" t="str">
        <f>IFERROR(MIN(VLOOKUP(ROUNDDOWN(N336,0),'Aide calcul'!$B$2:$C$282,2,FALSE),M336+1),"")</f>
        <v/>
      </c>
      <c r="P336" s="112" t="str">
        <f t="shared" si="68"/>
        <v/>
      </c>
      <c r="Q336" s="170"/>
      <c r="R336" s="170"/>
      <c r="S336" s="170"/>
      <c r="T336" s="170"/>
      <c r="U336" s="170"/>
      <c r="V336" s="170"/>
      <c r="W336" s="170"/>
      <c r="X336" s="76"/>
      <c r="Y336" s="76"/>
      <c r="Z336" s="113" t="str">
        <f>IFERROR(ROUND('Informations générales'!$E$66*(AE336/SUM($AE$28:$AE$404))/12,0)*12,"")</f>
        <v/>
      </c>
      <c r="AA336" s="114"/>
      <c r="AB336" s="113" t="str">
        <f t="shared" si="57"/>
        <v/>
      </c>
      <c r="AC336" s="89"/>
      <c r="AD336" s="76"/>
      <c r="AE336" s="56">
        <f t="shared" si="69"/>
        <v>0</v>
      </c>
      <c r="AF336" s="56">
        <f t="shared" si="58"/>
        <v>0</v>
      </c>
      <c r="AG336" s="56">
        <f t="shared" si="59"/>
        <v>0</v>
      </c>
      <c r="AH336" s="56">
        <f t="shared" si="60"/>
        <v>0</v>
      </c>
      <c r="AI336" s="56">
        <f t="shared" si="61"/>
        <v>0</v>
      </c>
      <c r="AJ336" s="56">
        <f t="shared" si="62"/>
        <v>0</v>
      </c>
      <c r="AK336" s="56">
        <f t="shared" si="63"/>
        <v>0</v>
      </c>
      <c r="AL336" s="56">
        <f t="shared" si="64"/>
        <v>0</v>
      </c>
      <c r="AM336" s="56">
        <f t="shared" si="70"/>
        <v>0</v>
      </c>
      <c r="AN336" s="60">
        <f t="shared" si="65"/>
        <v>0</v>
      </c>
      <c r="AO336" s="59">
        <f t="shared" si="66"/>
        <v>0</v>
      </c>
      <c r="AP336" s="59">
        <f t="shared" si="67"/>
        <v>0</v>
      </c>
    </row>
    <row r="337" spans="3:42" s="17" customFormat="1" x14ac:dyDescent="0.25">
      <c r="C337" s="241" t="s">
        <v>213</v>
      </c>
      <c r="D337" s="242"/>
      <c r="E337" s="88"/>
      <c r="F337" s="217"/>
      <c r="G337" s="234"/>
      <c r="H337" s="218"/>
      <c r="I337" s="76"/>
      <c r="J337" s="77"/>
      <c r="K337" s="77"/>
      <c r="L337" s="76"/>
      <c r="M337" s="110"/>
      <c r="N337" s="152"/>
      <c r="O337" s="111" t="str">
        <f>IFERROR(MIN(VLOOKUP(ROUNDDOWN(N337,0),'Aide calcul'!$B$2:$C$282,2,FALSE),M337+1),"")</f>
        <v/>
      </c>
      <c r="P337" s="112" t="str">
        <f t="shared" si="68"/>
        <v/>
      </c>
      <c r="Q337" s="170"/>
      <c r="R337" s="170"/>
      <c r="S337" s="170"/>
      <c r="T337" s="170"/>
      <c r="U337" s="170"/>
      <c r="V337" s="170"/>
      <c r="W337" s="170"/>
      <c r="X337" s="76"/>
      <c r="Y337" s="76"/>
      <c r="Z337" s="113" t="str">
        <f>IFERROR(ROUND('Informations générales'!$E$66*(AE337/SUM($AE$28:$AE$404))/12,0)*12,"")</f>
        <v/>
      </c>
      <c r="AA337" s="114"/>
      <c r="AB337" s="113" t="str">
        <f t="shared" si="57"/>
        <v/>
      </c>
      <c r="AC337" s="89"/>
      <c r="AD337" s="76"/>
      <c r="AE337" s="56">
        <f t="shared" si="69"/>
        <v>0</v>
      </c>
      <c r="AF337" s="56">
        <f t="shared" si="58"/>
        <v>0</v>
      </c>
      <c r="AG337" s="56">
        <f t="shared" si="59"/>
        <v>0</v>
      </c>
      <c r="AH337" s="56">
        <f t="shared" si="60"/>
        <v>0</v>
      </c>
      <c r="AI337" s="56">
        <f t="shared" si="61"/>
        <v>0</v>
      </c>
      <c r="AJ337" s="56">
        <f t="shared" si="62"/>
        <v>0</v>
      </c>
      <c r="AK337" s="56">
        <f t="shared" si="63"/>
        <v>0</v>
      </c>
      <c r="AL337" s="56">
        <f t="shared" si="64"/>
        <v>0</v>
      </c>
      <c r="AM337" s="56">
        <f t="shared" si="70"/>
        <v>0</v>
      </c>
      <c r="AN337" s="60">
        <f t="shared" si="65"/>
        <v>0</v>
      </c>
      <c r="AO337" s="59">
        <f t="shared" si="66"/>
        <v>0</v>
      </c>
      <c r="AP337" s="59">
        <f t="shared" si="67"/>
        <v>0</v>
      </c>
    </row>
    <row r="338" spans="3:42" s="17" customFormat="1" x14ac:dyDescent="0.25">
      <c r="C338" s="241" t="s">
        <v>213</v>
      </c>
      <c r="D338" s="242"/>
      <c r="E338" s="88"/>
      <c r="F338" s="217"/>
      <c r="G338" s="234"/>
      <c r="H338" s="218"/>
      <c r="I338" s="76"/>
      <c r="J338" s="77"/>
      <c r="K338" s="77"/>
      <c r="L338" s="76"/>
      <c r="M338" s="110"/>
      <c r="N338" s="152"/>
      <c r="O338" s="111" t="str">
        <f>IFERROR(MIN(VLOOKUP(ROUNDDOWN(N338,0),'Aide calcul'!$B$2:$C$282,2,FALSE),M338+1),"")</f>
        <v/>
      </c>
      <c r="P338" s="112" t="str">
        <f t="shared" si="68"/>
        <v/>
      </c>
      <c r="Q338" s="170"/>
      <c r="R338" s="170"/>
      <c r="S338" s="170"/>
      <c r="T338" s="170"/>
      <c r="U338" s="170"/>
      <c r="V338" s="170"/>
      <c r="W338" s="170"/>
      <c r="X338" s="76"/>
      <c r="Y338" s="76"/>
      <c r="Z338" s="113" t="str">
        <f>IFERROR(ROUND('Informations générales'!$E$66*(AE338/SUM($AE$28:$AE$404))/12,0)*12,"")</f>
        <v/>
      </c>
      <c r="AA338" s="114"/>
      <c r="AB338" s="113" t="str">
        <f t="shared" si="57"/>
        <v/>
      </c>
      <c r="AC338" s="89"/>
      <c r="AD338" s="76"/>
      <c r="AE338" s="56">
        <f t="shared" si="69"/>
        <v>0</v>
      </c>
      <c r="AF338" s="56">
        <f t="shared" si="58"/>
        <v>0</v>
      </c>
      <c r="AG338" s="56">
        <f t="shared" si="59"/>
        <v>0</v>
      </c>
      <c r="AH338" s="56">
        <f t="shared" si="60"/>
        <v>0</v>
      </c>
      <c r="AI338" s="56">
        <f t="shared" si="61"/>
        <v>0</v>
      </c>
      <c r="AJ338" s="56">
        <f t="shared" si="62"/>
        <v>0</v>
      </c>
      <c r="AK338" s="56">
        <f t="shared" si="63"/>
        <v>0</v>
      </c>
      <c r="AL338" s="56">
        <f t="shared" si="64"/>
        <v>0</v>
      </c>
      <c r="AM338" s="56">
        <f t="shared" si="70"/>
        <v>0</v>
      </c>
      <c r="AN338" s="60">
        <f t="shared" si="65"/>
        <v>0</v>
      </c>
      <c r="AO338" s="59">
        <f t="shared" si="66"/>
        <v>0</v>
      </c>
      <c r="AP338" s="59">
        <f t="shared" si="67"/>
        <v>0</v>
      </c>
    </row>
    <row r="339" spans="3:42" s="17" customFormat="1" x14ac:dyDescent="0.25">
      <c r="C339" s="241" t="s">
        <v>213</v>
      </c>
      <c r="D339" s="242"/>
      <c r="E339" s="88"/>
      <c r="F339" s="217"/>
      <c r="G339" s="234"/>
      <c r="H339" s="218"/>
      <c r="I339" s="76"/>
      <c r="J339" s="77"/>
      <c r="K339" s="77"/>
      <c r="L339" s="76"/>
      <c r="M339" s="110"/>
      <c r="N339" s="152"/>
      <c r="O339" s="111" t="str">
        <f>IFERROR(MIN(VLOOKUP(ROUNDDOWN(N339,0),'Aide calcul'!$B$2:$C$282,2,FALSE),M339+1),"")</f>
        <v/>
      </c>
      <c r="P339" s="112" t="str">
        <f t="shared" si="68"/>
        <v/>
      </c>
      <c r="Q339" s="170"/>
      <c r="R339" s="170"/>
      <c r="S339" s="170"/>
      <c r="T339" s="170"/>
      <c r="U339" s="170"/>
      <c r="V339" s="170"/>
      <c r="W339" s="170"/>
      <c r="X339" s="76"/>
      <c r="Y339" s="76"/>
      <c r="Z339" s="113" t="str">
        <f>IFERROR(ROUND('Informations générales'!$E$66*(AE339/SUM($AE$28:$AE$404))/12,0)*12,"")</f>
        <v/>
      </c>
      <c r="AA339" s="114"/>
      <c r="AB339" s="113" t="str">
        <f t="shared" si="57"/>
        <v/>
      </c>
      <c r="AC339" s="89"/>
      <c r="AD339" s="76"/>
      <c r="AE339" s="56">
        <f t="shared" si="69"/>
        <v>0</v>
      </c>
      <c r="AF339" s="56">
        <f t="shared" si="58"/>
        <v>0</v>
      </c>
      <c r="AG339" s="56">
        <f t="shared" si="59"/>
        <v>0</v>
      </c>
      <c r="AH339" s="56">
        <f t="shared" si="60"/>
        <v>0</v>
      </c>
      <c r="AI339" s="56">
        <f t="shared" si="61"/>
        <v>0</v>
      </c>
      <c r="AJ339" s="56">
        <f t="shared" si="62"/>
        <v>0</v>
      </c>
      <c r="AK339" s="56">
        <f t="shared" si="63"/>
        <v>0</v>
      </c>
      <c r="AL339" s="56">
        <f t="shared" si="64"/>
        <v>0</v>
      </c>
      <c r="AM339" s="56">
        <f t="shared" si="70"/>
        <v>0</v>
      </c>
      <c r="AN339" s="60">
        <f t="shared" si="65"/>
        <v>0</v>
      </c>
      <c r="AO339" s="59">
        <f t="shared" si="66"/>
        <v>0</v>
      </c>
      <c r="AP339" s="59">
        <f t="shared" si="67"/>
        <v>0</v>
      </c>
    </row>
    <row r="340" spans="3:42" s="17" customFormat="1" x14ac:dyDescent="0.25">
      <c r="C340" s="241" t="s">
        <v>213</v>
      </c>
      <c r="D340" s="242"/>
      <c r="E340" s="88"/>
      <c r="F340" s="217"/>
      <c r="G340" s="234"/>
      <c r="H340" s="218"/>
      <c r="I340" s="76"/>
      <c r="J340" s="77"/>
      <c r="K340" s="77"/>
      <c r="L340" s="76"/>
      <c r="M340" s="110"/>
      <c r="N340" s="152"/>
      <c r="O340" s="111" t="str">
        <f>IFERROR(MIN(VLOOKUP(ROUNDDOWN(N340,0),'Aide calcul'!$B$2:$C$282,2,FALSE),M340+1),"")</f>
        <v/>
      </c>
      <c r="P340" s="112" t="str">
        <f t="shared" si="68"/>
        <v/>
      </c>
      <c r="Q340" s="170"/>
      <c r="R340" s="170"/>
      <c r="S340" s="170"/>
      <c r="T340" s="170"/>
      <c r="U340" s="170"/>
      <c r="V340" s="170"/>
      <c r="W340" s="170"/>
      <c r="X340" s="76"/>
      <c r="Y340" s="76"/>
      <c r="Z340" s="113" t="str">
        <f>IFERROR(ROUND('Informations générales'!$E$66*(AE340/SUM($AE$28:$AE$404))/12,0)*12,"")</f>
        <v/>
      </c>
      <c r="AA340" s="114"/>
      <c r="AB340" s="113" t="str">
        <f t="shared" si="57"/>
        <v/>
      </c>
      <c r="AC340" s="89"/>
      <c r="AD340" s="76"/>
      <c r="AE340" s="56">
        <f t="shared" si="69"/>
        <v>0</v>
      </c>
      <c r="AF340" s="56">
        <f t="shared" si="58"/>
        <v>0</v>
      </c>
      <c r="AG340" s="56">
        <f t="shared" si="59"/>
        <v>0</v>
      </c>
      <c r="AH340" s="56">
        <f t="shared" si="60"/>
        <v>0</v>
      </c>
      <c r="AI340" s="56">
        <f t="shared" si="61"/>
        <v>0</v>
      </c>
      <c r="AJ340" s="56">
        <f t="shared" si="62"/>
        <v>0</v>
      </c>
      <c r="AK340" s="56">
        <f t="shared" si="63"/>
        <v>0</v>
      </c>
      <c r="AL340" s="56">
        <f t="shared" si="64"/>
        <v>0</v>
      </c>
      <c r="AM340" s="56">
        <f t="shared" si="70"/>
        <v>0</v>
      </c>
      <c r="AN340" s="60">
        <f t="shared" si="65"/>
        <v>0</v>
      </c>
      <c r="AO340" s="59">
        <f t="shared" si="66"/>
        <v>0</v>
      </c>
      <c r="AP340" s="59">
        <f t="shared" si="67"/>
        <v>0</v>
      </c>
    </row>
    <row r="341" spans="3:42" s="17" customFormat="1" x14ac:dyDescent="0.25">
      <c r="C341" s="241" t="s">
        <v>213</v>
      </c>
      <c r="D341" s="242"/>
      <c r="E341" s="88"/>
      <c r="F341" s="217"/>
      <c r="G341" s="234"/>
      <c r="H341" s="218"/>
      <c r="I341" s="76"/>
      <c r="J341" s="77"/>
      <c r="K341" s="77"/>
      <c r="L341" s="76"/>
      <c r="M341" s="110"/>
      <c r="N341" s="152"/>
      <c r="O341" s="111" t="str">
        <f>IFERROR(MIN(VLOOKUP(ROUNDDOWN(N341,0),'Aide calcul'!$B$2:$C$282,2,FALSE),M341+1),"")</f>
        <v/>
      </c>
      <c r="P341" s="112" t="str">
        <f t="shared" si="68"/>
        <v/>
      </c>
      <c r="Q341" s="170"/>
      <c r="R341" s="170"/>
      <c r="S341" s="170"/>
      <c r="T341" s="170"/>
      <c r="U341" s="170"/>
      <c r="V341" s="170"/>
      <c r="W341" s="170"/>
      <c r="X341" s="76"/>
      <c r="Y341" s="76"/>
      <c r="Z341" s="113" t="str">
        <f>IFERROR(ROUND('Informations générales'!$E$66*(AE341/SUM($AE$28:$AE$404))/12,0)*12,"")</f>
        <v/>
      </c>
      <c r="AA341" s="114"/>
      <c r="AB341" s="113" t="str">
        <f t="shared" si="57"/>
        <v/>
      </c>
      <c r="AC341" s="89"/>
      <c r="AD341" s="76"/>
      <c r="AE341" s="56">
        <f t="shared" si="69"/>
        <v>0</v>
      </c>
      <c r="AF341" s="56">
        <f t="shared" si="58"/>
        <v>0</v>
      </c>
      <c r="AG341" s="56">
        <f t="shared" si="59"/>
        <v>0</v>
      </c>
      <c r="AH341" s="56">
        <f t="shared" si="60"/>
        <v>0</v>
      </c>
      <c r="AI341" s="56">
        <f t="shared" si="61"/>
        <v>0</v>
      </c>
      <c r="AJ341" s="56">
        <f t="shared" si="62"/>
        <v>0</v>
      </c>
      <c r="AK341" s="56">
        <f t="shared" si="63"/>
        <v>0</v>
      </c>
      <c r="AL341" s="56">
        <f t="shared" si="64"/>
        <v>0</v>
      </c>
      <c r="AM341" s="56">
        <f t="shared" si="70"/>
        <v>0</v>
      </c>
      <c r="AN341" s="60">
        <f t="shared" si="65"/>
        <v>0</v>
      </c>
      <c r="AO341" s="59">
        <f t="shared" si="66"/>
        <v>0</v>
      </c>
      <c r="AP341" s="59">
        <f t="shared" si="67"/>
        <v>0</v>
      </c>
    </row>
    <row r="342" spans="3:42" s="17" customFormat="1" x14ac:dyDescent="0.25">
      <c r="C342" s="241" t="s">
        <v>213</v>
      </c>
      <c r="D342" s="242"/>
      <c r="E342" s="88"/>
      <c r="F342" s="217"/>
      <c r="G342" s="234"/>
      <c r="H342" s="218"/>
      <c r="I342" s="76"/>
      <c r="J342" s="77"/>
      <c r="K342" s="77"/>
      <c r="L342" s="76"/>
      <c r="M342" s="110"/>
      <c r="N342" s="152"/>
      <c r="O342" s="111" t="str">
        <f>IFERROR(MIN(VLOOKUP(ROUNDDOWN(N342,0),'Aide calcul'!$B$2:$C$282,2,FALSE),M342+1),"")</f>
        <v/>
      </c>
      <c r="P342" s="112" t="str">
        <f t="shared" si="68"/>
        <v/>
      </c>
      <c r="Q342" s="170"/>
      <c r="R342" s="170"/>
      <c r="S342" s="170"/>
      <c r="T342" s="170"/>
      <c r="U342" s="170"/>
      <c r="V342" s="170"/>
      <c r="W342" s="170"/>
      <c r="X342" s="76"/>
      <c r="Y342" s="76"/>
      <c r="Z342" s="113" t="str">
        <f>IFERROR(ROUND('Informations générales'!$E$66*(AE342/SUM($AE$28:$AE$404))/12,0)*12,"")</f>
        <v/>
      </c>
      <c r="AA342" s="114"/>
      <c r="AB342" s="113" t="str">
        <f t="shared" si="57"/>
        <v/>
      </c>
      <c r="AC342" s="89"/>
      <c r="AD342" s="76"/>
      <c r="AE342" s="56">
        <f t="shared" si="69"/>
        <v>0</v>
      </c>
      <c r="AF342" s="56">
        <f t="shared" si="58"/>
        <v>0</v>
      </c>
      <c r="AG342" s="56">
        <f t="shared" si="59"/>
        <v>0</v>
      </c>
      <c r="AH342" s="56">
        <f t="shared" si="60"/>
        <v>0</v>
      </c>
      <c r="AI342" s="56">
        <f t="shared" si="61"/>
        <v>0</v>
      </c>
      <c r="AJ342" s="56">
        <f t="shared" si="62"/>
        <v>0</v>
      </c>
      <c r="AK342" s="56">
        <f t="shared" si="63"/>
        <v>0</v>
      </c>
      <c r="AL342" s="56">
        <f t="shared" si="64"/>
        <v>0</v>
      </c>
      <c r="AM342" s="56">
        <f t="shared" si="70"/>
        <v>0</v>
      </c>
      <c r="AN342" s="60">
        <f t="shared" si="65"/>
        <v>0</v>
      </c>
      <c r="AO342" s="59">
        <f t="shared" si="66"/>
        <v>0</v>
      </c>
      <c r="AP342" s="59">
        <f t="shared" si="67"/>
        <v>0</v>
      </c>
    </row>
    <row r="343" spans="3:42" s="17" customFormat="1" x14ac:dyDescent="0.25">
      <c r="C343" s="241" t="s">
        <v>213</v>
      </c>
      <c r="D343" s="242"/>
      <c r="E343" s="88"/>
      <c r="F343" s="217"/>
      <c r="G343" s="234"/>
      <c r="H343" s="218"/>
      <c r="I343" s="76"/>
      <c r="J343" s="77"/>
      <c r="K343" s="77"/>
      <c r="L343" s="76"/>
      <c r="M343" s="110"/>
      <c r="N343" s="152"/>
      <c r="O343" s="111" t="str">
        <f>IFERROR(MIN(VLOOKUP(ROUNDDOWN(N343,0),'Aide calcul'!$B$2:$C$282,2,FALSE),M343+1),"")</f>
        <v/>
      </c>
      <c r="P343" s="112" t="str">
        <f t="shared" si="68"/>
        <v/>
      </c>
      <c r="Q343" s="170"/>
      <c r="R343" s="170"/>
      <c r="S343" s="170"/>
      <c r="T343" s="170"/>
      <c r="U343" s="170"/>
      <c r="V343" s="170"/>
      <c r="W343" s="170"/>
      <c r="X343" s="76"/>
      <c r="Y343" s="76"/>
      <c r="Z343" s="113" t="str">
        <f>IFERROR(ROUND('Informations générales'!$E$66*(AE343/SUM($AE$28:$AE$404))/12,0)*12,"")</f>
        <v/>
      </c>
      <c r="AA343" s="114"/>
      <c r="AB343" s="113" t="str">
        <f t="shared" si="57"/>
        <v/>
      </c>
      <c r="AC343" s="89"/>
      <c r="AD343" s="76"/>
      <c r="AE343" s="56">
        <f t="shared" si="69"/>
        <v>0</v>
      </c>
      <c r="AF343" s="56">
        <f t="shared" si="58"/>
        <v>0</v>
      </c>
      <c r="AG343" s="56">
        <f t="shared" si="59"/>
        <v>0</v>
      </c>
      <c r="AH343" s="56">
        <f t="shared" si="60"/>
        <v>0</v>
      </c>
      <c r="AI343" s="56">
        <f t="shared" si="61"/>
        <v>0</v>
      </c>
      <c r="AJ343" s="56">
        <f t="shared" si="62"/>
        <v>0</v>
      </c>
      <c r="AK343" s="56">
        <f t="shared" si="63"/>
        <v>0</v>
      </c>
      <c r="AL343" s="56">
        <f t="shared" si="64"/>
        <v>0</v>
      </c>
      <c r="AM343" s="56">
        <f t="shared" si="70"/>
        <v>0</v>
      </c>
      <c r="AN343" s="60">
        <f t="shared" si="65"/>
        <v>0</v>
      </c>
      <c r="AO343" s="59">
        <f t="shared" si="66"/>
        <v>0</v>
      </c>
      <c r="AP343" s="59">
        <f t="shared" si="67"/>
        <v>0</v>
      </c>
    </row>
    <row r="344" spans="3:42" s="17" customFormat="1" x14ac:dyDescent="0.25">
      <c r="C344" s="241" t="s">
        <v>213</v>
      </c>
      <c r="D344" s="242"/>
      <c r="E344" s="88"/>
      <c r="F344" s="217"/>
      <c r="G344" s="234"/>
      <c r="H344" s="218"/>
      <c r="I344" s="76"/>
      <c r="J344" s="77"/>
      <c r="K344" s="77"/>
      <c r="L344" s="76"/>
      <c r="M344" s="110"/>
      <c r="N344" s="152"/>
      <c r="O344" s="111" t="str">
        <f>IFERROR(MIN(VLOOKUP(ROUNDDOWN(N344,0),'Aide calcul'!$B$2:$C$282,2,FALSE),M344+1),"")</f>
        <v/>
      </c>
      <c r="P344" s="112" t="str">
        <f t="shared" si="68"/>
        <v/>
      </c>
      <c r="Q344" s="170"/>
      <c r="R344" s="170"/>
      <c r="S344" s="170"/>
      <c r="T344" s="170"/>
      <c r="U344" s="170"/>
      <c r="V344" s="170"/>
      <c r="W344" s="170"/>
      <c r="X344" s="76"/>
      <c r="Y344" s="76"/>
      <c r="Z344" s="113" t="str">
        <f>IFERROR(ROUND('Informations générales'!$E$66*(AE344/SUM($AE$28:$AE$404))/12,0)*12,"")</f>
        <v/>
      </c>
      <c r="AA344" s="114"/>
      <c r="AB344" s="113" t="str">
        <f t="shared" si="57"/>
        <v/>
      </c>
      <c r="AC344" s="89"/>
      <c r="AD344" s="76"/>
      <c r="AE344" s="56">
        <f t="shared" si="69"/>
        <v>0</v>
      </c>
      <c r="AF344" s="56">
        <f t="shared" si="58"/>
        <v>0</v>
      </c>
      <c r="AG344" s="56">
        <f t="shared" si="59"/>
        <v>0</v>
      </c>
      <c r="AH344" s="56">
        <f t="shared" si="60"/>
        <v>0</v>
      </c>
      <c r="AI344" s="56">
        <f t="shared" si="61"/>
        <v>0</v>
      </c>
      <c r="AJ344" s="56">
        <f t="shared" si="62"/>
        <v>0</v>
      </c>
      <c r="AK344" s="56">
        <f t="shared" si="63"/>
        <v>0</v>
      </c>
      <c r="AL344" s="56">
        <f t="shared" si="64"/>
        <v>0</v>
      </c>
      <c r="AM344" s="56">
        <f t="shared" si="70"/>
        <v>0</v>
      </c>
      <c r="AN344" s="60">
        <f t="shared" si="65"/>
        <v>0</v>
      </c>
      <c r="AO344" s="59">
        <f t="shared" si="66"/>
        <v>0</v>
      </c>
      <c r="AP344" s="59">
        <f t="shared" si="67"/>
        <v>0</v>
      </c>
    </row>
    <row r="345" spans="3:42" s="17" customFormat="1" x14ac:dyDescent="0.25">
      <c r="C345" s="241" t="s">
        <v>213</v>
      </c>
      <c r="D345" s="242"/>
      <c r="E345" s="88"/>
      <c r="F345" s="217"/>
      <c r="G345" s="234"/>
      <c r="H345" s="218"/>
      <c r="I345" s="76"/>
      <c r="J345" s="77"/>
      <c r="K345" s="77"/>
      <c r="L345" s="76"/>
      <c r="M345" s="110"/>
      <c r="N345" s="152"/>
      <c r="O345" s="111" t="str">
        <f>IFERROR(MIN(VLOOKUP(ROUNDDOWN(N345,0),'Aide calcul'!$B$2:$C$282,2,FALSE),M345+1),"")</f>
        <v/>
      </c>
      <c r="P345" s="112" t="str">
        <f t="shared" si="68"/>
        <v/>
      </c>
      <c r="Q345" s="170"/>
      <c r="R345" s="170"/>
      <c r="S345" s="170"/>
      <c r="T345" s="170"/>
      <c r="U345" s="170"/>
      <c r="V345" s="170"/>
      <c r="W345" s="170"/>
      <c r="X345" s="76"/>
      <c r="Y345" s="76"/>
      <c r="Z345" s="113" t="str">
        <f>IFERROR(ROUND('Informations générales'!$E$66*(AE345/SUM($AE$28:$AE$404))/12,0)*12,"")</f>
        <v/>
      </c>
      <c r="AA345" s="114"/>
      <c r="AB345" s="113" t="str">
        <f t="shared" si="57"/>
        <v/>
      </c>
      <c r="AC345" s="89"/>
      <c r="AD345" s="76"/>
      <c r="AE345" s="56">
        <f t="shared" si="69"/>
        <v>0</v>
      </c>
      <c r="AF345" s="56">
        <f t="shared" si="58"/>
        <v>0</v>
      </c>
      <c r="AG345" s="56">
        <f t="shared" si="59"/>
        <v>0</v>
      </c>
      <c r="AH345" s="56">
        <f t="shared" si="60"/>
        <v>0</v>
      </c>
      <c r="AI345" s="56">
        <f t="shared" si="61"/>
        <v>0</v>
      </c>
      <c r="AJ345" s="56">
        <f t="shared" si="62"/>
        <v>0</v>
      </c>
      <c r="AK345" s="56">
        <f t="shared" si="63"/>
        <v>0</v>
      </c>
      <c r="AL345" s="56">
        <f t="shared" si="64"/>
        <v>0</v>
      </c>
      <c r="AM345" s="56">
        <f t="shared" si="70"/>
        <v>0</v>
      </c>
      <c r="AN345" s="60">
        <f t="shared" si="65"/>
        <v>0</v>
      </c>
      <c r="AO345" s="59">
        <f t="shared" si="66"/>
        <v>0</v>
      </c>
      <c r="AP345" s="59">
        <f t="shared" si="67"/>
        <v>0</v>
      </c>
    </row>
    <row r="346" spans="3:42" s="17" customFormat="1" x14ac:dyDescent="0.25">
      <c r="C346" s="241" t="s">
        <v>213</v>
      </c>
      <c r="D346" s="242"/>
      <c r="E346" s="88"/>
      <c r="F346" s="217"/>
      <c r="G346" s="234"/>
      <c r="H346" s="218"/>
      <c r="I346" s="76"/>
      <c r="J346" s="77"/>
      <c r="K346" s="77"/>
      <c r="L346" s="76"/>
      <c r="M346" s="110"/>
      <c r="N346" s="152"/>
      <c r="O346" s="111" t="str">
        <f>IFERROR(MIN(VLOOKUP(ROUNDDOWN(N346,0),'Aide calcul'!$B$2:$C$282,2,FALSE),M346+1),"")</f>
        <v/>
      </c>
      <c r="P346" s="112" t="str">
        <f t="shared" si="68"/>
        <v/>
      </c>
      <c r="Q346" s="170"/>
      <c r="R346" s="170"/>
      <c r="S346" s="170"/>
      <c r="T346" s="170"/>
      <c r="U346" s="170"/>
      <c r="V346" s="170"/>
      <c r="W346" s="170"/>
      <c r="X346" s="76"/>
      <c r="Y346" s="76"/>
      <c r="Z346" s="113" t="str">
        <f>IFERROR(ROUND('Informations générales'!$E$66*(AE346/SUM($AE$28:$AE$404))/12,0)*12,"")</f>
        <v/>
      </c>
      <c r="AA346" s="114"/>
      <c r="AB346" s="113" t="str">
        <f t="shared" si="57"/>
        <v/>
      </c>
      <c r="AC346" s="89"/>
      <c r="AD346" s="76"/>
      <c r="AE346" s="56">
        <f t="shared" si="69"/>
        <v>0</v>
      </c>
      <c r="AF346" s="56">
        <f t="shared" si="58"/>
        <v>0</v>
      </c>
      <c r="AG346" s="56">
        <f t="shared" si="59"/>
        <v>0</v>
      </c>
      <c r="AH346" s="56">
        <f t="shared" si="60"/>
        <v>0</v>
      </c>
      <c r="AI346" s="56">
        <f t="shared" si="61"/>
        <v>0</v>
      </c>
      <c r="AJ346" s="56">
        <f t="shared" si="62"/>
        <v>0</v>
      </c>
      <c r="AK346" s="56">
        <f t="shared" si="63"/>
        <v>0</v>
      </c>
      <c r="AL346" s="56">
        <f t="shared" si="64"/>
        <v>0</v>
      </c>
      <c r="AM346" s="56">
        <f t="shared" si="70"/>
        <v>0</v>
      </c>
      <c r="AN346" s="60">
        <f t="shared" si="65"/>
        <v>0</v>
      </c>
      <c r="AO346" s="59">
        <f t="shared" si="66"/>
        <v>0</v>
      </c>
      <c r="AP346" s="59">
        <f t="shared" si="67"/>
        <v>0</v>
      </c>
    </row>
    <row r="347" spans="3:42" s="17" customFormat="1" x14ac:dyDescent="0.25">
      <c r="C347" s="241" t="s">
        <v>213</v>
      </c>
      <c r="D347" s="242"/>
      <c r="E347" s="88"/>
      <c r="F347" s="217"/>
      <c r="G347" s="234"/>
      <c r="H347" s="218"/>
      <c r="I347" s="76"/>
      <c r="J347" s="77"/>
      <c r="K347" s="77"/>
      <c r="L347" s="76"/>
      <c r="M347" s="110"/>
      <c r="N347" s="152"/>
      <c r="O347" s="111" t="str">
        <f>IFERROR(MIN(VLOOKUP(ROUNDDOWN(N347,0),'Aide calcul'!$B$2:$C$282,2,FALSE),M347+1),"")</f>
        <v/>
      </c>
      <c r="P347" s="112" t="str">
        <f t="shared" si="68"/>
        <v/>
      </c>
      <c r="Q347" s="170"/>
      <c r="R347" s="170"/>
      <c r="S347" s="170"/>
      <c r="T347" s="170"/>
      <c r="U347" s="170"/>
      <c r="V347" s="170"/>
      <c r="W347" s="170"/>
      <c r="X347" s="76"/>
      <c r="Y347" s="76"/>
      <c r="Z347" s="113" t="str">
        <f>IFERROR(ROUND('Informations générales'!$E$66*(AE347/SUM($AE$28:$AE$404))/12,0)*12,"")</f>
        <v/>
      </c>
      <c r="AA347" s="114"/>
      <c r="AB347" s="113" t="str">
        <f t="shared" si="57"/>
        <v/>
      </c>
      <c r="AC347" s="89"/>
      <c r="AD347" s="76"/>
      <c r="AE347" s="56">
        <f t="shared" si="69"/>
        <v>0</v>
      </c>
      <c r="AF347" s="56">
        <f t="shared" si="58"/>
        <v>0</v>
      </c>
      <c r="AG347" s="56">
        <f t="shared" si="59"/>
        <v>0</v>
      </c>
      <c r="AH347" s="56">
        <f t="shared" si="60"/>
        <v>0</v>
      </c>
      <c r="AI347" s="56">
        <f t="shared" si="61"/>
        <v>0</v>
      </c>
      <c r="AJ347" s="56">
        <f t="shared" si="62"/>
        <v>0</v>
      </c>
      <c r="AK347" s="56">
        <f t="shared" si="63"/>
        <v>0</v>
      </c>
      <c r="AL347" s="56">
        <f t="shared" si="64"/>
        <v>0</v>
      </c>
      <c r="AM347" s="56">
        <f t="shared" si="70"/>
        <v>0</v>
      </c>
      <c r="AN347" s="60">
        <f t="shared" si="65"/>
        <v>0</v>
      </c>
      <c r="AO347" s="59">
        <f t="shared" si="66"/>
        <v>0</v>
      </c>
      <c r="AP347" s="59">
        <f t="shared" si="67"/>
        <v>0</v>
      </c>
    </row>
    <row r="348" spans="3:42" s="17" customFormat="1" x14ac:dyDescent="0.25">
      <c r="C348" s="241" t="s">
        <v>213</v>
      </c>
      <c r="D348" s="242"/>
      <c r="E348" s="88"/>
      <c r="F348" s="217"/>
      <c r="G348" s="234"/>
      <c r="H348" s="218"/>
      <c r="I348" s="76"/>
      <c r="J348" s="77"/>
      <c r="K348" s="77"/>
      <c r="L348" s="76"/>
      <c r="M348" s="110"/>
      <c r="N348" s="152"/>
      <c r="O348" s="111" t="str">
        <f>IFERROR(MIN(VLOOKUP(ROUNDDOWN(N348,0),'Aide calcul'!$B$2:$C$282,2,FALSE),M348+1),"")</f>
        <v/>
      </c>
      <c r="P348" s="112" t="str">
        <f t="shared" si="68"/>
        <v/>
      </c>
      <c r="Q348" s="170"/>
      <c r="R348" s="170"/>
      <c r="S348" s="170"/>
      <c r="T348" s="170"/>
      <c r="U348" s="170"/>
      <c r="V348" s="170"/>
      <c r="W348" s="170"/>
      <c r="X348" s="76"/>
      <c r="Y348" s="76"/>
      <c r="Z348" s="113" t="str">
        <f>IFERROR(ROUND('Informations générales'!$E$66*(AE348/SUM($AE$28:$AE$404))/12,0)*12,"")</f>
        <v/>
      </c>
      <c r="AA348" s="114"/>
      <c r="AB348" s="113" t="str">
        <f t="shared" ref="AB348:AB411" si="71">IFERROR(Z348/AM348,"")</f>
        <v/>
      </c>
      <c r="AC348" s="89"/>
      <c r="AD348" s="76"/>
      <c r="AE348" s="56">
        <f t="shared" si="69"/>
        <v>0</v>
      </c>
      <c r="AF348" s="56">
        <f t="shared" ref="AF348:AF411" si="72">Q348*$E$13</f>
        <v>0</v>
      </c>
      <c r="AG348" s="56">
        <f t="shared" ref="AG348:AG411" si="73">R348*$E$14</f>
        <v>0</v>
      </c>
      <c r="AH348" s="56">
        <f t="shared" ref="AH348:AH411" si="74">S348*$E$15</f>
        <v>0</v>
      </c>
      <c r="AI348" s="56">
        <f t="shared" ref="AI348:AI411" si="75">T348*$E$16</f>
        <v>0</v>
      </c>
      <c r="AJ348" s="56">
        <f t="shared" ref="AJ348:AJ411" si="76">U348*$E$17</f>
        <v>0</v>
      </c>
      <c r="AK348" s="56">
        <f t="shared" ref="AK348:AK411" si="77">V348*$E$18</f>
        <v>0</v>
      </c>
      <c r="AL348" s="56">
        <f t="shared" ref="AL348:AL411" si="78">W348*$E$19</f>
        <v>0</v>
      </c>
      <c r="AM348" s="56">
        <f t="shared" si="70"/>
        <v>0</v>
      </c>
      <c r="AN348" s="60">
        <f t="shared" ref="AN348:AN411" si="79">IFERROR(I348*$E$12,0)</f>
        <v>0</v>
      </c>
      <c r="AO348" s="59">
        <f t="shared" ref="AO348:AO411" si="80">IFERROR(VLOOKUP(X348,$H$12:$I$22,2,FALSE),0)</f>
        <v>0</v>
      </c>
      <c r="AP348" s="59">
        <f t="shared" ref="AP348:AP411" si="81">IFERROR(VLOOKUP(Y348,$L$12:$N$19,3,FALSE),0)</f>
        <v>0</v>
      </c>
    </row>
    <row r="349" spans="3:42" s="17" customFormat="1" x14ac:dyDescent="0.25">
      <c r="C349" s="241" t="s">
        <v>213</v>
      </c>
      <c r="D349" s="242"/>
      <c r="E349" s="88"/>
      <c r="F349" s="217"/>
      <c r="G349" s="234"/>
      <c r="H349" s="218"/>
      <c r="I349" s="76"/>
      <c r="J349" s="77"/>
      <c r="K349" s="77"/>
      <c r="L349" s="76"/>
      <c r="M349" s="110"/>
      <c r="N349" s="152"/>
      <c r="O349" s="111" t="str">
        <f>IFERROR(MIN(VLOOKUP(ROUNDDOWN(N349,0),'Aide calcul'!$B$2:$C$282,2,FALSE),M349+1),"")</f>
        <v/>
      </c>
      <c r="P349" s="112" t="str">
        <f t="shared" ref="P349:P412" si="82">IFERROR(TRUNC(O349-0.5),"")</f>
        <v/>
      </c>
      <c r="Q349" s="170"/>
      <c r="R349" s="170"/>
      <c r="S349" s="170"/>
      <c r="T349" s="170"/>
      <c r="U349" s="170"/>
      <c r="V349" s="170"/>
      <c r="W349" s="170"/>
      <c r="X349" s="76"/>
      <c r="Y349" s="76"/>
      <c r="Z349" s="113" t="str">
        <f>IFERROR(ROUND('Informations générales'!$E$66*(AE349/SUM($AE$28:$AE$404))/12,0)*12,"")</f>
        <v/>
      </c>
      <c r="AA349" s="114"/>
      <c r="AB349" s="113" t="str">
        <f t="shared" si="71"/>
        <v/>
      </c>
      <c r="AC349" s="89"/>
      <c r="AD349" s="76"/>
      <c r="AE349" s="56">
        <f t="shared" ref="AE349:AE412" si="83">AM349*(SUM(1,AN349,AO349,AP349))</f>
        <v>0</v>
      </c>
      <c r="AF349" s="56">
        <f t="shared" si="72"/>
        <v>0</v>
      </c>
      <c r="AG349" s="56">
        <f t="shared" si="73"/>
        <v>0</v>
      </c>
      <c r="AH349" s="56">
        <f t="shared" si="74"/>
        <v>0</v>
      </c>
      <c r="AI349" s="56">
        <f t="shared" si="75"/>
        <v>0</v>
      </c>
      <c r="AJ349" s="56">
        <f t="shared" si="76"/>
        <v>0</v>
      </c>
      <c r="AK349" s="56">
        <f t="shared" si="77"/>
        <v>0</v>
      </c>
      <c r="AL349" s="56">
        <f t="shared" si="78"/>
        <v>0</v>
      </c>
      <c r="AM349" s="56">
        <f t="shared" ref="AM349:AM412" si="84">SUM(AF349:AL349)</f>
        <v>0</v>
      </c>
      <c r="AN349" s="60">
        <f t="shared" si="79"/>
        <v>0</v>
      </c>
      <c r="AO349" s="59">
        <f t="shared" si="80"/>
        <v>0</v>
      </c>
      <c r="AP349" s="59">
        <f t="shared" si="81"/>
        <v>0</v>
      </c>
    </row>
    <row r="350" spans="3:42" s="17" customFormat="1" x14ac:dyDescent="0.25">
      <c r="C350" s="241" t="s">
        <v>213</v>
      </c>
      <c r="D350" s="242"/>
      <c r="E350" s="88"/>
      <c r="F350" s="217"/>
      <c r="G350" s="234"/>
      <c r="H350" s="218"/>
      <c r="I350" s="76"/>
      <c r="J350" s="77"/>
      <c r="K350" s="77"/>
      <c r="L350" s="76"/>
      <c r="M350" s="110"/>
      <c r="N350" s="152"/>
      <c r="O350" s="111" t="str">
        <f>IFERROR(MIN(VLOOKUP(ROUNDDOWN(N350,0),'Aide calcul'!$B$2:$C$282,2,FALSE),M350+1),"")</f>
        <v/>
      </c>
      <c r="P350" s="112" t="str">
        <f t="shared" si="82"/>
        <v/>
      </c>
      <c r="Q350" s="170"/>
      <c r="R350" s="170"/>
      <c r="S350" s="170"/>
      <c r="T350" s="170"/>
      <c r="U350" s="170"/>
      <c r="V350" s="170"/>
      <c r="W350" s="170"/>
      <c r="X350" s="76"/>
      <c r="Y350" s="76"/>
      <c r="Z350" s="113" t="str">
        <f>IFERROR(ROUND('Informations générales'!$E$66*(AE350/SUM($AE$28:$AE$404))/12,0)*12,"")</f>
        <v/>
      </c>
      <c r="AA350" s="114"/>
      <c r="AB350" s="113" t="str">
        <f t="shared" si="71"/>
        <v/>
      </c>
      <c r="AC350" s="89"/>
      <c r="AD350" s="76"/>
      <c r="AE350" s="56">
        <f t="shared" si="83"/>
        <v>0</v>
      </c>
      <c r="AF350" s="56">
        <f t="shared" si="72"/>
        <v>0</v>
      </c>
      <c r="AG350" s="56">
        <f t="shared" si="73"/>
        <v>0</v>
      </c>
      <c r="AH350" s="56">
        <f t="shared" si="74"/>
        <v>0</v>
      </c>
      <c r="AI350" s="56">
        <f t="shared" si="75"/>
        <v>0</v>
      </c>
      <c r="AJ350" s="56">
        <f t="shared" si="76"/>
        <v>0</v>
      </c>
      <c r="AK350" s="56">
        <f t="shared" si="77"/>
        <v>0</v>
      </c>
      <c r="AL350" s="56">
        <f t="shared" si="78"/>
        <v>0</v>
      </c>
      <c r="AM350" s="56">
        <f t="shared" si="84"/>
        <v>0</v>
      </c>
      <c r="AN350" s="60">
        <f t="shared" si="79"/>
        <v>0</v>
      </c>
      <c r="AO350" s="59">
        <f t="shared" si="80"/>
        <v>0</v>
      </c>
      <c r="AP350" s="59">
        <f t="shared" si="81"/>
        <v>0</v>
      </c>
    </row>
    <row r="351" spans="3:42" s="17" customFormat="1" x14ac:dyDescent="0.25">
      <c r="C351" s="241" t="s">
        <v>213</v>
      </c>
      <c r="D351" s="242"/>
      <c r="E351" s="88"/>
      <c r="F351" s="217"/>
      <c r="G351" s="234"/>
      <c r="H351" s="218"/>
      <c r="I351" s="76"/>
      <c r="J351" s="77"/>
      <c r="K351" s="77"/>
      <c r="L351" s="76"/>
      <c r="M351" s="110"/>
      <c r="N351" s="152"/>
      <c r="O351" s="111" t="str">
        <f>IFERROR(MIN(VLOOKUP(ROUNDDOWN(N351,0),'Aide calcul'!$B$2:$C$282,2,FALSE),M351+1),"")</f>
        <v/>
      </c>
      <c r="P351" s="112" t="str">
        <f t="shared" si="82"/>
        <v/>
      </c>
      <c r="Q351" s="170"/>
      <c r="R351" s="170"/>
      <c r="S351" s="170"/>
      <c r="T351" s="170"/>
      <c r="U351" s="170"/>
      <c r="V351" s="170"/>
      <c r="W351" s="170"/>
      <c r="X351" s="76"/>
      <c r="Y351" s="76"/>
      <c r="Z351" s="113" t="str">
        <f>IFERROR(ROUND('Informations générales'!$E$66*(AE351/SUM($AE$28:$AE$404))/12,0)*12,"")</f>
        <v/>
      </c>
      <c r="AA351" s="114"/>
      <c r="AB351" s="113" t="str">
        <f t="shared" si="71"/>
        <v/>
      </c>
      <c r="AC351" s="89"/>
      <c r="AD351" s="76"/>
      <c r="AE351" s="56">
        <f t="shared" si="83"/>
        <v>0</v>
      </c>
      <c r="AF351" s="56">
        <f t="shared" si="72"/>
        <v>0</v>
      </c>
      <c r="AG351" s="56">
        <f t="shared" si="73"/>
        <v>0</v>
      </c>
      <c r="AH351" s="56">
        <f t="shared" si="74"/>
        <v>0</v>
      </c>
      <c r="AI351" s="56">
        <f t="shared" si="75"/>
        <v>0</v>
      </c>
      <c r="AJ351" s="56">
        <f t="shared" si="76"/>
        <v>0</v>
      </c>
      <c r="AK351" s="56">
        <f t="shared" si="77"/>
        <v>0</v>
      </c>
      <c r="AL351" s="56">
        <f t="shared" si="78"/>
        <v>0</v>
      </c>
      <c r="AM351" s="56">
        <f t="shared" si="84"/>
        <v>0</v>
      </c>
      <c r="AN351" s="60">
        <f t="shared" si="79"/>
        <v>0</v>
      </c>
      <c r="AO351" s="59">
        <f t="shared" si="80"/>
        <v>0</v>
      </c>
      <c r="AP351" s="59">
        <f t="shared" si="81"/>
        <v>0</v>
      </c>
    </row>
    <row r="352" spans="3:42" s="17" customFormat="1" x14ac:dyDescent="0.25">
      <c r="C352" s="241" t="s">
        <v>213</v>
      </c>
      <c r="D352" s="242"/>
      <c r="E352" s="88"/>
      <c r="F352" s="217"/>
      <c r="G352" s="234"/>
      <c r="H352" s="218"/>
      <c r="I352" s="76"/>
      <c r="J352" s="77"/>
      <c r="K352" s="77"/>
      <c r="L352" s="76"/>
      <c r="M352" s="110"/>
      <c r="N352" s="152"/>
      <c r="O352" s="111" t="str">
        <f>IFERROR(MIN(VLOOKUP(ROUNDDOWN(N352,0),'Aide calcul'!$B$2:$C$282,2,FALSE),M352+1),"")</f>
        <v/>
      </c>
      <c r="P352" s="112" t="str">
        <f t="shared" si="82"/>
        <v/>
      </c>
      <c r="Q352" s="170"/>
      <c r="R352" s="170"/>
      <c r="S352" s="170"/>
      <c r="T352" s="170"/>
      <c r="U352" s="170"/>
      <c r="V352" s="170"/>
      <c r="W352" s="170"/>
      <c r="X352" s="76"/>
      <c r="Y352" s="76"/>
      <c r="Z352" s="113" t="str">
        <f>IFERROR(ROUND('Informations générales'!$E$66*(AE352/SUM($AE$28:$AE$404))/12,0)*12,"")</f>
        <v/>
      </c>
      <c r="AA352" s="114"/>
      <c r="AB352" s="113" t="str">
        <f t="shared" si="71"/>
        <v/>
      </c>
      <c r="AC352" s="89"/>
      <c r="AD352" s="76"/>
      <c r="AE352" s="56">
        <f t="shared" si="83"/>
        <v>0</v>
      </c>
      <c r="AF352" s="56">
        <f t="shared" si="72"/>
        <v>0</v>
      </c>
      <c r="AG352" s="56">
        <f t="shared" si="73"/>
        <v>0</v>
      </c>
      <c r="AH352" s="56">
        <f t="shared" si="74"/>
        <v>0</v>
      </c>
      <c r="AI352" s="56">
        <f t="shared" si="75"/>
        <v>0</v>
      </c>
      <c r="AJ352" s="56">
        <f t="shared" si="76"/>
        <v>0</v>
      </c>
      <c r="AK352" s="56">
        <f t="shared" si="77"/>
        <v>0</v>
      </c>
      <c r="AL352" s="56">
        <f t="shared" si="78"/>
        <v>0</v>
      </c>
      <c r="AM352" s="56">
        <f t="shared" si="84"/>
        <v>0</v>
      </c>
      <c r="AN352" s="60">
        <f t="shared" si="79"/>
        <v>0</v>
      </c>
      <c r="AO352" s="59">
        <f t="shared" si="80"/>
        <v>0</v>
      </c>
      <c r="AP352" s="59">
        <f t="shared" si="81"/>
        <v>0</v>
      </c>
    </row>
    <row r="353" spans="3:42" s="17" customFormat="1" x14ac:dyDescent="0.25">
      <c r="C353" s="241" t="s">
        <v>213</v>
      </c>
      <c r="D353" s="242"/>
      <c r="E353" s="88"/>
      <c r="F353" s="217"/>
      <c r="G353" s="234"/>
      <c r="H353" s="218"/>
      <c r="I353" s="76"/>
      <c r="J353" s="77"/>
      <c r="K353" s="77"/>
      <c r="L353" s="76"/>
      <c r="M353" s="110"/>
      <c r="N353" s="152"/>
      <c r="O353" s="111" t="str">
        <f>IFERROR(MIN(VLOOKUP(ROUNDDOWN(N353,0),'Aide calcul'!$B$2:$C$282,2,FALSE),M353+1),"")</f>
        <v/>
      </c>
      <c r="P353" s="112" t="str">
        <f t="shared" si="82"/>
        <v/>
      </c>
      <c r="Q353" s="170"/>
      <c r="R353" s="170"/>
      <c r="S353" s="170"/>
      <c r="T353" s="170"/>
      <c r="U353" s="170"/>
      <c r="V353" s="170"/>
      <c r="W353" s="170"/>
      <c r="X353" s="76"/>
      <c r="Y353" s="76"/>
      <c r="Z353" s="113" t="str">
        <f>IFERROR(ROUND('Informations générales'!$E$66*(AE353/SUM($AE$28:$AE$404))/12,0)*12,"")</f>
        <v/>
      </c>
      <c r="AA353" s="114"/>
      <c r="AB353" s="113" t="str">
        <f t="shared" si="71"/>
        <v/>
      </c>
      <c r="AC353" s="89"/>
      <c r="AD353" s="76"/>
      <c r="AE353" s="56">
        <f t="shared" si="83"/>
        <v>0</v>
      </c>
      <c r="AF353" s="56">
        <f t="shared" si="72"/>
        <v>0</v>
      </c>
      <c r="AG353" s="56">
        <f t="shared" si="73"/>
        <v>0</v>
      </c>
      <c r="AH353" s="56">
        <f t="shared" si="74"/>
        <v>0</v>
      </c>
      <c r="AI353" s="56">
        <f t="shared" si="75"/>
        <v>0</v>
      </c>
      <c r="AJ353" s="56">
        <f t="shared" si="76"/>
        <v>0</v>
      </c>
      <c r="AK353" s="56">
        <f t="shared" si="77"/>
        <v>0</v>
      </c>
      <c r="AL353" s="56">
        <f t="shared" si="78"/>
        <v>0</v>
      </c>
      <c r="AM353" s="56">
        <f t="shared" si="84"/>
        <v>0</v>
      </c>
      <c r="AN353" s="60">
        <f t="shared" si="79"/>
        <v>0</v>
      </c>
      <c r="AO353" s="59">
        <f t="shared" si="80"/>
        <v>0</v>
      </c>
      <c r="AP353" s="59">
        <f t="shared" si="81"/>
        <v>0</v>
      </c>
    </row>
    <row r="354" spans="3:42" s="17" customFormat="1" x14ac:dyDescent="0.25">
      <c r="C354" s="241" t="s">
        <v>213</v>
      </c>
      <c r="D354" s="242"/>
      <c r="E354" s="88"/>
      <c r="F354" s="217"/>
      <c r="G354" s="234"/>
      <c r="H354" s="218"/>
      <c r="I354" s="76"/>
      <c r="J354" s="77"/>
      <c r="K354" s="77"/>
      <c r="L354" s="76"/>
      <c r="M354" s="110"/>
      <c r="N354" s="152"/>
      <c r="O354" s="111" t="str">
        <f>IFERROR(MIN(VLOOKUP(ROUNDDOWN(N354,0),'Aide calcul'!$B$2:$C$282,2,FALSE),M354+1),"")</f>
        <v/>
      </c>
      <c r="P354" s="112" t="str">
        <f t="shared" si="82"/>
        <v/>
      </c>
      <c r="Q354" s="170"/>
      <c r="R354" s="170"/>
      <c r="S354" s="170"/>
      <c r="T354" s="170"/>
      <c r="U354" s="170"/>
      <c r="V354" s="170"/>
      <c r="W354" s="170"/>
      <c r="X354" s="76"/>
      <c r="Y354" s="76"/>
      <c r="Z354" s="113" t="str">
        <f>IFERROR(ROUND('Informations générales'!$E$66*(AE354/SUM($AE$28:$AE$404))/12,0)*12,"")</f>
        <v/>
      </c>
      <c r="AA354" s="114"/>
      <c r="AB354" s="113" t="str">
        <f t="shared" si="71"/>
        <v/>
      </c>
      <c r="AC354" s="89"/>
      <c r="AD354" s="76"/>
      <c r="AE354" s="56">
        <f t="shared" si="83"/>
        <v>0</v>
      </c>
      <c r="AF354" s="56">
        <f t="shared" si="72"/>
        <v>0</v>
      </c>
      <c r="AG354" s="56">
        <f t="shared" si="73"/>
        <v>0</v>
      </c>
      <c r="AH354" s="56">
        <f t="shared" si="74"/>
        <v>0</v>
      </c>
      <c r="AI354" s="56">
        <f t="shared" si="75"/>
        <v>0</v>
      </c>
      <c r="AJ354" s="56">
        <f t="shared" si="76"/>
        <v>0</v>
      </c>
      <c r="AK354" s="56">
        <f t="shared" si="77"/>
        <v>0</v>
      </c>
      <c r="AL354" s="56">
        <f t="shared" si="78"/>
        <v>0</v>
      </c>
      <c r="AM354" s="56">
        <f t="shared" si="84"/>
        <v>0</v>
      </c>
      <c r="AN354" s="60">
        <f t="shared" si="79"/>
        <v>0</v>
      </c>
      <c r="AO354" s="59">
        <f t="shared" si="80"/>
        <v>0</v>
      </c>
      <c r="AP354" s="59">
        <f t="shared" si="81"/>
        <v>0</v>
      </c>
    </row>
    <row r="355" spans="3:42" s="17" customFormat="1" x14ac:dyDescent="0.25">
      <c r="C355" s="241" t="s">
        <v>213</v>
      </c>
      <c r="D355" s="242"/>
      <c r="E355" s="88"/>
      <c r="F355" s="217"/>
      <c r="G355" s="234"/>
      <c r="H355" s="218"/>
      <c r="I355" s="76"/>
      <c r="J355" s="77"/>
      <c r="K355" s="77"/>
      <c r="L355" s="76"/>
      <c r="M355" s="110"/>
      <c r="N355" s="152"/>
      <c r="O355" s="111" t="str">
        <f>IFERROR(MIN(VLOOKUP(ROUNDDOWN(N355,0),'Aide calcul'!$B$2:$C$282,2,FALSE),M355+1),"")</f>
        <v/>
      </c>
      <c r="P355" s="112" t="str">
        <f t="shared" si="82"/>
        <v/>
      </c>
      <c r="Q355" s="170"/>
      <c r="R355" s="170"/>
      <c r="S355" s="170"/>
      <c r="T355" s="170"/>
      <c r="U355" s="170"/>
      <c r="V355" s="170"/>
      <c r="W355" s="170"/>
      <c r="X355" s="76"/>
      <c r="Y355" s="76"/>
      <c r="Z355" s="113" t="str">
        <f>IFERROR(ROUND('Informations générales'!$E$66*(AE355/SUM($AE$28:$AE$404))/12,0)*12,"")</f>
        <v/>
      </c>
      <c r="AA355" s="114"/>
      <c r="AB355" s="113" t="str">
        <f t="shared" si="71"/>
        <v/>
      </c>
      <c r="AC355" s="89"/>
      <c r="AD355" s="76"/>
      <c r="AE355" s="56">
        <f t="shared" si="83"/>
        <v>0</v>
      </c>
      <c r="AF355" s="56">
        <f t="shared" si="72"/>
        <v>0</v>
      </c>
      <c r="AG355" s="56">
        <f t="shared" si="73"/>
        <v>0</v>
      </c>
      <c r="AH355" s="56">
        <f t="shared" si="74"/>
        <v>0</v>
      </c>
      <c r="AI355" s="56">
        <f t="shared" si="75"/>
        <v>0</v>
      </c>
      <c r="AJ355" s="56">
        <f t="shared" si="76"/>
        <v>0</v>
      </c>
      <c r="AK355" s="56">
        <f t="shared" si="77"/>
        <v>0</v>
      </c>
      <c r="AL355" s="56">
        <f t="shared" si="78"/>
        <v>0</v>
      </c>
      <c r="AM355" s="56">
        <f t="shared" si="84"/>
        <v>0</v>
      </c>
      <c r="AN355" s="60">
        <f t="shared" si="79"/>
        <v>0</v>
      </c>
      <c r="AO355" s="59">
        <f t="shared" si="80"/>
        <v>0</v>
      </c>
      <c r="AP355" s="59">
        <f t="shared" si="81"/>
        <v>0</v>
      </c>
    </row>
    <row r="356" spans="3:42" s="17" customFormat="1" x14ac:dyDescent="0.25">
      <c r="C356" s="241" t="s">
        <v>213</v>
      </c>
      <c r="D356" s="242"/>
      <c r="E356" s="88"/>
      <c r="F356" s="217"/>
      <c r="G356" s="234"/>
      <c r="H356" s="218"/>
      <c r="I356" s="76"/>
      <c r="J356" s="77"/>
      <c r="K356" s="77"/>
      <c r="L356" s="76"/>
      <c r="M356" s="110"/>
      <c r="N356" s="152"/>
      <c r="O356" s="111" t="str">
        <f>IFERROR(MIN(VLOOKUP(ROUNDDOWN(N356,0),'Aide calcul'!$B$2:$C$282,2,FALSE),M356+1),"")</f>
        <v/>
      </c>
      <c r="P356" s="112" t="str">
        <f t="shared" si="82"/>
        <v/>
      </c>
      <c r="Q356" s="170"/>
      <c r="R356" s="170"/>
      <c r="S356" s="170"/>
      <c r="T356" s="170"/>
      <c r="U356" s="170"/>
      <c r="V356" s="170"/>
      <c r="W356" s="170"/>
      <c r="X356" s="76"/>
      <c r="Y356" s="76"/>
      <c r="Z356" s="113" t="str">
        <f>IFERROR(ROUND('Informations générales'!$E$66*(AE356/SUM($AE$28:$AE$404))/12,0)*12,"")</f>
        <v/>
      </c>
      <c r="AA356" s="114"/>
      <c r="AB356" s="113" t="str">
        <f t="shared" si="71"/>
        <v/>
      </c>
      <c r="AC356" s="89"/>
      <c r="AD356" s="76"/>
      <c r="AE356" s="56">
        <f t="shared" si="83"/>
        <v>0</v>
      </c>
      <c r="AF356" s="56">
        <f t="shared" si="72"/>
        <v>0</v>
      </c>
      <c r="AG356" s="56">
        <f t="shared" si="73"/>
        <v>0</v>
      </c>
      <c r="AH356" s="56">
        <f t="shared" si="74"/>
        <v>0</v>
      </c>
      <c r="AI356" s="56">
        <f t="shared" si="75"/>
        <v>0</v>
      </c>
      <c r="AJ356" s="56">
        <f t="shared" si="76"/>
        <v>0</v>
      </c>
      <c r="AK356" s="56">
        <f t="shared" si="77"/>
        <v>0</v>
      </c>
      <c r="AL356" s="56">
        <f t="shared" si="78"/>
        <v>0</v>
      </c>
      <c r="AM356" s="56">
        <f t="shared" si="84"/>
        <v>0</v>
      </c>
      <c r="AN356" s="60">
        <f t="shared" si="79"/>
        <v>0</v>
      </c>
      <c r="AO356" s="59">
        <f t="shared" si="80"/>
        <v>0</v>
      </c>
      <c r="AP356" s="59">
        <f t="shared" si="81"/>
        <v>0</v>
      </c>
    </row>
    <row r="357" spans="3:42" s="17" customFormat="1" x14ac:dyDescent="0.25">
      <c r="C357" s="241" t="s">
        <v>213</v>
      </c>
      <c r="D357" s="242"/>
      <c r="E357" s="88"/>
      <c r="F357" s="217"/>
      <c r="G357" s="234"/>
      <c r="H357" s="218"/>
      <c r="I357" s="76"/>
      <c r="J357" s="77"/>
      <c r="K357" s="77"/>
      <c r="L357" s="76"/>
      <c r="M357" s="110"/>
      <c r="N357" s="152"/>
      <c r="O357" s="111" t="str">
        <f>IFERROR(MIN(VLOOKUP(ROUNDDOWN(N357,0),'Aide calcul'!$B$2:$C$282,2,FALSE),M357+1),"")</f>
        <v/>
      </c>
      <c r="P357" s="112" t="str">
        <f t="shared" si="82"/>
        <v/>
      </c>
      <c r="Q357" s="170"/>
      <c r="R357" s="170"/>
      <c r="S357" s="170"/>
      <c r="T357" s="170"/>
      <c r="U357" s="170"/>
      <c r="V357" s="170"/>
      <c r="W357" s="170"/>
      <c r="X357" s="76"/>
      <c r="Y357" s="76"/>
      <c r="Z357" s="113" t="str">
        <f>IFERROR(ROUND('Informations générales'!$E$66*(AE357/SUM($AE$28:$AE$404))/12,0)*12,"")</f>
        <v/>
      </c>
      <c r="AA357" s="114"/>
      <c r="AB357" s="113" t="str">
        <f t="shared" si="71"/>
        <v/>
      </c>
      <c r="AC357" s="89"/>
      <c r="AD357" s="76"/>
      <c r="AE357" s="56">
        <f t="shared" si="83"/>
        <v>0</v>
      </c>
      <c r="AF357" s="56">
        <f t="shared" si="72"/>
        <v>0</v>
      </c>
      <c r="AG357" s="56">
        <f t="shared" si="73"/>
        <v>0</v>
      </c>
      <c r="AH357" s="56">
        <f t="shared" si="74"/>
        <v>0</v>
      </c>
      <c r="AI357" s="56">
        <f t="shared" si="75"/>
        <v>0</v>
      </c>
      <c r="AJ357" s="56">
        <f t="shared" si="76"/>
        <v>0</v>
      </c>
      <c r="AK357" s="56">
        <f t="shared" si="77"/>
        <v>0</v>
      </c>
      <c r="AL357" s="56">
        <f t="shared" si="78"/>
        <v>0</v>
      </c>
      <c r="AM357" s="56">
        <f t="shared" si="84"/>
        <v>0</v>
      </c>
      <c r="AN357" s="60">
        <f t="shared" si="79"/>
        <v>0</v>
      </c>
      <c r="AO357" s="59">
        <f t="shared" si="80"/>
        <v>0</v>
      </c>
      <c r="AP357" s="59">
        <f t="shared" si="81"/>
        <v>0</v>
      </c>
    </row>
    <row r="358" spans="3:42" s="17" customFormat="1" x14ac:dyDescent="0.25">
      <c r="C358" s="241" t="s">
        <v>213</v>
      </c>
      <c r="D358" s="242"/>
      <c r="E358" s="88"/>
      <c r="F358" s="217"/>
      <c r="G358" s="234"/>
      <c r="H358" s="218"/>
      <c r="I358" s="76"/>
      <c r="J358" s="77"/>
      <c r="K358" s="77"/>
      <c r="L358" s="76"/>
      <c r="M358" s="110"/>
      <c r="N358" s="152"/>
      <c r="O358" s="111" t="str">
        <f>IFERROR(MIN(VLOOKUP(ROUNDDOWN(N358,0),'Aide calcul'!$B$2:$C$282,2,FALSE),M358+1),"")</f>
        <v/>
      </c>
      <c r="P358" s="112" t="str">
        <f t="shared" si="82"/>
        <v/>
      </c>
      <c r="Q358" s="170"/>
      <c r="R358" s="170"/>
      <c r="S358" s="170"/>
      <c r="T358" s="170"/>
      <c r="U358" s="170"/>
      <c r="V358" s="170"/>
      <c r="W358" s="170"/>
      <c r="X358" s="76"/>
      <c r="Y358" s="76"/>
      <c r="Z358" s="113" t="str">
        <f>IFERROR(ROUND('Informations générales'!$E$66*(AE358/SUM($AE$28:$AE$404))/12,0)*12,"")</f>
        <v/>
      </c>
      <c r="AA358" s="114"/>
      <c r="AB358" s="113" t="str">
        <f t="shared" si="71"/>
        <v/>
      </c>
      <c r="AC358" s="89"/>
      <c r="AD358" s="76"/>
      <c r="AE358" s="56">
        <f t="shared" si="83"/>
        <v>0</v>
      </c>
      <c r="AF358" s="56">
        <f t="shared" si="72"/>
        <v>0</v>
      </c>
      <c r="AG358" s="56">
        <f t="shared" si="73"/>
        <v>0</v>
      </c>
      <c r="AH358" s="56">
        <f t="shared" si="74"/>
        <v>0</v>
      </c>
      <c r="AI358" s="56">
        <f t="shared" si="75"/>
        <v>0</v>
      </c>
      <c r="AJ358" s="56">
        <f t="shared" si="76"/>
        <v>0</v>
      </c>
      <c r="AK358" s="56">
        <f t="shared" si="77"/>
        <v>0</v>
      </c>
      <c r="AL358" s="56">
        <f t="shared" si="78"/>
        <v>0</v>
      </c>
      <c r="AM358" s="56">
        <f t="shared" si="84"/>
        <v>0</v>
      </c>
      <c r="AN358" s="60">
        <f t="shared" si="79"/>
        <v>0</v>
      </c>
      <c r="AO358" s="59">
        <f t="shared" si="80"/>
        <v>0</v>
      </c>
      <c r="AP358" s="59">
        <f t="shared" si="81"/>
        <v>0</v>
      </c>
    </row>
    <row r="359" spans="3:42" s="17" customFormat="1" x14ac:dyDescent="0.25">
      <c r="C359" s="241" t="s">
        <v>213</v>
      </c>
      <c r="D359" s="242"/>
      <c r="E359" s="88"/>
      <c r="F359" s="217"/>
      <c r="G359" s="234"/>
      <c r="H359" s="218"/>
      <c r="I359" s="76"/>
      <c r="J359" s="77"/>
      <c r="K359" s="77"/>
      <c r="L359" s="76"/>
      <c r="M359" s="110"/>
      <c r="N359" s="152"/>
      <c r="O359" s="111" t="str">
        <f>IFERROR(MIN(VLOOKUP(ROUNDDOWN(N359,0),'Aide calcul'!$B$2:$C$282,2,FALSE),M359+1),"")</f>
        <v/>
      </c>
      <c r="P359" s="112" t="str">
        <f t="shared" si="82"/>
        <v/>
      </c>
      <c r="Q359" s="170"/>
      <c r="R359" s="170"/>
      <c r="S359" s="170"/>
      <c r="T359" s="170"/>
      <c r="U359" s="170"/>
      <c r="V359" s="170"/>
      <c r="W359" s="170"/>
      <c r="X359" s="76"/>
      <c r="Y359" s="76"/>
      <c r="Z359" s="113" t="str">
        <f>IFERROR(ROUND('Informations générales'!$E$66*(AE359/SUM($AE$28:$AE$404))/12,0)*12,"")</f>
        <v/>
      </c>
      <c r="AA359" s="114"/>
      <c r="AB359" s="113" t="str">
        <f t="shared" si="71"/>
        <v/>
      </c>
      <c r="AC359" s="89"/>
      <c r="AD359" s="76"/>
      <c r="AE359" s="56">
        <f t="shared" si="83"/>
        <v>0</v>
      </c>
      <c r="AF359" s="56">
        <f t="shared" si="72"/>
        <v>0</v>
      </c>
      <c r="AG359" s="56">
        <f t="shared" si="73"/>
        <v>0</v>
      </c>
      <c r="AH359" s="56">
        <f t="shared" si="74"/>
        <v>0</v>
      </c>
      <c r="AI359" s="56">
        <f t="shared" si="75"/>
        <v>0</v>
      </c>
      <c r="AJ359" s="56">
        <f t="shared" si="76"/>
        <v>0</v>
      </c>
      <c r="AK359" s="56">
        <f t="shared" si="77"/>
        <v>0</v>
      </c>
      <c r="AL359" s="56">
        <f t="shared" si="78"/>
        <v>0</v>
      </c>
      <c r="AM359" s="56">
        <f t="shared" si="84"/>
        <v>0</v>
      </c>
      <c r="AN359" s="60">
        <f t="shared" si="79"/>
        <v>0</v>
      </c>
      <c r="AO359" s="59">
        <f t="shared" si="80"/>
        <v>0</v>
      </c>
      <c r="AP359" s="59">
        <f t="shared" si="81"/>
        <v>0</v>
      </c>
    </row>
    <row r="360" spans="3:42" s="17" customFormat="1" x14ac:dyDescent="0.25">
      <c r="C360" s="241" t="s">
        <v>213</v>
      </c>
      <c r="D360" s="242"/>
      <c r="E360" s="88"/>
      <c r="F360" s="217"/>
      <c r="G360" s="234"/>
      <c r="H360" s="218"/>
      <c r="I360" s="76"/>
      <c r="J360" s="77"/>
      <c r="K360" s="77"/>
      <c r="L360" s="76"/>
      <c r="M360" s="110"/>
      <c r="N360" s="152"/>
      <c r="O360" s="111" t="str">
        <f>IFERROR(MIN(VLOOKUP(ROUNDDOWN(N360,0),'Aide calcul'!$B$2:$C$282,2,FALSE),M360+1),"")</f>
        <v/>
      </c>
      <c r="P360" s="112" t="str">
        <f t="shared" si="82"/>
        <v/>
      </c>
      <c r="Q360" s="170"/>
      <c r="R360" s="170"/>
      <c r="S360" s="170"/>
      <c r="T360" s="170"/>
      <c r="U360" s="170"/>
      <c r="V360" s="170"/>
      <c r="W360" s="170"/>
      <c r="X360" s="76"/>
      <c r="Y360" s="76"/>
      <c r="Z360" s="113" t="str">
        <f>IFERROR(ROUND('Informations générales'!$E$66*(AE360/SUM($AE$28:$AE$404))/12,0)*12,"")</f>
        <v/>
      </c>
      <c r="AA360" s="114"/>
      <c r="AB360" s="113" t="str">
        <f t="shared" si="71"/>
        <v/>
      </c>
      <c r="AC360" s="89"/>
      <c r="AD360" s="76"/>
      <c r="AE360" s="56">
        <f t="shared" si="83"/>
        <v>0</v>
      </c>
      <c r="AF360" s="56">
        <f t="shared" si="72"/>
        <v>0</v>
      </c>
      <c r="AG360" s="56">
        <f t="shared" si="73"/>
        <v>0</v>
      </c>
      <c r="AH360" s="56">
        <f t="shared" si="74"/>
        <v>0</v>
      </c>
      <c r="AI360" s="56">
        <f t="shared" si="75"/>
        <v>0</v>
      </c>
      <c r="AJ360" s="56">
        <f t="shared" si="76"/>
        <v>0</v>
      </c>
      <c r="AK360" s="56">
        <f t="shared" si="77"/>
        <v>0</v>
      </c>
      <c r="AL360" s="56">
        <f t="shared" si="78"/>
        <v>0</v>
      </c>
      <c r="AM360" s="56">
        <f t="shared" si="84"/>
        <v>0</v>
      </c>
      <c r="AN360" s="60">
        <f t="shared" si="79"/>
        <v>0</v>
      </c>
      <c r="AO360" s="59">
        <f t="shared" si="80"/>
        <v>0</v>
      </c>
      <c r="AP360" s="59">
        <f t="shared" si="81"/>
        <v>0</v>
      </c>
    </row>
    <row r="361" spans="3:42" s="17" customFormat="1" x14ac:dyDescent="0.25">
      <c r="C361" s="241" t="s">
        <v>213</v>
      </c>
      <c r="D361" s="242"/>
      <c r="E361" s="88"/>
      <c r="F361" s="217"/>
      <c r="G361" s="234"/>
      <c r="H361" s="218"/>
      <c r="I361" s="76"/>
      <c r="J361" s="77"/>
      <c r="K361" s="77"/>
      <c r="L361" s="76"/>
      <c r="M361" s="110"/>
      <c r="N361" s="152"/>
      <c r="O361" s="111" t="str">
        <f>IFERROR(MIN(VLOOKUP(ROUNDDOWN(N361,0),'Aide calcul'!$B$2:$C$282,2,FALSE),M361+1),"")</f>
        <v/>
      </c>
      <c r="P361" s="112" t="str">
        <f t="shared" si="82"/>
        <v/>
      </c>
      <c r="Q361" s="170"/>
      <c r="R361" s="170"/>
      <c r="S361" s="170"/>
      <c r="T361" s="170"/>
      <c r="U361" s="170"/>
      <c r="V361" s="170"/>
      <c r="W361" s="170"/>
      <c r="X361" s="76"/>
      <c r="Y361" s="76"/>
      <c r="Z361" s="113" t="str">
        <f>IFERROR(ROUND('Informations générales'!$E$66*(AE361/SUM($AE$28:$AE$404))/12,0)*12,"")</f>
        <v/>
      </c>
      <c r="AA361" s="114"/>
      <c r="AB361" s="113" t="str">
        <f t="shared" si="71"/>
        <v/>
      </c>
      <c r="AC361" s="89"/>
      <c r="AD361" s="76"/>
      <c r="AE361" s="56">
        <f t="shared" si="83"/>
        <v>0</v>
      </c>
      <c r="AF361" s="56">
        <f t="shared" si="72"/>
        <v>0</v>
      </c>
      <c r="AG361" s="56">
        <f t="shared" si="73"/>
        <v>0</v>
      </c>
      <c r="AH361" s="56">
        <f t="shared" si="74"/>
        <v>0</v>
      </c>
      <c r="AI361" s="56">
        <f t="shared" si="75"/>
        <v>0</v>
      </c>
      <c r="AJ361" s="56">
        <f t="shared" si="76"/>
        <v>0</v>
      </c>
      <c r="AK361" s="56">
        <f t="shared" si="77"/>
        <v>0</v>
      </c>
      <c r="AL361" s="56">
        <f t="shared" si="78"/>
        <v>0</v>
      </c>
      <c r="AM361" s="56">
        <f t="shared" si="84"/>
        <v>0</v>
      </c>
      <c r="AN361" s="60">
        <f t="shared" si="79"/>
        <v>0</v>
      </c>
      <c r="AO361" s="59">
        <f t="shared" si="80"/>
        <v>0</v>
      </c>
      <c r="AP361" s="59">
        <f t="shared" si="81"/>
        <v>0</v>
      </c>
    </row>
    <row r="362" spans="3:42" s="17" customFormat="1" x14ac:dyDescent="0.25">
      <c r="C362" s="241" t="s">
        <v>213</v>
      </c>
      <c r="D362" s="242"/>
      <c r="E362" s="88"/>
      <c r="F362" s="217"/>
      <c r="G362" s="234"/>
      <c r="H362" s="218"/>
      <c r="I362" s="76"/>
      <c r="J362" s="77"/>
      <c r="K362" s="77"/>
      <c r="L362" s="76"/>
      <c r="M362" s="110"/>
      <c r="N362" s="152"/>
      <c r="O362" s="111" t="str">
        <f>IFERROR(MIN(VLOOKUP(ROUNDDOWN(N362,0),'Aide calcul'!$B$2:$C$282,2,FALSE),M362+1),"")</f>
        <v/>
      </c>
      <c r="P362" s="112" t="str">
        <f t="shared" si="82"/>
        <v/>
      </c>
      <c r="Q362" s="170"/>
      <c r="R362" s="170"/>
      <c r="S362" s="170"/>
      <c r="T362" s="170"/>
      <c r="U362" s="170"/>
      <c r="V362" s="170"/>
      <c r="W362" s="170"/>
      <c r="X362" s="76"/>
      <c r="Y362" s="76"/>
      <c r="Z362" s="113" t="str">
        <f>IFERROR(ROUND('Informations générales'!$E$66*(AE362/SUM($AE$28:$AE$404))/12,0)*12,"")</f>
        <v/>
      </c>
      <c r="AA362" s="114"/>
      <c r="AB362" s="113" t="str">
        <f t="shared" si="71"/>
        <v/>
      </c>
      <c r="AC362" s="89"/>
      <c r="AD362" s="76"/>
      <c r="AE362" s="56">
        <f t="shared" si="83"/>
        <v>0</v>
      </c>
      <c r="AF362" s="56">
        <f t="shared" si="72"/>
        <v>0</v>
      </c>
      <c r="AG362" s="56">
        <f t="shared" si="73"/>
        <v>0</v>
      </c>
      <c r="AH362" s="56">
        <f t="shared" si="74"/>
        <v>0</v>
      </c>
      <c r="AI362" s="56">
        <f t="shared" si="75"/>
        <v>0</v>
      </c>
      <c r="AJ362" s="56">
        <f t="shared" si="76"/>
        <v>0</v>
      </c>
      <c r="AK362" s="56">
        <f t="shared" si="77"/>
        <v>0</v>
      </c>
      <c r="AL362" s="56">
        <f t="shared" si="78"/>
        <v>0</v>
      </c>
      <c r="AM362" s="56">
        <f t="shared" si="84"/>
        <v>0</v>
      </c>
      <c r="AN362" s="60">
        <f t="shared" si="79"/>
        <v>0</v>
      </c>
      <c r="AO362" s="59">
        <f t="shared" si="80"/>
        <v>0</v>
      </c>
      <c r="AP362" s="59">
        <f t="shared" si="81"/>
        <v>0</v>
      </c>
    </row>
    <row r="363" spans="3:42" s="17" customFormat="1" x14ac:dyDescent="0.25">
      <c r="C363" s="241" t="s">
        <v>213</v>
      </c>
      <c r="D363" s="242"/>
      <c r="E363" s="88"/>
      <c r="F363" s="217"/>
      <c r="G363" s="234"/>
      <c r="H363" s="218"/>
      <c r="I363" s="76"/>
      <c r="J363" s="77"/>
      <c r="K363" s="77"/>
      <c r="L363" s="76"/>
      <c r="M363" s="110"/>
      <c r="N363" s="152"/>
      <c r="O363" s="111" t="str">
        <f>IFERROR(MIN(VLOOKUP(ROUNDDOWN(N363,0),'Aide calcul'!$B$2:$C$282,2,FALSE),M363+1),"")</f>
        <v/>
      </c>
      <c r="P363" s="112" t="str">
        <f t="shared" si="82"/>
        <v/>
      </c>
      <c r="Q363" s="170"/>
      <c r="R363" s="170"/>
      <c r="S363" s="170"/>
      <c r="T363" s="170"/>
      <c r="U363" s="170"/>
      <c r="V363" s="170"/>
      <c r="W363" s="170"/>
      <c r="X363" s="76"/>
      <c r="Y363" s="76"/>
      <c r="Z363" s="113" t="str">
        <f>IFERROR(ROUND('Informations générales'!$E$66*(AE363/SUM($AE$28:$AE$404))/12,0)*12,"")</f>
        <v/>
      </c>
      <c r="AA363" s="114"/>
      <c r="AB363" s="113" t="str">
        <f t="shared" si="71"/>
        <v/>
      </c>
      <c r="AC363" s="89"/>
      <c r="AD363" s="76"/>
      <c r="AE363" s="56">
        <f t="shared" si="83"/>
        <v>0</v>
      </c>
      <c r="AF363" s="56">
        <f t="shared" si="72"/>
        <v>0</v>
      </c>
      <c r="AG363" s="56">
        <f t="shared" si="73"/>
        <v>0</v>
      </c>
      <c r="AH363" s="56">
        <f t="shared" si="74"/>
        <v>0</v>
      </c>
      <c r="AI363" s="56">
        <f t="shared" si="75"/>
        <v>0</v>
      </c>
      <c r="AJ363" s="56">
        <f t="shared" si="76"/>
        <v>0</v>
      </c>
      <c r="AK363" s="56">
        <f t="shared" si="77"/>
        <v>0</v>
      </c>
      <c r="AL363" s="56">
        <f t="shared" si="78"/>
        <v>0</v>
      </c>
      <c r="AM363" s="56">
        <f t="shared" si="84"/>
        <v>0</v>
      </c>
      <c r="AN363" s="60">
        <f t="shared" si="79"/>
        <v>0</v>
      </c>
      <c r="AO363" s="59">
        <f t="shared" si="80"/>
        <v>0</v>
      </c>
      <c r="AP363" s="59">
        <f t="shared" si="81"/>
        <v>0</v>
      </c>
    </row>
    <row r="364" spans="3:42" s="17" customFormat="1" x14ac:dyDescent="0.25">
      <c r="C364" s="241" t="s">
        <v>213</v>
      </c>
      <c r="D364" s="242"/>
      <c r="E364" s="88"/>
      <c r="F364" s="217"/>
      <c r="G364" s="234"/>
      <c r="H364" s="218"/>
      <c r="I364" s="76"/>
      <c r="J364" s="77"/>
      <c r="K364" s="77"/>
      <c r="L364" s="76"/>
      <c r="M364" s="110"/>
      <c r="N364" s="152"/>
      <c r="O364" s="111" t="str">
        <f>IFERROR(MIN(VLOOKUP(ROUNDDOWN(N364,0),'Aide calcul'!$B$2:$C$282,2,FALSE),M364+1),"")</f>
        <v/>
      </c>
      <c r="P364" s="112" t="str">
        <f t="shared" si="82"/>
        <v/>
      </c>
      <c r="Q364" s="170"/>
      <c r="R364" s="170"/>
      <c r="S364" s="170"/>
      <c r="T364" s="170"/>
      <c r="U364" s="170"/>
      <c r="V364" s="170"/>
      <c r="W364" s="170"/>
      <c r="X364" s="76"/>
      <c r="Y364" s="76"/>
      <c r="Z364" s="113" t="str">
        <f>IFERROR(ROUND('Informations générales'!$E$66*(AE364/SUM($AE$28:$AE$404))/12,0)*12,"")</f>
        <v/>
      </c>
      <c r="AA364" s="114"/>
      <c r="AB364" s="113" t="str">
        <f t="shared" si="71"/>
        <v/>
      </c>
      <c r="AC364" s="89"/>
      <c r="AD364" s="76"/>
      <c r="AE364" s="56">
        <f t="shared" si="83"/>
        <v>0</v>
      </c>
      <c r="AF364" s="56">
        <f t="shared" si="72"/>
        <v>0</v>
      </c>
      <c r="AG364" s="56">
        <f t="shared" si="73"/>
        <v>0</v>
      </c>
      <c r="AH364" s="56">
        <f t="shared" si="74"/>
        <v>0</v>
      </c>
      <c r="AI364" s="56">
        <f t="shared" si="75"/>
        <v>0</v>
      </c>
      <c r="AJ364" s="56">
        <f t="shared" si="76"/>
        <v>0</v>
      </c>
      <c r="AK364" s="56">
        <f t="shared" si="77"/>
        <v>0</v>
      </c>
      <c r="AL364" s="56">
        <f t="shared" si="78"/>
        <v>0</v>
      </c>
      <c r="AM364" s="56">
        <f t="shared" si="84"/>
        <v>0</v>
      </c>
      <c r="AN364" s="60">
        <f t="shared" si="79"/>
        <v>0</v>
      </c>
      <c r="AO364" s="59">
        <f t="shared" si="80"/>
        <v>0</v>
      </c>
      <c r="AP364" s="59">
        <f t="shared" si="81"/>
        <v>0</v>
      </c>
    </row>
    <row r="365" spans="3:42" s="17" customFormat="1" x14ac:dyDescent="0.25">
      <c r="C365" s="241" t="s">
        <v>213</v>
      </c>
      <c r="D365" s="242"/>
      <c r="E365" s="88"/>
      <c r="F365" s="217"/>
      <c r="G365" s="234"/>
      <c r="H365" s="218"/>
      <c r="I365" s="76"/>
      <c r="J365" s="77"/>
      <c r="K365" s="77"/>
      <c r="L365" s="76"/>
      <c r="M365" s="110"/>
      <c r="N365" s="152"/>
      <c r="O365" s="111" t="str">
        <f>IFERROR(MIN(VLOOKUP(ROUNDDOWN(N365,0),'Aide calcul'!$B$2:$C$282,2,FALSE),M365+1),"")</f>
        <v/>
      </c>
      <c r="P365" s="112" t="str">
        <f t="shared" si="82"/>
        <v/>
      </c>
      <c r="Q365" s="170"/>
      <c r="R365" s="170"/>
      <c r="S365" s="170"/>
      <c r="T365" s="170"/>
      <c r="U365" s="170"/>
      <c r="V365" s="170"/>
      <c r="W365" s="170"/>
      <c r="X365" s="76"/>
      <c r="Y365" s="76"/>
      <c r="Z365" s="113" t="str">
        <f>IFERROR(ROUND('Informations générales'!$E$66*(AE365/SUM($AE$28:$AE$404))/12,0)*12,"")</f>
        <v/>
      </c>
      <c r="AA365" s="114"/>
      <c r="AB365" s="113" t="str">
        <f t="shared" si="71"/>
        <v/>
      </c>
      <c r="AC365" s="89"/>
      <c r="AD365" s="76"/>
      <c r="AE365" s="56">
        <f t="shared" si="83"/>
        <v>0</v>
      </c>
      <c r="AF365" s="56">
        <f t="shared" si="72"/>
        <v>0</v>
      </c>
      <c r="AG365" s="56">
        <f t="shared" si="73"/>
        <v>0</v>
      </c>
      <c r="AH365" s="56">
        <f t="shared" si="74"/>
        <v>0</v>
      </c>
      <c r="AI365" s="56">
        <f t="shared" si="75"/>
        <v>0</v>
      </c>
      <c r="AJ365" s="56">
        <f t="shared" si="76"/>
        <v>0</v>
      </c>
      <c r="AK365" s="56">
        <f t="shared" si="77"/>
        <v>0</v>
      </c>
      <c r="AL365" s="56">
        <f t="shared" si="78"/>
        <v>0</v>
      </c>
      <c r="AM365" s="56">
        <f t="shared" si="84"/>
        <v>0</v>
      </c>
      <c r="AN365" s="60">
        <f t="shared" si="79"/>
        <v>0</v>
      </c>
      <c r="AO365" s="59">
        <f t="shared" si="80"/>
        <v>0</v>
      </c>
      <c r="AP365" s="59">
        <f t="shared" si="81"/>
        <v>0</v>
      </c>
    </row>
    <row r="366" spans="3:42" s="17" customFormat="1" x14ac:dyDescent="0.25">
      <c r="C366" s="241" t="s">
        <v>213</v>
      </c>
      <c r="D366" s="242"/>
      <c r="E366" s="88"/>
      <c r="F366" s="217"/>
      <c r="G366" s="234"/>
      <c r="H366" s="218"/>
      <c r="I366" s="76"/>
      <c r="J366" s="77"/>
      <c r="K366" s="77"/>
      <c r="L366" s="76"/>
      <c r="M366" s="110"/>
      <c r="N366" s="152"/>
      <c r="O366" s="111" t="str">
        <f>IFERROR(MIN(VLOOKUP(ROUNDDOWN(N366,0),'Aide calcul'!$B$2:$C$282,2,FALSE),M366+1),"")</f>
        <v/>
      </c>
      <c r="P366" s="112" t="str">
        <f t="shared" si="82"/>
        <v/>
      </c>
      <c r="Q366" s="170"/>
      <c r="R366" s="170"/>
      <c r="S366" s="170"/>
      <c r="T366" s="170"/>
      <c r="U366" s="170"/>
      <c r="V366" s="170"/>
      <c r="W366" s="170"/>
      <c r="X366" s="76"/>
      <c r="Y366" s="76"/>
      <c r="Z366" s="113" t="str">
        <f>IFERROR(ROUND('Informations générales'!$E$66*(AE366/SUM($AE$28:$AE$404))/12,0)*12,"")</f>
        <v/>
      </c>
      <c r="AA366" s="114"/>
      <c r="AB366" s="113" t="str">
        <f t="shared" si="71"/>
        <v/>
      </c>
      <c r="AC366" s="89"/>
      <c r="AD366" s="76"/>
      <c r="AE366" s="56">
        <f t="shared" si="83"/>
        <v>0</v>
      </c>
      <c r="AF366" s="56">
        <f t="shared" si="72"/>
        <v>0</v>
      </c>
      <c r="AG366" s="56">
        <f t="shared" si="73"/>
        <v>0</v>
      </c>
      <c r="AH366" s="56">
        <f t="shared" si="74"/>
        <v>0</v>
      </c>
      <c r="AI366" s="56">
        <f t="shared" si="75"/>
        <v>0</v>
      </c>
      <c r="AJ366" s="56">
        <f t="shared" si="76"/>
        <v>0</v>
      </c>
      <c r="AK366" s="56">
        <f t="shared" si="77"/>
        <v>0</v>
      </c>
      <c r="AL366" s="56">
        <f t="shared" si="78"/>
        <v>0</v>
      </c>
      <c r="AM366" s="56">
        <f t="shared" si="84"/>
        <v>0</v>
      </c>
      <c r="AN366" s="60">
        <f t="shared" si="79"/>
        <v>0</v>
      </c>
      <c r="AO366" s="59">
        <f t="shared" si="80"/>
        <v>0</v>
      </c>
      <c r="AP366" s="59">
        <f t="shared" si="81"/>
        <v>0</v>
      </c>
    </row>
    <row r="367" spans="3:42" s="17" customFormat="1" x14ac:dyDescent="0.25">
      <c r="C367" s="241" t="s">
        <v>213</v>
      </c>
      <c r="D367" s="242"/>
      <c r="E367" s="88"/>
      <c r="F367" s="217"/>
      <c r="G367" s="234"/>
      <c r="H367" s="218"/>
      <c r="I367" s="76"/>
      <c r="J367" s="77"/>
      <c r="K367" s="77"/>
      <c r="L367" s="76"/>
      <c r="M367" s="110"/>
      <c r="N367" s="152"/>
      <c r="O367" s="111" t="str">
        <f>IFERROR(MIN(VLOOKUP(ROUNDDOWN(N367,0),'Aide calcul'!$B$2:$C$282,2,FALSE),M367+1),"")</f>
        <v/>
      </c>
      <c r="P367" s="112" t="str">
        <f t="shared" si="82"/>
        <v/>
      </c>
      <c r="Q367" s="170"/>
      <c r="R367" s="170"/>
      <c r="S367" s="170"/>
      <c r="T367" s="170"/>
      <c r="U367" s="170"/>
      <c r="V367" s="170"/>
      <c r="W367" s="170"/>
      <c r="X367" s="76"/>
      <c r="Y367" s="76"/>
      <c r="Z367" s="113" t="str">
        <f>IFERROR(ROUND('Informations générales'!$E$66*(AE367/SUM($AE$28:$AE$404))/12,0)*12,"")</f>
        <v/>
      </c>
      <c r="AA367" s="114"/>
      <c r="AB367" s="113" t="str">
        <f t="shared" si="71"/>
        <v/>
      </c>
      <c r="AC367" s="89"/>
      <c r="AD367" s="76"/>
      <c r="AE367" s="56">
        <f t="shared" si="83"/>
        <v>0</v>
      </c>
      <c r="AF367" s="56">
        <f t="shared" si="72"/>
        <v>0</v>
      </c>
      <c r="AG367" s="56">
        <f t="shared" si="73"/>
        <v>0</v>
      </c>
      <c r="AH367" s="56">
        <f t="shared" si="74"/>
        <v>0</v>
      </c>
      <c r="AI367" s="56">
        <f t="shared" si="75"/>
        <v>0</v>
      </c>
      <c r="AJ367" s="56">
        <f t="shared" si="76"/>
        <v>0</v>
      </c>
      <c r="AK367" s="56">
        <f t="shared" si="77"/>
        <v>0</v>
      </c>
      <c r="AL367" s="56">
        <f t="shared" si="78"/>
        <v>0</v>
      </c>
      <c r="AM367" s="56">
        <f t="shared" si="84"/>
        <v>0</v>
      </c>
      <c r="AN367" s="60">
        <f t="shared" si="79"/>
        <v>0</v>
      </c>
      <c r="AO367" s="59">
        <f t="shared" si="80"/>
        <v>0</v>
      </c>
      <c r="AP367" s="59">
        <f t="shared" si="81"/>
        <v>0</v>
      </c>
    </row>
    <row r="368" spans="3:42" s="17" customFormat="1" x14ac:dyDescent="0.25">
      <c r="C368" s="241" t="s">
        <v>213</v>
      </c>
      <c r="D368" s="242"/>
      <c r="E368" s="88"/>
      <c r="F368" s="217"/>
      <c r="G368" s="234"/>
      <c r="H368" s="218"/>
      <c r="I368" s="76"/>
      <c r="J368" s="77"/>
      <c r="K368" s="77"/>
      <c r="L368" s="76"/>
      <c r="M368" s="110"/>
      <c r="N368" s="152"/>
      <c r="O368" s="111" t="str">
        <f>IFERROR(MIN(VLOOKUP(ROUNDDOWN(N368,0),'Aide calcul'!$B$2:$C$282,2,FALSE),M368+1),"")</f>
        <v/>
      </c>
      <c r="P368" s="112" t="str">
        <f t="shared" si="82"/>
        <v/>
      </c>
      <c r="Q368" s="170"/>
      <c r="R368" s="170"/>
      <c r="S368" s="170"/>
      <c r="T368" s="170"/>
      <c r="U368" s="170"/>
      <c r="V368" s="170"/>
      <c r="W368" s="170"/>
      <c r="X368" s="76"/>
      <c r="Y368" s="76"/>
      <c r="Z368" s="113" t="str">
        <f>IFERROR(ROUND('Informations générales'!$E$66*(AE368/SUM($AE$28:$AE$404))/12,0)*12,"")</f>
        <v/>
      </c>
      <c r="AA368" s="114"/>
      <c r="AB368" s="113" t="str">
        <f t="shared" si="71"/>
        <v/>
      </c>
      <c r="AC368" s="89"/>
      <c r="AD368" s="76"/>
      <c r="AE368" s="56">
        <f t="shared" si="83"/>
        <v>0</v>
      </c>
      <c r="AF368" s="56">
        <f t="shared" si="72"/>
        <v>0</v>
      </c>
      <c r="AG368" s="56">
        <f t="shared" si="73"/>
        <v>0</v>
      </c>
      <c r="AH368" s="56">
        <f t="shared" si="74"/>
        <v>0</v>
      </c>
      <c r="AI368" s="56">
        <f t="shared" si="75"/>
        <v>0</v>
      </c>
      <c r="AJ368" s="56">
        <f t="shared" si="76"/>
        <v>0</v>
      </c>
      <c r="AK368" s="56">
        <f t="shared" si="77"/>
        <v>0</v>
      </c>
      <c r="AL368" s="56">
        <f t="shared" si="78"/>
        <v>0</v>
      </c>
      <c r="AM368" s="56">
        <f t="shared" si="84"/>
        <v>0</v>
      </c>
      <c r="AN368" s="60">
        <f t="shared" si="79"/>
        <v>0</v>
      </c>
      <c r="AO368" s="59">
        <f t="shared" si="80"/>
        <v>0</v>
      </c>
      <c r="AP368" s="59">
        <f t="shared" si="81"/>
        <v>0</v>
      </c>
    </row>
    <row r="369" spans="3:42" s="17" customFormat="1" x14ac:dyDescent="0.25">
      <c r="C369" s="241" t="s">
        <v>213</v>
      </c>
      <c r="D369" s="242"/>
      <c r="E369" s="88"/>
      <c r="F369" s="217"/>
      <c r="G369" s="234"/>
      <c r="H369" s="218"/>
      <c r="I369" s="76"/>
      <c r="J369" s="77"/>
      <c r="K369" s="77"/>
      <c r="L369" s="76"/>
      <c r="M369" s="110"/>
      <c r="N369" s="152"/>
      <c r="O369" s="111" t="str">
        <f>IFERROR(MIN(VLOOKUP(ROUNDDOWN(N369,0),'Aide calcul'!$B$2:$C$282,2,FALSE),M369+1),"")</f>
        <v/>
      </c>
      <c r="P369" s="112" t="str">
        <f t="shared" si="82"/>
        <v/>
      </c>
      <c r="Q369" s="170"/>
      <c r="R369" s="170"/>
      <c r="S369" s="170"/>
      <c r="T369" s="170"/>
      <c r="U369" s="170"/>
      <c r="V369" s="170"/>
      <c r="W369" s="170"/>
      <c r="X369" s="76"/>
      <c r="Y369" s="76"/>
      <c r="Z369" s="113" t="str">
        <f>IFERROR(ROUND('Informations générales'!$E$66*(AE369/SUM($AE$28:$AE$404))/12,0)*12,"")</f>
        <v/>
      </c>
      <c r="AA369" s="114"/>
      <c r="AB369" s="113" t="str">
        <f t="shared" si="71"/>
        <v/>
      </c>
      <c r="AC369" s="89"/>
      <c r="AD369" s="76"/>
      <c r="AE369" s="56">
        <f t="shared" si="83"/>
        <v>0</v>
      </c>
      <c r="AF369" s="56">
        <f t="shared" si="72"/>
        <v>0</v>
      </c>
      <c r="AG369" s="56">
        <f t="shared" si="73"/>
        <v>0</v>
      </c>
      <c r="AH369" s="56">
        <f t="shared" si="74"/>
        <v>0</v>
      </c>
      <c r="AI369" s="56">
        <f t="shared" si="75"/>
        <v>0</v>
      </c>
      <c r="AJ369" s="56">
        <f t="shared" si="76"/>
        <v>0</v>
      </c>
      <c r="AK369" s="56">
        <f t="shared" si="77"/>
        <v>0</v>
      </c>
      <c r="AL369" s="56">
        <f t="shared" si="78"/>
        <v>0</v>
      </c>
      <c r="AM369" s="56">
        <f t="shared" si="84"/>
        <v>0</v>
      </c>
      <c r="AN369" s="60">
        <f t="shared" si="79"/>
        <v>0</v>
      </c>
      <c r="AO369" s="59">
        <f t="shared" si="80"/>
        <v>0</v>
      </c>
      <c r="AP369" s="59">
        <f t="shared" si="81"/>
        <v>0</v>
      </c>
    </row>
    <row r="370" spans="3:42" s="17" customFormat="1" x14ac:dyDescent="0.25">
      <c r="C370" s="241" t="s">
        <v>213</v>
      </c>
      <c r="D370" s="242"/>
      <c r="E370" s="88"/>
      <c r="F370" s="217"/>
      <c r="G370" s="234"/>
      <c r="H370" s="218"/>
      <c r="I370" s="76"/>
      <c r="J370" s="77"/>
      <c r="K370" s="77"/>
      <c r="L370" s="76"/>
      <c r="M370" s="110"/>
      <c r="N370" s="152"/>
      <c r="O370" s="111" t="str">
        <f>IFERROR(MIN(VLOOKUP(ROUNDDOWN(N370,0),'Aide calcul'!$B$2:$C$282,2,FALSE),M370+1),"")</f>
        <v/>
      </c>
      <c r="P370" s="112" t="str">
        <f t="shared" si="82"/>
        <v/>
      </c>
      <c r="Q370" s="170"/>
      <c r="R370" s="170"/>
      <c r="S370" s="170"/>
      <c r="T370" s="170"/>
      <c r="U370" s="170"/>
      <c r="V370" s="170"/>
      <c r="W370" s="170"/>
      <c r="X370" s="76"/>
      <c r="Y370" s="76"/>
      <c r="Z370" s="113" t="str">
        <f>IFERROR(ROUND('Informations générales'!$E$66*(AE370/SUM($AE$28:$AE$404))/12,0)*12,"")</f>
        <v/>
      </c>
      <c r="AA370" s="114"/>
      <c r="AB370" s="113" t="str">
        <f t="shared" si="71"/>
        <v/>
      </c>
      <c r="AC370" s="89"/>
      <c r="AD370" s="76"/>
      <c r="AE370" s="56">
        <f t="shared" si="83"/>
        <v>0</v>
      </c>
      <c r="AF370" s="56">
        <f t="shared" si="72"/>
        <v>0</v>
      </c>
      <c r="AG370" s="56">
        <f t="shared" si="73"/>
        <v>0</v>
      </c>
      <c r="AH370" s="56">
        <f t="shared" si="74"/>
        <v>0</v>
      </c>
      <c r="AI370" s="56">
        <f t="shared" si="75"/>
        <v>0</v>
      </c>
      <c r="AJ370" s="56">
        <f t="shared" si="76"/>
        <v>0</v>
      </c>
      <c r="AK370" s="56">
        <f t="shared" si="77"/>
        <v>0</v>
      </c>
      <c r="AL370" s="56">
        <f t="shared" si="78"/>
        <v>0</v>
      </c>
      <c r="AM370" s="56">
        <f t="shared" si="84"/>
        <v>0</v>
      </c>
      <c r="AN370" s="60">
        <f t="shared" si="79"/>
        <v>0</v>
      </c>
      <c r="AO370" s="59">
        <f t="shared" si="80"/>
        <v>0</v>
      </c>
      <c r="AP370" s="59">
        <f t="shared" si="81"/>
        <v>0</v>
      </c>
    </row>
    <row r="371" spans="3:42" s="17" customFormat="1" x14ac:dyDescent="0.25">
      <c r="C371" s="241" t="s">
        <v>213</v>
      </c>
      <c r="D371" s="242"/>
      <c r="E371" s="88"/>
      <c r="F371" s="217"/>
      <c r="G371" s="234"/>
      <c r="H371" s="218"/>
      <c r="I371" s="76"/>
      <c r="J371" s="77"/>
      <c r="K371" s="77"/>
      <c r="L371" s="76"/>
      <c r="M371" s="110"/>
      <c r="N371" s="152"/>
      <c r="O371" s="111" t="str">
        <f>IFERROR(MIN(VLOOKUP(ROUNDDOWN(N371,0),'Aide calcul'!$B$2:$C$282,2,FALSE),M371+1),"")</f>
        <v/>
      </c>
      <c r="P371" s="112" t="str">
        <f t="shared" si="82"/>
        <v/>
      </c>
      <c r="Q371" s="170"/>
      <c r="R371" s="170"/>
      <c r="S371" s="170"/>
      <c r="T371" s="170"/>
      <c r="U371" s="170"/>
      <c r="V371" s="170"/>
      <c r="W371" s="170"/>
      <c r="X371" s="76"/>
      <c r="Y371" s="76"/>
      <c r="Z371" s="113" t="str">
        <f>IFERROR(ROUND('Informations générales'!$E$66*(AE371/SUM($AE$28:$AE$404))/12,0)*12,"")</f>
        <v/>
      </c>
      <c r="AA371" s="114"/>
      <c r="AB371" s="113" t="str">
        <f t="shared" si="71"/>
        <v/>
      </c>
      <c r="AC371" s="89"/>
      <c r="AD371" s="76"/>
      <c r="AE371" s="56">
        <f t="shared" si="83"/>
        <v>0</v>
      </c>
      <c r="AF371" s="56">
        <f t="shared" si="72"/>
        <v>0</v>
      </c>
      <c r="AG371" s="56">
        <f t="shared" si="73"/>
        <v>0</v>
      </c>
      <c r="AH371" s="56">
        <f t="shared" si="74"/>
        <v>0</v>
      </c>
      <c r="AI371" s="56">
        <f t="shared" si="75"/>
        <v>0</v>
      </c>
      <c r="AJ371" s="56">
        <f t="shared" si="76"/>
        <v>0</v>
      </c>
      <c r="AK371" s="56">
        <f t="shared" si="77"/>
        <v>0</v>
      </c>
      <c r="AL371" s="56">
        <f t="shared" si="78"/>
        <v>0</v>
      </c>
      <c r="AM371" s="56">
        <f t="shared" si="84"/>
        <v>0</v>
      </c>
      <c r="AN371" s="60">
        <f t="shared" si="79"/>
        <v>0</v>
      </c>
      <c r="AO371" s="59">
        <f t="shared" si="80"/>
        <v>0</v>
      </c>
      <c r="AP371" s="59">
        <f t="shared" si="81"/>
        <v>0</v>
      </c>
    </row>
    <row r="372" spans="3:42" s="17" customFormat="1" x14ac:dyDescent="0.25">
      <c r="C372" s="241" t="s">
        <v>213</v>
      </c>
      <c r="D372" s="242"/>
      <c r="E372" s="88"/>
      <c r="F372" s="217"/>
      <c r="G372" s="234"/>
      <c r="H372" s="218"/>
      <c r="I372" s="76"/>
      <c r="J372" s="77"/>
      <c r="K372" s="77"/>
      <c r="L372" s="76"/>
      <c r="M372" s="110"/>
      <c r="N372" s="152"/>
      <c r="O372" s="111" t="str">
        <f>IFERROR(MIN(VLOOKUP(ROUNDDOWN(N372,0),'Aide calcul'!$B$2:$C$282,2,FALSE),M372+1),"")</f>
        <v/>
      </c>
      <c r="P372" s="112" t="str">
        <f t="shared" si="82"/>
        <v/>
      </c>
      <c r="Q372" s="170"/>
      <c r="R372" s="170"/>
      <c r="S372" s="170"/>
      <c r="T372" s="170"/>
      <c r="U372" s="170"/>
      <c r="V372" s="170"/>
      <c r="W372" s="170"/>
      <c r="X372" s="76"/>
      <c r="Y372" s="76"/>
      <c r="Z372" s="113" t="str">
        <f>IFERROR(ROUND('Informations générales'!$E$66*(AE372/SUM($AE$28:$AE$404))/12,0)*12,"")</f>
        <v/>
      </c>
      <c r="AA372" s="114"/>
      <c r="AB372" s="113" t="str">
        <f t="shared" si="71"/>
        <v/>
      </c>
      <c r="AC372" s="89"/>
      <c r="AD372" s="76"/>
      <c r="AE372" s="56">
        <f t="shared" si="83"/>
        <v>0</v>
      </c>
      <c r="AF372" s="56">
        <f t="shared" si="72"/>
        <v>0</v>
      </c>
      <c r="AG372" s="56">
        <f t="shared" si="73"/>
        <v>0</v>
      </c>
      <c r="AH372" s="56">
        <f t="shared" si="74"/>
        <v>0</v>
      </c>
      <c r="AI372" s="56">
        <f t="shared" si="75"/>
        <v>0</v>
      </c>
      <c r="AJ372" s="56">
        <f t="shared" si="76"/>
        <v>0</v>
      </c>
      <c r="AK372" s="56">
        <f t="shared" si="77"/>
        <v>0</v>
      </c>
      <c r="AL372" s="56">
        <f t="shared" si="78"/>
        <v>0</v>
      </c>
      <c r="AM372" s="56">
        <f t="shared" si="84"/>
        <v>0</v>
      </c>
      <c r="AN372" s="60">
        <f t="shared" si="79"/>
        <v>0</v>
      </c>
      <c r="AO372" s="59">
        <f t="shared" si="80"/>
        <v>0</v>
      </c>
      <c r="AP372" s="59">
        <f t="shared" si="81"/>
        <v>0</v>
      </c>
    </row>
    <row r="373" spans="3:42" s="17" customFormat="1" x14ac:dyDescent="0.25">
      <c r="C373" s="241" t="s">
        <v>213</v>
      </c>
      <c r="D373" s="242"/>
      <c r="E373" s="88"/>
      <c r="F373" s="217"/>
      <c r="G373" s="234"/>
      <c r="H373" s="218"/>
      <c r="I373" s="76"/>
      <c r="J373" s="77"/>
      <c r="K373" s="77"/>
      <c r="L373" s="76"/>
      <c r="M373" s="110"/>
      <c r="N373" s="152"/>
      <c r="O373" s="111" t="str">
        <f>IFERROR(MIN(VLOOKUP(ROUNDDOWN(N373,0),'Aide calcul'!$B$2:$C$282,2,FALSE),M373+1),"")</f>
        <v/>
      </c>
      <c r="P373" s="112" t="str">
        <f t="shared" si="82"/>
        <v/>
      </c>
      <c r="Q373" s="170"/>
      <c r="R373" s="170"/>
      <c r="S373" s="170"/>
      <c r="T373" s="170"/>
      <c r="U373" s="170"/>
      <c r="V373" s="170"/>
      <c r="W373" s="170"/>
      <c r="X373" s="76"/>
      <c r="Y373" s="76"/>
      <c r="Z373" s="113" t="str">
        <f>IFERROR(ROUND('Informations générales'!$E$66*(AE373/SUM($AE$28:$AE$404))/12,0)*12,"")</f>
        <v/>
      </c>
      <c r="AA373" s="114"/>
      <c r="AB373" s="113" t="str">
        <f t="shared" si="71"/>
        <v/>
      </c>
      <c r="AC373" s="89"/>
      <c r="AD373" s="76"/>
      <c r="AE373" s="56">
        <f t="shared" si="83"/>
        <v>0</v>
      </c>
      <c r="AF373" s="56">
        <f t="shared" si="72"/>
        <v>0</v>
      </c>
      <c r="AG373" s="56">
        <f t="shared" si="73"/>
        <v>0</v>
      </c>
      <c r="AH373" s="56">
        <f t="shared" si="74"/>
        <v>0</v>
      </c>
      <c r="AI373" s="56">
        <f t="shared" si="75"/>
        <v>0</v>
      </c>
      <c r="AJ373" s="56">
        <f t="shared" si="76"/>
        <v>0</v>
      </c>
      <c r="AK373" s="56">
        <f t="shared" si="77"/>
        <v>0</v>
      </c>
      <c r="AL373" s="56">
        <f t="shared" si="78"/>
        <v>0</v>
      </c>
      <c r="AM373" s="56">
        <f t="shared" si="84"/>
        <v>0</v>
      </c>
      <c r="AN373" s="60">
        <f t="shared" si="79"/>
        <v>0</v>
      </c>
      <c r="AO373" s="59">
        <f t="shared" si="80"/>
        <v>0</v>
      </c>
      <c r="AP373" s="59">
        <f t="shared" si="81"/>
        <v>0</v>
      </c>
    </row>
    <row r="374" spans="3:42" s="17" customFormat="1" x14ac:dyDescent="0.25">
      <c r="C374" s="241" t="s">
        <v>213</v>
      </c>
      <c r="D374" s="242"/>
      <c r="E374" s="88"/>
      <c r="F374" s="217"/>
      <c r="G374" s="234"/>
      <c r="H374" s="218"/>
      <c r="I374" s="76"/>
      <c r="J374" s="77"/>
      <c r="K374" s="77"/>
      <c r="L374" s="76"/>
      <c r="M374" s="110"/>
      <c r="N374" s="152"/>
      <c r="O374" s="111" t="str">
        <f>IFERROR(MIN(VLOOKUP(ROUNDDOWN(N374,0),'Aide calcul'!$B$2:$C$282,2,FALSE),M374+1),"")</f>
        <v/>
      </c>
      <c r="P374" s="112" t="str">
        <f t="shared" si="82"/>
        <v/>
      </c>
      <c r="Q374" s="170"/>
      <c r="R374" s="170"/>
      <c r="S374" s="170"/>
      <c r="T374" s="170"/>
      <c r="U374" s="170"/>
      <c r="V374" s="170"/>
      <c r="W374" s="170"/>
      <c r="X374" s="76"/>
      <c r="Y374" s="76"/>
      <c r="Z374" s="113" t="str">
        <f>IFERROR(ROUND('Informations générales'!$E$66*(AE374/SUM($AE$28:$AE$404))/12,0)*12,"")</f>
        <v/>
      </c>
      <c r="AA374" s="114"/>
      <c r="AB374" s="113" t="str">
        <f t="shared" si="71"/>
        <v/>
      </c>
      <c r="AC374" s="89"/>
      <c r="AD374" s="76"/>
      <c r="AE374" s="56">
        <f t="shared" si="83"/>
        <v>0</v>
      </c>
      <c r="AF374" s="56">
        <f t="shared" si="72"/>
        <v>0</v>
      </c>
      <c r="AG374" s="56">
        <f t="shared" si="73"/>
        <v>0</v>
      </c>
      <c r="AH374" s="56">
        <f t="shared" si="74"/>
        <v>0</v>
      </c>
      <c r="AI374" s="56">
        <f t="shared" si="75"/>
        <v>0</v>
      </c>
      <c r="AJ374" s="56">
        <f t="shared" si="76"/>
        <v>0</v>
      </c>
      <c r="AK374" s="56">
        <f t="shared" si="77"/>
        <v>0</v>
      </c>
      <c r="AL374" s="56">
        <f t="shared" si="78"/>
        <v>0</v>
      </c>
      <c r="AM374" s="56">
        <f t="shared" si="84"/>
        <v>0</v>
      </c>
      <c r="AN374" s="60">
        <f t="shared" si="79"/>
        <v>0</v>
      </c>
      <c r="AO374" s="59">
        <f t="shared" si="80"/>
        <v>0</v>
      </c>
      <c r="AP374" s="59">
        <f t="shared" si="81"/>
        <v>0</v>
      </c>
    </row>
    <row r="375" spans="3:42" s="17" customFormat="1" x14ac:dyDescent="0.25">
      <c r="C375" s="241" t="s">
        <v>213</v>
      </c>
      <c r="D375" s="242"/>
      <c r="E375" s="88"/>
      <c r="F375" s="217"/>
      <c r="G375" s="234"/>
      <c r="H375" s="218"/>
      <c r="I375" s="76"/>
      <c r="J375" s="77"/>
      <c r="K375" s="77"/>
      <c r="L375" s="76"/>
      <c r="M375" s="110"/>
      <c r="N375" s="152"/>
      <c r="O375" s="111" t="str">
        <f>IFERROR(MIN(VLOOKUP(ROUNDDOWN(N375,0),'Aide calcul'!$B$2:$C$282,2,FALSE),M375+1),"")</f>
        <v/>
      </c>
      <c r="P375" s="112" t="str">
        <f t="shared" si="82"/>
        <v/>
      </c>
      <c r="Q375" s="170"/>
      <c r="R375" s="170"/>
      <c r="S375" s="170"/>
      <c r="T375" s="170"/>
      <c r="U375" s="170"/>
      <c r="V375" s="170"/>
      <c r="W375" s="170"/>
      <c r="X375" s="76"/>
      <c r="Y375" s="76"/>
      <c r="Z375" s="113" t="str">
        <f>IFERROR(ROUND('Informations générales'!$E$66*(AE375/SUM($AE$28:$AE$404))/12,0)*12,"")</f>
        <v/>
      </c>
      <c r="AA375" s="114"/>
      <c r="AB375" s="113" t="str">
        <f t="shared" si="71"/>
        <v/>
      </c>
      <c r="AC375" s="89"/>
      <c r="AD375" s="76"/>
      <c r="AE375" s="56">
        <f t="shared" si="83"/>
        <v>0</v>
      </c>
      <c r="AF375" s="56">
        <f t="shared" si="72"/>
        <v>0</v>
      </c>
      <c r="AG375" s="56">
        <f t="shared" si="73"/>
        <v>0</v>
      </c>
      <c r="AH375" s="56">
        <f t="shared" si="74"/>
        <v>0</v>
      </c>
      <c r="AI375" s="56">
        <f t="shared" si="75"/>
        <v>0</v>
      </c>
      <c r="AJ375" s="56">
        <f t="shared" si="76"/>
        <v>0</v>
      </c>
      <c r="AK375" s="56">
        <f t="shared" si="77"/>
        <v>0</v>
      </c>
      <c r="AL375" s="56">
        <f t="shared" si="78"/>
        <v>0</v>
      </c>
      <c r="AM375" s="56">
        <f t="shared" si="84"/>
        <v>0</v>
      </c>
      <c r="AN375" s="60">
        <f t="shared" si="79"/>
        <v>0</v>
      </c>
      <c r="AO375" s="59">
        <f t="shared" si="80"/>
        <v>0</v>
      </c>
      <c r="AP375" s="59">
        <f t="shared" si="81"/>
        <v>0</v>
      </c>
    </row>
    <row r="376" spans="3:42" s="17" customFormat="1" x14ac:dyDescent="0.25">
      <c r="C376" s="241" t="s">
        <v>213</v>
      </c>
      <c r="D376" s="242"/>
      <c r="E376" s="88"/>
      <c r="F376" s="217"/>
      <c r="G376" s="234"/>
      <c r="H376" s="218"/>
      <c r="I376" s="76"/>
      <c r="J376" s="77"/>
      <c r="K376" s="77"/>
      <c r="L376" s="76"/>
      <c r="M376" s="110"/>
      <c r="N376" s="152"/>
      <c r="O376" s="111" t="str">
        <f>IFERROR(MIN(VLOOKUP(ROUNDDOWN(N376,0),'Aide calcul'!$B$2:$C$282,2,FALSE),M376+1),"")</f>
        <v/>
      </c>
      <c r="P376" s="112" t="str">
        <f t="shared" si="82"/>
        <v/>
      </c>
      <c r="Q376" s="170"/>
      <c r="R376" s="170"/>
      <c r="S376" s="170"/>
      <c r="T376" s="170"/>
      <c r="U376" s="170"/>
      <c r="V376" s="170"/>
      <c r="W376" s="170"/>
      <c r="X376" s="76"/>
      <c r="Y376" s="76"/>
      <c r="Z376" s="113" t="str">
        <f>IFERROR(ROUND('Informations générales'!$E$66*(AE376/SUM($AE$28:$AE$404))/12,0)*12,"")</f>
        <v/>
      </c>
      <c r="AA376" s="114"/>
      <c r="AB376" s="113" t="str">
        <f t="shared" si="71"/>
        <v/>
      </c>
      <c r="AC376" s="89"/>
      <c r="AD376" s="76"/>
      <c r="AE376" s="56">
        <f t="shared" si="83"/>
        <v>0</v>
      </c>
      <c r="AF376" s="56">
        <f t="shared" si="72"/>
        <v>0</v>
      </c>
      <c r="AG376" s="56">
        <f t="shared" si="73"/>
        <v>0</v>
      </c>
      <c r="AH376" s="56">
        <f t="shared" si="74"/>
        <v>0</v>
      </c>
      <c r="AI376" s="56">
        <f t="shared" si="75"/>
        <v>0</v>
      </c>
      <c r="AJ376" s="56">
        <f t="shared" si="76"/>
        <v>0</v>
      </c>
      <c r="AK376" s="56">
        <f t="shared" si="77"/>
        <v>0</v>
      </c>
      <c r="AL376" s="56">
        <f t="shared" si="78"/>
        <v>0</v>
      </c>
      <c r="AM376" s="56">
        <f t="shared" si="84"/>
        <v>0</v>
      </c>
      <c r="AN376" s="60">
        <f t="shared" si="79"/>
        <v>0</v>
      </c>
      <c r="AO376" s="59">
        <f t="shared" si="80"/>
        <v>0</v>
      </c>
      <c r="AP376" s="59">
        <f t="shared" si="81"/>
        <v>0</v>
      </c>
    </row>
    <row r="377" spans="3:42" s="17" customFormat="1" x14ac:dyDescent="0.25">
      <c r="C377" s="241" t="s">
        <v>213</v>
      </c>
      <c r="D377" s="242"/>
      <c r="E377" s="88"/>
      <c r="F377" s="217"/>
      <c r="G377" s="234"/>
      <c r="H377" s="218"/>
      <c r="I377" s="76"/>
      <c r="J377" s="77"/>
      <c r="K377" s="77"/>
      <c r="L377" s="76"/>
      <c r="M377" s="110"/>
      <c r="N377" s="152"/>
      <c r="O377" s="111" t="str">
        <f>IFERROR(MIN(VLOOKUP(ROUNDDOWN(N377,0),'Aide calcul'!$B$2:$C$282,2,FALSE),M377+1),"")</f>
        <v/>
      </c>
      <c r="P377" s="112" t="str">
        <f t="shared" si="82"/>
        <v/>
      </c>
      <c r="Q377" s="170"/>
      <c r="R377" s="170"/>
      <c r="S377" s="170"/>
      <c r="T377" s="170"/>
      <c r="U377" s="170"/>
      <c r="V377" s="170"/>
      <c r="W377" s="170"/>
      <c r="X377" s="76"/>
      <c r="Y377" s="76"/>
      <c r="Z377" s="113" t="str">
        <f>IFERROR(ROUND('Informations générales'!$E$66*(AE377/SUM($AE$28:$AE$404))/12,0)*12,"")</f>
        <v/>
      </c>
      <c r="AA377" s="114"/>
      <c r="AB377" s="113" t="str">
        <f t="shared" si="71"/>
        <v/>
      </c>
      <c r="AC377" s="89"/>
      <c r="AD377" s="76"/>
      <c r="AE377" s="56">
        <f t="shared" si="83"/>
        <v>0</v>
      </c>
      <c r="AF377" s="56">
        <f t="shared" si="72"/>
        <v>0</v>
      </c>
      <c r="AG377" s="56">
        <f t="shared" si="73"/>
        <v>0</v>
      </c>
      <c r="AH377" s="56">
        <f t="shared" si="74"/>
        <v>0</v>
      </c>
      <c r="AI377" s="56">
        <f t="shared" si="75"/>
        <v>0</v>
      </c>
      <c r="AJ377" s="56">
        <f t="shared" si="76"/>
        <v>0</v>
      </c>
      <c r="AK377" s="56">
        <f t="shared" si="77"/>
        <v>0</v>
      </c>
      <c r="AL377" s="56">
        <f t="shared" si="78"/>
        <v>0</v>
      </c>
      <c r="AM377" s="56">
        <f t="shared" si="84"/>
        <v>0</v>
      </c>
      <c r="AN377" s="60">
        <f t="shared" si="79"/>
        <v>0</v>
      </c>
      <c r="AO377" s="59">
        <f t="shared" si="80"/>
        <v>0</v>
      </c>
      <c r="AP377" s="59">
        <f t="shared" si="81"/>
        <v>0</v>
      </c>
    </row>
    <row r="378" spans="3:42" s="17" customFormat="1" x14ac:dyDescent="0.25">
      <c r="C378" s="241" t="s">
        <v>213</v>
      </c>
      <c r="D378" s="242"/>
      <c r="E378" s="88"/>
      <c r="F378" s="217"/>
      <c r="G378" s="234"/>
      <c r="H378" s="218"/>
      <c r="I378" s="76"/>
      <c r="J378" s="77"/>
      <c r="K378" s="77"/>
      <c r="L378" s="76"/>
      <c r="M378" s="110"/>
      <c r="N378" s="152"/>
      <c r="O378" s="111" t="str">
        <f>IFERROR(MIN(VLOOKUP(ROUNDDOWN(N378,0),'Aide calcul'!$B$2:$C$282,2,FALSE),M378+1),"")</f>
        <v/>
      </c>
      <c r="P378" s="112" t="str">
        <f t="shared" si="82"/>
        <v/>
      </c>
      <c r="Q378" s="170"/>
      <c r="R378" s="170"/>
      <c r="S378" s="170"/>
      <c r="T378" s="170"/>
      <c r="U378" s="170"/>
      <c r="V378" s="170"/>
      <c r="W378" s="170"/>
      <c r="X378" s="76"/>
      <c r="Y378" s="76"/>
      <c r="Z378" s="113" t="str">
        <f>IFERROR(ROUND('Informations générales'!$E$66*(AE378/SUM($AE$28:$AE$404))/12,0)*12,"")</f>
        <v/>
      </c>
      <c r="AA378" s="114"/>
      <c r="AB378" s="113" t="str">
        <f t="shared" si="71"/>
        <v/>
      </c>
      <c r="AC378" s="89"/>
      <c r="AD378" s="76"/>
      <c r="AE378" s="56">
        <f t="shared" si="83"/>
        <v>0</v>
      </c>
      <c r="AF378" s="56">
        <f t="shared" si="72"/>
        <v>0</v>
      </c>
      <c r="AG378" s="56">
        <f t="shared" si="73"/>
        <v>0</v>
      </c>
      <c r="AH378" s="56">
        <f t="shared" si="74"/>
        <v>0</v>
      </c>
      <c r="AI378" s="56">
        <f t="shared" si="75"/>
        <v>0</v>
      </c>
      <c r="AJ378" s="56">
        <f t="shared" si="76"/>
        <v>0</v>
      </c>
      <c r="AK378" s="56">
        <f t="shared" si="77"/>
        <v>0</v>
      </c>
      <c r="AL378" s="56">
        <f t="shared" si="78"/>
        <v>0</v>
      </c>
      <c r="AM378" s="56">
        <f t="shared" si="84"/>
        <v>0</v>
      </c>
      <c r="AN378" s="60">
        <f t="shared" si="79"/>
        <v>0</v>
      </c>
      <c r="AO378" s="59">
        <f t="shared" si="80"/>
        <v>0</v>
      </c>
      <c r="AP378" s="59">
        <f t="shared" si="81"/>
        <v>0</v>
      </c>
    </row>
    <row r="379" spans="3:42" s="17" customFormat="1" x14ac:dyDescent="0.25">
      <c r="C379" s="241" t="s">
        <v>213</v>
      </c>
      <c r="D379" s="242"/>
      <c r="E379" s="88"/>
      <c r="F379" s="217"/>
      <c r="G379" s="234"/>
      <c r="H379" s="218"/>
      <c r="I379" s="76"/>
      <c r="J379" s="77"/>
      <c r="K379" s="77"/>
      <c r="L379" s="76"/>
      <c r="M379" s="110"/>
      <c r="N379" s="152"/>
      <c r="O379" s="111" t="str">
        <f>IFERROR(MIN(VLOOKUP(ROUNDDOWN(N379,0),'Aide calcul'!$B$2:$C$282,2,FALSE),M379+1),"")</f>
        <v/>
      </c>
      <c r="P379" s="112" t="str">
        <f t="shared" si="82"/>
        <v/>
      </c>
      <c r="Q379" s="170"/>
      <c r="R379" s="170"/>
      <c r="S379" s="170"/>
      <c r="T379" s="170"/>
      <c r="U379" s="170"/>
      <c r="V379" s="170"/>
      <c r="W379" s="170"/>
      <c r="X379" s="76"/>
      <c r="Y379" s="76"/>
      <c r="Z379" s="113" t="str">
        <f>IFERROR(ROUND('Informations générales'!$E$66*(AE379/SUM($AE$28:$AE$404))/12,0)*12,"")</f>
        <v/>
      </c>
      <c r="AA379" s="114"/>
      <c r="AB379" s="113" t="str">
        <f t="shared" si="71"/>
        <v/>
      </c>
      <c r="AC379" s="89"/>
      <c r="AD379" s="76"/>
      <c r="AE379" s="56">
        <f t="shared" si="83"/>
        <v>0</v>
      </c>
      <c r="AF379" s="56">
        <f t="shared" si="72"/>
        <v>0</v>
      </c>
      <c r="AG379" s="56">
        <f t="shared" si="73"/>
        <v>0</v>
      </c>
      <c r="AH379" s="56">
        <f t="shared" si="74"/>
        <v>0</v>
      </c>
      <c r="AI379" s="56">
        <f t="shared" si="75"/>
        <v>0</v>
      </c>
      <c r="AJ379" s="56">
        <f t="shared" si="76"/>
        <v>0</v>
      </c>
      <c r="AK379" s="56">
        <f t="shared" si="77"/>
        <v>0</v>
      </c>
      <c r="AL379" s="56">
        <f t="shared" si="78"/>
        <v>0</v>
      </c>
      <c r="AM379" s="56">
        <f t="shared" si="84"/>
        <v>0</v>
      </c>
      <c r="AN379" s="60">
        <f t="shared" si="79"/>
        <v>0</v>
      </c>
      <c r="AO379" s="59">
        <f t="shared" si="80"/>
        <v>0</v>
      </c>
      <c r="AP379" s="59">
        <f t="shared" si="81"/>
        <v>0</v>
      </c>
    </row>
    <row r="380" spans="3:42" s="17" customFormat="1" x14ac:dyDescent="0.25">
      <c r="C380" s="241" t="s">
        <v>213</v>
      </c>
      <c r="D380" s="242"/>
      <c r="E380" s="88"/>
      <c r="F380" s="217"/>
      <c r="G380" s="234"/>
      <c r="H380" s="218"/>
      <c r="I380" s="76"/>
      <c r="J380" s="77"/>
      <c r="K380" s="77"/>
      <c r="L380" s="76"/>
      <c r="M380" s="110"/>
      <c r="N380" s="152"/>
      <c r="O380" s="111" t="str">
        <f>IFERROR(MIN(VLOOKUP(ROUNDDOWN(N380,0),'Aide calcul'!$B$2:$C$282,2,FALSE),M380+1),"")</f>
        <v/>
      </c>
      <c r="P380" s="112" t="str">
        <f t="shared" si="82"/>
        <v/>
      </c>
      <c r="Q380" s="170"/>
      <c r="R380" s="170"/>
      <c r="S380" s="170"/>
      <c r="T380" s="170"/>
      <c r="U380" s="170"/>
      <c r="V380" s="170"/>
      <c r="W380" s="170"/>
      <c r="X380" s="76"/>
      <c r="Y380" s="76"/>
      <c r="Z380" s="113" t="str">
        <f>IFERROR(ROUND('Informations générales'!$E$66*(AE380/SUM($AE$28:$AE$404))/12,0)*12,"")</f>
        <v/>
      </c>
      <c r="AA380" s="114"/>
      <c r="AB380" s="113" t="str">
        <f t="shared" si="71"/>
        <v/>
      </c>
      <c r="AC380" s="89"/>
      <c r="AD380" s="76"/>
      <c r="AE380" s="56">
        <f t="shared" si="83"/>
        <v>0</v>
      </c>
      <c r="AF380" s="56">
        <f t="shared" si="72"/>
        <v>0</v>
      </c>
      <c r="AG380" s="56">
        <f t="shared" si="73"/>
        <v>0</v>
      </c>
      <c r="AH380" s="56">
        <f t="shared" si="74"/>
        <v>0</v>
      </c>
      <c r="AI380" s="56">
        <f t="shared" si="75"/>
        <v>0</v>
      </c>
      <c r="AJ380" s="56">
        <f t="shared" si="76"/>
        <v>0</v>
      </c>
      <c r="AK380" s="56">
        <f t="shared" si="77"/>
        <v>0</v>
      </c>
      <c r="AL380" s="56">
        <f t="shared" si="78"/>
        <v>0</v>
      </c>
      <c r="AM380" s="56">
        <f t="shared" si="84"/>
        <v>0</v>
      </c>
      <c r="AN380" s="60">
        <f t="shared" si="79"/>
        <v>0</v>
      </c>
      <c r="AO380" s="59">
        <f t="shared" si="80"/>
        <v>0</v>
      </c>
      <c r="AP380" s="59">
        <f t="shared" si="81"/>
        <v>0</v>
      </c>
    </row>
    <row r="381" spans="3:42" s="17" customFormat="1" x14ac:dyDescent="0.25">
      <c r="C381" s="241" t="s">
        <v>213</v>
      </c>
      <c r="D381" s="242"/>
      <c r="E381" s="88"/>
      <c r="F381" s="217"/>
      <c r="G381" s="234"/>
      <c r="H381" s="218"/>
      <c r="I381" s="76"/>
      <c r="J381" s="77"/>
      <c r="K381" s="77"/>
      <c r="L381" s="76"/>
      <c r="M381" s="110"/>
      <c r="N381" s="152"/>
      <c r="O381" s="111" t="str">
        <f>IFERROR(MIN(VLOOKUP(ROUNDDOWN(N381,0),'Aide calcul'!$B$2:$C$282,2,FALSE),M381+1),"")</f>
        <v/>
      </c>
      <c r="P381" s="112" t="str">
        <f t="shared" si="82"/>
        <v/>
      </c>
      <c r="Q381" s="170"/>
      <c r="R381" s="170"/>
      <c r="S381" s="170"/>
      <c r="T381" s="170"/>
      <c r="U381" s="170"/>
      <c r="V381" s="170"/>
      <c r="W381" s="170"/>
      <c r="X381" s="76"/>
      <c r="Y381" s="76"/>
      <c r="Z381" s="113" t="str">
        <f>IFERROR(ROUND('Informations générales'!$E$66*(AE381/SUM($AE$28:$AE$404))/12,0)*12,"")</f>
        <v/>
      </c>
      <c r="AA381" s="114"/>
      <c r="AB381" s="113" t="str">
        <f t="shared" si="71"/>
        <v/>
      </c>
      <c r="AC381" s="89"/>
      <c r="AD381" s="76"/>
      <c r="AE381" s="56">
        <f t="shared" si="83"/>
        <v>0</v>
      </c>
      <c r="AF381" s="56">
        <f t="shared" si="72"/>
        <v>0</v>
      </c>
      <c r="AG381" s="56">
        <f t="shared" si="73"/>
        <v>0</v>
      </c>
      <c r="AH381" s="56">
        <f t="shared" si="74"/>
        <v>0</v>
      </c>
      <c r="AI381" s="56">
        <f t="shared" si="75"/>
        <v>0</v>
      </c>
      <c r="AJ381" s="56">
        <f t="shared" si="76"/>
        <v>0</v>
      </c>
      <c r="AK381" s="56">
        <f t="shared" si="77"/>
        <v>0</v>
      </c>
      <c r="AL381" s="56">
        <f t="shared" si="78"/>
        <v>0</v>
      </c>
      <c r="AM381" s="56">
        <f t="shared" si="84"/>
        <v>0</v>
      </c>
      <c r="AN381" s="60">
        <f t="shared" si="79"/>
        <v>0</v>
      </c>
      <c r="AO381" s="59">
        <f t="shared" si="80"/>
        <v>0</v>
      </c>
      <c r="AP381" s="59">
        <f t="shared" si="81"/>
        <v>0</v>
      </c>
    </row>
    <row r="382" spans="3:42" s="17" customFormat="1" x14ac:dyDescent="0.25">
      <c r="C382" s="241" t="s">
        <v>213</v>
      </c>
      <c r="D382" s="242"/>
      <c r="E382" s="88"/>
      <c r="F382" s="217"/>
      <c r="G382" s="234"/>
      <c r="H382" s="218"/>
      <c r="I382" s="76"/>
      <c r="J382" s="77"/>
      <c r="K382" s="77"/>
      <c r="L382" s="76"/>
      <c r="M382" s="110"/>
      <c r="N382" s="152"/>
      <c r="O382" s="111" t="str">
        <f>IFERROR(MIN(VLOOKUP(ROUNDDOWN(N382,0),'Aide calcul'!$B$2:$C$282,2,FALSE),M382+1),"")</f>
        <v/>
      </c>
      <c r="P382" s="112" t="str">
        <f t="shared" si="82"/>
        <v/>
      </c>
      <c r="Q382" s="170"/>
      <c r="R382" s="170"/>
      <c r="S382" s="170"/>
      <c r="T382" s="170"/>
      <c r="U382" s="170"/>
      <c r="V382" s="170"/>
      <c r="W382" s="170"/>
      <c r="X382" s="76"/>
      <c r="Y382" s="76"/>
      <c r="Z382" s="113" t="str">
        <f>IFERROR(ROUND('Informations générales'!$E$66*(AE382/SUM($AE$28:$AE$404))/12,0)*12,"")</f>
        <v/>
      </c>
      <c r="AA382" s="114"/>
      <c r="AB382" s="113" t="str">
        <f t="shared" si="71"/>
        <v/>
      </c>
      <c r="AC382" s="89"/>
      <c r="AD382" s="76"/>
      <c r="AE382" s="56">
        <f t="shared" si="83"/>
        <v>0</v>
      </c>
      <c r="AF382" s="56">
        <f t="shared" si="72"/>
        <v>0</v>
      </c>
      <c r="AG382" s="56">
        <f t="shared" si="73"/>
        <v>0</v>
      </c>
      <c r="AH382" s="56">
        <f t="shared" si="74"/>
        <v>0</v>
      </c>
      <c r="AI382" s="56">
        <f t="shared" si="75"/>
        <v>0</v>
      </c>
      <c r="AJ382" s="56">
        <f t="shared" si="76"/>
        <v>0</v>
      </c>
      <c r="AK382" s="56">
        <f t="shared" si="77"/>
        <v>0</v>
      </c>
      <c r="AL382" s="56">
        <f t="shared" si="78"/>
        <v>0</v>
      </c>
      <c r="AM382" s="56">
        <f t="shared" si="84"/>
        <v>0</v>
      </c>
      <c r="AN382" s="60">
        <f t="shared" si="79"/>
        <v>0</v>
      </c>
      <c r="AO382" s="59">
        <f t="shared" si="80"/>
        <v>0</v>
      </c>
      <c r="AP382" s="59">
        <f t="shared" si="81"/>
        <v>0</v>
      </c>
    </row>
    <row r="383" spans="3:42" s="17" customFormat="1" x14ac:dyDescent="0.25">
      <c r="C383" s="241" t="s">
        <v>213</v>
      </c>
      <c r="D383" s="242"/>
      <c r="E383" s="88"/>
      <c r="F383" s="217"/>
      <c r="G383" s="234"/>
      <c r="H383" s="218"/>
      <c r="I383" s="76"/>
      <c r="J383" s="77"/>
      <c r="K383" s="77"/>
      <c r="L383" s="76"/>
      <c r="M383" s="110"/>
      <c r="N383" s="152"/>
      <c r="O383" s="111" t="str">
        <f>IFERROR(MIN(VLOOKUP(ROUNDDOWN(N383,0),'Aide calcul'!$B$2:$C$282,2,FALSE),M383+1),"")</f>
        <v/>
      </c>
      <c r="P383" s="112" t="str">
        <f t="shared" si="82"/>
        <v/>
      </c>
      <c r="Q383" s="170"/>
      <c r="R383" s="170"/>
      <c r="S383" s="170"/>
      <c r="T383" s="170"/>
      <c r="U383" s="170"/>
      <c r="V383" s="170"/>
      <c r="W383" s="170"/>
      <c r="X383" s="76"/>
      <c r="Y383" s="76"/>
      <c r="Z383" s="113" t="str">
        <f>IFERROR(ROUND('Informations générales'!$E$66*(AE383/SUM($AE$28:$AE$404))/12,0)*12,"")</f>
        <v/>
      </c>
      <c r="AA383" s="114"/>
      <c r="AB383" s="113" t="str">
        <f t="shared" si="71"/>
        <v/>
      </c>
      <c r="AC383" s="89"/>
      <c r="AD383" s="76"/>
      <c r="AE383" s="56">
        <f t="shared" si="83"/>
        <v>0</v>
      </c>
      <c r="AF383" s="56">
        <f t="shared" si="72"/>
        <v>0</v>
      </c>
      <c r="AG383" s="56">
        <f t="shared" si="73"/>
        <v>0</v>
      </c>
      <c r="AH383" s="56">
        <f t="shared" si="74"/>
        <v>0</v>
      </c>
      <c r="AI383" s="56">
        <f t="shared" si="75"/>
        <v>0</v>
      </c>
      <c r="AJ383" s="56">
        <f t="shared" si="76"/>
        <v>0</v>
      </c>
      <c r="AK383" s="56">
        <f t="shared" si="77"/>
        <v>0</v>
      </c>
      <c r="AL383" s="56">
        <f t="shared" si="78"/>
        <v>0</v>
      </c>
      <c r="AM383" s="56">
        <f t="shared" si="84"/>
        <v>0</v>
      </c>
      <c r="AN383" s="60">
        <f t="shared" si="79"/>
        <v>0</v>
      </c>
      <c r="AO383" s="59">
        <f t="shared" si="80"/>
        <v>0</v>
      </c>
      <c r="AP383" s="59">
        <f t="shared" si="81"/>
        <v>0</v>
      </c>
    </row>
    <row r="384" spans="3:42" s="17" customFormat="1" x14ac:dyDescent="0.25">
      <c r="C384" s="241" t="s">
        <v>213</v>
      </c>
      <c r="D384" s="242"/>
      <c r="E384" s="88"/>
      <c r="F384" s="217"/>
      <c r="G384" s="234"/>
      <c r="H384" s="218"/>
      <c r="I384" s="76"/>
      <c r="J384" s="77"/>
      <c r="K384" s="77"/>
      <c r="L384" s="76"/>
      <c r="M384" s="110"/>
      <c r="N384" s="152"/>
      <c r="O384" s="111" t="str">
        <f>IFERROR(MIN(VLOOKUP(ROUNDDOWN(N384,0),'Aide calcul'!$B$2:$C$282,2,FALSE),M384+1),"")</f>
        <v/>
      </c>
      <c r="P384" s="112" t="str">
        <f t="shared" si="82"/>
        <v/>
      </c>
      <c r="Q384" s="170"/>
      <c r="R384" s="170"/>
      <c r="S384" s="170"/>
      <c r="T384" s="170"/>
      <c r="U384" s="170"/>
      <c r="V384" s="170"/>
      <c r="W384" s="170"/>
      <c r="X384" s="76"/>
      <c r="Y384" s="76"/>
      <c r="Z384" s="113" t="str">
        <f>IFERROR(ROUND('Informations générales'!$E$66*(AE384/SUM($AE$28:$AE$404))/12,0)*12,"")</f>
        <v/>
      </c>
      <c r="AA384" s="114"/>
      <c r="AB384" s="113" t="str">
        <f t="shared" si="71"/>
        <v/>
      </c>
      <c r="AC384" s="89"/>
      <c r="AD384" s="76"/>
      <c r="AE384" s="56">
        <f t="shared" si="83"/>
        <v>0</v>
      </c>
      <c r="AF384" s="56">
        <f t="shared" si="72"/>
        <v>0</v>
      </c>
      <c r="AG384" s="56">
        <f t="shared" si="73"/>
        <v>0</v>
      </c>
      <c r="AH384" s="56">
        <f t="shared" si="74"/>
        <v>0</v>
      </c>
      <c r="AI384" s="56">
        <f t="shared" si="75"/>
        <v>0</v>
      </c>
      <c r="AJ384" s="56">
        <f t="shared" si="76"/>
        <v>0</v>
      </c>
      <c r="AK384" s="56">
        <f t="shared" si="77"/>
        <v>0</v>
      </c>
      <c r="AL384" s="56">
        <f t="shared" si="78"/>
        <v>0</v>
      </c>
      <c r="AM384" s="56">
        <f t="shared" si="84"/>
        <v>0</v>
      </c>
      <c r="AN384" s="60">
        <f t="shared" si="79"/>
        <v>0</v>
      </c>
      <c r="AO384" s="59">
        <f t="shared" si="80"/>
        <v>0</v>
      </c>
      <c r="AP384" s="59">
        <f t="shared" si="81"/>
        <v>0</v>
      </c>
    </row>
    <row r="385" spans="3:42" s="17" customFormat="1" x14ac:dyDescent="0.25">
      <c r="C385" s="241" t="s">
        <v>213</v>
      </c>
      <c r="D385" s="242"/>
      <c r="E385" s="88"/>
      <c r="F385" s="217"/>
      <c r="G385" s="234"/>
      <c r="H385" s="218"/>
      <c r="I385" s="76"/>
      <c r="J385" s="77"/>
      <c r="K385" s="77"/>
      <c r="L385" s="76"/>
      <c r="M385" s="110"/>
      <c r="N385" s="152"/>
      <c r="O385" s="111" t="str">
        <f>IFERROR(MIN(VLOOKUP(ROUNDDOWN(N385,0),'Aide calcul'!$B$2:$C$282,2,FALSE),M385+1),"")</f>
        <v/>
      </c>
      <c r="P385" s="112" t="str">
        <f t="shared" si="82"/>
        <v/>
      </c>
      <c r="Q385" s="170"/>
      <c r="R385" s="170"/>
      <c r="S385" s="170"/>
      <c r="T385" s="170"/>
      <c r="U385" s="170"/>
      <c r="V385" s="170"/>
      <c r="W385" s="170"/>
      <c r="X385" s="76"/>
      <c r="Y385" s="76"/>
      <c r="Z385" s="113" t="str">
        <f>IFERROR(ROUND('Informations générales'!$E$66*(AE385/SUM($AE$28:$AE$404))/12,0)*12,"")</f>
        <v/>
      </c>
      <c r="AA385" s="114"/>
      <c r="AB385" s="113" t="str">
        <f t="shared" si="71"/>
        <v/>
      </c>
      <c r="AC385" s="89"/>
      <c r="AD385" s="76"/>
      <c r="AE385" s="56">
        <f t="shared" si="83"/>
        <v>0</v>
      </c>
      <c r="AF385" s="56">
        <f t="shared" si="72"/>
        <v>0</v>
      </c>
      <c r="AG385" s="56">
        <f t="shared" si="73"/>
        <v>0</v>
      </c>
      <c r="AH385" s="56">
        <f t="shared" si="74"/>
        <v>0</v>
      </c>
      <c r="AI385" s="56">
        <f t="shared" si="75"/>
        <v>0</v>
      </c>
      <c r="AJ385" s="56">
        <f t="shared" si="76"/>
        <v>0</v>
      </c>
      <c r="AK385" s="56">
        <f t="shared" si="77"/>
        <v>0</v>
      </c>
      <c r="AL385" s="56">
        <f t="shared" si="78"/>
        <v>0</v>
      </c>
      <c r="AM385" s="56">
        <f t="shared" si="84"/>
        <v>0</v>
      </c>
      <c r="AN385" s="60">
        <f t="shared" si="79"/>
        <v>0</v>
      </c>
      <c r="AO385" s="59">
        <f t="shared" si="80"/>
        <v>0</v>
      </c>
      <c r="AP385" s="59">
        <f t="shared" si="81"/>
        <v>0</v>
      </c>
    </row>
    <row r="386" spans="3:42" s="17" customFormat="1" x14ac:dyDescent="0.25">
      <c r="C386" s="241" t="s">
        <v>213</v>
      </c>
      <c r="D386" s="242"/>
      <c r="E386" s="88"/>
      <c r="F386" s="217"/>
      <c r="G386" s="234"/>
      <c r="H386" s="218"/>
      <c r="I386" s="76"/>
      <c r="J386" s="77"/>
      <c r="K386" s="77"/>
      <c r="L386" s="76"/>
      <c r="M386" s="110"/>
      <c r="N386" s="152"/>
      <c r="O386" s="111" t="str">
        <f>IFERROR(MIN(VLOOKUP(ROUNDDOWN(N386,0),'Aide calcul'!$B$2:$C$282,2,FALSE),M386+1),"")</f>
        <v/>
      </c>
      <c r="P386" s="112" t="str">
        <f t="shared" si="82"/>
        <v/>
      </c>
      <c r="Q386" s="170"/>
      <c r="R386" s="170"/>
      <c r="S386" s="170"/>
      <c r="T386" s="170"/>
      <c r="U386" s="170"/>
      <c r="V386" s="170"/>
      <c r="W386" s="170"/>
      <c r="X386" s="76"/>
      <c r="Y386" s="76"/>
      <c r="Z386" s="113" t="str">
        <f>IFERROR(ROUND('Informations générales'!$E$66*(AE386/SUM($AE$28:$AE$404))/12,0)*12,"")</f>
        <v/>
      </c>
      <c r="AA386" s="114"/>
      <c r="AB386" s="113" t="str">
        <f t="shared" si="71"/>
        <v/>
      </c>
      <c r="AC386" s="89"/>
      <c r="AD386" s="76"/>
      <c r="AE386" s="56">
        <f t="shared" si="83"/>
        <v>0</v>
      </c>
      <c r="AF386" s="56">
        <f t="shared" si="72"/>
        <v>0</v>
      </c>
      <c r="AG386" s="56">
        <f t="shared" si="73"/>
        <v>0</v>
      </c>
      <c r="AH386" s="56">
        <f t="shared" si="74"/>
        <v>0</v>
      </c>
      <c r="AI386" s="56">
        <f t="shared" si="75"/>
        <v>0</v>
      </c>
      <c r="AJ386" s="56">
        <f t="shared" si="76"/>
        <v>0</v>
      </c>
      <c r="AK386" s="56">
        <f t="shared" si="77"/>
        <v>0</v>
      </c>
      <c r="AL386" s="56">
        <f t="shared" si="78"/>
        <v>0</v>
      </c>
      <c r="AM386" s="56">
        <f t="shared" si="84"/>
        <v>0</v>
      </c>
      <c r="AN386" s="60">
        <f t="shared" si="79"/>
        <v>0</v>
      </c>
      <c r="AO386" s="59">
        <f t="shared" si="80"/>
        <v>0</v>
      </c>
      <c r="AP386" s="59">
        <f t="shared" si="81"/>
        <v>0</v>
      </c>
    </row>
    <row r="387" spans="3:42" s="17" customFormat="1" x14ac:dyDescent="0.25">
      <c r="C387" s="241" t="s">
        <v>213</v>
      </c>
      <c r="D387" s="242"/>
      <c r="E387" s="88"/>
      <c r="F387" s="217"/>
      <c r="G387" s="234"/>
      <c r="H387" s="218"/>
      <c r="I387" s="76"/>
      <c r="J387" s="77"/>
      <c r="K387" s="77"/>
      <c r="L387" s="76"/>
      <c r="M387" s="110"/>
      <c r="N387" s="152"/>
      <c r="O387" s="111" t="str">
        <f>IFERROR(MIN(VLOOKUP(ROUNDDOWN(N387,0),'Aide calcul'!$B$2:$C$282,2,FALSE),M387+1),"")</f>
        <v/>
      </c>
      <c r="P387" s="112" t="str">
        <f t="shared" si="82"/>
        <v/>
      </c>
      <c r="Q387" s="170"/>
      <c r="R387" s="170"/>
      <c r="S387" s="170"/>
      <c r="T387" s="170"/>
      <c r="U387" s="170"/>
      <c r="V387" s="170"/>
      <c r="W387" s="170"/>
      <c r="X387" s="76"/>
      <c r="Y387" s="76"/>
      <c r="Z387" s="113" t="str">
        <f>IFERROR(ROUND('Informations générales'!$E$66*(AE387/SUM($AE$28:$AE$404))/12,0)*12,"")</f>
        <v/>
      </c>
      <c r="AA387" s="114"/>
      <c r="AB387" s="113" t="str">
        <f t="shared" si="71"/>
        <v/>
      </c>
      <c r="AC387" s="89"/>
      <c r="AD387" s="76"/>
      <c r="AE387" s="56">
        <f t="shared" si="83"/>
        <v>0</v>
      </c>
      <c r="AF387" s="56">
        <f t="shared" si="72"/>
        <v>0</v>
      </c>
      <c r="AG387" s="56">
        <f t="shared" si="73"/>
        <v>0</v>
      </c>
      <c r="AH387" s="56">
        <f t="shared" si="74"/>
        <v>0</v>
      </c>
      <c r="AI387" s="56">
        <f t="shared" si="75"/>
        <v>0</v>
      </c>
      <c r="AJ387" s="56">
        <f t="shared" si="76"/>
        <v>0</v>
      </c>
      <c r="AK387" s="56">
        <f t="shared" si="77"/>
        <v>0</v>
      </c>
      <c r="AL387" s="56">
        <f t="shared" si="78"/>
        <v>0</v>
      </c>
      <c r="AM387" s="56">
        <f t="shared" si="84"/>
        <v>0</v>
      </c>
      <c r="AN387" s="60">
        <f t="shared" si="79"/>
        <v>0</v>
      </c>
      <c r="AO387" s="59">
        <f t="shared" si="80"/>
        <v>0</v>
      </c>
      <c r="AP387" s="59">
        <f t="shared" si="81"/>
        <v>0</v>
      </c>
    </row>
    <row r="388" spans="3:42" s="17" customFormat="1" x14ac:dyDescent="0.25">
      <c r="C388" s="241" t="s">
        <v>213</v>
      </c>
      <c r="D388" s="242"/>
      <c r="E388" s="88"/>
      <c r="F388" s="217"/>
      <c r="G388" s="234"/>
      <c r="H388" s="218"/>
      <c r="I388" s="76"/>
      <c r="J388" s="77"/>
      <c r="K388" s="77"/>
      <c r="L388" s="76"/>
      <c r="M388" s="110"/>
      <c r="N388" s="152"/>
      <c r="O388" s="111" t="str">
        <f>IFERROR(MIN(VLOOKUP(ROUNDDOWN(N388,0),'Aide calcul'!$B$2:$C$282,2,FALSE),M388+1),"")</f>
        <v/>
      </c>
      <c r="P388" s="112" t="str">
        <f t="shared" si="82"/>
        <v/>
      </c>
      <c r="Q388" s="170"/>
      <c r="R388" s="170"/>
      <c r="S388" s="170"/>
      <c r="T388" s="170"/>
      <c r="U388" s="170"/>
      <c r="V388" s="170"/>
      <c r="W388" s="170"/>
      <c r="X388" s="76"/>
      <c r="Y388" s="76"/>
      <c r="Z388" s="113" t="str">
        <f>IFERROR(ROUND('Informations générales'!$E$66*(AE388/SUM($AE$28:$AE$404))/12,0)*12,"")</f>
        <v/>
      </c>
      <c r="AA388" s="114"/>
      <c r="AB388" s="113" t="str">
        <f t="shared" si="71"/>
        <v/>
      </c>
      <c r="AC388" s="89"/>
      <c r="AD388" s="76"/>
      <c r="AE388" s="56">
        <f t="shared" si="83"/>
        <v>0</v>
      </c>
      <c r="AF388" s="56">
        <f t="shared" si="72"/>
        <v>0</v>
      </c>
      <c r="AG388" s="56">
        <f t="shared" si="73"/>
        <v>0</v>
      </c>
      <c r="AH388" s="56">
        <f t="shared" si="74"/>
        <v>0</v>
      </c>
      <c r="AI388" s="56">
        <f t="shared" si="75"/>
        <v>0</v>
      </c>
      <c r="AJ388" s="56">
        <f t="shared" si="76"/>
        <v>0</v>
      </c>
      <c r="AK388" s="56">
        <f t="shared" si="77"/>
        <v>0</v>
      </c>
      <c r="AL388" s="56">
        <f t="shared" si="78"/>
        <v>0</v>
      </c>
      <c r="AM388" s="56">
        <f t="shared" si="84"/>
        <v>0</v>
      </c>
      <c r="AN388" s="60">
        <f t="shared" si="79"/>
        <v>0</v>
      </c>
      <c r="AO388" s="59">
        <f t="shared" si="80"/>
        <v>0</v>
      </c>
      <c r="AP388" s="59">
        <f t="shared" si="81"/>
        <v>0</v>
      </c>
    </row>
    <row r="389" spans="3:42" s="17" customFormat="1" x14ac:dyDescent="0.25">
      <c r="C389" s="241" t="s">
        <v>213</v>
      </c>
      <c r="D389" s="242"/>
      <c r="E389" s="88"/>
      <c r="F389" s="217"/>
      <c r="G389" s="234"/>
      <c r="H389" s="218"/>
      <c r="I389" s="76"/>
      <c r="J389" s="77"/>
      <c r="K389" s="77"/>
      <c r="L389" s="76"/>
      <c r="M389" s="110"/>
      <c r="N389" s="152"/>
      <c r="O389" s="111" t="str">
        <f>IFERROR(MIN(VLOOKUP(ROUNDDOWN(N389,0),'Aide calcul'!$B$2:$C$282,2,FALSE),M389+1),"")</f>
        <v/>
      </c>
      <c r="P389" s="112" t="str">
        <f t="shared" si="82"/>
        <v/>
      </c>
      <c r="Q389" s="170"/>
      <c r="R389" s="170"/>
      <c r="S389" s="170"/>
      <c r="T389" s="170"/>
      <c r="U389" s="170"/>
      <c r="V389" s="170"/>
      <c r="W389" s="170"/>
      <c r="X389" s="76"/>
      <c r="Y389" s="76"/>
      <c r="Z389" s="113" t="str">
        <f>IFERROR(ROUND('Informations générales'!$E$66*(AE389/SUM($AE$28:$AE$404))/12,0)*12,"")</f>
        <v/>
      </c>
      <c r="AA389" s="114"/>
      <c r="AB389" s="113" t="str">
        <f t="shared" si="71"/>
        <v/>
      </c>
      <c r="AC389" s="89"/>
      <c r="AD389" s="76"/>
      <c r="AE389" s="56">
        <f t="shared" si="83"/>
        <v>0</v>
      </c>
      <c r="AF389" s="56">
        <f t="shared" si="72"/>
        <v>0</v>
      </c>
      <c r="AG389" s="56">
        <f t="shared" si="73"/>
        <v>0</v>
      </c>
      <c r="AH389" s="56">
        <f t="shared" si="74"/>
        <v>0</v>
      </c>
      <c r="AI389" s="56">
        <f t="shared" si="75"/>
        <v>0</v>
      </c>
      <c r="AJ389" s="56">
        <f t="shared" si="76"/>
        <v>0</v>
      </c>
      <c r="AK389" s="56">
        <f t="shared" si="77"/>
        <v>0</v>
      </c>
      <c r="AL389" s="56">
        <f t="shared" si="78"/>
        <v>0</v>
      </c>
      <c r="AM389" s="56">
        <f t="shared" si="84"/>
        <v>0</v>
      </c>
      <c r="AN389" s="60">
        <f t="shared" si="79"/>
        <v>0</v>
      </c>
      <c r="AO389" s="59">
        <f t="shared" si="80"/>
        <v>0</v>
      </c>
      <c r="AP389" s="59">
        <f t="shared" si="81"/>
        <v>0</v>
      </c>
    </row>
    <row r="390" spans="3:42" s="17" customFormat="1" x14ac:dyDescent="0.25">
      <c r="C390" s="241" t="s">
        <v>213</v>
      </c>
      <c r="D390" s="242"/>
      <c r="E390" s="88"/>
      <c r="F390" s="217"/>
      <c r="G390" s="234"/>
      <c r="H390" s="218"/>
      <c r="I390" s="76"/>
      <c r="J390" s="77"/>
      <c r="K390" s="77"/>
      <c r="L390" s="76"/>
      <c r="M390" s="110"/>
      <c r="N390" s="152"/>
      <c r="O390" s="111" t="str">
        <f>IFERROR(MIN(VLOOKUP(ROUNDDOWN(N390,0),'Aide calcul'!$B$2:$C$282,2,FALSE),M390+1),"")</f>
        <v/>
      </c>
      <c r="P390" s="112" t="str">
        <f t="shared" si="82"/>
        <v/>
      </c>
      <c r="Q390" s="170"/>
      <c r="R390" s="170"/>
      <c r="S390" s="170"/>
      <c r="T390" s="170"/>
      <c r="U390" s="170"/>
      <c r="V390" s="170"/>
      <c r="W390" s="170"/>
      <c r="X390" s="76"/>
      <c r="Y390" s="76"/>
      <c r="Z390" s="113" t="str">
        <f>IFERROR(ROUND('Informations générales'!$E$66*(AE390/SUM($AE$28:$AE$404))/12,0)*12,"")</f>
        <v/>
      </c>
      <c r="AA390" s="114"/>
      <c r="AB390" s="113" t="str">
        <f t="shared" si="71"/>
        <v/>
      </c>
      <c r="AC390" s="89"/>
      <c r="AD390" s="76"/>
      <c r="AE390" s="56">
        <f t="shared" si="83"/>
        <v>0</v>
      </c>
      <c r="AF390" s="56">
        <f t="shared" si="72"/>
        <v>0</v>
      </c>
      <c r="AG390" s="56">
        <f t="shared" si="73"/>
        <v>0</v>
      </c>
      <c r="AH390" s="56">
        <f t="shared" si="74"/>
        <v>0</v>
      </c>
      <c r="AI390" s="56">
        <f t="shared" si="75"/>
        <v>0</v>
      </c>
      <c r="AJ390" s="56">
        <f t="shared" si="76"/>
        <v>0</v>
      </c>
      <c r="AK390" s="56">
        <f t="shared" si="77"/>
        <v>0</v>
      </c>
      <c r="AL390" s="56">
        <f t="shared" si="78"/>
        <v>0</v>
      </c>
      <c r="AM390" s="56">
        <f t="shared" si="84"/>
        <v>0</v>
      </c>
      <c r="AN390" s="60">
        <f t="shared" si="79"/>
        <v>0</v>
      </c>
      <c r="AO390" s="59">
        <f t="shared" si="80"/>
        <v>0</v>
      </c>
      <c r="AP390" s="59">
        <f t="shared" si="81"/>
        <v>0</v>
      </c>
    </row>
    <row r="391" spans="3:42" s="17" customFormat="1" x14ac:dyDescent="0.25">
      <c r="C391" s="241" t="s">
        <v>213</v>
      </c>
      <c r="D391" s="242"/>
      <c r="E391" s="88"/>
      <c r="F391" s="217"/>
      <c r="G391" s="234"/>
      <c r="H391" s="218"/>
      <c r="I391" s="76"/>
      <c r="J391" s="77"/>
      <c r="K391" s="77"/>
      <c r="L391" s="76"/>
      <c r="M391" s="110"/>
      <c r="N391" s="152"/>
      <c r="O391" s="111" t="str">
        <f>IFERROR(MIN(VLOOKUP(ROUNDDOWN(N391,0),'Aide calcul'!$B$2:$C$282,2,FALSE),M391+1),"")</f>
        <v/>
      </c>
      <c r="P391" s="112" t="str">
        <f t="shared" si="82"/>
        <v/>
      </c>
      <c r="Q391" s="170"/>
      <c r="R391" s="170"/>
      <c r="S391" s="170"/>
      <c r="T391" s="170"/>
      <c r="U391" s="170"/>
      <c r="V391" s="170"/>
      <c r="W391" s="170"/>
      <c r="X391" s="76"/>
      <c r="Y391" s="76"/>
      <c r="Z391" s="113" t="str">
        <f>IFERROR(ROUND('Informations générales'!$E$66*(AE391/SUM($AE$28:$AE$404))/12,0)*12,"")</f>
        <v/>
      </c>
      <c r="AA391" s="114"/>
      <c r="AB391" s="113" t="str">
        <f t="shared" si="71"/>
        <v/>
      </c>
      <c r="AC391" s="89"/>
      <c r="AD391" s="76"/>
      <c r="AE391" s="56">
        <f t="shared" si="83"/>
        <v>0</v>
      </c>
      <c r="AF391" s="56">
        <f t="shared" si="72"/>
        <v>0</v>
      </c>
      <c r="AG391" s="56">
        <f t="shared" si="73"/>
        <v>0</v>
      </c>
      <c r="AH391" s="56">
        <f t="shared" si="74"/>
        <v>0</v>
      </c>
      <c r="AI391" s="56">
        <f t="shared" si="75"/>
        <v>0</v>
      </c>
      <c r="AJ391" s="56">
        <f t="shared" si="76"/>
        <v>0</v>
      </c>
      <c r="AK391" s="56">
        <f t="shared" si="77"/>
        <v>0</v>
      </c>
      <c r="AL391" s="56">
        <f t="shared" si="78"/>
        <v>0</v>
      </c>
      <c r="AM391" s="56">
        <f t="shared" si="84"/>
        <v>0</v>
      </c>
      <c r="AN391" s="60">
        <f t="shared" si="79"/>
        <v>0</v>
      </c>
      <c r="AO391" s="59">
        <f t="shared" si="80"/>
        <v>0</v>
      </c>
      <c r="AP391" s="59">
        <f t="shared" si="81"/>
        <v>0</v>
      </c>
    </row>
    <row r="392" spans="3:42" s="17" customFormat="1" x14ac:dyDescent="0.25">
      <c r="C392" s="241" t="s">
        <v>213</v>
      </c>
      <c r="D392" s="242"/>
      <c r="E392" s="88"/>
      <c r="F392" s="217"/>
      <c r="G392" s="234"/>
      <c r="H392" s="218"/>
      <c r="I392" s="76"/>
      <c r="J392" s="77"/>
      <c r="K392" s="77"/>
      <c r="L392" s="76"/>
      <c r="M392" s="110"/>
      <c r="N392" s="152"/>
      <c r="O392" s="111" t="str">
        <f>IFERROR(MIN(VLOOKUP(ROUNDDOWN(N392,0),'Aide calcul'!$B$2:$C$282,2,FALSE),M392+1),"")</f>
        <v/>
      </c>
      <c r="P392" s="112" t="str">
        <f t="shared" si="82"/>
        <v/>
      </c>
      <c r="Q392" s="170"/>
      <c r="R392" s="170"/>
      <c r="S392" s="170"/>
      <c r="T392" s="170"/>
      <c r="U392" s="170"/>
      <c r="V392" s="170"/>
      <c r="W392" s="170"/>
      <c r="X392" s="76"/>
      <c r="Y392" s="76"/>
      <c r="Z392" s="113" t="str">
        <f>IFERROR(ROUND('Informations générales'!$E$66*(AE392/SUM($AE$28:$AE$404))/12,0)*12,"")</f>
        <v/>
      </c>
      <c r="AA392" s="114"/>
      <c r="AB392" s="113" t="str">
        <f t="shared" si="71"/>
        <v/>
      </c>
      <c r="AC392" s="89"/>
      <c r="AD392" s="76"/>
      <c r="AE392" s="56">
        <f t="shared" si="83"/>
        <v>0</v>
      </c>
      <c r="AF392" s="56">
        <f t="shared" si="72"/>
        <v>0</v>
      </c>
      <c r="AG392" s="56">
        <f t="shared" si="73"/>
        <v>0</v>
      </c>
      <c r="AH392" s="56">
        <f t="shared" si="74"/>
        <v>0</v>
      </c>
      <c r="AI392" s="56">
        <f t="shared" si="75"/>
        <v>0</v>
      </c>
      <c r="AJ392" s="56">
        <f t="shared" si="76"/>
        <v>0</v>
      </c>
      <c r="AK392" s="56">
        <f t="shared" si="77"/>
        <v>0</v>
      </c>
      <c r="AL392" s="56">
        <f t="shared" si="78"/>
        <v>0</v>
      </c>
      <c r="AM392" s="56">
        <f t="shared" si="84"/>
        <v>0</v>
      </c>
      <c r="AN392" s="60">
        <f t="shared" si="79"/>
        <v>0</v>
      </c>
      <c r="AO392" s="59">
        <f t="shared" si="80"/>
        <v>0</v>
      </c>
      <c r="AP392" s="59">
        <f t="shared" si="81"/>
        <v>0</v>
      </c>
    </row>
    <row r="393" spans="3:42" s="17" customFormat="1" x14ac:dyDescent="0.25">
      <c r="C393" s="241" t="s">
        <v>213</v>
      </c>
      <c r="D393" s="242"/>
      <c r="E393" s="88"/>
      <c r="F393" s="217"/>
      <c r="G393" s="234"/>
      <c r="H393" s="218"/>
      <c r="I393" s="76"/>
      <c r="J393" s="77"/>
      <c r="K393" s="77"/>
      <c r="L393" s="76"/>
      <c r="M393" s="110"/>
      <c r="N393" s="152"/>
      <c r="O393" s="111" t="str">
        <f>IFERROR(MIN(VLOOKUP(ROUNDDOWN(N393,0),'Aide calcul'!$B$2:$C$282,2,FALSE),M393+1),"")</f>
        <v/>
      </c>
      <c r="P393" s="112" t="str">
        <f t="shared" si="82"/>
        <v/>
      </c>
      <c r="Q393" s="170"/>
      <c r="R393" s="170"/>
      <c r="S393" s="170"/>
      <c r="T393" s="170"/>
      <c r="U393" s="170"/>
      <c r="V393" s="170"/>
      <c r="W393" s="170"/>
      <c r="X393" s="76"/>
      <c r="Y393" s="76"/>
      <c r="Z393" s="113" t="str">
        <f>IFERROR(ROUND('Informations générales'!$E$66*(AE393/SUM($AE$28:$AE$404))/12,0)*12,"")</f>
        <v/>
      </c>
      <c r="AA393" s="114"/>
      <c r="AB393" s="113" t="str">
        <f t="shared" si="71"/>
        <v/>
      </c>
      <c r="AC393" s="89"/>
      <c r="AD393" s="76"/>
      <c r="AE393" s="56">
        <f t="shared" si="83"/>
        <v>0</v>
      </c>
      <c r="AF393" s="56">
        <f t="shared" si="72"/>
        <v>0</v>
      </c>
      <c r="AG393" s="56">
        <f t="shared" si="73"/>
        <v>0</v>
      </c>
      <c r="AH393" s="56">
        <f t="shared" si="74"/>
        <v>0</v>
      </c>
      <c r="AI393" s="56">
        <f t="shared" si="75"/>
        <v>0</v>
      </c>
      <c r="AJ393" s="56">
        <f t="shared" si="76"/>
        <v>0</v>
      </c>
      <c r="AK393" s="56">
        <f t="shared" si="77"/>
        <v>0</v>
      </c>
      <c r="AL393" s="56">
        <f t="shared" si="78"/>
        <v>0</v>
      </c>
      <c r="AM393" s="56">
        <f t="shared" si="84"/>
        <v>0</v>
      </c>
      <c r="AN393" s="60">
        <f t="shared" si="79"/>
        <v>0</v>
      </c>
      <c r="AO393" s="59">
        <f t="shared" si="80"/>
        <v>0</v>
      </c>
      <c r="AP393" s="59">
        <f t="shared" si="81"/>
        <v>0</v>
      </c>
    </row>
    <row r="394" spans="3:42" s="17" customFormat="1" x14ac:dyDescent="0.25">
      <c r="C394" s="241" t="s">
        <v>213</v>
      </c>
      <c r="D394" s="242"/>
      <c r="E394" s="88"/>
      <c r="F394" s="217"/>
      <c r="G394" s="234"/>
      <c r="H394" s="218"/>
      <c r="I394" s="76"/>
      <c r="J394" s="77"/>
      <c r="K394" s="77"/>
      <c r="L394" s="76"/>
      <c r="M394" s="110"/>
      <c r="N394" s="152"/>
      <c r="O394" s="111" t="str">
        <f>IFERROR(MIN(VLOOKUP(ROUNDDOWN(N394,0),'Aide calcul'!$B$2:$C$282,2,FALSE),M394+1),"")</f>
        <v/>
      </c>
      <c r="P394" s="112" t="str">
        <f t="shared" si="82"/>
        <v/>
      </c>
      <c r="Q394" s="170"/>
      <c r="R394" s="170"/>
      <c r="S394" s="170"/>
      <c r="T394" s="170"/>
      <c r="U394" s="170"/>
      <c r="V394" s="170"/>
      <c r="W394" s="170"/>
      <c r="X394" s="76"/>
      <c r="Y394" s="76"/>
      <c r="Z394" s="113" t="str">
        <f>IFERROR(ROUND('Informations générales'!$E$66*(AE394/SUM($AE$28:$AE$404))/12,0)*12,"")</f>
        <v/>
      </c>
      <c r="AA394" s="114"/>
      <c r="AB394" s="113" t="str">
        <f t="shared" si="71"/>
        <v/>
      </c>
      <c r="AC394" s="89"/>
      <c r="AD394" s="76"/>
      <c r="AE394" s="56">
        <f t="shared" si="83"/>
        <v>0</v>
      </c>
      <c r="AF394" s="56">
        <f t="shared" si="72"/>
        <v>0</v>
      </c>
      <c r="AG394" s="56">
        <f t="shared" si="73"/>
        <v>0</v>
      </c>
      <c r="AH394" s="56">
        <f t="shared" si="74"/>
        <v>0</v>
      </c>
      <c r="AI394" s="56">
        <f t="shared" si="75"/>
        <v>0</v>
      </c>
      <c r="AJ394" s="56">
        <f t="shared" si="76"/>
        <v>0</v>
      </c>
      <c r="AK394" s="56">
        <f t="shared" si="77"/>
        <v>0</v>
      </c>
      <c r="AL394" s="56">
        <f t="shared" si="78"/>
        <v>0</v>
      </c>
      <c r="AM394" s="56">
        <f t="shared" si="84"/>
        <v>0</v>
      </c>
      <c r="AN394" s="60">
        <f t="shared" si="79"/>
        <v>0</v>
      </c>
      <c r="AO394" s="59">
        <f t="shared" si="80"/>
        <v>0</v>
      </c>
      <c r="AP394" s="59">
        <f t="shared" si="81"/>
        <v>0</v>
      </c>
    </row>
    <row r="395" spans="3:42" s="17" customFormat="1" x14ac:dyDescent="0.25">
      <c r="C395" s="241" t="s">
        <v>213</v>
      </c>
      <c r="D395" s="242"/>
      <c r="E395" s="88"/>
      <c r="F395" s="217"/>
      <c r="G395" s="234"/>
      <c r="H395" s="218"/>
      <c r="I395" s="76"/>
      <c r="J395" s="77"/>
      <c r="K395" s="77"/>
      <c r="L395" s="76"/>
      <c r="M395" s="110"/>
      <c r="N395" s="152"/>
      <c r="O395" s="111" t="str">
        <f>IFERROR(MIN(VLOOKUP(ROUNDDOWN(N395,0),'Aide calcul'!$B$2:$C$282,2,FALSE),M395+1),"")</f>
        <v/>
      </c>
      <c r="P395" s="112" t="str">
        <f t="shared" si="82"/>
        <v/>
      </c>
      <c r="Q395" s="170"/>
      <c r="R395" s="170"/>
      <c r="S395" s="170"/>
      <c r="T395" s="170"/>
      <c r="U395" s="170"/>
      <c r="V395" s="170"/>
      <c r="W395" s="170"/>
      <c r="X395" s="76"/>
      <c r="Y395" s="76"/>
      <c r="Z395" s="113" t="str">
        <f>IFERROR(ROUND('Informations générales'!$E$66*(AE395/SUM($AE$28:$AE$404))/12,0)*12,"")</f>
        <v/>
      </c>
      <c r="AA395" s="114"/>
      <c r="AB395" s="113" t="str">
        <f t="shared" si="71"/>
        <v/>
      </c>
      <c r="AC395" s="89"/>
      <c r="AD395" s="76"/>
      <c r="AE395" s="56">
        <f t="shared" si="83"/>
        <v>0</v>
      </c>
      <c r="AF395" s="56">
        <f t="shared" si="72"/>
        <v>0</v>
      </c>
      <c r="AG395" s="56">
        <f t="shared" si="73"/>
        <v>0</v>
      </c>
      <c r="AH395" s="56">
        <f t="shared" si="74"/>
        <v>0</v>
      </c>
      <c r="AI395" s="56">
        <f t="shared" si="75"/>
        <v>0</v>
      </c>
      <c r="AJ395" s="56">
        <f t="shared" si="76"/>
        <v>0</v>
      </c>
      <c r="AK395" s="56">
        <f t="shared" si="77"/>
        <v>0</v>
      </c>
      <c r="AL395" s="56">
        <f t="shared" si="78"/>
        <v>0</v>
      </c>
      <c r="AM395" s="56">
        <f t="shared" si="84"/>
        <v>0</v>
      </c>
      <c r="AN395" s="60">
        <f t="shared" si="79"/>
        <v>0</v>
      </c>
      <c r="AO395" s="59">
        <f t="shared" si="80"/>
        <v>0</v>
      </c>
      <c r="AP395" s="59">
        <f t="shared" si="81"/>
        <v>0</v>
      </c>
    </row>
    <row r="396" spans="3:42" s="17" customFormat="1" x14ac:dyDescent="0.25">
      <c r="C396" s="241" t="s">
        <v>213</v>
      </c>
      <c r="D396" s="242"/>
      <c r="E396" s="88"/>
      <c r="F396" s="217"/>
      <c r="G396" s="234"/>
      <c r="H396" s="218"/>
      <c r="I396" s="76"/>
      <c r="J396" s="77"/>
      <c r="K396" s="77"/>
      <c r="L396" s="76"/>
      <c r="M396" s="110"/>
      <c r="N396" s="152"/>
      <c r="O396" s="111" t="str">
        <f>IFERROR(MIN(VLOOKUP(ROUNDDOWN(N396,0),'Aide calcul'!$B$2:$C$282,2,FALSE),M396+1),"")</f>
        <v/>
      </c>
      <c r="P396" s="112" t="str">
        <f t="shared" si="82"/>
        <v/>
      </c>
      <c r="Q396" s="170"/>
      <c r="R396" s="170"/>
      <c r="S396" s="170"/>
      <c r="T396" s="170"/>
      <c r="U396" s="170"/>
      <c r="V396" s="170"/>
      <c r="W396" s="170"/>
      <c r="X396" s="76"/>
      <c r="Y396" s="76"/>
      <c r="Z396" s="113" t="str">
        <f>IFERROR(ROUND('Informations générales'!$E$66*(AE396/SUM($AE$28:$AE$404))/12,0)*12,"")</f>
        <v/>
      </c>
      <c r="AA396" s="114"/>
      <c r="AB396" s="113" t="str">
        <f t="shared" si="71"/>
        <v/>
      </c>
      <c r="AC396" s="89"/>
      <c r="AD396" s="76"/>
      <c r="AE396" s="56">
        <f t="shared" si="83"/>
        <v>0</v>
      </c>
      <c r="AF396" s="56">
        <f t="shared" si="72"/>
        <v>0</v>
      </c>
      <c r="AG396" s="56">
        <f t="shared" si="73"/>
        <v>0</v>
      </c>
      <c r="AH396" s="56">
        <f t="shared" si="74"/>
        <v>0</v>
      </c>
      <c r="AI396" s="56">
        <f t="shared" si="75"/>
        <v>0</v>
      </c>
      <c r="AJ396" s="56">
        <f t="shared" si="76"/>
        <v>0</v>
      </c>
      <c r="AK396" s="56">
        <f t="shared" si="77"/>
        <v>0</v>
      </c>
      <c r="AL396" s="56">
        <f t="shared" si="78"/>
        <v>0</v>
      </c>
      <c r="AM396" s="56">
        <f t="shared" si="84"/>
        <v>0</v>
      </c>
      <c r="AN396" s="60">
        <f t="shared" si="79"/>
        <v>0</v>
      </c>
      <c r="AO396" s="59">
        <f t="shared" si="80"/>
        <v>0</v>
      </c>
      <c r="AP396" s="59">
        <f t="shared" si="81"/>
        <v>0</v>
      </c>
    </row>
    <row r="397" spans="3:42" s="17" customFormat="1" x14ac:dyDescent="0.25">
      <c r="C397" s="241" t="s">
        <v>213</v>
      </c>
      <c r="D397" s="242"/>
      <c r="E397" s="88"/>
      <c r="F397" s="217"/>
      <c r="G397" s="234"/>
      <c r="H397" s="218"/>
      <c r="I397" s="76"/>
      <c r="J397" s="77"/>
      <c r="K397" s="77"/>
      <c r="L397" s="76"/>
      <c r="M397" s="110"/>
      <c r="N397" s="152"/>
      <c r="O397" s="111" t="str">
        <f>IFERROR(MIN(VLOOKUP(ROUNDDOWN(N397,0),'Aide calcul'!$B$2:$C$282,2,FALSE),M397+1),"")</f>
        <v/>
      </c>
      <c r="P397" s="112" t="str">
        <f t="shared" si="82"/>
        <v/>
      </c>
      <c r="Q397" s="170"/>
      <c r="R397" s="170"/>
      <c r="S397" s="170"/>
      <c r="T397" s="170"/>
      <c r="U397" s="170"/>
      <c r="V397" s="170"/>
      <c r="W397" s="170"/>
      <c r="X397" s="76"/>
      <c r="Y397" s="76"/>
      <c r="Z397" s="113" t="str">
        <f>IFERROR(ROUND('Informations générales'!$E$66*(AE397/SUM($AE$28:$AE$404))/12,0)*12,"")</f>
        <v/>
      </c>
      <c r="AA397" s="114"/>
      <c r="AB397" s="113" t="str">
        <f t="shared" si="71"/>
        <v/>
      </c>
      <c r="AC397" s="89"/>
      <c r="AD397" s="76"/>
      <c r="AE397" s="56">
        <f t="shared" si="83"/>
        <v>0</v>
      </c>
      <c r="AF397" s="56">
        <f t="shared" si="72"/>
        <v>0</v>
      </c>
      <c r="AG397" s="56">
        <f t="shared" si="73"/>
        <v>0</v>
      </c>
      <c r="AH397" s="56">
        <f t="shared" si="74"/>
        <v>0</v>
      </c>
      <c r="AI397" s="56">
        <f t="shared" si="75"/>
        <v>0</v>
      </c>
      <c r="AJ397" s="56">
        <f t="shared" si="76"/>
        <v>0</v>
      </c>
      <c r="AK397" s="56">
        <f t="shared" si="77"/>
        <v>0</v>
      </c>
      <c r="AL397" s="56">
        <f t="shared" si="78"/>
        <v>0</v>
      </c>
      <c r="AM397" s="56">
        <f t="shared" si="84"/>
        <v>0</v>
      </c>
      <c r="AN397" s="60">
        <f t="shared" si="79"/>
        <v>0</v>
      </c>
      <c r="AO397" s="59">
        <f t="shared" si="80"/>
        <v>0</v>
      </c>
      <c r="AP397" s="59">
        <f t="shared" si="81"/>
        <v>0</v>
      </c>
    </row>
    <row r="398" spans="3:42" s="17" customFormat="1" x14ac:dyDescent="0.25">
      <c r="C398" s="241" t="s">
        <v>213</v>
      </c>
      <c r="D398" s="242"/>
      <c r="E398" s="88"/>
      <c r="F398" s="217"/>
      <c r="G398" s="234"/>
      <c r="H398" s="218"/>
      <c r="I398" s="76"/>
      <c r="J398" s="77"/>
      <c r="K398" s="77"/>
      <c r="L398" s="76"/>
      <c r="M398" s="110"/>
      <c r="N398" s="152"/>
      <c r="O398" s="111" t="str">
        <f>IFERROR(MIN(VLOOKUP(ROUNDDOWN(N398,0),'Aide calcul'!$B$2:$C$282,2,FALSE),M398+1),"")</f>
        <v/>
      </c>
      <c r="P398" s="112" t="str">
        <f t="shared" si="82"/>
        <v/>
      </c>
      <c r="Q398" s="170"/>
      <c r="R398" s="170"/>
      <c r="S398" s="170"/>
      <c r="T398" s="170"/>
      <c r="U398" s="170"/>
      <c r="V398" s="170"/>
      <c r="W398" s="170"/>
      <c r="X398" s="76"/>
      <c r="Y398" s="76"/>
      <c r="Z398" s="113" t="str">
        <f>IFERROR(ROUND('Informations générales'!$E$66*(AE398/SUM($AE$28:$AE$404))/12,0)*12,"")</f>
        <v/>
      </c>
      <c r="AA398" s="114"/>
      <c r="AB398" s="113" t="str">
        <f t="shared" si="71"/>
        <v/>
      </c>
      <c r="AC398" s="89"/>
      <c r="AD398" s="76"/>
      <c r="AE398" s="56">
        <f t="shared" si="83"/>
        <v>0</v>
      </c>
      <c r="AF398" s="56">
        <f t="shared" si="72"/>
        <v>0</v>
      </c>
      <c r="AG398" s="56">
        <f t="shared" si="73"/>
        <v>0</v>
      </c>
      <c r="AH398" s="56">
        <f t="shared" si="74"/>
        <v>0</v>
      </c>
      <c r="AI398" s="56">
        <f t="shared" si="75"/>
        <v>0</v>
      </c>
      <c r="AJ398" s="56">
        <f t="shared" si="76"/>
        <v>0</v>
      </c>
      <c r="AK398" s="56">
        <f t="shared" si="77"/>
        <v>0</v>
      </c>
      <c r="AL398" s="56">
        <f t="shared" si="78"/>
        <v>0</v>
      </c>
      <c r="AM398" s="56">
        <f t="shared" si="84"/>
        <v>0</v>
      </c>
      <c r="AN398" s="60">
        <f t="shared" si="79"/>
        <v>0</v>
      </c>
      <c r="AO398" s="59">
        <f t="shared" si="80"/>
        <v>0</v>
      </c>
      <c r="AP398" s="59">
        <f t="shared" si="81"/>
        <v>0</v>
      </c>
    </row>
    <row r="399" spans="3:42" s="17" customFormat="1" x14ac:dyDescent="0.25">
      <c r="C399" s="241" t="s">
        <v>213</v>
      </c>
      <c r="D399" s="242"/>
      <c r="E399" s="88"/>
      <c r="F399" s="217"/>
      <c r="G399" s="234"/>
      <c r="H399" s="218"/>
      <c r="I399" s="76"/>
      <c r="J399" s="77"/>
      <c r="K399" s="77"/>
      <c r="L399" s="76"/>
      <c r="M399" s="110"/>
      <c r="N399" s="152"/>
      <c r="O399" s="111" t="str">
        <f>IFERROR(MIN(VLOOKUP(ROUNDDOWN(N399,0),'Aide calcul'!$B$2:$C$282,2,FALSE),M399+1),"")</f>
        <v/>
      </c>
      <c r="P399" s="112" t="str">
        <f t="shared" si="82"/>
        <v/>
      </c>
      <c r="Q399" s="170"/>
      <c r="R399" s="170"/>
      <c r="S399" s="170"/>
      <c r="T399" s="170"/>
      <c r="U399" s="170"/>
      <c r="V399" s="170"/>
      <c r="W399" s="170"/>
      <c r="X399" s="76"/>
      <c r="Y399" s="76"/>
      <c r="Z399" s="113" t="str">
        <f>IFERROR(ROUND('Informations générales'!$E$66*(AE399/SUM($AE$28:$AE$404))/12,0)*12,"")</f>
        <v/>
      </c>
      <c r="AA399" s="114"/>
      <c r="AB399" s="113" t="str">
        <f t="shared" si="71"/>
        <v/>
      </c>
      <c r="AC399" s="89"/>
      <c r="AD399" s="76"/>
      <c r="AE399" s="56">
        <f t="shared" si="83"/>
        <v>0</v>
      </c>
      <c r="AF399" s="56">
        <f t="shared" si="72"/>
        <v>0</v>
      </c>
      <c r="AG399" s="56">
        <f t="shared" si="73"/>
        <v>0</v>
      </c>
      <c r="AH399" s="56">
        <f t="shared" si="74"/>
        <v>0</v>
      </c>
      <c r="AI399" s="56">
        <f t="shared" si="75"/>
        <v>0</v>
      </c>
      <c r="AJ399" s="56">
        <f t="shared" si="76"/>
        <v>0</v>
      </c>
      <c r="AK399" s="56">
        <f t="shared" si="77"/>
        <v>0</v>
      </c>
      <c r="AL399" s="56">
        <f t="shared" si="78"/>
        <v>0</v>
      </c>
      <c r="AM399" s="56">
        <f t="shared" si="84"/>
        <v>0</v>
      </c>
      <c r="AN399" s="60">
        <f t="shared" si="79"/>
        <v>0</v>
      </c>
      <c r="AO399" s="59">
        <f t="shared" si="80"/>
        <v>0</v>
      </c>
      <c r="AP399" s="59">
        <f t="shared" si="81"/>
        <v>0</v>
      </c>
    </row>
    <row r="400" spans="3:42" s="17" customFormat="1" x14ac:dyDescent="0.25">
      <c r="C400" s="241" t="s">
        <v>213</v>
      </c>
      <c r="D400" s="242"/>
      <c r="E400" s="88"/>
      <c r="F400" s="217"/>
      <c r="G400" s="234"/>
      <c r="H400" s="218"/>
      <c r="I400" s="76"/>
      <c r="J400" s="77"/>
      <c r="K400" s="77"/>
      <c r="L400" s="76"/>
      <c r="M400" s="110"/>
      <c r="N400" s="152"/>
      <c r="O400" s="111" t="str">
        <f>IFERROR(MIN(VLOOKUP(ROUNDDOWN(N400,0),'Aide calcul'!$B$2:$C$282,2,FALSE),M400+1),"")</f>
        <v/>
      </c>
      <c r="P400" s="112" t="str">
        <f t="shared" si="82"/>
        <v/>
      </c>
      <c r="Q400" s="170"/>
      <c r="R400" s="170"/>
      <c r="S400" s="170"/>
      <c r="T400" s="170"/>
      <c r="U400" s="170"/>
      <c r="V400" s="170"/>
      <c r="W400" s="170"/>
      <c r="X400" s="76"/>
      <c r="Y400" s="76"/>
      <c r="Z400" s="113" t="str">
        <f>IFERROR(ROUND('Informations générales'!$E$66*(AE400/SUM($AE$28:$AE$404))/12,0)*12,"")</f>
        <v/>
      </c>
      <c r="AA400" s="114"/>
      <c r="AB400" s="113" t="str">
        <f t="shared" si="71"/>
        <v/>
      </c>
      <c r="AC400" s="89"/>
      <c r="AD400" s="76"/>
      <c r="AE400" s="56">
        <f t="shared" si="83"/>
        <v>0</v>
      </c>
      <c r="AF400" s="56">
        <f t="shared" si="72"/>
        <v>0</v>
      </c>
      <c r="AG400" s="56">
        <f t="shared" si="73"/>
        <v>0</v>
      </c>
      <c r="AH400" s="56">
        <f t="shared" si="74"/>
        <v>0</v>
      </c>
      <c r="AI400" s="56">
        <f t="shared" si="75"/>
        <v>0</v>
      </c>
      <c r="AJ400" s="56">
        <f t="shared" si="76"/>
        <v>0</v>
      </c>
      <c r="AK400" s="56">
        <f t="shared" si="77"/>
        <v>0</v>
      </c>
      <c r="AL400" s="56">
        <f t="shared" si="78"/>
        <v>0</v>
      </c>
      <c r="AM400" s="56">
        <f t="shared" si="84"/>
        <v>0</v>
      </c>
      <c r="AN400" s="60">
        <f t="shared" si="79"/>
        <v>0</v>
      </c>
      <c r="AO400" s="59">
        <f t="shared" si="80"/>
        <v>0</v>
      </c>
      <c r="AP400" s="59">
        <f t="shared" si="81"/>
        <v>0</v>
      </c>
    </row>
    <row r="401" spans="3:42" s="17" customFormat="1" x14ac:dyDescent="0.25">
      <c r="C401" s="241" t="s">
        <v>213</v>
      </c>
      <c r="D401" s="242"/>
      <c r="E401" s="88"/>
      <c r="F401" s="217"/>
      <c r="G401" s="234"/>
      <c r="H401" s="218"/>
      <c r="I401" s="76"/>
      <c r="J401" s="77"/>
      <c r="K401" s="77"/>
      <c r="L401" s="76"/>
      <c r="M401" s="110"/>
      <c r="N401" s="152"/>
      <c r="O401" s="111" t="str">
        <f>IFERROR(MIN(VLOOKUP(ROUNDDOWN(N401,0),'Aide calcul'!$B$2:$C$282,2,FALSE),M401+1),"")</f>
        <v/>
      </c>
      <c r="P401" s="112" t="str">
        <f t="shared" si="82"/>
        <v/>
      </c>
      <c r="Q401" s="170"/>
      <c r="R401" s="170"/>
      <c r="S401" s="170"/>
      <c r="T401" s="170"/>
      <c r="U401" s="170"/>
      <c r="V401" s="170"/>
      <c r="W401" s="170"/>
      <c r="X401" s="76"/>
      <c r="Y401" s="76"/>
      <c r="Z401" s="113" t="str">
        <f>IFERROR(ROUND('Informations générales'!$E$66*(AE401/SUM($AE$28:$AE$404))/12,0)*12,"")</f>
        <v/>
      </c>
      <c r="AA401" s="114"/>
      <c r="AB401" s="113" t="str">
        <f t="shared" si="71"/>
        <v/>
      </c>
      <c r="AC401" s="89"/>
      <c r="AD401" s="76"/>
      <c r="AE401" s="56">
        <f t="shared" si="83"/>
        <v>0</v>
      </c>
      <c r="AF401" s="56">
        <f t="shared" si="72"/>
        <v>0</v>
      </c>
      <c r="AG401" s="56">
        <f t="shared" si="73"/>
        <v>0</v>
      </c>
      <c r="AH401" s="56">
        <f t="shared" si="74"/>
        <v>0</v>
      </c>
      <c r="AI401" s="56">
        <f t="shared" si="75"/>
        <v>0</v>
      </c>
      <c r="AJ401" s="56">
        <f t="shared" si="76"/>
        <v>0</v>
      </c>
      <c r="AK401" s="56">
        <f t="shared" si="77"/>
        <v>0</v>
      </c>
      <c r="AL401" s="56">
        <f t="shared" si="78"/>
        <v>0</v>
      </c>
      <c r="AM401" s="56">
        <f t="shared" si="84"/>
        <v>0</v>
      </c>
      <c r="AN401" s="60">
        <f t="shared" si="79"/>
        <v>0</v>
      </c>
      <c r="AO401" s="59">
        <f t="shared" si="80"/>
        <v>0</v>
      </c>
      <c r="AP401" s="59">
        <f t="shared" si="81"/>
        <v>0</v>
      </c>
    </row>
    <row r="402" spans="3:42" s="17" customFormat="1" x14ac:dyDescent="0.25">
      <c r="C402" s="241" t="s">
        <v>213</v>
      </c>
      <c r="D402" s="242"/>
      <c r="E402" s="88"/>
      <c r="F402" s="217"/>
      <c r="G402" s="234"/>
      <c r="H402" s="218"/>
      <c r="I402" s="76"/>
      <c r="J402" s="77"/>
      <c r="K402" s="77"/>
      <c r="L402" s="76"/>
      <c r="M402" s="110"/>
      <c r="N402" s="152"/>
      <c r="O402" s="111" t="str">
        <f>IFERROR(MIN(VLOOKUP(ROUNDDOWN(N402,0),'Aide calcul'!$B$2:$C$282,2,FALSE),M402+1),"")</f>
        <v/>
      </c>
      <c r="P402" s="112" t="str">
        <f t="shared" si="82"/>
        <v/>
      </c>
      <c r="Q402" s="170"/>
      <c r="R402" s="170"/>
      <c r="S402" s="170"/>
      <c r="T402" s="170"/>
      <c r="U402" s="170"/>
      <c r="V402" s="170"/>
      <c r="W402" s="170"/>
      <c r="X402" s="76"/>
      <c r="Y402" s="76"/>
      <c r="Z402" s="113" t="str">
        <f>IFERROR(ROUND('Informations générales'!$E$66*(AE402/SUM($AE$28:$AE$404))/12,0)*12,"")</f>
        <v/>
      </c>
      <c r="AA402" s="114"/>
      <c r="AB402" s="113" t="str">
        <f t="shared" si="71"/>
        <v/>
      </c>
      <c r="AC402" s="89"/>
      <c r="AD402" s="76"/>
      <c r="AE402" s="56">
        <f t="shared" si="83"/>
        <v>0</v>
      </c>
      <c r="AF402" s="56">
        <f t="shared" si="72"/>
        <v>0</v>
      </c>
      <c r="AG402" s="56">
        <f t="shared" si="73"/>
        <v>0</v>
      </c>
      <c r="AH402" s="56">
        <f t="shared" si="74"/>
        <v>0</v>
      </c>
      <c r="AI402" s="56">
        <f t="shared" si="75"/>
        <v>0</v>
      </c>
      <c r="AJ402" s="56">
        <f t="shared" si="76"/>
        <v>0</v>
      </c>
      <c r="AK402" s="56">
        <f t="shared" si="77"/>
        <v>0</v>
      </c>
      <c r="AL402" s="56">
        <f t="shared" si="78"/>
        <v>0</v>
      </c>
      <c r="AM402" s="56">
        <f t="shared" si="84"/>
        <v>0</v>
      </c>
      <c r="AN402" s="60">
        <f t="shared" si="79"/>
        <v>0</v>
      </c>
      <c r="AO402" s="59">
        <f t="shared" si="80"/>
        <v>0</v>
      </c>
      <c r="AP402" s="59">
        <f t="shared" si="81"/>
        <v>0</v>
      </c>
    </row>
    <row r="403" spans="3:42" s="17" customFormat="1" x14ac:dyDescent="0.25">
      <c r="C403" s="241" t="s">
        <v>213</v>
      </c>
      <c r="D403" s="242"/>
      <c r="E403" s="88"/>
      <c r="F403" s="217"/>
      <c r="G403" s="234"/>
      <c r="H403" s="218"/>
      <c r="I403" s="76"/>
      <c r="J403" s="77"/>
      <c r="K403" s="77"/>
      <c r="L403" s="76"/>
      <c r="M403" s="110"/>
      <c r="N403" s="152"/>
      <c r="O403" s="111" t="str">
        <f>IFERROR(MIN(VLOOKUP(ROUNDDOWN(N403,0),'Aide calcul'!$B$2:$C$282,2,FALSE),M403+1),"")</f>
        <v/>
      </c>
      <c r="P403" s="112" t="str">
        <f t="shared" si="82"/>
        <v/>
      </c>
      <c r="Q403" s="170"/>
      <c r="R403" s="170"/>
      <c r="S403" s="170"/>
      <c r="T403" s="170"/>
      <c r="U403" s="170"/>
      <c r="V403" s="170"/>
      <c r="W403" s="170"/>
      <c r="X403" s="76"/>
      <c r="Y403" s="76"/>
      <c r="Z403" s="113" t="str">
        <f>IFERROR(ROUND('Informations générales'!$E$66*(AE403/SUM($AE$28:$AE$404))/12,0)*12,"")</f>
        <v/>
      </c>
      <c r="AA403" s="114"/>
      <c r="AB403" s="113" t="str">
        <f t="shared" si="71"/>
        <v/>
      </c>
      <c r="AC403" s="89"/>
      <c r="AD403" s="76"/>
      <c r="AE403" s="56">
        <f t="shared" si="83"/>
        <v>0</v>
      </c>
      <c r="AF403" s="56">
        <f t="shared" si="72"/>
        <v>0</v>
      </c>
      <c r="AG403" s="56">
        <f t="shared" si="73"/>
        <v>0</v>
      </c>
      <c r="AH403" s="56">
        <f t="shared" si="74"/>
        <v>0</v>
      </c>
      <c r="AI403" s="56">
        <f t="shared" si="75"/>
        <v>0</v>
      </c>
      <c r="AJ403" s="56">
        <f t="shared" si="76"/>
        <v>0</v>
      </c>
      <c r="AK403" s="56">
        <f t="shared" si="77"/>
        <v>0</v>
      </c>
      <c r="AL403" s="56">
        <f t="shared" si="78"/>
        <v>0</v>
      </c>
      <c r="AM403" s="56">
        <f t="shared" si="84"/>
        <v>0</v>
      </c>
      <c r="AN403" s="60">
        <f t="shared" si="79"/>
        <v>0</v>
      </c>
      <c r="AO403" s="59">
        <f t="shared" si="80"/>
        <v>0</v>
      </c>
      <c r="AP403" s="59">
        <f t="shared" si="81"/>
        <v>0</v>
      </c>
    </row>
    <row r="404" spans="3:42" s="17" customFormat="1" x14ac:dyDescent="0.25">
      <c r="C404" s="241" t="s">
        <v>213</v>
      </c>
      <c r="D404" s="242"/>
      <c r="E404" s="88"/>
      <c r="F404" s="217"/>
      <c r="G404" s="234"/>
      <c r="H404" s="218"/>
      <c r="I404" s="76"/>
      <c r="J404" s="77"/>
      <c r="K404" s="77"/>
      <c r="L404" s="76"/>
      <c r="M404" s="110"/>
      <c r="N404" s="152"/>
      <c r="O404" s="111" t="str">
        <f>IFERROR(MIN(VLOOKUP(ROUNDDOWN(N404,0),'Aide calcul'!$B$2:$C$282,2,FALSE),M404+1),"")</f>
        <v/>
      </c>
      <c r="P404" s="112" t="str">
        <f t="shared" si="82"/>
        <v/>
      </c>
      <c r="Q404" s="170"/>
      <c r="R404" s="170"/>
      <c r="S404" s="170"/>
      <c r="T404" s="170"/>
      <c r="U404" s="170"/>
      <c r="V404" s="170"/>
      <c r="W404" s="170"/>
      <c r="X404" s="76"/>
      <c r="Y404" s="76"/>
      <c r="Z404" s="113" t="str">
        <f>IFERROR(ROUND('Informations générales'!$E$66*(AE404/SUM($AE$28:$AE$404))/12,0)*12,"")</f>
        <v/>
      </c>
      <c r="AA404" s="114"/>
      <c r="AB404" s="113" t="str">
        <f t="shared" si="71"/>
        <v/>
      </c>
      <c r="AC404" s="89"/>
      <c r="AD404" s="76"/>
      <c r="AE404" s="56">
        <f t="shared" si="83"/>
        <v>0</v>
      </c>
      <c r="AF404" s="56">
        <f t="shared" si="72"/>
        <v>0</v>
      </c>
      <c r="AG404" s="56">
        <f t="shared" si="73"/>
        <v>0</v>
      </c>
      <c r="AH404" s="56">
        <f t="shared" si="74"/>
        <v>0</v>
      </c>
      <c r="AI404" s="56">
        <f t="shared" si="75"/>
        <v>0</v>
      </c>
      <c r="AJ404" s="56">
        <f t="shared" si="76"/>
        <v>0</v>
      </c>
      <c r="AK404" s="56">
        <f t="shared" si="77"/>
        <v>0</v>
      </c>
      <c r="AL404" s="56">
        <f t="shared" si="78"/>
        <v>0</v>
      </c>
      <c r="AM404" s="56">
        <f t="shared" si="84"/>
        <v>0</v>
      </c>
      <c r="AN404" s="60">
        <f t="shared" si="79"/>
        <v>0</v>
      </c>
      <c r="AO404" s="59">
        <f t="shared" si="80"/>
        <v>0</v>
      </c>
      <c r="AP404" s="59">
        <f t="shared" si="81"/>
        <v>0</v>
      </c>
    </row>
    <row r="405" spans="3:42" s="17" customFormat="1" x14ac:dyDescent="0.25">
      <c r="C405" s="241" t="s">
        <v>213</v>
      </c>
      <c r="D405" s="242"/>
      <c r="E405" s="88"/>
      <c r="F405" s="217"/>
      <c r="G405" s="234"/>
      <c r="H405" s="218"/>
      <c r="I405" s="76"/>
      <c r="J405" s="77"/>
      <c r="K405" s="77"/>
      <c r="L405" s="76"/>
      <c r="M405" s="110"/>
      <c r="N405" s="152"/>
      <c r="O405" s="111" t="str">
        <f>IFERROR(MIN(VLOOKUP(ROUNDDOWN(N405,0),'Aide calcul'!$B$2:$C$282,2,FALSE),M405+1),"")</f>
        <v/>
      </c>
      <c r="P405" s="112" t="str">
        <f t="shared" si="82"/>
        <v/>
      </c>
      <c r="Q405" s="170"/>
      <c r="R405" s="170"/>
      <c r="S405" s="170"/>
      <c r="T405" s="170"/>
      <c r="U405" s="170"/>
      <c r="V405" s="170"/>
      <c r="W405" s="170"/>
      <c r="X405" s="76"/>
      <c r="Y405" s="76"/>
      <c r="Z405" s="113" t="str">
        <f>IFERROR(ROUND('Informations générales'!$E$66*(AE405/SUM($AE$28:$AE$404))/12,0)*12,"")</f>
        <v/>
      </c>
      <c r="AA405" s="114"/>
      <c r="AB405" s="113" t="str">
        <f t="shared" si="71"/>
        <v/>
      </c>
      <c r="AC405" s="89"/>
      <c r="AD405" s="76"/>
      <c r="AE405" s="56">
        <f t="shared" si="83"/>
        <v>0</v>
      </c>
      <c r="AF405" s="56">
        <f t="shared" si="72"/>
        <v>0</v>
      </c>
      <c r="AG405" s="56">
        <f t="shared" si="73"/>
        <v>0</v>
      </c>
      <c r="AH405" s="56">
        <f t="shared" si="74"/>
        <v>0</v>
      </c>
      <c r="AI405" s="56">
        <f t="shared" si="75"/>
        <v>0</v>
      </c>
      <c r="AJ405" s="56">
        <f t="shared" si="76"/>
        <v>0</v>
      </c>
      <c r="AK405" s="56">
        <f t="shared" si="77"/>
        <v>0</v>
      </c>
      <c r="AL405" s="56">
        <f t="shared" si="78"/>
        <v>0</v>
      </c>
      <c r="AM405" s="56">
        <f t="shared" si="84"/>
        <v>0</v>
      </c>
      <c r="AN405" s="60">
        <f t="shared" si="79"/>
        <v>0</v>
      </c>
      <c r="AO405" s="59">
        <f t="shared" si="80"/>
        <v>0</v>
      </c>
      <c r="AP405" s="59">
        <f t="shared" si="81"/>
        <v>0</v>
      </c>
    </row>
    <row r="406" spans="3:42" s="17" customFormat="1" x14ac:dyDescent="0.25">
      <c r="C406" s="241" t="s">
        <v>213</v>
      </c>
      <c r="D406" s="242"/>
      <c r="E406" s="88"/>
      <c r="F406" s="217"/>
      <c r="G406" s="234"/>
      <c r="H406" s="218"/>
      <c r="I406" s="76"/>
      <c r="J406" s="77"/>
      <c r="K406" s="77"/>
      <c r="L406" s="76"/>
      <c r="M406" s="110"/>
      <c r="N406" s="152"/>
      <c r="O406" s="111" t="str">
        <f>IFERROR(MIN(VLOOKUP(ROUNDDOWN(N406,0),'Aide calcul'!$B$2:$C$282,2,FALSE),M406+1),"")</f>
        <v/>
      </c>
      <c r="P406" s="112" t="str">
        <f t="shared" si="82"/>
        <v/>
      </c>
      <c r="Q406" s="170"/>
      <c r="R406" s="170"/>
      <c r="S406" s="170"/>
      <c r="T406" s="170"/>
      <c r="U406" s="170"/>
      <c r="V406" s="170"/>
      <c r="W406" s="170"/>
      <c r="X406" s="76"/>
      <c r="Y406" s="76"/>
      <c r="Z406" s="113" t="str">
        <f>IFERROR(ROUND('Informations générales'!$E$66*(AE406/SUM($AE$28:$AE$404))/12,0)*12,"")</f>
        <v/>
      </c>
      <c r="AA406" s="114"/>
      <c r="AB406" s="113" t="str">
        <f t="shared" si="71"/>
        <v/>
      </c>
      <c r="AC406" s="89"/>
      <c r="AD406" s="76"/>
      <c r="AE406" s="56">
        <f t="shared" si="83"/>
        <v>0</v>
      </c>
      <c r="AF406" s="56">
        <f t="shared" si="72"/>
        <v>0</v>
      </c>
      <c r="AG406" s="56">
        <f t="shared" si="73"/>
        <v>0</v>
      </c>
      <c r="AH406" s="56">
        <f t="shared" si="74"/>
        <v>0</v>
      </c>
      <c r="AI406" s="56">
        <f t="shared" si="75"/>
        <v>0</v>
      </c>
      <c r="AJ406" s="56">
        <f t="shared" si="76"/>
        <v>0</v>
      </c>
      <c r="AK406" s="56">
        <f t="shared" si="77"/>
        <v>0</v>
      </c>
      <c r="AL406" s="56">
        <f t="shared" si="78"/>
        <v>0</v>
      </c>
      <c r="AM406" s="56">
        <f t="shared" si="84"/>
        <v>0</v>
      </c>
      <c r="AN406" s="60">
        <f t="shared" si="79"/>
        <v>0</v>
      </c>
      <c r="AO406" s="59">
        <f t="shared" si="80"/>
        <v>0</v>
      </c>
      <c r="AP406" s="59">
        <f t="shared" si="81"/>
        <v>0</v>
      </c>
    </row>
    <row r="407" spans="3:42" s="17" customFormat="1" x14ac:dyDescent="0.25">
      <c r="C407" s="241" t="s">
        <v>213</v>
      </c>
      <c r="D407" s="242"/>
      <c r="E407" s="88"/>
      <c r="F407" s="217"/>
      <c r="G407" s="234"/>
      <c r="H407" s="218"/>
      <c r="I407" s="76"/>
      <c r="J407" s="77"/>
      <c r="K407" s="77"/>
      <c r="L407" s="76"/>
      <c r="M407" s="110"/>
      <c r="N407" s="152"/>
      <c r="O407" s="111" t="str">
        <f>IFERROR(MIN(VLOOKUP(ROUNDDOWN(N407,0),'Aide calcul'!$B$2:$C$282,2,FALSE),M407+1),"")</f>
        <v/>
      </c>
      <c r="P407" s="112" t="str">
        <f t="shared" si="82"/>
        <v/>
      </c>
      <c r="Q407" s="170"/>
      <c r="R407" s="170"/>
      <c r="S407" s="170"/>
      <c r="T407" s="170"/>
      <c r="U407" s="170"/>
      <c r="V407" s="170"/>
      <c r="W407" s="170"/>
      <c r="X407" s="76"/>
      <c r="Y407" s="76"/>
      <c r="Z407" s="113" t="str">
        <f>IFERROR(ROUND('Informations générales'!$E$66*(AE407/SUM($AE$28:$AE$404))/12,0)*12,"")</f>
        <v/>
      </c>
      <c r="AA407" s="114"/>
      <c r="AB407" s="113" t="str">
        <f t="shared" si="71"/>
        <v/>
      </c>
      <c r="AC407" s="89"/>
      <c r="AD407" s="76"/>
      <c r="AE407" s="56">
        <f t="shared" si="83"/>
        <v>0</v>
      </c>
      <c r="AF407" s="56">
        <f t="shared" si="72"/>
        <v>0</v>
      </c>
      <c r="AG407" s="56">
        <f t="shared" si="73"/>
        <v>0</v>
      </c>
      <c r="AH407" s="56">
        <f t="shared" si="74"/>
        <v>0</v>
      </c>
      <c r="AI407" s="56">
        <f t="shared" si="75"/>
        <v>0</v>
      </c>
      <c r="AJ407" s="56">
        <f t="shared" si="76"/>
        <v>0</v>
      </c>
      <c r="AK407" s="56">
        <f t="shared" si="77"/>
        <v>0</v>
      </c>
      <c r="AL407" s="56">
        <f t="shared" si="78"/>
        <v>0</v>
      </c>
      <c r="AM407" s="56">
        <f t="shared" si="84"/>
        <v>0</v>
      </c>
      <c r="AN407" s="60">
        <f t="shared" si="79"/>
        <v>0</v>
      </c>
      <c r="AO407" s="59">
        <f t="shared" si="80"/>
        <v>0</v>
      </c>
      <c r="AP407" s="59">
        <f t="shared" si="81"/>
        <v>0</v>
      </c>
    </row>
    <row r="408" spans="3:42" s="17" customFormat="1" x14ac:dyDescent="0.25">
      <c r="C408" s="241" t="s">
        <v>213</v>
      </c>
      <c r="D408" s="242"/>
      <c r="E408" s="88"/>
      <c r="F408" s="217"/>
      <c r="G408" s="234"/>
      <c r="H408" s="218"/>
      <c r="I408" s="76"/>
      <c r="J408" s="77"/>
      <c r="K408" s="77"/>
      <c r="L408" s="76"/>
      <c r="M408" s="110"/>
      <c r="N408" s="152"/>
      <c r="O408" s="111" t="str">
        <f>IFERROR(MIN(VLOOKUP(ROUNDDOWN(N408,0),'Aide calcul'!$B$2:$C$282,2,FALSE),M408+1),"")</f>
        <v/>
      </c>
      <c r="P408" s="112" t="str">
        <f t="shared" si="82"/>
        <v/>
      </c>
      <c r="Q408" s="170"/>
      <c r="R408" s="170"/>
      <c r="S408" s="170"/>
      <c r="T408" s="170"/>
      <c r="U408" s="170"/>
      <c r="V408" s="170"/>
      <c r="W408" s="170"/>
      <c r="X408" s="76"/>
      <c r="Y408" s="76"/>
      <c r="Z408" s="113" t="str">
        <f>IFERROR(ROUND('Informations générales'!$E$66*(AE408/SUM($AE$28:$AE$404))/12,0)*12,"")</f>
        <v/>
      </c>
      <c r="AA408" s="114"/>
      <c r="AB408" s="113" t="str">
        <f t="shared" si="71"/>
        <v/>
      </c>
      <c r="AC408" s="89"/>
      <c r="AD408" s="76"/>
      <c r="AE408" s="56">
        <f t="shared" si="83"/>
        <v>0</v>
      </c>
      <c r="AF408" s="56">
        <f t="shared" si="72"/>
        <v>0</v>
      </c>
      <c r="AG408" s="56">
        <f t="shared" si="73"/>
        <v>0</v>
      </c>
      <c r="AH408" s="56">
        <f t="shared" si="74"/>
        <v>0</v>
      </c>
      <c r="AI408" s="56">
        <f t="shared" si="75"/>
        <v>0</v>
      </c>
      <c r="AJ408" s="56">
        <f t="shared" si="76"/>
        <v>0</v>
      </c>
      <c r="AK408" s="56">
        <f t="shared" si="77"/>
        <v>0</v>
      </c>
      <c r="AL408" s="56">
        <f t="shared" si="78"/>
        <v>0</v>
      </c>
      <c r="AM408" s="56">
        <f t="shared" si="84"/>
        <v>0</v>
      </c>
      <c r="AN408" s="60">
        <f t="shared" si="79"/>
        <v>0</v>
      </c>
      <c r="AO408" s="59">
        <f t="shared" si="80"/>
        <v>0</v>
      </c>
      <c r="AP408" s="59">
        <f t="shared" si="81"/>
        <v>0</v>
      </c>
    </row>
    <row r="409" spans="3:42" s="17" customFormat="1" x14ac:dyDescent="0.25">
      <c r="C409" s="241" t="s">
        <v>213</v>
      </c>
      <c r="D409" s="242"/>
      <c r="E409" s="88"/>
      <c r="F409" s="217"/>
      <c r="G409" s="234"/>
      <c r="H409" s="218"/>
      <c r="I409" s="76"/>
      <c r="J409" s="77"/>
      <c r="K409" s="77"/>
      <c r="L409" s="76"/>
      <c r="M409" s="110"/>
      <c r="N409" s="152"/>
      <c r="O409" s="111" t="str">
        <f>IFERROR(MIN(VLOOKUP(ROUNDDOWN(N409,0),'Aide calcul'!$B$2:$C$282,2,FALSE),M409+1),"")</f>
        <v/>
      </c>
      <c r="P409" s="112" t="str">
        <f t="shared" si="82"/>
        <v/>
      </c>
      <c r="Q409" s="170"/>
      <c r="R409" s="170"/>
      <c r="S409" s="170"/>
      <c r="T409" s="170"/>
      <c r="U409" s="170"/>
      <c r="V409" s="170"/>
      <c r="W409" s="170"/>
      <c r="X409" s="76"/>
      <c r="Y409" s="76"/>
      <c r="Z409" s="113" t="str">
        <f>IFERROR(ROUND('Informations générales'!$E$66*(AE409/SUM($AE$28:$AE$404))/12,0)*12,"")</f>
        <v/>
      </c>
      <c r="AA409" s="114"/>
      <c r="AB409" s="113" t="str">
        <f t="shared" si="71"/>
        <v/>
      </c>
      <c r="AC409" s="89"/>
      <c r="AD409" s="76"/>
      <c r="AE409" s="56">
        <f t="shared" si="83"/>
        <v>0</v>
      </c>
      <c r="AF409" s="56">
        <f t="shared" si="72"/>
        <v>0</v>
      </c>
      <c r="AG409" s="56">
        <f t="shared" si="73"/>
        <v>0</v>
      </c>
      <c r="AH409" s="56">
        <f t="shared" si="74"/>
        <v>0</v>
      </c>
      <c r="AI409" s="56">
        <f t="shared" si="75"/>
        <v>0</v>
      </c>
      <c r="AJ409" s="56">
        <f t="shared" si="76"/>
        <v>0</v>
      </c>
      <c r="AK409" s="56">
        <f t="shared" si="77"/>
        <v>0</v>
      </c>
      <c r="AL409" s="56">
        <f t="shared" si="78"/>
        <v>0</v>
      </c>
      <c r="AM409" s="56">
        <f t="shared" si="84"/>
        <v>0</v>
      </c>
      <c r="AN409" s="60">
        <f t="shared" si="79"/>
        <v>0</v>
      </c>
      <c r="AO409" s="59">
        <f t="shared" si="80"/>
        <v>0</v>
      </c>
      <c r="AP409" s="59">
        <f t="shared" si="81"/>
        <v>0</v>
      </c>
    </row>
    <row r="410" spans="3:42" s="17" customFormat="1" x14ac:dyDescent="0.25">
      <c r="C410" s="241" t="s">
        <v>213</v>
      </c>
      <c r="D410" s="242"/>
      <c r="E410" s="88"/>
      <c r="F410" s="217"/>
      <c r="G410" s="234"/>
      <c r="H410" s="218"/>
      <c r="I410" s="76"/>
      <c r="J410" s="77"/>
      <c r="K410" s="77"/>
      <c r="L410" s="76"/>
      <c r="M410" s="110"/>
      <c r="N410" s="152"/>
      <c r="O410" s="111" t="str">
        <f>IFERROR(MIN(VLOOKUP(ROUNDDOWN(N410,0),'Aide calcul'!$B$2:$C$282,2,FALSE),M410+1),"")</f>
        <v/>
      </c>
      <c r="P410" s="112" t="str">
        <f t="shared" si="82"/>
        <v/>
      </c>
      <c r="Q410" s="170"/>
      <c r="R410" s="170"/>
      <c r="S410" s="170"/>
      <c r="T410" s="170"/>
      <c r="U410" s="170"/>
      <c r="V410" s="170"/>
      <c r="W410" s="170"/>
      <c r="X410" s="76"/>
      <c r="Y410" s="76"/>
      <c r="Z410" s="113" t="str">
        <f>IFERROR(ROUND('Informations générales'!$E$66*(AE410/SUM($AE$28:$AE$404))/12,0)*12,"")</f>
        <v/>
      </c>
      <c r="AA410" s="114"/>
      <c r="AB410" s="113" t="str">
        <f t="shared" si="71"/>
        <v/>
      </c>
      <c r="AC410" s="89"/>
      <c r="AD410" s="76"/>
      <c r="AE410" s="56">
        <f t="shared" si="83"/>
        <v>0</v>
      </c>
      <c r="AF410" s="56">
        <f t="shared" si="72"/>
        <v>0</v>
      </c>
      <c r="AG410" s="56">
        <f t="shared" si="73"/>
        <v>0</v>
      </c>
      <c r="AH410" s="56">
        <f t="shared" si="74"/>
        <v>0</v>
      </c>
      <c r="AI410" s="56">
        <f t="shared" si="75"/>
        <v>0</v>
      </c>
      <c r="AJ410" s="56">
        <f t="shared" si="76"/>
        <v>0</v>
      </c>
      <c r="AK410" s="56">
        <f t="shared" si="77"/>
        <v>0</v>
      </c>
      <c r="AL410" s="56">
        <f t="shared" si="78"/>
        <v>0</v>
      </c>
      <c r="AM410" s="56">
        <f t="shared" si="84"/>
        <v>0</v>
      </c>
      <c r="AN410" s="60">
        <f t="shared" si="79"/>
        <v>0</v>
      </c>
      <c r="AO410" s="59">
        <f t="shared" si="80"/>
        <v>0</v>
      </c>
      <c r="AP410" s="59">
        <f t="shared" si="81"/>
        <v>0</v>
      </c>
    </row>
    <row r="411" spans="3:42" s="17" customFormat="1" x14ac:dyDescent="0.25">
      <c r="C411" s="241" t="s">
        <v>213</v>
      </c>
      <c r="D411" s="242"/>
      <c r="E411" s="88"/>
      <c r="F411" s="217"/>
      <c r="G411" s="234"/>
      <c r="H411" s="218"/>
      <c r="I411" s="76"/>
      <c r="J411" s="77"/>
      <c r="K411" s="77"/>
      <c r="L411" s="76"/>
      <c r="M411" s="110"/>
      <c r="N411" s="152"/>
      <c r="O411" s="111" t="str">
        <f>IFERROR(MIN(VLOOKUP(ROUNDDOWN(N411,0),'Aide calcul'!$B$2:$C$282,2,FALSE),M411+1),"")</f>
        <v/>
      </c>
      <c r="P411" s="112" t="str">
        <f t="shared" si="82"/>
        <v/>
      </c>
      <c r="Q411" s="170"/>
      <c r="R411" s="170"/>
      <c r="S411" s="170"/>
      <c r="T411" s="170"/>
      <c r="U411" s="170"/>
      <c r="V411" s="170"/>
      <c r="W411" s="170"/>
      <c r="X411" s="76"/>
      <c r="Y411" s="76"/>
      <c r="Z411" s="113" t="str">
        <f>IFERROR(ROUND('Informations générales'!$E$66*(AE411/SUM($AE$28:$AE$404))/12,0)*12,"")</f>
        <v/>
      </c>
      <c r="AA411" s="114"/>
      <c r="AB411" s="113" t="str">
        <f t="shared" si="71"/>
        <v/>
      </c>
      <c r="AC411" s="89"/>
      <c r="AD411" s="76"/>
      <c r="AE411" s="56">
        <f t="shared" si="83"/>
        <v>0</v>
      </c>
      <c r="AF411" s="56">
        <f t="shared" si="72"/>
        <v>0</v>
      </c>
      <c r="AG411" s="56">
        <f t="shared" si="73"/>
        <v>0</v>
      </c>
      <c r="AH411" s="56">
        <f t="shared" si="74"/>
        <v>0</v>
      </c>
      <c r="AI411" s="56">
        <f t="shared" si="75"/>
        <v>0</v>
      </c>
      <c r="AJ411" s="56">
        <f t="shared" si="76"/>
        <v>0</v>
      </c>
      <c r="AK411" s="56">
        <f t="shared" si="77"/>
        <v>0</v>
      </c>
      <c r="AL411" s="56">
        <f t="shared" si="78"/>
        <v>0</v>
      </c>
      <c r="AM411" s="56">
        <f t="shared" si="84"/>
        <v>0</v>
      </c>
      <c r="AN411" s="60">
        <f t="shared" si="79"/>
        <v>0</v>
      </c>
      <c r="AO411" s="59">
        <f t="shared" si="80"/>
        <v>0</v>
      </c>
      <c r="AP411" s="59">
        <f t="shared" si="81"/>
        <v>0</v>
      </c>
    </row>
    <row r="412" spans="3:42" s="17" customFormat="1" x14ac:dyDescent="0.25">
      <c r="C412" s="241" t="s">
        <v>213</v>
      </c>
      <c r="D412" s="242"/>
      <c r="E412" s="88"/>
      <c r="F412" s="217"/>
      <c r="G412" s="234"/>
      <c r="H412" s="218"/>
      <c r="I412" s="76"/>
      <c r="J412" s="77"/>
      <c r="K412" s="77"/>
      <c r="L412" s="76"/>
      <c r="M412" s="110"/>
      <c r="N412" s="152"/>
      <c r="O412" s="111" t="str">
        <f>IFERROR(MIN(VLOOKUP(ROUNDDOWN(N412,0),'Aide calcul'!$B$2:$C$282,2,FALSE),M412+1),"")</f>
        <v/>
      </c>
      <c r="P412" s="112" t="str">
        <f t="shared" si="82"/>
        <v/>
      </c>
      <c r="Q412" s="170"/>
      <c r="R412" s="170"/>
      <c r="S412" s="170"/>
      <c r="T412" s="170"/>
      <c r="U412" s="170"/>
      <c r="V412" s="170"/>
      <c r="W412" s="170"/>
      <c r="X412" s="76"/>
      <c r="Y412" s="76"/>
      <c r="Z412" s="113" t="str">
        <f>IFERROR(ROUND('Informations générales'!$E$66*(AE412/SUM($AE$28:$AE$404))/12,0)*12,"")</f>
        <v/>
      </c>
      <c r="AA412" s="114"/>
      <c r="AB412" s="113" t="str">
        <f t="shared" ref="AB412:AB475" si="85">IFERROR(Z412/AM412,"")</f>
        <v/>
      </c>
      <c r="AC412" s="89"/>
      <c r="AD412" s="76"/>
      <c r="AE412" s="56">
        <f t="shared" si="83"/>
        <v>0</v>
      </c>
      <c r="AF412" s="56">
        <f t="shared" ref="AF412:AF475" si="86">Q412*$E$13</f>
        <v>0</v>
      </c>
      <c r="AG412" s="56">
        <f t="shared" ref="AG412:AG475" si="87">R412*$E$14</f>
        <v>0</v>
      </c>
      <c r="AH412" s="56">
        <f t="shared" ref="AH412:AH475" si="88">S412*$E$15</f>
        <v>0</v>
      </c>
      <c r="AI412" s="56">
        <f t="shared" ref="AI412:AI475" si="89">T412*$E$16</f>
        <v>0</v>
      </c>
      <c r="AJ412" s="56">
        <f t="shared" ref="AJ412:AJ475" si="90">U412*$E$17</f>
        <v>0</v>
      </c>
      <c r="AK412" s="56">
        <f t="shared" ref="AK412:AK475" si="91">V412*$E$18</f>
        <v>0</v>
      </c>
      <c r="AL412" s="56">
        <f t="shared" ref="AL412:AL475" si="92">W412*$E$19</f>
        <v>0</v>
      </c>
      <c r="AM412" s="56">
        <f t="shared" si="84"/>
        <v>0</v>
      </c>
      <c r="AN412" s="60">
        <f t="shared" ref="AN412:AN475" si="93">IFERROR(I412*$E$12,0)</f>
        <v>0</v>
      </c>
      <c r="AO412" s="59">
        <f t="shared" ref="AO412:AO475" si="94">IFERROR(VLOOKUP(X412,$H$12:$I$22,2,FALSE),0)</f>
        <v>0</v>
      </c>
      <c r="AP412" s="59">
        <f t="shared" ref="AP412:AP475" si="95">IFERROR(VLOOKUP(Y412,$L$12:$N$19,3,FALSE),0)</f>
        <v>0</v>
      </c>
    </row>
    <row r="413" spans="3:42" s="17" customFormat="1" x14ac:dyDescent="0.25">
      <c r="C413" s="241" t="s">
        <v>213</v>
      </c>
      <c r="D413" s="242"/>
      <c r="E413" s="88"/>
      <c r="F413" s="217"/>
      <c r="G413" s="234"/>
      <c r="H413" s="218"/>
      <c r="I413" s="76"/>
      <c r="J413" s="77"/>
      <c r="K413" s="77"/>
      <c r="L413" s="76"/>
      <c r="M413" s="110"/>
      <c r="N413" s="152"/>
      <c r="O413" s="111" t="str">
        <f>IFERROR(MIN(VLOOKUP(ROUNDDOWN(N413,0),'Aide calcul'!$B$2:$C$282,2,FALSE),M413+1),"")</f>
        <v/>
      </c>
      <c r="P413" s="112" t="str">
        <f t="shared" ref="P413:P476" si="96">IFERROR(TRUNC(O413-0.5),"")</f>
        <v/>
      </c>
      <c r="Q413" s="170"/>
      <c r="R413" s="170"/>
      <c r="S413" s="170"/>
      <c r="T413" s="170"/>
      <c r="U413" s="170"/>
      <c r="V413" s="170"/>
      <c r="W413" s="170"/>
      <c r="X413" s="76"/>
      <c r="Y413" s="76"/>
      <c r="Z413" s="113" t="str">
        <f>IFERROR(ROUND('Informations générales'!$E$66*(AE413/SUM($AE$28:$AE$404))/12,0)*12,"")</f>
        <v/>
      </c>
      <c r="AA413" s="114"/>
      <c r="AB413" s="113" t="str">
        <f t="shared" si="85"/>
        <v/>
      </c>
      <c r="AC413" s="89"/>
      <c r="AD413" s="76"/>
      <c r="AE413" s="56">
        <f t="shared" ref="AE413:AE476" si="97">AM413*(SUM(1,AN413,AO413,AP413))</f>
        <v>0</v>
      </c>
      <c r="AF413" s="56">
        <f t="shared" si="86"/>
        <v>0</v>
      </c>
      <c r="AG413" s="56">
        <f t="shared" si="87"/>
        <v>0</v>
      </c>
      <c r="AH413" s="56">
        <f t="shared" si="88"/>
        <v>0</v>
      </c>
      <c r="AI413" s="56">
        <f t="shared" si="89"/>
        <v>0</v>
      </c>
      <c r="AJ413" s="56">
        <f t="shared" si="90"/>
        <v>0</v>
      </c>
      <c r="AK413" s="56">
        <f t="shared" si="91"/>
        <v>0</v>
      </c>
      <c r="AL413" s="56">
        <f t="shared" si="92"/>
        <v>0</v>
      </c>
      <c r="AM413" s="56">
        <f t="shared" ref="AM413:AM476" si="98">SUM(AF413:AL413)</f>
        <v>0</v>
      </c>
      <c r="AN413" s="60">
        <f t="shared" si="93"/>
        <v>0</v>
      </c>
      <c r="AO413" s="59">
        <f t="shared" si="94"/>
        <v>0</v>
      </c>
      <c r="AP413" s="59">
        <f t="shared" si="95"/>
        <v>0</v>
      </c>
    </row>
    <row r="414" spans="3:42" s="17" customFormat="1" x14ac:dyDescent="0.25">
      <c r="C414" s="241" t="s">
        <v>213</v>
      </c>
      <c r="D414" s="242"/>
      <c r="E414" s="88"/>
      <c r="F414" s="217"/>
      <c r="G414" s="234"/>
      <c r="H414" s="218"/>
      <c r="I414" s="76"/>
      <c r="J414" s="77"/>
      <c r="K414" s="77"/>
      <c r="L414" s="76"/>
      <c r="M414" s="110"/>
      <c r="N414" s="152"/>
      <c r="O414" s="111" t="str">
        <f>IFERROR(MIN(VLOOKUP(ROUNDDOWN(N414,0),'Aide calcul'!$B$2:$C$282,2,FALSE),M414+1),"")</f>
        <v/>
      </c>
      <c r="P414" s="112" t="str">
        <f t="shared" si="96"/>
        <v/>
      </c>
      <c r="Q414" s="170"/>
      <c r="R414" s="170"/>
      <c r="S414" s="170"/>
      <c r="T414" s="170"/>
      <c r="U414" s="170"/>
      <c r="V414" s="170"/>
      <c r="W414" s="170"/>
      <c r="X414" s="76"/>
      <c r="Y414" s="76"/>
      <c r="Z414" s="113" t="str">
        <f>IFERROR(ROUND('Informations générales'!$E$66*(AE414/SUM($AE$28:$AE$404))/12,0)*12,"")</f>
        <v/>
      </c>
      <c r="AA414" s="114"/>
      <c r="AB414" s="113" t="str">
        <f t="shared" si="85"/>
        <v/>
      </c>
      <c r="AC414" s="89"/>
      <c r="AD414" s="76"/>
      <c r="AE414" s="56">
        <f t="shared" si="97"/>
        <v>0</v>
      </c>
      <c r="AF414" s="56">
        <f t="shared" si="86"/>
        <v>0</v>
      </c>
      <c r="AG414" s="56">
        <f t="shared" si="87"/>
        <v>0</v>
      </c>
      <c r="AH414" s="56">
        <f t="shared" si="88"/>
        <v>0</v>
      </c>
      <c r="AI414" s="56">
        <f t="shared" si="89"/>
        <v>0</v>
      </c>
      <c r="AJ414" s="56">
        <f t="shared" si="90"/>
        <v>0</v>
      </c>
      <c r="AK414" s="56">
        <f t="shared" si="91"/>
        <v>0</v>
      </c>
      <c r="AL414" s="56">
        <f t="shared" si="92"/>
        <v>0</v>
      </c>
      <c r="AM414" s="56">
        <f t="shared" si="98"/>
        <v>0</v>
      </c>
      <c r="AN414" s="60">
        <f t="shared" si="93"/>
        <v>0</v>
      </c>
      <c r="AO414" s="59">
        <f t="shared" si="94"/>
        <v>0</v>
      </c>
      <c r="AP414" s="59">
        <f t="shared" si="95"/>
        <v>0</v>
      </c>
    </row>
    <row r="415" spans="3:42" s="17" customFormat="1" x14ac:dyDescent="0.25">
      <c r="C415" s="241" t="s">
        <v>213</v>
      </c>
      <c r="D415" s="242"/>
      <c r="E415" s="88"/>
      <c r="F415" s="217"/>
      <c r="G415" s="234"/>
      <c r="H415" s="218"/>
      <c r="I415" s="76"/>
      <c r="J415" s="77"/>
      <c r="K415" s="77"/>
      <c r="L415" s="76"/>
      <c r="M415" s="110"/>
      <c r="N415" s="152"/>
      <c r="O415" s="111" t="str">
        <f>IFERROR(MIN(VLOOKUP(ROUNDDOWN(N415,0),'Aide calcul'!$B$2:$C$282,2,FALSE),M415+1),"")</f>
        <v/>
      </c>
      <c r="P415" s="112" t="str">
        <f t="shared" si="96"/>
        <v/>
      </c>
      <c r="Q415" s="170"/>
      <c r="R415" s="170"/>
      <c r="S415" s="170"/>
      <c r="T415" s="170"/>
      <c r="U415" s="170"/>
      <c r="V415" s="170"/>
      <c r="W415" s="170"/>
      <c r="X415" s="76"/>
      <c r="Y415" s="76"/>
      <c r="Z415" s="113" t="str">
        <f>IFERROR(ROUND('Informations générales'!$E$66*(AE415/SUM($AE$28:$AE$404))/12,0)*12,"")</f>
        <v/>
      </c>
      <c r="AA415" s="114"/>
      <c r="AB415" s="113" t="str">
        <f t="shared" si="85"/>
        <v/>
      </c>
      <c r="AC415" s="89"/>
      <c r="AD415" s="76"/>
      <c r="AE415" s="56">
        <f t="shared" si="97"/>
        <v>0</v>
      </c>
      <c r="AF415" s="56">
        <f t="shared" si="86"/>
        <v>0</v>
      </c>
      <c r="AG415" s="56">
        <f t="shared" si="87"/>
        <v>0</v>
      </c>
      <c r="AH415" s="56">
        <f t="shared" si="88"/>
        <v>0</v>
      </c>
      <c r="AI415" s="56">
        <f t="shared" si="89"/>
        <v>0</v>
      </c>
      <c r="AJ415" s="56">
        <f t="shared" si="90"/>
        <v>0</v>
      </c>
      <c r="AK415" s="56">
        <f t="shared" si="91"/>
        <v>0</v>
      </c>
      <c r="AL415" s="56">
        <f t="shared" si="92"/>
        <v>0</v>
      </c>
      <c r="AM415" s="56">
        <f t="shared" si="98"/>
        <v>0</v>
      </c>
      <c r="AN415" s="60">
        <f t="shared" si="93"/>
        <v>0</v>
      </c>
      <c r="AO415" s="59">
        <f t="shared" si="94"/>
        <v>0</v>
      </c>
      <c r="AP415" s="59">
        <f t="shared" si="95"/>
        <v>0</v>
      </c>
    </row>
    <row r="416" spans="3:42" s="17" customFormat="1" x14ac:dyDescent="0.25">
      <c r="C416" s="241" t="s">
        <v>213</v>
      </c>
      <c r="D416" s="242"/>
      <c r="E416" s="88"/>
      <c r="F416" s="217"/>
      <c r="G416" s="234"/>
      <c r="H416" s="218"/>
      <c r="I416" s="76"/>
      <c r="J416" s="77"/>
      <c r="K416" s="77"/>
      <c r="L416" s="76"/>
      <c r="M416" s="110"/>
      <c r="N416" s="152"/>
      <c r="O416" s="111" t="str">
        <f>IFERROR(MIN(VLOOKUP(ROUNDDOWN(N416,0),'Aide calcul'!$B$2:$C$282,2,FALSE),M416+1),"")</f>
        <v/>
      </c>
      <c r="P416" s="112" t="str">
        <f t="shared" si="96"/>
        <v/>
      </c>
      <c r="Q416" s="170"/>
      <c r="R416" s="170"/>
      <c r="S416" s="170"/>
      <c r="T416" s="170"/>
      <c r="U416" s="170"/>
      <c r="V416" s="170"/>
      <c r="W416" s="170"/>
      <c r="X416" s="76"/>
      <c r="Y416" s="76"/>
      <c r="Z416" s="113" t="str">
        <f>IFERROR(ROUND('Informations générales'!$E$66*(AE416/SUM($AE$28:$AE$404))/12,0)*12,"")</f>
        <v/>
      </c>
      <c r="AA416" s="114"/>
      <c r="AB416" s="113" t="str">
        <f t="shared" si="85"/>
        <v/>
      </c>
      <c r="AC416" s="89"/>
      <c r="AD416" s="76"/>
      <c r="AE416" s="56">
        <f t="shared" si="97"/>
        <v>0</v>
      </c>
      <c r="AF416" s="56">
        <f t="shared" si="86"/>
        <v>0</v>
      </c>
      <c r="AG416" s="56">
        <f t="shared" si="87"/>
        <v>0</v>
      </c>
      <c r="AH416" s="56">
        <f t="shared" si="88"/>
        <v>0</v>
      </c>
      <c r="AI416" s="56">
        <f t="shared" si="89"/>
        <v>0</v>
      </c>
      <c r="AJ416" s="56">
        <f t="shared" si="90"/>
        <v>0</v>
      </c>
      <c r="AK416" s="56">
        <f t="shared" si="91"/>
        <v>0</v>
      </c>
      <c r="AL416" s="56">
        <f t="shared" si="92"/>
        <v>0</v>
      </c>
      <c r="AM416" s="56">
        <f t="shared" si="98"/>
        <v>0</v>
      </c>
      <c r="AN416" s="60">
        <f t="shared" si="93"/>
        <v>0</v>
      </c>
      <c r="AO416" s="59">
        <f t="shared" si="94"/>
        <v>0</v>
      </c>
      <c r="AP416" s="59">
        <f t="shared" si="95"/>
        <v>0</v>
      </c>
    </row>
    <row r="417" spans="3:42" s="17" customFormat="1" x14ac:dyDescent="0.25">
      <c r="C417" s="241" t="s">
        <v>213</v>
      </c>
      <c r="D417" s="242"/>
      <c r="E417" s="88"/>
      <c r="F417" s="217"/>
      <c r="G417" s="234"/>
      <c r="H417" s="218"/>
      <c r="I417" s="76"/>
      <c r="J417" s="77"/>
      <c r="K417" s="77"/>
      <c r="L417" s="76"/>
      <c r="M417" s="110"/>
      <c r="N417" s="152"/>
      <c r="O417" s="111" t="str">
        <f>IFERROR(MIN(VLOOKUP(ROUNDDOWN(N417,0),'Aide calcul'!$B$2:$C$282,2,FALSE),M417+1),"")</f>
        <v/>
      </c>
      <c r="P417" s="112" t="str">
        <f t="shared" si="96"/>
        <v/>
      </c>
      <c r="Q417" s="170"/>
      <c r="R417" s="170"/>
      <c r="S417" s="170"/>
      <c r="T417" s="170"/>
      <c r="U417" s="170"/>
      <c r="V417" s="170"/>
      <c r="W417" s="170"/>
      <c r="X417" s="76"/>
      <c r="Y417" s="76"/>
      <c r="Z417" s="113" t="str">
        <f>IFERROR(ROUND('Informations générales'!$E$66*(AE417/SUM($AE$28:$AE$404))/12,0)*12,"")</f>
        <v/>
      </c>
      <c r="AA417" s="114"/>
      <c r="AB417" s="113" t="str">
        <f t="shared" si="85"/>
        <v/>
      </c>
      <c r="AC417" s="89"/>
      <c r="AD417" s="76"/>
      <c r="AE417" s="56">
        <f t="shared" si="97"/>
        <v>0</v>
      </c>
      <c r="AF417" s="56">
        <f t="shared" si="86"/>
        <v>0</v>
      </c>
      <c r="AG417" s="56">
        <f t="shared" si="87"/>
        <v>0</v>
      </c>
      <c r="AH417" s="56">
        <f t="shared" si="88"/>
        <v>0</v>
      </c>
      <c r="AI417" s="56">
        <f t="shared" si="89"/>
        <v>0</v>
      </c>
      <c r="AJ417" s="56">
        <f t="shared" si="90"/>
        <v>0</v>
      </c>
      <c r="AK417" s="56">
        <f t="shared" si="91"/>
        <v>0</v>
      </c>
      <c r="AL417" s="56">
        <f t="shared" si="92"/>
        <v>0</v>
      </c>
      <c r="AM417" s="56">
        <f t="shared" si="98"/>
        <v>0</v>
      </c>
      <c r="AN417" s="60">
        <f t="shared" si="93"/>
        <v>0</v>
      </c>
      <c r="AO417" s="59">
        <f t="shared" si="94"/>
        <v>0</v>
      </c>
      <c r="AP417" s="59">
        <f t="shared" si="95"/>
        <v>0</v>
      </c>
    </row>
    <row r="418" spans="3:42" s="17" customFormat="1" x14ac:dyDescent="0.25">
      <c r="C418" s="241" t="s">
        <v>213</v>
      </c>
      <c r="D418" s="242"/>
      <c r="E418" s="88"/>
      <c r="F418" s="217"/>
      <c r="G418" s="234"/>
      <c r="H418" s="218"/>
      <c r="I418" s="76"/>
      <c r="J418" s="77"/>
      <c r="K418" s="77"/>
      <c r="L418" s="76"/>
      <c r="M418" s="110"/>
      <c r="N418" s="152"/>
      <c r="O418" s="111" t="str">
        <f>IFERROR(MIN(VLOOKUP(ROUNDDOWN(N418,0),'Aide calcul'!$B$2:$C$282,2,FALSE),M418+1),"")</f>
        <v/>
      </c>
      <c r="P418" s="112" t="str">
        <f t="shared" si="96"/>
        <v/>
      </c>
      <c r="Q418" s="170"/>
      <c r="R418" s="170"/>
      <c r="S418" s="170"/>
      <c r="T418" s="170"/>
      <c r="U418" s="170"/>
      <c r="V418" s="170"/>
      <c r="W418" s="170"/>
      <c r="X418" s="76"/>
      <c r="Y418" s="76"/>
      <c r="Z418" s="113" t="str">
        <f>IFERROR(ROUND('Informations générales'!$E$66*(AE418/SUM($AE$28:$AE$404))/12,0)*12,"")</f>
        <v/>
      </c>
      <c r="AA418" s="114"/>
      <c r="AB418" s="113" t="str">
        <f t="shared" si="85"/>
        <v/>
      </c>
      <c r="AC418" s="89"/>
      <c r="AD418" s="76"/>
      <c r="AE418" s="56">
        <f t="shared" si="97"/>
        <v>0</v>
      </c>
      <c r="AF418" s="56">
        <f t="shared" si="86"/>
        <v>0</v>
      </c>
      <c r="AG418" s="56">
        <f t="shared" si="87"/>
        <v>0</v>
      </c>
      <c r="AH418" s="56">
        <f t="shared" si="88"/>
        <v>0</v>
      </c>
      <c r="AI418" s="56">
        <f t="shared" si="89"/>
        <v>0</v>
      </c>
      <c r="AJ418" s="56">
        <f t="shared" si="90"/>
        <v>0</v>
      </c>
      <c r="AK418" s="56">
        <f t="shared" si="91"/>
        <v>0</v>
      </c>
      <c r="AL418" s="56">
        <f t="shared" si="92"/>
        <v>0</v>
      </c>
      <c r="AM418" s="56">
        <f t="shared" si="98"/>
        <v>0</v>
      </c>
      <c r="AN418" s="60">
        <f t="shared" si="93"/>
        <v>0</v>
      </c>
      <c r="AO418" s="59">
        <f t="shared" si="94"/>
        <v>0</v>
      </c>
      <c r="AP418" s="59">
        <f t="shared" si="95"/>
        <v>0</v>
      </c>
    </row>
    <row r="419" spans="3:42" s="17" customFormat="1" x14ac:dyDescent="0.25">
      <c r="C419" s="241" t="s">
        <v>213</v>
      </c>
      <c r="D419" s="242"/>
      <c r="E419" s="88"/>
      <c r="F419" s="217"/>
      <c r="G419" s="234"/>
      <c r="H419" s="218"/>
      <c r="I419" s="76"/>
      <c r="J419" s="77"/>
      <c r="K419" s="77"/>
      <c r="L419" s="76"/>
      <c r="M419" s="110"/>
      <c r="N419" s="152"/>
      <c r="O419" s="111" t="str">
        <f>IFERROR(MIN(VLOOKUP(ROUNDDOWN(N419,0),'Aide calcul'!$B$2:$C$282,2,FALSE),M419+1),"")</f>
        <v/>
      </c>
      <c r="P419" s="112" t="str">
        <f t="shared" si="96"/>
        <v/>
      </c>
      <c r="Q419" s="170"/>
      <c r="R419" s="170"/>
      <c r="S419" s="170"/>
      <c r="T419" s="170"/>
      <c r="U419" s="170"/>
      <c r="V419" s="170"/>
      <c r="W419" s="170"/>
      <c r="X419" s="76"/>
      <c r="Y419" s="76"/>
      <c r="Z419" s="113" t="str">
        <f>IFERROR(ROUND('Informations générales'!$E$66*(AE419/SUM($AE$28:$AE$404))/12,0)*12,"")</f>
        <v/>
      </c>
      <c r="AA419" s="114"/>
      <c r="AB419" s="113" t="str">
        <f t="shared" si="85"/>
        <v/>
      </c>
      <c r="AC419" s="89"/>
      <c r="AD419" s="76"/>
      <c r="AE419" s="56">
        <f t="shared" si="97"/>
        <v>0</v>
      </c>
      <c r="AF419" s="56">
        <f t="shared" si="86"/>
        <v>0</v>
      </c>
      <c r="AG419" s="56">
        <f t="shared" si="87"/>
        <v>0</v>
      </c>
      <c r="AH419" s="56">
        <f t="shared" si="88"/>
        <v>0</v>
      </c>
      <c r="AI419" s="56">
        <f t="shared" si="89"/>
        <v>0</v>
      </c>
      <c r="AJ419" s="56">
        <f t="shared" si="90"/>
        <v>0</v>
      </c>
      <c r="AK419" s="56">
        <f t="shared" si="91"/>
        <v>0</v>
      </c>
      <c r="AL419" s="56">
        <f t="shared" si="92"/>
        <v>0</v>
      </c>
      <c r="AM419" s="56">
        <f t="shared" si="98"/>
        <v>0</v>
      </c>
      <c r="AN419" s="60">
        <f t="shared" si="93"/>
        <v>0</v>
      </c>
      <c r="AO419" s="59">
        <f t="shared" si="94"/>
        <v>0</v>
      </c>
      <c r="AP419" s="59">
        <f t="shared" si="95"/>
        <v>0</v>
      </c>
    </row>
    <row r="420" spans="3:42" s="17" customFormat="1" x14ac:dyDescent="0.25">
      <c r="C420" s="241" t="s">
        <v>213</v>
      </c>
      <c r="D420" s="242"/>
      <c r="E420" s="88"/>
      <c r="F420" s="217"/>
      <c r="G420" s="234"/>
      <c r="H420" s="218"/>
      <c r="I420" s="76"/>
      <c r="J420" s="77"/>
      <c r="K420" s="77"/>
      <c r="L420" s="76"/>
      <c r="M420" s="110"/>
      <c r="N420" s="152"/>
      <c r="O420" s="111" t="str">
        <f>IFERROR(MIN(VLOOKUP(ROUNDDOWN(N420,0),'Aide calcul'!$B$2:$C$282,2,FALSE),M420+1),"")</f>
        <v/>
      </c>
      <c r="P420" s="112" t="str">
        <f t="shared" si="96"/>
        <v/>
      </c>
      <c r="Q420" s="170"/>
      <c r="R420" s="170"/>
      <c r="S420" s="170"/>
      <c r="T420" s="170"/>
      <c r="U420" s="170"/>
      <c r="V420" s="170"/>
      <c r="W420" s="170"/>
      <c r="X420" s="76"/>
      <c r="Y420" s="76"/>
      <c r="Z420" s="113" t="str">
        <f>IFERROR(ROUND('Informations générales'!$E$66*(AE420/SUM($AE$28:$AE$404))/12,0)*12,"")</f>
        <v/>
      </c>
      <c r="AA420" s="114"/>
      <c r="AB420" s="113" t="str">
        <f t="shared" si="85"/>
        <v/>
      </c>
      <c r="AC420" s="89"/>
      <c r="AD420" s="76"/>
      <c r="AE420" s="56">
        <f t="shared" si="97"/>
        <v>0</v>
      </c>
      <c r="AF420" s="56">
        <f t="shared" si="86"/>
        <v>0</v>
      </c>
      <c r="AG420" s="56">
        <f t="shared" si="87"/>
        <v>0</v>
      </c>
      <c r="AH420" s="56">
        <f t="shared" si="88"/>
        <v>0</v>
      </c>
      <c r="AI420" s="56">
        <f t="shared" si="89"/>
        <v>0</v>
      </c>
      <c r="AJ420" s="56">
        <f t="shared" si="90"/>
        <v>0</v>
      </c>
      <c r="AK420" s="56">
        <f t="shared" si="91"/>
        <v>0</v>
      </c>
      <c r="AL420" s="56">
        <f t="shared" si="92"/>
        <v>0</v>
      </c>
      <c r="AM420" s="56">
        <f t="shared" si="98"/>
        <v>0</v>
      </c>
      <c r="AN420" s="60">
        <f t="shared" si="93"/>
        <v>0</v>
      </c>
      <c r="AO420" s="59">
        <f t="shared" si="94"/>
        <v>0</v>
      </c>
      <c r="AP420" s="59">
        <f t="shared" si="95"/>
        <v>0</v>
      </c>
    </row>
    <row r="421" spans="3:42" s="17" customFormat="1" x14ac:dyDescent="0.25">
      <c r="C421" s="241" t="s">
        <v>213</v>
      </c>
      <c r="D421" s="242"/>
      <c r="E421" s="88"/>
      <c r="F421" s="217"/>
      <c r="G421" s="234"/>
      <c r="H421" s="218"/>
      <c r="I421" s="76"/>
      <c r="J421" s="77"/>
      <c r="K421" s="77"/>
      <c r="L421" s="76"/>
      <c r="M421" s="110"/>
      <c r="N421" s="152"/>
      <c r="O421" s="111" t="str">
        <f>IFERROR(MIN(VLOOKUP(ROUNDDOWN(N421,0),'Aide calcul'!$B$2:$C$282,2,FALSE),M421+1),"")</f>
        <v/>
      </c>
      <c r="P421" s="112" t="str">
        <f t="shared" si="96"/>
        <v/>
      </c>
      <c r="Q421" s="170"/>
      <c r="R421" s="170"/>
      <c r="S421" s="170"/>
      <c r="T421" s="170"/>
      <c r="U421" s="170"/>
      <c r="V421" s="170"/>
      <c r="W421" s="170"/>
      <c r="X421" s="76"/>
      <c r="Y421" s="76"/>
      <c r="Z421" s="113" t="str">
        <f>IFERROR(ROUND('Informations générales'!$E$66*(AE421/SUM($AE$28:$AE$404))/12,0)*12,"")</f>
        <v/>
      </c>
      <c r="AA421" s="114"/>
      <c r="AB421" s="113" t="str">
        <f t="shared" si="85"/>
        <v/>
      </c>
      <c r="AC421" s="89"/>
      <c r="AD421" s="76"/>
      <c r="AE421" s="56">
        <f t="shared" si="97"/>
        <v>0</v>
      </c>
      <c r="AF421" s="56">
        <f t="shared" si="86"/>
        <v>0</v>
      </c>
      <c r="AG421" s="56">
        <f t="shared" si="87"/>
        <v>0</v>
      </c>
      <c r="AH421" s="56">
        <f t="shared" si="88"/>
        <v>0</v>
      </c>
      <c r="AI421" s="56">
        <f t="shared" si="89"/>
        <v>0</v>
      </c>
      <c r="AJ421" s="56">
        <f t="shared" si="90"/>
        <v>0</v>
      </c>
      <c r="AK421" s="56">
        <f t="shared" si="91"/>
        <v>0</v>
      </c>
      <c r="AL421" s="56">
        <f t="shared" si="92"/>
        <v>0</v>
      </c>
      <c r="AM421" s="56">
        <f t="shared" si="98"/>
        <v>0</v>
      </c>
      <c r="AN421" s="60">
        <f t="shared" si="93"/>
        <v>0</v>
      </c>
      <c r="AO421" s="59">
        <f t="shared" si="94"/>
        <v>0</v>
      </c>
      <c r="AP421" s="59">
        <f t="shared" si="95"/>
        <v>0</v>
      </c>
    </row>
    <row r="422" spans="3:42" s="17" customFormat="1" x14ac:dyDescent="0.25">
      <c r="C422" s="241" t="s">
        <v>213</v>
      </c>
      <c r="D422" s="242"/>
      <c r="E422" s="88"/>
      <c r="F422" s="217"/>
      <c r="G422" s="234"/>
      <c r="H422" s="218"/>
      <c r="I422" s="76"/>
      <c r="J422" s="77"/>
      <c r="K422" s="77"/>
      <c r="L422" s="76"/>
      <c r="M422" s="110"/>
      <c r="N422" s="152"/>
      <c r="O422" s="111" t="str">
        <f>IFERROR(MIN(VLOOKUP(ROUNDDOWN(N422,0),'Aide calcul'!$B$2:$C$282,2,FALSE),M422+1),"")</f>
        <v/>
      </c>
      <c r="P422" s="112" t="str">
        <f t="shared" si="96"/>
        <v/>
      </c>
      <c r="Q422" s="170"/>
      <c r="R422" s="170"/>
      <c r="S422" s="170"/>
      <c r="T422" s="170"/>
      <c r="U422" s="170"/>
      <c r="V422" s="170"/>
      <c r="W422" s="170"/>
      <c r="X422" s="76"/>
      <c r="Y422" s="76"/>
      <c r="Z422" s="113" t="str">
        <f>IFERROR(ROUND('Informations générales'!$E$66*(AE422/SUM($AE$28:$AE$404))/12,0)*12,"")</f>
        <v/>
      </c>
      <c r="AA422" s="114"/>
      <c r="AB422" s="113" t="str">
        <f t="shared" si="85"/>
        <v/>
      </c>
      <c r="AC422" s="89"/>
      <c r="AD422" s="76"/>
      <c r="AE422" s="56">
        <f t="shared" si="97"/>
        <v>0</v>
      </c>
      <c r="AF422" s="56">
        <f t="shared" si="86"/>
        <v>0</v>
      </c>
      <c r="AG422" s="56">
        <f t="shared" si="87"/>
        <v>0</v>
      </c>
      <c r="AH422" s="56">
        <f t="shared" si="88"/>
        <v>0</v>
      </c>
      <c r="AI422" s="56">
        <f t="shared" si="89"/>
        <v>0</v>
      </c>
      <c r="AJ422" s="56">
        <f t="shared" si="90"/>
        <v>0</v>
      </c>
      <c r="AK422" s="56">
        <f t="shared" si="91"/>
        <v>0</v>
      </c>
      <c r="AL422" s="56">
        <f t="shared" si="92"/>
        <v>0</v>
      </c>
      <c r="AM422" s="56">
        <f t="shared" si="98"/>
        <v>0</v>
      </c>
      <c r="AN422" s="60">
        <f t="shared" si="93"/>
        <v>0</v>
      </c>
      <c r="AO422" s="59">
        <f t="shared" si="94"/>
        <v>0</v>
      </c>
      <c r="AP422" s="59">
        <f t="shared" si="95"/>
        <v>0</v>
      </c>
    </row>
    <row r="423" spans="3:42" s="17" customFormat="1" x14ac:dyDescent="0.25">
      <c r="C423" s="241" t="s">
        <v>213</v>
      </c>
      <c r="D423" s="242"/>
      <c r="E423" s="88"/>
      <c r="F423" s="217"/>
      <c r="G423" s="234"/>
      <c r="H423" s="218"/>
      <c r="I423" s="76"/>
      <c r="J423" s="77"/>
      <c r="K423" s="77"/>
      <c r="L423" s="76"/>
      <c r="M423" s="110"/>
      <c r="N423" s="152"/>
      <c r="O423" s="111" t="str">
        <f>IFERROR(MIN(VLOOKUP(ROUNDDOWN(N423,0),'Aide calcul'!$B$2:$C$282,2,FALSE),M423+1),"")</f>
        <v/>
      </c>
      <c r="P423" s="112" t="str">
        <f t="shared" si="96"/>
        <v/>
      </c>
      <c r="Q423" s="170"/>
      <c r="R423" s="170"/>
      <c r="S423" s="170"/>
      <c r="T423" s="170"/>
      <c r="U423" s="170"/>
      <c r="V423" s="170"/>
      <c r="W423" s="170"/>
      <c r="X423" s="76"/>
      <c r="Y423" s="76"/>
      <c r="Z423" s="113" t="str">
        <f>IFERROR(ROUND('Informations générales'!$E$66*(AE423/SUM($AE$28:$AE$404))/12,0)*12,"")</f>
        <v/>
      </c>
      <c r="AA423" s="114"/>
      <c r="AB423" s="113" t="str">
        <f t="shared" si="85"/>
        <v/>
      </c>
      <c r="AC423" s="89"/>
      <c r="AD423" s="76"/>
      <c r="AE423" s="56">
        <f t="shared" si="97"/>
        <v>0</v>
      </c>
      <c r="AF423" s="56">
        <f t="shared" si="86"/>
        <v>0</v>
      </c>
      <c r="AG423" s="56">
        <f t="shared" si="87"/>
        <v>0</v>
      </c>
      <c r="AH423" s="56">
        <f t="shared" si="88"/>
        <v>0</v>
      </c>
      <c r="AI423" s="56">
        <f t="shared" si="89"/>
        <v>0</v>
      </c>
      <c r="AJ423" s="56">
        <f t="shared" si="90"/>
        <v>0</v>
      </c>
      <c r="AK423" s="56">
        <f t="shared" si="91"/>
        <v>0</v>
      </c>
      <c r="AL423" s="56">
        <f t="shared" si="92"/>
        <v>0</v>
      </c>
      <c r="AM423" s="56">
        <f t="shared" si="98"/>
        <v>0</v>
      </c>
      <c r="AN423" s="60">
        <f t="shared" si="93"/>
        <v>0</v>
      </c>
      <c r="AO423" s="59">
        <f t="shared" si="94"/>
        <v>0</v>
      </c>
      <c r="AP423" s="59">
        <f t="shared" si="95"/>
        <v>0</v>
      </c>
    </row>
    <row r="424" spans="3:42" s="17" customFormat="1" x14ac:dyDescent="0.25">
      <c r="C424" s="241" t="s">
        <v>213</v>
      </c>
      <c r="D424" s="242"/>
      <c r="E424" s="88"/>
      <c r="F424" s="217"/>
      <c r="G424" s="234"/>
      <c r="H424" s="218"/>
      <c r="I424" s="76"/>
      <c r="J424" s="77"/>
      <c r="K424" s="77"/>
      <c r="L424" s="76"/>
      <c r="M424" s="110"/>
      <c r="N424" s="152"/>
      <c r="O424" s="111" t="str">
        <f>IFERROR(MIN(VLOOKUP(ROUNDDOWN(N424,0),'Aide calcul'!$B$2:$C$282,2,FALSE),M424+1),"")</f>
        <v/>
      </c>
      <c r="P424" s="112" t="str">
        <f t="shared" si="96"/>
        <v/>
      </c>
      <c r="Q424" s="170"/>
      <c r="R424" s="170"/>
      <c r="S424" s="170"/>
      <c r="T424" s="170"/>
      <c r="U424" s="170"/>
      <c r="V424" s="170"/>
      <c r="W424" s="170"/>
      <c r="X424" s="76"/>
      <c r="Y424" s="76"/>
      <c r="Z424" s="113" t="str">
        <f>IFERROR(ROUND('Informations générales'!$E$66*(AE424/SUM($AE$28:$AE$404))/12,0)*12,"")</f>
        <v/>
      </c>
      <c r="AA424" s="114"/>
      <c r="AB424" s="113" t="str">
        <f t="shared" si="85"/>
        <v/>
      </c>
      <c r="AC424" s="89"/>
      <c r="AD424" s="76"/>
      <c r="AE424" s="56">
        <f t="shared" si="97"/>
        <v>0</v>
      </c>
      <c r="AF424" s="56">
        <f t="shared" si="86"/>
        <v>0</v>
      </c>
      <c r="AG424" s="56">
        <f t="shared" si="87"/>
        <v>0</v>
      </c>
      <c r="AH424" s="56">
        <f t="shared" si="88"/>
        <v>0</v>
      </c>
      <c r="AI424" s="56">
        <f t="shared" si="89"/>
        <v>0</v>
      </c>
      <c r="AJ424" s="56">
        <f t="shared" si="90"/>
        <v>0</v>
      </c>
      <c r="AK424" s="56">
        <f t="shared" si="91"/>
        <v>0</v>
      </c>
      <c r="AL424" s="56">
        <f t="shared" si="92"/>
        <v>0</v>
      </c>
      <c r="AM424" s="56">
        <f t="shared" si="98"/>
        <v>0</v>
      </c>
      <c r="AN424" s="60">
        <f t="shared" si="93"/>
        <v>0</v>
      </c>
      <c r="AO424" s="59">
        <f t="shared" si="94"/>
        <v>0</v>
      </c>
      <c r="AP424" s="59">
        <f t="shared" si="95"/>
        <v>0</v>
      </c>
    </row>
    <row r="425" spans="3:42" s="17" customFormat="1" x14ac:dyDescent="0.25">
      <c r="C425" s="241" t="s">
        <v>213</v>
      </c>
      <c r="D425" s="242"/>
      <c r="E425" s="88"/>
      <c r="F425" s="217"/>
      <c r="G425" s="234"/>
      <c r="H425" s="218"/>
      <c r="I425" s="76"/>
      <c r="J425" s="77"/>
      <c r="K425" s="77"/>
      <c r="L425" s="76"/>
      <c r="M425" s="110"/>
      <c r="N425" s="152"/>
      <c r="O425" s="111" t="str">
        <f>IFERROR(MIN(VLOOKUP(ROUNDDOWN(N425,0),'Aide calcul'!$B$2:$C$282,2,FALSE),M425+1),"")</f>
        <v/>
      </c>
      <c r="P425" s="112" t="str">
        <f t="shared" si="96"/>
        <v/>
      </c>
      <c r="Q425" s="170"/>
      <c r="R425" s="170"/>
      <c r="S425" s="170"/>
      <c r="T425" s="170"/>
      <c r="U425" s="170"/>
      <c r="V425" s="170"/>
      <c r="W425" s="170"/>
      <c r="X425" s="76"/>
      <c r="Y425" s="76"/>
      <c r="Z425" s="113" t="str">
        <f>IFERROR(ROUND('Informations générales'!$E$66*(AE425/SUM($AE$28:$AE$404))/12,0)*12,"")</f>
        <v/>
      </c>
      <c r="AA425" s="114"/>
      <c r="AB425" s="113" t="str">
        <f t="shared" si="85"/>
        <v/>
      </c>
      <c r="AC425" s="89"/>
      <c r="AD425" s="76"/>
      <c r="AE425" s="56">
        <f t="shared" si="97"/>
        <v>0</v>
      </c>
      <c r="AF425" s="56">
        <f t="shared" si="86"/>
        <v>0</v>
      </c>
      <c r="AG425" s="56">
        <f t="shared" si="87"/>
        <v>0</v>
      </c>
      <c r="AH425" s="56">
        <f t="shared" si="88"/>
        <v>0</v>
      </c>
      <c r="AI425" s="56">
        <f t="shared" si="89"/>
        <v>0</v>
      </c>
      <c r="AJ425" s="56">
        <f t="shared" si="90"/>
        <v>0</v>
      </c>
      <c r="AK425" s="56">
        <f t="shared" si="91"/>
        <v>0</v>
      </c>
      <c r="AL425" s="56">
        <f t="shared" si="92"/>
        <v>0</v>
      </c>
      <c r="AM425" s="56">
        <f t="shared" si="98"/>
        <v>0</v>
      </c>
      <c r="AN425" s="60">
        <f t="shared" si="93"/>
        <v>0</v>
      </c>
      <c r="AO425" s="59">
        <f t="shared" si="94"/>
        <v>0</v>
      </c>
      <c r="AP425" s="59">
        <f t="shared" si="95"/>
        <v>0</v>
      </c>
    </row>
    <row r="426" spans="3:42" s="17" customFormat="1" x14ac:dyDescent="0.25">
      <c r="C426" s="241" t="s">
        <v>213</v>
      </c>
      <c r="D426" s="242"/>
      <c r="E426" s="88"/>
      <c r="F426" s="217"/>
      <c r="G426" s="234"/>
      <c r="H426" s="218"/>
      <c r="I426" s="76"/>
      <c r="J426" s="77"/>
      <c r="K426" s="77"/>
      <c r="L426" s="76"/>
      <c r="M426" s="110"/>
      <c r="N426" s="152"/>
      <c r="O426" s="111" t="str">
        <f>IFERROR(MIN(VLOOKUP(ROUNDDOWN(N426,0),'Aide calcul'!$B$2:$C$282,2,FALSE),M426+1),"")</f>
        <v/>
      </c>
      <c r="P426" s="112" t="str">
        <f t="shared" si="96"/>
        <v/>
      </c>
      <c r="Q426" s="170"/>
      <c r="R426" s="170"/>
      <c r="S426" s="170"/>
      <c r="T426" s="170"/>
      <c r="U426" s="170"/>
      <c r="V426" s="170"/>
      <c r="W426" s="170"/>
      <c r="X426" s="76"/>
      <c r="Y426" s="76"/>
      <c r="Z426" s="113" t="str">
        <f>IFERROR(ROUND('Informations générales'!$E$66*(AE426/SUM($AE$28:$AE$404))/12,0)*12,"")</f>
        <v/>
      </c>
      <c r="AA426" s="114"/>
      <c r="AB426" s="113" t="str">
        <f t="shared" si="85"/>
        <v/>
      </c>
      <c r="AC426" s="89"/>
      <c r="AD426" s="76"/>
      <c r="AE426" s="56">
        <f t="shared" si="97"/>
        <v>0</v>
      </c>
      <c r="AF426" s="56">
        <f t="shared" si="86"/>
        <v>0</v>
      </c>
      <c r="AG426" s="56">
        <f t="shared" si="87"/>
        <v>0</v>
      </c>
      <c r="AH426" s="56">
        <f t="shared" si="88"/>
        <v>0</v>
      </c>
      <c r="AI426" s="56">
        <f t="shared" si="89"/>
        <v>0</v>
      </c>
      <c r="AJ426" s="56">
        <f t="shared" si="90"/>
        <v>0</v>
      </c>
      <c r="AK426" s="56">
        <f t="shared" si="91"/>
        <v>0</v>
      </c>
      <c r="AL426" s="56">
        <f t="shared" si="92"/>
        <v>0</v>
      </c>
      <c r="AM426" s="56">
        <f t="shared" si="98"/>
        <v>0</v>
      </c>
      <c r="AN426" s="60">
        <f t="shared" si="93"/>
        <v>0</v>
      </c>
      <c r="AO426" s="59">
        <f t="shared" si="94"/>
        <v>0</v>
      </c>
      <c r="AP426" s="59">
        <f t="shared" si="95"/>
        <v>0</v>
      </c>
    </row>
    <row r="427" spans="3:42" s="17" customFormat="1" x14ac:dyDescent="0.25">
      <c r="C427" s="241" t="s">
        <v>213</v>
      </c>
      <c r="D427" s="242"/>
      <c r="E427" s="88"/>
      <c r="F427" s="217"/>
      <c r="G427" s="234"/>
      <c r="H427" s="218"/>
      <c r="I427" s="76"/>
      <c r="J427" s="77"/>
      <c r="K427" s="77"/>
      <c r="L427" s="76"/>
      <c r="M427" s="110"/>
      <c r="N427" s="152"/>
      <c r="O427" s="111" t="str">
        <f>IFERROR(MIN(VLOOKUP(ROUNDDOWN(N427,0),'Aide calcul'!$B$2:$C$282,2,FALSE),M427+1),"")</f>
        <v/>
      </c>
      <c r="P427" s="112" t="str">
        <f t="shared" si="96"/>
        <v/>
      </c>
      <c r="Q427" s="170"/>
      <c r="R427" s="170"/>
      <c r="S427" s="170"/>
      <c r="T427" s="170"/>
      <c r="U427" s="170"/>
      <c r="V427" s="170"/>
      <c r="W427" s="170"/>
      <c r="X427" s="76"/>
      <c r="Y427" s="76"/>
      <c r="Z427" s="113" t="str">
        <f>IFERROR(ROUND('Informations générales'!$E$66*(AE427/SUM($AE$28:$AE$404))/12,0)*12,"")</f>
        <v/>
      </c>
      <c r="AA427" s="114"/>
      <c r="AB427" s="113" t="str">
        <f t="shared" si="85"/>
        <v/>
      </c>
      <c r="AC427" s="89"/>
      <c r="AD427" s="76"/>
      <c r="AE427" s="56">
        <f t="shared" si="97"/>
        <v>0</v>
      </c>
      <c r="AF427" s="56">
        <f t="shared" si="86"/>
        <v>0</v>
      </c>
      <c r="AG427" s="56">
        <f t="shared" si="87"/>
        <v>0</v>
      </c>
      <c r="AH427" s="56">
        <f t="shared" si="88"/>
        <v>0</v>
      </c>
      <c r="AI427" s="56">
        <f t="shared" si="89"/>
        <v>0</v>
      </c>
      <c r="AJ427" s="56">
        <f t="shared" si="90"/>
        <v>0</v>
      </c>
      <c r="AK427" s="56">
        <f t="shared" si="91"/>
        <v>0</v>
      </c>
      <c r="AL427" s="56">
        <f t="shared" si="92"/>
        <v>0</v>
      </c>
      <c r="AM427" s="56">
        <f t="shared" si="98"/>
        <v>0</v>
      </c>
      <c r="AN427" s="60">
        <f t="shared" si="93"/>
        <v>0</v>
      </c>
      <c r="AO427" s="59">
        <f t="shared" si="94"/>
        <v>0</v>
      </c>
      <c r="AP427" s="59">
        <f t="shared" si="95"/>
        <v>0</v>
      </c>
    </row>
    <row r="428" spans="3:42" s="17" customFormat="1" x14ac:dyDescent="0.25">
      <c r="C428" s="241" t="s">
        <v>213</v>
      </c>
      <c r="D428" s="242"/>
      <c r="E428" s="88"/>
      <c r="F428" s="217"/>
      <c r="G428" s="234"/>
      <c r="H428" s="218"/>
      <c r="I428" s="76"/>
      <c r="J428" s="77"/>
      <c r="K428" s="77"/>
      <c r="L428" s="76"/>
      <c r="M428" s="110"/>
      <c r="N428" s="152"/>
      <c r="O428" s="111" t="str">
        <f>IFERROR(MIN(VLOOKUP(ROUNDDOWN(N428,0),'Aide calcul'!$B$2:$C$282,2,FALSE),M428+1),"")</f>
        <v/>
      </c>
      <c r="P428" s="112" t="str">
        <f t="shared" si="96"/>
        <v/>
      </c>
      <c r="Q428" s="170"/>
      <c r="R428" s="170"/>
      <c r="S428" s="170"/>
      <c r="T428" s="170"/>
      <c r="U428" s="170"/>
      <c r="V428" s="170"/>
      <c r="W428" s="170"/>
      <c r="X428" s="76"/>
      <c r="Y428" s="76"/>
      <c r="Z428" s="113" t="str">
        <f>IFERROR(ROUND('Informations générales'!$E$66*(AE428/SUM($AE$28:$AE$404))/12,0)*12,"")</f>
        <v/>
      </c>
      <c r="AA428" s="114"/>
      <c r="AB428" s="113" t="str">
        <f t="shared" si="85"/>
        <v/>
      </c>
      <c r="AC428" s="89"/>
      <c r="AD428" s="76"/>
      <c r="AE428" s="56">
        <f t="shared" si="97"/>
        <v>0</v>
      </c>
      <c r="AF428" s="56">
        <f t="shared" si="86"/>
        <v>0</v>
      </c>
      <c r="AG428" s="56">
        <f t="shared" si="87"/>
        <v>0</v>
      </c>
      <c r="AH428" s="56">
        <f t="shared" si="88"/>
        <v>0</v>
      </c>
      <c r="AI428" s="56">
        <f t="shared" si="89"/>
        <v>0</v>
      </c>
      <c r="AJ428" s="56">
        <f t="shared" si="90"/>
        <v>0</v>
      </c>
      <c r="AK428" s="56">
        <f t="shared" si="91"/>
        <v>0</v>
      </c>
      <c r="AL428" s="56">
        <f t="shared" si="92"/>
        <v>0</v>
      </c>
      <c r="AM428" s="56">
        <f t="shared" si="98"/>
        <v>0</v>
      </c>
      <c r="AN428" s="60">
        <f t="shared" si="93"/>
        <v>0</v>
      </c>
      <c r="AO428" s="59">
        <f t="shared" si="94"/>
        <v>0</v>
      </c>
      <c r="AP428" s="59">
        <f t="shared" si="95"/>
        <v>0</v>
      </c>
    </row>
    <row r="429" spans="3:42" s="17" customFormat="1" x14ac:dyDescent="0.25">
      <c r="C429" s="241" t="s">
        <v>213</v>
      </c>
      <c r="D429" s="242"/>
      <c r="E429" s="88"/>
      <c r="F429" s="217"/>
      <c r="G429" s="234"/>
      <c r="H429" s="218"/>
      <c r="I429" s="76"/>
      <c r="J429" s="77"/>
      <c r="K429" s="77"/>
      <c r="L429" s="76"/>
      <c r="M429" s="110"/>
      <c r="N429" s="152"/>
      <c r="O429" s="111" t="str">
        <f>IFERROR(MIN(VLOOKUP(ROUNDDOWN(N429,0),'Aide calcul'!$B$2:$C$282,2,FALSE),M429+1),"")</f>
        <v/>
      </c>
      <c r="P429" s="112" t="str">
        <f t="shared" si="96"/>
        <v/>
      </c>
      <c r="Q429" s="170"/>
      <c r="R429" s="170"/>
      <c r="S429" s="170"/>
      <c r="T429" s="170"/>
      <c r="U429" s="170"/>
      <c r="V429" s="170"/>
      <c r="W429" s="170"/>
      <c r="X429" s="76"/>
      <c r="Y429" s="76"/>
      <c r="Z429" s="113" t="str">
        <f>IFERROR(ROUND('Informations générales'!$E$66*(AE429/SUM($AE$28:$AE$404))/12,0)*12,"")</f>
        <v/>
      </c>
      <c r="AA429" s="114"/>
      <c r="AB429" s="113" t="str">
        <f t="shared" si="85"/>
        <v/>
      </c>
      <c r="AC429" s="89"/>
      <c r="AD429" s="76"/>
      <c r="AE429" s="56">
        <f t="shared" si="97"/>
        <v>0</v>
      </c>
      <c r="AF429" s="56">
        <f t="shared" si="86"/>
        <v>0</v>
      </c>
      <c r="AG429" s="56">
        <f t="shared" si="87"/>
        <v>0</v>
      </c>
      <c r="AH429" s="56">
        <f t="shared" si="88"/>
        <v>0</v>
      </c>
      <c r="AI429" s="56">
        <f t="shared" si="89"/>
        <v>0</v>
      </c>
      <c r="AJ429" s="56">
        <f t="shared" si="90"/>
        <v>0</v>
      </c>
      <c r="AK429" s="56">
        <f t="shared" si="91"/>
        <v>0</v>
      </c>
      <c r="AL429" s="56">
        <f t="shared" si="92"/>
        <v>0</v>
      </c>
      <c r="AM429" s="56">
        <f t="shared" si="98"/>
        <v>0</v>
      </c>
      <c r="AN429" s="60">
        <f t="shared" si="93"/>
        <v>0</v>
      </c>
      <c r="AO429" s="59">
        <f t="shared" si="94"/>
        <v>0</v>
      </c>
      <c r="AP429" s="59">
        <f t="shared" si="95"/>
        <v>0</v>
      </c>
    </row>
    <row r="430" spans="3:42" s="17" customFormat="1" x14ac:dyDescent="0.25">
      <c r="C430" s="241" t="s">
        <v>213</v>
      </c>
      <c r="D430" s="242"/>
      <c r="E430" s="88"/>
      <c r="F430" s="217"/>
      <c r="G430" s="234"/>
      <c r="H430" s="218"/>
      <c r="I430" s="76"/>
      <c r="J430" s="77"/>
      <c r="K430" s="77"/>
      <c r="L430" s="76"/>
      <c r="M430" s="110"/>
      <c r="N430" s="152"/>
      <c r="O430" s="111" t="str">
        <f>IFERROR(MIN(VLOOKUP(ROUNDDOWN(N430,0),'Aide calcul'!$B$2:$C$282,2,FALSE),M430+1),"")</f>
        <v/>
      </c>
      <c r="P430" s="112" t="str">
        <f t="shared" si="96"/>
        <v/>
      </c>
      <c r="Q430" s="170"/>
      <c r="R430" s="170"/>
      <c r="S430" s="170"/>
      <c r="T430" s="170"/>
      <c r="U430" s="170"/>
      <c r="V430" s="170"/>
      <c r="W430" s="170"/>
      <c r="X430" s="76"/>
      <c r="Y430" s="76"/>
      <c r="Z430" s="113" t="str">
        <f>IFERROR(ROUND('Informations générales'!$E$66*(AE430/SUM($AE$28:$AE$404))/12,0)*12,"")</f>
        <v/>
      </c>
      <c r="AA430" s="114"/>
      <c r="AB430" s="113" t="str">
        <f t="shared" si="85"/>
        <v/>
      </c>
      <c r="AC430" s="89"/>
      <c r="AD430" s="76"/>
      <c r="AE430" s="56">
        <f t="shared" si="97"/>
        <v>0</v>
      </c>
      <c r="AF430" s="56">
        <f t="shared" si="86"/>
        <v>0</v>
      </c>
      <c r="AG430" s="56">
        <f t="shared" si="87"/>
        <v>0</v>
      </c>
      <c r="AH430" s="56">
        <f t="shared" si="88"/>
        <v>0</v>
      </c>
      <c r="AI430" s="56">
        <f t="shared" si="89"/>
        <v>0</v>
      </c>
      <c r="AJ430" s="56">
        <f t="shared" si="90"/>
        <v>0</v>
      </c>
      <c r="AK430" s="56">
        <f t="shared" si="91"/>
        <v>0</v>
      </c>
      <c r="AL430" s="56">
        <f t="shared" si="92"/>
        <v>0</v>
      </c>
      <c r="AM430" s="56">
        <f t="shared" si="98"/>
        <v>0</v>
      </c>
      <c r="AN430" s="60">
        <f t="shared" si="93"/>
        <v>0</v>
      </c>
      <c r="AO430" s="59">
        <f t="shared" si="94"/>
        <v>0</v>
      </c>
      <c r="AP430" s="59">
        <f t="shared" si="95"/>
        <v>0</v>
      </c>
    </row>
    <row r="431" spans="3:42" s="17" customFormat="1" x14ac:dyDescent="0.25">
      <c r="C431" s="241" t="s">
        <v>213</v>
      </c>
      <c r="D431" s="242"/>
      <c r="E431" s="88"/>
      <c r="F431" s="217"/>
      <c r="G431" s="234"/>
      <c r="H431" s="218"/>
      <c r="I431" s="76"/>
      <c r="J431" s="77"/>
      <c r="K431" s="77"/>
      <c r="L431" s="76"/>
      <c r="M431" s="110"/>
      <c r="N431" s="152"/>
      <c r="O431" s="111" t="str">
        <f>IFERROR(MIN(VLOOKUP(ROUNDDOWN(N431,0),'Aide calcul'!$B$2:$C$282,2,FALSE),M431+1),"")</f>
        <v/>
      </c>
      <c r="P431" s="112" t="str">
        <f t="shared" si="96"/>
        <v/>
      </c>
      <c r="Q431" s="170"/>
      <c r="R431" s="170"/>
      <c r="S431" s="170"/>
      <c r="T431" s="170"/>
      <c r="U431" s="170"/>
      <c r="V431" s="170"/>
      <c r="W431" s="170"/>
      <c r="X431" s="76"/>
      <c r="Y431" s="76"/>
      <c r="Z431" s="113" t="str">
        <f>IFERROR(ROUND('Informations générales'!$E$66*(AE431/SUM($AE$28:$AE$404))/12,0)*12,"")</f>
        <v/>
      </c>
      <c r="AA431" s="114"/>
      <c r="AB431" s="113" t="str">
        <f t="shared" si="85"/>
        <v/>
      </c>
      <c r="AC431" s="89"/>
      <c r="AD431" s="76"/>
      <c r="AE431" s="56">
        <f t="shared" si="97"/>
        <v>0</v>
      </c>
      <c r="AF431" s="56">
        <f t="shared" si="86"/>
        <v>0</v>
      </c>
      <c r="AG431" s="56">
        <f t="shared" si="87"/>
        <v>0</v>
      </c>
      <c r="AH431" s="56">
        <f t="shared" si="88"/>
        <v>0</v>
      </c>
      <c r="AI431" s="56">
        <f t="shared" si="89"/>
        <v>0</v>
      </c>
      <c r="AJ431" s="56">
        <f t="shared" si="90"/>
        <v>0</v>
      </c>
      <c r="AK431" s="56">
        <f t="shared" si="91"/>
        <v>0</v>
      </c>
      <c r="AL431" s="56">
        <f t="shared" si="92"/>
        <v>0</v>
      </c>
      <c r="AM431" s="56">
        <f t="shared" si="98"/>
        <v>0</v>
      </c>
      <c r="AN431" s="60">
        <f t="shared" si="93"/>
        <v>0</v>
      </c>
      <c r="AO431" s="59">
        <f t="shared" si="94"/>
        <v>0</v>
      </c>
      <c r="AP431" s="59">
        <f t="shared" si="95"/>
        <v>0</v>
      </c>
    </row>
    <row r="432" spans="3:42" s="17" customFormat="1" x14ac:dyDescent="0.25">
      <c r="C432" s="241" t="s">
        <v>213</v>
      </c>
      <c r="D432" s="242"/>
      <c r="E432" s="88"/>
      <c r="F432" s="217"/>
      <c r="G432" s="234"/>
      <c r="H432" s="218"/>
      <c r="I432" s="76"/>
      <c r="J432" s="77"/>
      <c r="K432" s="77"/>
      <c r="L432" s="76"/>
      <c r="M432" s="110"/>
      <c r="N432" s="152"/>
      <c r="O432" s="111" t="str">
        <f>IFERROR(MIN(VLOOKUP(ROUNDDOWN(N432,0),'Aide calcul'!$B$2:$C$282,2,FALSE),M432+1),"")</f>
        <v/>
      </c>
      <c r="P432" s="112" t="str">
        <f t="shared" si="96"/>
        <v/>
      </c>
      <c r="Q432" s="170"/>
      <c r="R432" s="170"/>
      <c r="S432" s="170"/>
      <c r="T432" s="170"/>
      <c r="U432" s="170"/>
      <c r="V432" s="170"/>
      <c r="W432" s="170"/>
      <c r="X432" s="76"/>
      <c r="Y432" s="76"/>
      <c r="Z432" s="113" t="str">
        <f>IFERROR(ROUND('Informations générales'!$E$66*(AE432/SUM($AE$28:$AE$404))/12,0)*12,"")</f>
        <v/>
      </c>
      <c r="AA432" s="114"/>
      <c r="AB432" s="113" t="str">
        <f t="shared" si="85"/>
        <v/>
      </c>
      <c r="AC432" s="89"/>
      <c r="AD432" s="76"/>
      <c r="AE432" s="56">
        <f t="shared" si="97"/>
        <v>0</v>
      </c>
      <c r="AF432" s="56">
        <f t="shared" si="86"/>
        <v>0</v>
      </c>
      <c r="AG432" s="56">
        <f t="shared" si="87"/>
        <v>0</v>
      </c>
      <c r="AH432" s="56">
        <f t="shared" si="88"/>
        <v>0</v>
      </c>
      <c r="AI432" s="56">
        <f t="shared" si="89"/>
        <v>0</v>
      </c>
      <c r="AJ432" s="56">
        <f t="shared" si="90"/>
        <v>0</v>
      </c>
      <c r="AK432" s="56">
        <f t="shared" si="91"/>
        <v>0</v>
      </c>
      <c r="AL432" s="56">
        <f t="shared" si="92"/>
        <v>0</v>
      </c>
      <c r="AM432" s="56">
        <f t="shared" si="98"/>
        <v>0</v>
      </c>
      <c r="AN432" s="60">
        <f t="shared" si="93"/>
        <v>0</v>
      </c>
      <c r="AO432" s="59">
        <f t="shared" si="94"/>
        <v>0</v>
      </c>
      <c r="AP432" s="59">
        <f t="shared" si="95"/>
        <v>0</v>
      </c>
    </row>
    <row r="433" spans="3:42" s="17" customFormat="1" x14ac:dyDescent="0.25">
      <c r="C433" s="241" t="s">
        <v>213</v>
      </c>
      <c r="D433" s="242"/>
      <c r="E433" s="88"/>
      <c r="F433" s="217"/>
      <c r="G433" s="234"/>
      <c r="H433" s="218"/>
      <c r="I433" s="76"/>
      <c r="J433" s="77"/>
      <c r="K433" s="77"/>
      <c r="L433" s="76"/>
      <c r="M433" s="110"/>
      <c r="N433" s="152"/>
      <c r="O433" s="111" t="str">
        <f>IFERROR(MIN(VLOOKUP(ROUNDDOWN(N433,0),'Aide calcul'!$B$2:$C$282,2,FALSE),M433+1),"")</f>
        <v/>
      </c>
      <c r="P433" s="112" t="str">
        <f t="shared" si="96"/>
        <v/>
      </c>
      <c r="Q433" s="170"/>
      <c r="R433" s="170"/>
      <c r="S433" s="170"/>
      <c r="T433" s="170"/>
      <c r="U433" s="170"/>
      <c r="V433" s="170"/>
      <c r="W433" s="170"/>
      <c r="X433" s="76"/>
      <c r="Y433" s="76"/>
      <c r="Z433" s="113" t="str">
        <f>IFERROR(ROUND('Informations générales'!$E$66*(AE433/SUM($AE$28:$AE$404))/12,0)*12,"")</f>
        <v/>
      </c>
      <c r="AA433" s="114"/>
      <c r="AB433" s="113" t="str">
        <f t="shared" si="85"/>
        <v/>
      </c>
      <c r="AC433" s="89"/>
      <c r="AD433" s="76"/>
      <c r="AE433" s="56">
        <f t="shared" si="97"/>
        <v>0</v>
      </c>
      <c r="AF433" s="56">
        <f t="shared" si="86"/>
        <v>0</v>
      </c>
      <c r="AG433" s="56">
        <f t="shared" si="87"/>
        <v>0</v>
      </c>
      <c r="AH433" s="56">
        <f t="shared" si="88"/>
        <v>0</v>
      </c>
      <c r="AI433" s="56">
        <f t="shared" si="89"/>
        <v>0</v>
      </c>
      <c r="AJ433" s="56">
        <f t="shared" si="90"/>
        <v>0</v>
      </c>
      <c r="AK433" s="56">
        <f t="shared" si="91"/>
        <v>0</v>
      </c>
      <c r="AL433" s="56">
        <f t="shared" si="92"/>
        <v>0</v>
      </c>
      <c r="AM433" s="56">
        <f t="shared" si="98"/>
        <v>0</v>
      </c>
      <c r="AN433" s="60">
        <f t="shared" si="93"/>
        <v>0</v>
      </c>
      <c r="AO433" s="59">
        <f t="shared" si="94"/>
        <v>0</v>
      </c>
      <c r="AP433" s="59">
        <f t="shared" si="95"/>
        <v>0</v>
      </c>
    </row>
    <row r="434" spans="3:42" s="17" customFormat="1" x14ac:dyDescent="0.25">
      <c r="C434" s="241" t="s">
        <v>213</v>
      </c>
      <c r="D434" s="242"/>
      <c r="E434" s="88"/>
      <c r="F434" s="217"/>
      <c r="G434" s="234"/>
      <c r="H434" s="218"/>
      <c r="I434" s="76"/>
      <c r="J434" s="77"/>
      <c r="K434" s="77"/>
      <c r="L434" s="76"/>
      <c r="M434" s="110"/>
      <c r="N434" s="152"/>
      <c r="O434" s="111" t="str">
        <f>IFERROR(MIN(VLOOKUP(ROUNDDOWN(N434,0),'Aide calcul'!$B$2:$C$282,2,FALSE),M434+1),"")</f>
        <v/>
      </c>
      <c r="P434" s="112" t="str">
        <f t="shared" si="96"/>
        <v/>
      </c>
      <c r="Q434" s="170"/>
      <c r="R434" s="170"/>
      <c r="S434" s="170"/>
      <c r="T434" s="170"/>
      <c r="U434" s="170"/>
      <c r="V434" s="170"/>
      <c r="W434" s="170"/>
      <c r="X434" s="76"/>
      <c r="Y434" s="76"/>
      <c r="Z434" s="113" t="str">
        <f>IFERROR(ROUND('Informations générales'!$E$66*(AE434/SUM($AE$28:$AE$404))/12,0)*12,"")</f>
        <v/>
      </c>
      <c r="AA434" s="114"/>
      <c r="AB434" s="113" t="str">
        <f t="shared" si="85"/>
        <v/>
      </c>
      <c r="AC434" s="89"/>
      <c r="AD434" s="76"/>
      <c r="AE434" s="56">
        <f t="shared" si="97"/>
        <v>0</v>
      </c>
      <c r="AF434" s="56">
        <f t="shared" si="86"/>
        <v>0</v>
      </c>
      <c r="AG434" s="56">
        <f t="shared" si="87"/>
        <v>0</v>
      </c>
      <c r="AH434" s="56">
        <f t="shared" si="88"/>
        <v>0</v>
      </c>
      <c r="AI434" s="56">
        <f t="shared" si="89"/>
        <v>0</v>
      </c>
      <c r="AJ434" s="56">
        <f t="shared" si="90"/>
        <v>0</v>
      </c>
      <c r="AK434" s="56">
        <f t="shared" si="91"/>
        <v>0</v>
      </c>
      <c r="AL434" s="56">
        <f t="shared" si="92"/>
        <v>0</v>
      </c>
      <c r="AM434" s="56">
        <f t="shared" si="98"/>
        <v>0</v>
      </c>
      <c r="AN434" s="60">
        <f t="shared" si="93"/>
        <v>0</v>
      </c>
      <c r="AO434" s="59">
        <f t="shared" si="94"/>
        <v>0</v>
      </c>
      <c r="AP434" s="59">
        <f t="shared" si="95"/>
        <v>0</v>
      </c>
    </row>
    <row r="435" spans="3:42" s="17" customFormat="1" x14ac:dyDescent="0.25">
      <c r="C435" s="241" t="s">
        <v>213</v>
      </c>
      <c r="D435" s="242"/>
      <c r="E435" s="88"/>
      <c r="F435" s="217"/>
      <c r="G435" s="234"/>
      <c r="H435" s="218"/>
      <c r="I435" s="76"/>
      <c r="J435" s="77"/>
      <c r="K435" s="77"/>
      <c r="L435" s="76"/>
      <c r="M435" s="110"/>
      <c r="N435" s="152"/>
      <c r="O435" s="111" t="str">
        <f>IFERROR(MIN(VLOOKUP(ROUNDDOWN(N435,0),'Aide calcul'!$B$2:$C$282,2,FALSE),M435+1),"")</f>
        <v/>
      </c>
      <c r="P435" s="112" t="str">
        <f t="shared" si="96"/>
        <v/>
      </c>
      <c r="Q435" s="170"/>
      <c r="R435" s="170"/>
      <c r="S435" s="170"/>
      <c r="T435" s="170"/>
      <c r="U435" s="170"/>
      <c r="V435" s="170"/>
      <c r="W435" s="170"/>
      <c r="X435" s="76"/>
      <c r="Y435" s="76"/>
      <c r="Z435" s="113" t="str">
        <f>IFERROR(ROUND('Informations générales'!$E$66*(AE435/SUM($AE$28:$AE$404))/12,0)*12,"")</f>
        <v/>
      </c>
      <c r="AA435" s="114"/>
      <c r="AB435" s="113" t="str">
        <f t="shared" si="85"/>
        <v/>
      </c>
      <c r="AC435" s="89"/>
      <c r="AD435" s="76"/>
      <c r="AE435" s="56">
        <f t="shared" si="97"/>
        <v>0</v>
      </c>
      <c r="AF435" s="56">
        <f t="shared" si="86"/>
        <v>0</v>
      </c>
      <c r="AG435" s="56">
        <f t="shared" si="87"/>
        <v>0</v>
      </c>
      <c r="AH435" s="56">
        <f t="shared" si="88"/>
        <v>0</v>
      </c>
      <c r="AI435" s="56">
        <f t="shared" si="89"/>
        <v>0</v>
      </c>
      <c r="AJ435" s="56">
        <f t="shared" si="90"/>
        <v>0</v>
      </c>
      <c r="AK435" s="56">
        <f t="shared" si="91"/>
        <v>0</v>
      </c>
      <c r="AL435" s="56">
        <f t="shared" si="92"/>
        <v>0</v>
      </c>
      <c r="AM435" s="56">
        <f t="shared" si="98"/>
        <v>0</v>
      </c>
      <c r="AN435" s="60">
        <f t="shared" si="93"/>
        <v>0</v>
      </c>
      <c r="AO435" s="59">
        <f t="shared" si="94"/>
        <v>0</v>
      </c>
      <c r="AP435" s="59">
        <f t="shared" si="95"/>
        <v>0</v>
      </c>
    </row>
    <row r="436" spans="3:42" s="17" customFormat="1" x14ac:dyDescent="0.25">
      <c r="C436" s="241" t="s">
        <v>213</v>
      </c>
      <c r="D436" s="242"/>
      <c r="E436" s="88"/>
      <c r="F436" s="217"/>
      <c r="G436" s="234"/>
      <c r="H436" s="218"/>
      <c r="I436" s="76"/>
      <c r="J436" s="77"/>
      <c r="K436" s="77"/>
      <c r="L436" s="76"/>
      <c r="M436" s="110"/>
      <c r="N436" s="152"/>
      <c r="O436" s="111" t="str">
        <f>IFERROR(MIN(VLOOKUP(ROUNDDOWN(N436,0),'Aide calcul'!$B$2:$C$282,2,FALSE),M436+1),"")</f>
        <v/>
      </c>
      <c r="P436" s="112" t="str">
        <f t="shared" si="96"/>
        <v/>
      </c>
      <c r="Q436" s="170"/>
      <c r="R436" s="170"/>
      <c r="S436" s="170"/>
      <c r="T436" s="170"/>
      <c r="U436" s="170"/>
      <c r="V436" s="170"/>
      <c r="W436" s="170"/>
      <c r="X436" s="76"/>
      <c r="Y436" s="76"/>
      <c r="Z436" s="113" t="str">
        <f>IFERROR(ROUND('Informations générales'!$E$66*(AE436/SUM($AE$28:$AE$404))/12,0)*12,"")</f>
        <v/>
      </c>
      <c r="AA436" s="114"/>
      <c r="AB436" s="113" t="str">
        <f t="shared" si="85"/>
        <v/>
      </c>
      <c r="AC436" s="89"/>
      <c r="AD436" s="76"/>
      <c r="AE436" s="56">
        <f t="shared" si="97"/>
        <v>0</v>
      </c>
      <c r="AF436" s="56">
        <f t="shared" si="86"/>
        <v>0</v>
      </c>
      <c r="AG436" s="56">
        <f t="shared" si="87"/>
        <v>0</v>
      </c>
      <c r="AH436" s="56">
        <f t="shared" si="88"/>
        <v>0</v>
      </c>
      <c r="AI436" s="56">
        <f t="shared" si="89"/>
        <v>0</v>
      </c>
      <c r="AJ436" s="56">
        <f t="shared" si="90"/>
        <v>0</v>
      </c>
      <c r="AK436" s="56">
        <f t="shared" si="91"/>
        <v>0</v>
      </c>
      <c r="AL436" s="56">
        <f t="shared" si="92"/>
        <v>0</v>
      </c>
      <c r="AM436" s="56">
        <f t="shared" si="98"/>
        <v>0</v>
      </c>
      <c r="AN436" s="60">
        <f t="shared" si="93"/>
        <v>0</v>
      </c>
      <c r="AO436" s="59">
        <f t="shared" si="94"/>
        <v>0</v>
      </c>
      <c r="AP436" s="59">
        <f t="shared" si="95"/>
        <v>0</v>
      </c>
    </row>
    <row r="437" spans="3:42" s="17" customFormat="1" x14ac:dyDescent="0.25">
      <c r="C437" s="241" t="s">
        <v>213</v>
      </c>
      <c r="D437" s="242"/>
      <c r="E437" s="88"/>
      <c r="F437" s="217"/>
      <c r="G437" s="234"/>
      <c r="H437" s="218"/>
      <c r="I437" s="76"/>
      <c r="J437" s="77"/>
      <c r="K437" s="77"/>
      <c r="L437" s="76"/>
      <c r="M437" s="110"/>
      <c r="N437" s="152"/>
      <c r="O437" s="111" t="str">
        <f>IFERROR(MIN(VLOOKUP(ROUNDDOWN(N437,0),'Aide calcul'!$B$2:$C$282,2,FALSE),M437+1),"")</f>
        <v/>
      </c>
      <c r="P437" s="112" t="str">
        <f t="shared" si="96"/>
        <v/>
      </c>
      <c r="Q437" s="170"/>
      <c r="R437" s="170"/>
      <c r="S437" s="170"/>
      <c r="T437" s="170"/>
      <c r="U437" s="170"/>
      <c r="V437" s="170"/>
      <c r="W437" s="170"/>
      <c r="X437" s="76"/>
      <c r="Y437" s="76"/>
      <c r="Z437" s="113" t="str">
        <f>IFERROR(ROUND('Informations générales'!$E$66*(AE437/SUM($AE$28:$AE$404))/12,0)*12,"")</f>
        <v/>
      </c>
      <c r="AA437" s="114"/>
      <c r="AB437" s="113" t="str">
        <f t="shared" si="85"/>
        <v/>
      </c>
      <c r="AC437" s="89"/>
      <c r="AD437" s="76"/>
      <c r="AE437" s="56">
        <f t="shared" si="97"/>
        <v>0</v>
      </c>
      <c r="AF437" s="56">
        <f t="shared" si="86"/>
        <v>0</v>
      </c>
      <c r="AG437" s="56">
        <f t="shared" si="87"/>
        <v>0</v>
      </c>
      <c r="AH437" s="56">
        <f t="shared" si="88"/>
        <v>0</v>
      </c>
      <c r="AI437" s="56">
        <f t="shared" si="89"/>
        <v>0</v>
      </c>
      <c r="AJ437" s="56">
        <f t="shared" si="90"/>
        <v>0</v>
      </c>
      <c r="AK437" s="56">
        <f t="shared" si="91"/>
        <v>0</v>
      </c>
      <c r="AL437" s="56">
        <f t="shared" si="92"/>
        <v>0</v>
      </c>
      <c r="AM437" s="56">
        <f t="shared" si="98"/>
        <v>0</v>
      </c>
      <c r="AN437" s="60">
        <f t="shared" si="93"/>
        <v>0</v>
      </c>
      <c r="AO437" s="59">
        <f t="shared" si="94"/>
        <v>0</v>
      </c>
      <c r="AP437" s="59">
        <f t="shared" si="95"/>
        <v>0</v>
      </c>
    </row>
    <row r="438" spans="3:42" s="17" customFormat="1" x14ac:dyDescent="0.25">
      <c r="C438" s="241" t="s">
        <v>213</v>
      </c>
      <c r="D438" s="242"/>
      <c r="E438" s="88"/>
      <c r="F438" s="217"/>
      <c r="G438" s="234"/>
      <c r="H438" s="218"/>
      <c r="I438" s="76"/>
      <c r="J438" s="77"/>
      <c r="K438" s="77"/>
      <c r="L438" s="76"/>
      <c r="M438" s="110"/>
      <c r="N438" s="152"/>
      <c r="O438" s="111" t="str">
        <f>IFERROR(MIN(VLOOKUP(ROUNDDOWN(N438,0),'Aide calcul'!$B$2:$C$282,2,FALSE),M438+1),"")</f>
        <v/>
      </c>
      <c r="P438" s="112" t="str">
        <f t="shared" si="96"/>
        <v/>
      </c>
      <c r="Q438" s="170"/>
      <c r="R438" s="170"/>
      <c r="S438" s="170"/>
      <c r="T438" s="170"/>
      <c r="U438" s="170"/>
      <c r="V438" s="170"/>
      <c r="W438" s="170"/>
      <c r="X438" s="76"/>
      <c r="Y438" s="76"/>
      <c r="Z438" s="113" t="str">
        <f>IFERROR(ROUND('Informations générales'!$E$66*(AE438/SUM($AE$28:$AE$404))/12,0)*12,"")</f>
        <v/>
      </c>
      <c r="AA438" s="114"/>
      <c r="AB438" s="113" t="str">
        <f t="shared" si="85"/>
        <v/>
      </c>
      <c r="AC438" s="89"/>
      <c r="AD438" s="76"/>
      <c r="AE438" s="56">
        <f t="shared" si="97"/>
        <v>0</v>
      </c>
      <c r="AF438" s="56">
        <f t="shared" si="86"/>
        <v>0</v>
      </c>
      <c r="AG438" s="56">
        <f t="shared" si="87"/>
        <v>0</v>
      </c>
      <c r="AH438" s="56">
        <f t="shared" si="88"/>
        <v>0</v>
      </c>
      <c r="AI438" s="56">
        <f t="shared" si="89"/>
        <v>0</v>
      </c>
      <c r="AJ438" s="56">
        <f t="shared" si="90"/>
        <v>0</v>
      </c>
      <c r="AK438" s="56">
        <f t="shared" si="91"/>
        <v>0</v>
      </c>
      <c r="AL438" s="56">
        <f t="shared" si="92"/>
        <v>0</v>
      </c>
      <c r="AM438" s="56">
        <f t="shared" si="98"/>
        <v>0</v>
      </c>
      <c r="AN438" s="60">
        <f t="shared" si="93"/>
        <v>0</v>
      </c>
      <c r="AO438" s="59">
        <f t="shared" si="94"/>
        <v>0</v>
      </c>
      <c r="AP438" s="59">
        <f t="shared" si="95"/>
        <v>0</v>
      </c>
    </row>
    <row r="439" spans="3:42" s="17" customFormat="1" x14ac:dyDescent="0.25">
      <c r="C439" s="241" t="s">
        <v>213</v>
      </c>
      <c r="D439" s="242"/>
      <c r="E439" s="88"/>
      <c r="F439" s="217"/>
      <c r="G439" s="234"/>
      <c r="H439" s="218"/>
      <c r="I439" s="76"/>
      <c r="J439" s="77"/>
      <c r="K439" s="77"/>
      <c r="L439" s="76"/>
      <c r="M439" s="110"/>
      <c r="N439" s="152"/>
      <c r="O439" s="111" t="str">
        <f>IFERROR(MIN(VLOOKUP(ROUNDDOWN(N439,0),'Aide calcul'!$B$2:$C$282,2,FALSE),M439+1),"")</f>
        <v/>
      </c>
      <c r="P439" s="112" t="str">
        <f t="shared" si="96"/>
        <v/>
      </c>
      <c r="Q439" s="170"/>
      <c r="R439" s="170"/>
      <c r="S439" s="170"/>
      <c r="T439" s="170"/>
      <c r="U439" s="170"/>
      <c r="V439" s="170"/>
      <c r="W439" s="170"/>
      <c r="X439" s="76"/>
      <c r="Y439" s="76"/>
      <c r="Z439" s="113" t="str">
        <f>IFERROR(ROUND('Informations générales'!$E$66*(AE439/SUM($AE$28:$AE$404))/12,0)*12,"")</f>
        <v/>
      </c>
      <c r="AA439" s="114"/>
      <c r="AB439" s="113" t="str">
        <f t="shared" si="85"/>
        <v/>
      </c>
      <c r="AC439" s="89"/>
      <c r="AD439" s="76"/>
      <c r="AE439" s="56">
        <f t="shared" si="97"/>
        <v>0</v>
      </c>
      <c r="AF439" s="56">
        <f t="shared" si="86"/>
        <v>0</v>
      </c>
      <c r="AG439" s="56">
        <f t="shared" si="87"/>
        <v>0</v>
      </c>
      <c r="AH439" s="56">
        <f t="shared" si="88"/>
        <v>0</v>
      </c>
      <c r="AI439" s="56">
        <f t="shared" si="89"/>
        <v>0</v>
      </c>
      <c r="AJ439" s="56">
        <f t="shared" si="90"/>
        <v>0</v>
      </c>
      <c r="AK439" s="56">
        <f t="shared" si="91"/>
        <v>0</v>
      </c>
      <c r="AL439" s="56">
        <f t="shared" si="92"/>
        <v>0</v>
      </c>
      <c r="AM439" s="56">
        <f t="shared" si="98"/>
        <v>0</v>
      </c>
      <c r="AN439" s="60">
        <f t="shared" si="93"/>
        <v>0</v>
      </c>
      <c r="AO439" s="59">
        <f t="shared" si="94"/>
        <v>0</v>
      </c>
      <c r="AP439" s="59">
        <f t="shared" si="95"/>
        <v>0</v>
      </c>
    </row>
    <row r="440" spans="3:42" s="17" customFormat="1" x14ac:dyDescent="0.25">
      <c r="C440" s="241" t="s">
        <v>213</v>
      </c>
      <c r="D440" s="242"/>
      <c r="E440" s="88"/>
      <c r="F440" s="217"/>
      <c r="G440" s="234"/>
      <c r="H440" s="218"/>
      <c r="I440" s="76"/>
      <c r="J440" s="77"/>
      <c r="K440" s="77"/>
      <c r="L440" s="76"/>
      <c r="M440" s="110"/>
      <c r="N440" s="152"/>
      <c r="O440" s="111" t="str">
        <f>IFERROR(MIN(VLOOKUP(ROUNDDOWN(N440,0),'Aide calcul'!$B$2:$C$282,2,FALSE),M440+1),"")</f>
        <v/>
      </c>
      <c r="P440" s="112" t="str">
        <f t="shared" si="96"/>
        <v/>
      </c>
      <c r="Q440" s="170"/>
      <c r="R440" s="170"/>
      <c r="S440" s="170"/>
      <c r="T440" s="170"/>
      <c r="U440" s="170"/>
      <c r="V440" s="170"/>
      <c r="W440" s="170"/>
      <c r="X440" s="76"/>
      <c r="Y440" s="76"/>
      <c r="Z440" s="113" t="str">
        <f>IFERROR(ROUND('Informations générales'!$E$66*(AE440/SUM($AE$28:$AE$404))/12,0)*12,"")</f>
        <v/>
      </c>
      <c r="AA440" s="114"/>
      <c r="AB440" s="113" t="str">
        <f t="shared" si="85"/>
        <v/>
      </c>
      <c r="AC440" s="89"/>
      <c r="AD440" s="76"/>
      <c r="AE440" s="56">
        <f t="shared" si="97"/>
        <v>0</v>
      </c>
      <c r="AF440" s="56">
        <f t="shared" si="86"/>
        <v>0</v>
      </c>
      <c r="AG440" s="56">
        <f t="shared" si="87"/>
        <v>0</v>
      </c>
      <c r="AH440" s="56">
        <f t="shared" si="88"/>
        <v>0</v>
      </c>
      <c r="AI440" s="56">
        <f t="shared" si="89"/>
        <v>0</v>
      </c>
      <c r="AJ440" s="56">
        <f t="shared" si="90"/>
        <v>0</v>
      </c>
      <c r="AK440" s="56">
        <f t="shared" si="91"/>
        <v>0</v>
      </c>
      <c r="AL440" s="56">
        <f t="shared" si="92"/>
        <v>0</v>
      </c>
      <c r="AM440" s="56">
        <f t="shared" si="98"/>
        <v>0</v>
      </c>
      <c r="AN440" s="60">
        <f t="shared" si="93"/>
        <v>0</v>
      </c>
      <c r="AO440" s="59">
        <f t="shared" si="94"/>
        <v>0</v>
      </c>
      <c r="AP440" s="59">
        <f t="shared" si="95"/>
        <v>0</v>
      </c>
    </row>
    <row r="441" spans="3:42" s="17" customFormat="1" x14ac:dyDescent="0.25">
      <c r="C441" s="241" t="s">
        <v>213</v>
      </c>
      <c r="D441" s="242"/>
      <c r="E441" s="88"/>
      <c r="F441" s="217"/>
      <c r="G441" s="234"/>
      <c r="H441" s="218"/>
      <c r="I441" s="76"/>
      <c r="J441" s="77"/>
      <c r="K441" s="77"/>
      <c r="L441" s="76"/>
      <c r="M441" s="110"/>
      <c r="N441" s="152"/>
      <c r="O441" s="111" t="str">
        <f>IFERROR(MIN(VLOOKUP(ROUNDDOWN(N441,0),'Aide calcul'!$B$2:$C$282,2,FALSE),M441+1),"")</f>
        <v/>
      </c>
      <c r="P441" s="112" t="str">
        <f t="shared" si="96"/>
        <v/>
      </c>
      <c r="Q441" s="170"/>
      <c r="R441" s="170"/>
      <c r="S441" s="170"/>
      <c r="T441" s="170"/>
      <c r="U441" s="170"/>
      <c r="V441" s="170"/>
      <c r="W441" s="170"/>
      <c r="X441" s="76"/>
      <c r="Y441" s="76"/>
      <c r="Z441" s="113" t="str">
        <f>IFERROR(ROUND('Informations générales'!$E$66*(AE441/SUM($AE$28:$AE$404))/12,0)*12,"")</f>
        <v/>
      </c>
      <c r="AA441" s="114"/>
      <c r="AB441" s="113" t="str">
        <f t="shared" si="85"/>
        <v/>
      </c>
      <c r="AC441" s="89"/>
      <c r="AD441" s="76"/>
      <c r="AE441" s="56">
        <f t="shared" si="97"/>
        <v>0</v>
      </c>
      <c r="AF441" s="56">
        <f t="shared" si="86"/>
        <v>0</v>
      </c>
      <c r="AG441" s="56">
        <f t="shared" si="87"/>
        <v>0</v>
      </c>
      <c r="AH441" s="56">
        <f t="shared" si="88"/>
        <v>0</v>
      </c>
      <c r="AI441" s="56">
        <f t="shared" si="89"/>
        <v>0</v>
      </c>
      <c r="AJ441" s="56">
        <f t="shared" si="90"/>
        <v>0</v>
      </c>
      <c r="AK441" s="56">
        <f t="shared" si="91"/>
        <v>0</v>
      </c>
      <c r="AL441" s="56">
        <f t="shared" si="92"/>
        <v>0</v>
      </c>
      <c r="AM441" s="56">
        <f t="shared" si="98"/>
        <v>0</v>
      </c>
      <c r="AN441" s="60">
        <f t="shared" si="93"/>
        <v>0</v>
      </c>
      <c r="AO441" s="59">
        <f t="shared" si="94"/>
        <v>0</v>
      </c>
      <c r="AP441" s="59">
        <f t="shared" si="95"/>
        <v>0</v>
      </c>
    </row>
    <row r="442" spans="3:42" s="17" customFormat="1" x14ac:dyDescent="0.25">
      <c r="C442" s="241" t="s">
        <v>213</v>
      </c>
      <c r="D442" s="242"/>
      <c r="E442" s="88"/>
      <c r="F442" s="217"/>
      <c r="G442" s="234"/>
      <c r="H442" s="218"/>
      <c r="I442" s="76"/>
      <c r="J442" s="77"/>
      <c r="K442" s="77"/>
      <c r="L442" s="76"/>
      <c r="M442" s="110"/>
      <c r="N442" s="152"/>
      <c r="O442" s="111" t="str">
        <f>IFERROR(MIN(VLOOKUP(ROUNDDOWN(N442,0),'Aide calcul'!$B$2:$C$282,2,FALSE),M442+1),"")</f>
        <v/>
      </c>
      <c r="P442" s="112" t="str">
        <f t="shared" si="96"/>
        <v/>
      </c>
      <c r="Q442" s="170"/>
      <c r="R442" s="170"/>
      <c r="S442" s="170"/>
      <c r="T442" s="170"/>
      <c r="U442" s="170"/>
      <c r="V442" s="170"/>
      <c r="W442" s="170"/>
      <c r="X442" s="76"/>
      <c r="Y442" s="76"/>
      <c r="Z442" s="113" t="str">
        <f>IFERROR(ROUND('Informations générales'!$E$66*(AE442/SUM($AE$28:$AE$404))/12,0)*12,"")</f>
        <v/>
      </c>
      <c r="AA442" s="114"/>
      <c r="AB442" s="113" t="str">
        <f t="shared" si="85"/>
        <v/>
      </c>
      <c r="AC442" s="89"/>
      <c r="AD442" s="76"/>
      <c r="AE442" s="56">
        <f t="shared" si="97"/>
        <v>0</v>
      </c>
      <c r="AF442" s="56">
        <f t="shared" si="86"/>
        <v>0</v>
      </c>
      <c r="AG442" s="56">
        <f t="shared" si="87"/>
        <v>0</v>
      </c>
      <c r="AH442" s="56">
        <f t="shared" si="88"/>
        <v>0</v>
      </c>
      <c r="AI442" s="56">
        <f t="shared" si="89"/>
        <v>0</v>
      </c>
      <c r="AJ442" s="56">
        <f t="shared" si="90"/>
        <v>0</v>
      </c>
      <c r="AK442" s="56">
        <f t="shared" si="91"/>
        <v>0</v>
      </c>
      <c r="AL442" s="56">
        <f t="shared" si="92"/>
        <v>0</v>
      </c>
      <c r="AM442" s="56">
        <f t="shared" si="98"/>
        <v>0</v>
      </c>
      <c r="AN442" s="60">
        <f t="shared" si="93"/>
        <v>0</v>
      </c>
      <c r="AO442" s="59">
        <f t="shared" si="94"/>
        <v>0</v>
      </c>
      <c r="AP442" s="59">
        <f t="shared" si="95"/>
        <v>0</v>
      </c>
    </row>
    <row r="443" spans="3:42" s="17" customFormat="1" x14ac:dyDescent="0.25">
      <c r="C443" s="241" t="s">
        <v>213</v>
      </c>
      <c r="D443" s="242"/>
      <c r="E443" s="88"/>
      <c r="F443" s="217"/>
      <c r="G443" s="234"/>
      <c r="H443" s="218"/>
      <c r="I443" s="76"/>
      <c r="J443" s="77"/>
      <c r="K443" s="77"/>
      <c r="L443" s="76"/>
      <c r="M443" s="110"/>
      <c r="N443" s="152"/>
      <c r="O443" s="111" t="str">
        <f>IFERROR(MIN(VLOOKUP(ROUNDDOWN(N443,0),'Aide calcul'!$B$2:$C$282,2,FALSE),M443+1),"")</f>
        <v/>
      </c>
      <c r="P443" s="112" t="str">
        <f t="shared" si="96"/>
        <v/>
      </c>
      <c r="Q443" s="170"/>
      <c r="R443" s="170"/>
      <c r="S443" s="170"/>
      <c r="T443" s="170"/>
      <c r="U443" s="170"/>
      <c r="V443" s="170"/>
      <c r="W443" s="170"/>
      <c r="X443" s="76"/>
      <c r="Y443" s="76"/>
      <c r="Z443" s="113" t="str">
        <f>IFERROR(ROUND('Informations générales'!$E$66*(AE443/SUM($AE$28:$AE$404))/12,0)*12,"")</f>
        <v/>
      </c>
      <c r="AA443" s="114"/>
      <c r="AB443" s="113" t="str">
        <f t="shared" si="85"/>
        <v/>
      </c>
      <c r="AC443" s="89"/>
      <c r="AD443" s="76"/>
      <c r="AE443" s="56">
        <f t="shared" si="97"/>
        <v>0</v>
      </c>
      <c r="AF443" s="56">
        <f t="shared" si="86"/>
        <v>0</v>
      </c>
      <c r="AG443" s="56">
        <f t="shared" si="87"/>
        <v>0</v>
      </c>
      <c r="AH443" s="56">
        <f t="shared" si="88"/>
        <v>0</v>
      </c>
      <c r="AI443" s="56">
        <f t="shared" si="89"/>
        <v>0</v>
      </c>
      <c r="AJ443" s="56">
        <f t="shared" si="90"/>
        <v>0</v>
      </c>
      <c r="AK443" s="56">
        <f t="shared" si="91"/>
        <v>0</v>
      </c>
      <c r="AL443" s="56">
        <f t="shared" si="92"/>
        <v>0</v>
      </c>
      <c r="AM443" s="56">
        <f t="shared" si="98"/>
        <v>0</v>
      </c>
      <c r="AN443" s="60">
        <f t="shared" si="93"/>
        <v>0</v>
      </c>
      <c r="AO443" s="59">
        <f t="shared" si="94"/>
        <v>0</v>
      </c>
      <c r="AP443" s="59">
        <f t="shared" si="95"/>
        <v>0</v>
      </c>
    </row>
    <row r="444" spans="3:42" s="17" customFormat="1" x14ac:dyDescent="0.25">
      <c r="C444" s="241" t="s">
        <v>213</v>
      </c>
      <c r="D444" s="242"/>
      <c r="E444" s="88"/>
      <c r="F444" s="217"/>
      <c r="G444" s="234"/>
      <c r="H444" s="218"/>
      <c r="I444" s="76"/>
      <c r="J444" s="77"/>
      <c r="K444" s="77"/>
      <c r="L444" s="76"/>
      <c r="M444" s="110"/>
      <c r="N444" s="152"/>
      <c r="O444" s="111" t="str">
        <f>IFERROR(MIN(VLOOKUP(ROUNDDOWN(N444,0),'Aide calcul'!$B$2:$C$282,2,FALSE),M444+1),"")</f>
        <v/>
      </c>
      <c r="P444" s="112" t="str">
        <f t="shared" si="96"/>
        <v/>
      </c>
      <c r="Q444" s="170"/>
      <c r="R444" s="170"/>
      <c r="S444" s="170"/>
      <c r="T444" s="170"/>
      <c r="U444" s="170"/>
      <c r="V444" s="170"/>
      <c r="W444" s="170"/>
      <c r="X444" s="76"/>
      <c r="Y444" s="76"/>
      <c r="Z444" s="113" t="str">
        <f>IFERROR(ROUND('Informations générales'!$E$66*(AE444/SUM($AE$28:$AE$404))/12,0)*12,"")</f>
        <v/>
      </c>
      <c r="AA444" s="114"/>
      <c r="AB444" s="113" t="str">
        <f t="shared" si="85"/>
        <v/>
      </c>
      <c r="AC444" s="89"/>
      <c r="AD444" s="76"/>
      <c r="AE444" s="56">
        <f t="shared" si="97"/>
        <v>0</v>
      </c>
      <c r="AF444" s="56">
        <f t="shared" si="86"/>
        <v>0</v>
      </c>
      <c r="AG444" s="56">
        <f t="shared" si="87"/>
        <v>0</v>
      </c>
      <c r="AH444" s="56">
        <f t="shared" si="88"/>
        <v>0</v>
      </c>
      <c r="AI444" s="56">
        <f t="shared" si="89"/>
        <v>0</v>
      </c>
      <c r="AJ444" s="56">
        <f t="shared" si="90"/>
        <v>0</v>
      </c>
      <c r="AK444" s="56">
        <f t="shared" si="91"/>
        <v>0</v>
      </c>
      <c r="AL444" s="56">
        <f t="shared" si="92"/>
        <v>0</v>
      </c>
      <c r="AM444" s="56">
        <f t="shared" si="98"/>
        <v>0</v>
      </c>
      <c r="AN444" s="60">
        <f t="shared" si="93"/>
        <v>0</v>
      </c>
      <c r="AO444" s="59">
        <f t="shared" si="94"/>
        <v>0</v>
      </c>
      <c r="AP444" s="59">
        <f t="shared" si="95"/>
        <v>0</v>
      </c>
    </row>
    <row r="445" spans="3:42" s="17" customFormat="1" x14ac:dyDescent="0.25">
      <c r="C445" s="241" t="s">
        <v>213</v>
      </c>
      <c r="D445" s="242"/>
      <c r="E445" s="88"/>
      <c r="F445" s="217"/>
      <c r="G445" s="234"/>
      <c r="H445" s="218"/>
      <c r="I445" s="76"/>
      <c r="J445" s="77"/>
      <c r="K445" s="77"/>
      <c r="L445" s="76"/>
      <c r="M445" s="110"/>
      <c r="N445" s="152"/>
      <c r="O445" s="111" t="str">
        <f>IFERROR(MIN(VLOOKUP(ROUNDDOWN(N445,0),'Aide calcul'!$B$2:$C$282,2,FALSE),M445+1),"")</f>
        <v/>
      </c>
      <c r="P445" s="112" t="str">
        <f t="shared" si="96"/>
        <v/>
      </c>
      <c r="Q445" s="170"/>
      <c r="R445" s="170"/>
      <c r="S445" s="170"/>
      <c r="T445" s="170"/>
      <c r="U445" s="170"/>
      <c r="V445" s="170"/>
      <c r="W445" s="170"/>
      <c r="X445" s="76"/>
      <c r="Y445" s="76"/>
      <c r="Z445" s="113" t="str">
        <f>IFERROR(ROUND('Informations générales'!$E$66*(AE445/SUM($AE$28:$AE$404))/12,0)*12,"")</f>
        <v/>
      </c>
      <c r="AA445" s="114"/>
      <c r="AB445" s="113" t="str">
        <f t="shared" si="85"/>
        <v/>
      </c>
      <c r="AC445" s="89"/>
      <c r="AD445" s="76"/>
      <c r="AE445" s="56">
        <f t="shared" si="97"/>
        <v>0</v>
      </c>
      <c r="AF445" s="56">
        <f t="shared" si="86"/>
        <v>0</v>
      </c>
      <c r="AG445" s="56">
        <f t="shared" si="87"/>
        <v>0</v>
      </c>
      <c r="AH445" s="56">
        <f t="shared" si="88"/>
        <v>0</v>
      </c>
      <c r="AI445" s="56">
        <f t="shared" si="89"/>
        <v>0</v>
      </c>
      <c r="AJ445" s="56">
        <f t="shared" si="90"/>
        <v>0</v>
      </c>
      <c r="AK445" s="56">
        <f t="shared" si="91"/>
        <v>0</v>
      </c>
      <c r="AL445" s="56">
        <f t="shared" si="92"/>
        <v>0</v>
      </c>
      <c r="AM445" s="56">
        <f t="shared" si="98"/>
        <v>0</v>
      </c>
      <c r="AN445" s="60">
        <f t="shared" si="93"/>
        <v>0</v>
      </c>
      <c r="AO445" s="59">
        <f t="shared" si="94"/>
        <v>0</v>
      </c>
      <c r="AP445" s="59">
        <f t="shared" si="95"/>
        <v>0</v>
      </c>
    </row>
    <row r="446" spans="3:42" s="17" customFormat="1" x14ac:dyDescent="0.25">
      <c r="C446" s="241" t="s">
        <v>213</v>
      </c>
      <c r="D446" s="242"/>
      <c r="E446" s="88"/>
      <c r="F446" s="217"/>
      <c r="G446" s="234"/>
      <c r="H446" s="218"/>
      <c r="I446" s="76"/>
      <c r="J446" s="77"/>
      <c r="K446" s="77"/>
      <c r="L446" s="76"/>
      <c r="M446" s="110"/>
      <c r="N446" s="152"/>
      <c r="O446" s="111" t="str">
        <f>IFERROR(MIN(VLOOKUP(ROUNDDOWN(N446,0),'Aide calcul'!$B$2:$C$282,2,FALSE),M446+1),"")</f>
        <v/>
      </c>
      <c r="P446" s="112" t="str">
        <f t="shared" si="96"/>
        <v/>
      </c>
      <c r="Q446" s="170"/>
      <c r="R446" s="170"/>
      <c r="S446" s="170"/>
      <c r="T446" s="170"/>
      <c r="U446" s="170"/>
      <c r="V446" s="170"/>
      <c r="W446" s="170"/>
      <c r="X446" s="76"/>
      <c r="Y446" s="76"/>
      <c r="Z446" s="113" t="str">
        <f>IFERROR(ROUND('Informations générales'!$E$66*(AE446/SUM($AE$28:$AE$404))/12,0)*12,"")</f>
        <v/>
      </c>
      <c r="AA446" s="114"/>
      <c r="AB446" s="113" t="str">
        <f t="shared" si="85"/>
        <v/>
      </c>
      <c r="AC446" s="89"/>
      <c r="AD446" s="76"/>
      <c r="AE446" s="56">
        <f t="shared" si="97"/>
        <v>0</v>
      </c>
      <c r="AF446" s="56">
        <f t="shared" si="86"/>
        <v>0</v>
      </c>
      <c r="AG446" s="56">
        <f t="shared" si="87"/>
        <v>0</v>
      </c>
      <c r="AH446" s="56">
        <f t="shared" si="88"/>
        <v>0</v>
      </c>
      <c r="AI446" s="56">
        <f t="shared" si="89"/>
        <v>0</v>
      </c>
      <c r="AJ446" s="56">
        <f t="shared" si="90"/>
        <v>0</v>
      </c>
      <c r="AK446" s="56">
        <f t="shared" si="91"/>
        <v>0</v>
      </c>
      <c r="AL446" s="56">
        <f t="shared" si="92"/>
        <v>0</v>
      </c>
      <c r="AM446" s="56">
        <f t="shared" si="98"/>
        <v>0</v>
      </c>
      <c r="AN446" s="60">
        <f t="shared" si="93"/>
        <v>0</v>
      </c>
      <c r="AO446" s="59">
        <f t="shared" si="94"/>
        <v>0</v>
      </c>
      <c r="AP446" s="59">
        <f t="shared" si="95"/>
        <v>0</v>
      </c>
    </row>
    <row r="447" spans="3:42" s="17" customFormat="1" x14ac:dyDescent="0.25">
      <c r="C447" s="241" t="s">
        <v>213</v>
      </c>
      <c r="D447" s="242"/>
      <c r="E447" s="88"/>
      <c r="F447" s="217"/>
      <c r="G447" s="234"/>
      <c r="H447" s="218"/>
      <c r="I447" s="76"/>
      <c r="J447" s="77"/>
      <c r="K447" s="77"/>
      <c r="L447" s="76"/>
      <c r="M447" s="110"/>
      <c r="N447" s="152"/>
      <c r="O447" s="111" t="str">
        <f>IFERROR(MIN(VLOOKUP(ROUNDDOWN(N447,0),'Aide calcul'!$B$2:$C$282,2,FALSE),M447+1),"")</f>
        <v/>
      </c>
      <c r="P447" s="112" t="str">
        <f t="shared" si="96"/>
        <v/>
      </c>
      <c r="Q447" s="170"/>
      <c r="R447" s="170"/>
      <c r="S447" s="170"/>
      <c r="T447" s="170"/>
      <c r="U447" s="170"/>
      <c r="V447" s="170"/>
      <c r="W447" s="170"/>
      <c r="X447" s="76"/>
      <c r="Y447" s="76"/>
      <c r="Z447" s="113" t="str">
        <f>IFERROR(ROUND('Informations générales'!$E$66*(AE447/SUM($AE$28:$AE$404))/12,0)*12,"")</f>
        <v/>
      </c>
      <c r="AA447" s="114"/>
      <c r="AB447" s="113" t="str">
        <f t="shared" si="85"/>
        <v/>
      </c>
      <c r="AC447" s="89"/>
      <c r="AD447" s="76"/>
      <c r="AE447" s="56">
        <f t="shared" si="97"/>
        <v>0</v>
      </c>
      <c r="AF447" s="56">
        <f t="shared" si="86"/>
        <v>0</v>
      </c>
      <c r="AG447" s="56">
        <f t="shared" si="87"/>
        <v>0</v>
      </c>
      <c r="AH447" s="56">
        <f t="shared" si="88"/>
        <v>0</v>
      </c>
      <c r="AI447" s="56">
        <f t="shared" si="89"/>
        <v>0</v>
      </c>
      <c r="AJ447" s="56">
        <f t="shared" si="90"/>
        <v>0</v>
      </c>
      <c r="AK447" s="56">
        <f t="shared" si="91"/>
        <v>0</v>
      </c>
      <c r="AL447" s="56">
        <f t="shared" si="92"/>
        <v>0</v>
      </c>
      <c r="AM447" s="56">
        <f t="shared" si="98"/>
        <v>0</v>
      </c>
      <c r="AN447" s="60">
        <f t="shared" si="93"/>
        <v>0</v>
      </c>
      <c r="AO447" s="59">
        <f t="shared" si="94"/>
        <v>0</v>
      </c>
      <c r="AP447" s="59">
        <f t="shared" si="95"/>
        <v>0</v>
      </c>
    </row>
    <row r="448" spans="3:42" s="17" customFormat="1" x14ac:dyDescent="0.25">
      <c r="C448" s="241" t="s">
        <v>213</v>
      </c>
      <c r="D448" s="242"/>
      <c r="E448" s="88"/>
      <c r="F448" s="217"/>
      <c r="G448" s="234"/>
      <c r="H448" s="218"/>
      <c r="I448" s="76"/>
      <c r="J448" s="77"/>
      <c r="K448" s="77"/>
      <c r="L448" s="76"/>
      <c r="M448" s="110"/>
      <c r="N448" s="152"/>
      <c r="O448" s="111" t="str">
        <f>IFERROR(MIN(VLOOKUP(ROUNDDOWN(N448,0),'Aide calcul'!$B$2:$C$282,2,FALSE),M448+1),"")</f>
        <v/>
      </c>
      <c r="P448" s="112" t="str">
        <f t="shared" si="96"/>
        <v/>
      </c>
      <c r="Q448" s="170"/>
      <c r="R448" s="170"/>
      <c r="S448" s="170"/>
      <c r="T448" s="170"/>
      <c r="U448" s="170"/>
      <c r="V448" s="170"/>
      <c r="W448" s="170"/>
      <c r="X448" s="76"/>
      <c r="Y448" s="76"/>
      <c r="Z448" s="113" t="str">
        <f>IFERROR(ROUND('Informations générales'!$E$66*(AE448/SUM($AE$28:$AE$404))/12,0)*12,"")</f>
        <v/>
      </c>
      <c r="AA448" s="114"/>
      <c r="AB448" s="113" t="str">
        <f t="shared" si="85"/>
        <v/>
      </c>
      <c r="AC448" s="89"/>
      <c r="AD448" s="76"/>
      <c r="AE448" s="56">
        <f t="shared" si="97"/>
        <v>0</v>
      </c>
      <c r="AF448" s="56">
        <f t="shared" si="86"/>
        <v>0</v>
      </c>
      <c r="AG448" s="56">
        <f t="shared" si="87"/>
        <v>0</v>
      </c>
      <c r="AH448" s="56">
        <f t="shared" si="88"/>
        <v>0</v>
      </c>
      <c r="AI448" s="56">
        <f t="shared" si="89"/>
        <v>0</v>
      </c>
      <c r="AJ448" s="56">
        <f t="shared" si="90"/>
        <v>0</v>
      </c>
      <c r="AK448" s="56">
        <f t="shared" si="91"/>
        <v>0</v>
      </c>
      <c r="AL448" s="56">
        <f t="shared" si="92"/>
        <v>0</v>
      </c>
      <c r="AM448" s="56">
        <f t="shared" si="98"/>
        <v>0</v>
      </c>
      <c r="AN448" s="60">
        <f t="shared" si="93"/>
        <v>0</v>
      </c>
      <c r="AO448" s="59">
        <f t="shared" si="94"/>
        <v>0</v>
      </c>
      <c r="AP448" s="59">
        <f t="shared" si="95"/>
        <v>0</v>
      </c>
    </row>
    <row r="449" spans="3:42" s="17" customFormat="1" x14ac:dyDescent="0.25">
      <c r="C449" s="241" t="s">
        <v>213</v>
      </c>
      <c r="D449" s="242"/>
      <c r="E449" s="88"/>
      <c r="F449" s="217"/>
      <c r="G449" s="234"/>
      <c r="H449" s="218"/>
      <c r="I449" s="76"/>
      <c r="J449" s="77"/>
      <c r="K449" s="77"/>
      <c r="L449" s="76"/>
      <c r="M449" s="110"/>
      <c r="N449" s="152"/>
      <c r="O449" s="111" t="str">
        <f>IFERROR(MIN(VLOOKUP(ROUNDDOWN(N449,0),'Aide calcul'!$B$2:$C$282,2,FALSE),M449+1),"")</f>
        <v/>
      </c>
      <c r="P449" s="112" t="str">
        <f t="shared" si="96"/>
        <v/>
      </c>
      <c r="Q449" s="170"/>
      <c r="R449" s="170"/>
      <c r="S449" s="170"/>
      <c r="T449" s="170"/>
      <c r="U449" s="170"/>
      <c r="V449" s="170"/>
      <c r="W449" s="170"/>
      <c r="X449" s="76"/>
      <c r="Y449" s="76"/>
      <c r="Z449" s="113" t="str">
        <f>IFERROR(ROUND('Informations générales'!$E$66*(AE449/SUM($AE$28:$AE$404))/12,0)*12,"")</f>
        <v/>
      </c>
      <c r="AA449" s="114"/>
      <c r="AB449" s="113" t="str">
        <f t="shared" si="85"/>
        <v/>
      </c>
      <c r="AC449" s="89"/>
      <c r="AD449" s="76"/>
      <c r="AE449" s="56">
        <f t="shared" si="97"/>
        <v>0</v>
      </c>
      <c r="AF449" s="56">
        <f t="shared" si="86"/>
        <v>0</v>
      </c>
      <c r="AG449" s="56">
        <f t="shared" si="87"/>
        <v>0</v>
      </c>
      <c r="AH449" s="56">
        <f t="shared" si="88"/>
        <v>0</v>
      </c>
      <c r="AI449" s="56">
        <f t="shared" si="89"/>
        <v>0</v>
      </c>
      <c r="AJ449" s="56">
        <f t="shared" si="90"/>
        <v>0</v>
      </c>
      <c r="AK449" s="56">
        <f t="shared" si="91"/>
        <v>0</v>
      </c>
      <c r="AL449" s="56">
        <f t="shared" si="92"/>
        <v>0</v>
      </c>
      <c r="AM449" s="56">
        <f t="shared" si="98"/>
        <v>0</v>
      </c>
      <c r="AN449" s="60">
        <f t="shared" si="93"/>
        <v>0</v>
      </c>
      <c r="AO449" s="59">
        <f t="shared" si="94"/>
        <v>0</v>
      </c>
      <c r="AP449" s="59">
        <f t="shared" si="95"/>
        <v>0</v>
      </c>
    </row>
    <row r="450" spans="3:42" s="17" customFormat="1" x14ac:dyDescent="0.25">
      <c r="C450" s="241" t="s">
        <v>213</v>
      </c>
      <c r="D450" s="242"/>
      <c r="E450" s="88"/>
      <c r="F450" s="217"/>
      <c r="G450" s="234"/>
      <c r="H450" s="218"/>
      <c r="I450" s="76"/>
      <c r="J450" s="77"/>
      <c r="K450" s="77"/>
      <c r="L450" s="76"/>
      <c r="M450" s="110"/>
      <c r="N450" s="152"/>
      <c r="O450" s="111" t="str">
        <f>IFERROR(MIN(VLOOKUP(ROUNDDOWN(N450,0),'Aide calcul'!$B$2:$C$282,2,FALSE),M450+1),"")</f>
        <v/>
      </c>
      <c r="P450" s="112" t="str">
        <f t="shared" si="96"/>
        <v/>
      </c>
      <c r="Q450" s="170"/>
      <c r="R450" s="170"/>
      <c r="S450" s="170"/>
      <c r="T450" s="170"/>
      <c r="U450" s="170"/>
      <c r="V450" s="170"/>
      <c r="W450" s="170"/>
      <c r="X450" s="76"/>
      <c r="Y450" s="76"/>
      <c r="Z450" s="113" t="str">
        <f>IFERROR(ROUND('Informations générales'!$E$66*(AE450/SUM($AE$28:$AE$404))/12,0)*12,"")</f>
        <v/>
      </c>
      <c r="AA450" s="114"/>
      <c r="AB450" s="113" t="str">
        <f t="shared" si="85"/>
        <v/>
      </c>
      <c r="AC450" s="89"/>
      <c r="AD450" s="76"/>
      <c r="AE450" s="56">
        <f t="shared" si="97"/>
        <v>0</v>
      </c>
      <c r="AF450" s="56">
        <f t="shared" si="86"/>
        <v>0</v>
      </c>
      <c r="AG450" s="56">
        <f t="shared" si="87"/>
        <v>0</v>
      </c>
      <c r="AH450" s="56">
        <f t="shared" si="88"/>
        <v>0</v>
      </c>
      <c r="AI450" s="56">
        <f t="shared" si="89"/>
        <v>0</v>
      </c>
      <c r="AJ450" s="56">
        <f t="shared" si="90"/>
        <v>0</v>
      </c>
      <c r="AK450" s="56">
        <f t="shared" si="91"/>
        <v>0</v>
      </c>
      <c r="AL450" s="56">
        <f t="shared" si="92"/>
        <v>0</v>
      </c>
      <c r="AM450" s="56">
        <f t="shared" si="98"/>
        <v>0</v>
      </c>
      <c r="AN450" s="60">
        <f t="shared" si="93"/>
        <v>0</v>
      </c>
      <c r="AO450" s="59">
        <f t="shared" si="94"/>
        <v>0</v>
      </c>
      <c r="AP450" s="59">
        <f t="shared" si="95"/>
        <v>0</v>
      </c>
    </row>
    <row r="451" spans="3:42" s="17" customFormat="1" x14ac:dyDescent="0.25">
      <c r="C451" s="241" t="s">
        <v>213</v>
      </c>
      <c r="D451" s="242"/>
      <c r="E451" s="88"/>
      <c r="F451" s="217"/>
      <c r="G451" s="234"/>
      <c r="H451" s="218"/>
      <c r="I451" s="76"/>
      <c r="J451" s="77"/>
      <c r="K451" s="77"/>
      <c r="L451" s="76"/>
      <c r="M451" s="110"/>
      <c r="N451" s="152"/>
      <c r="O451" s="111" t="str">
        <f>IFERROR(MIN(VLOOKUP(ROUNDDOWN(N451,0),'Aide calcul'!$B$2:$C$282,2,FALSE),M451+1),"")</f>
        <v/>
      </c>
      <c r="P451" s="112" t="str">
        <f t="shared" si="96"/>
        <v/>
      </c>
      <c r="Q451" s="170"/>
      <c r="R451" s="170"/>
      <c r="S451" s="170"/>
      <c r="T451" s="170"/>
      <c r="U451" s="170"/>
      <c r="V451" s="170"/>
      <c r="W451" s="170"/>
      <c r="X451" s="76"/>
      <c r="Y451" s="76"/>
      <c r="Z451" s="113" t="str">
        <f>IFERROR(ROUND('Informations générales'!$E$66*(AE451/SUM($AE$28:$AE$404))/12,0)*12,"")</f>
        <v/>
      </c>
      <c r="AA451" s="114"/>
      <c r="AB451" s="113" t="str">
        <f t="shared" si="85"/>
        <v/>
      </c>
      <c r="AC451" s="89"/>
      <c r="AD451" s="76"/>
      <c r="AE451" s="56">
        <f t="shared" si="97"/>
        <v>0</v>
      </c>
      <c r="AF451" s="56">
        <f t="shared" si="86"/>
        <v>0</v>
      </c>
      <c r="AG451" s="56">
        <f t="shared" si="87"/>
        <v>0</v>
      </c>
      <c r="AH451" s="56">
        <f t="shared" si="88"/>
        <v>0</v>
      </c>
      <c r="AI451" s="56">
        <f t="shared" si="89"/>
        <v>0</v>
      </c>
      <c r="AJ451" s="56">
        <f t="shared" si="90"/>
        <v>0</v>
      </c>
      <c r="AK451" s="56">
        <f t="shared" si="91"/>
        <v>0</v>
      </c>
      <c r="AL451" s="56">
        <f t="shared" si="92"/>
        <v>0</v>
      </c>
      <c r="AM451" s="56">
        <f t="shared" si="98"/>
        <v>0</v>
      </c>
      <c r="AN451" s="60">
        <f t="shared" si="93"/>
        <v>0</v>
      </c>
      <c r="AO451" s="59">
        <f t="shared" si="94"/>
        <v>0</v>
      </c>
      <c r="AP451" s="59">
        <f t="shared" si="95"/>
        <v>0</v>
      </c>
    </row>
    <row r="452" spans="3:42" s="17" customFormat="1" x14ac:dyDescent="0.25">
      <c r="C452" s="241" t="s">
        <v>213</v>
      </c>
      <c r="D452" s="242"/>
      <c r="E452" s="88"/>
      <c r="F452" s="217"/>
      <c r="G452" s="234"/>
      <c r="H452" s="218"/>
      <c r="I452" s="76"/>
      <c r="J452" s="77"/>
      <c r="K452" s="77"/>
      <c r="L452" s="76"/>
      <c r="M452" s="110"/>
      <c r="N452" s="152"/>
      <c r="O452" s="111" t="str">
        <f>IFERROR(MIN(VLOOKUP(ROUNDDOWN(N452,0),'Aide calcul'!$B$2:$C$282,2,FALSE),M452+1),"")</f>
        <v/>
      </c>
      <c r="P452" s="112" t="str">
        <f t="shared" si="96"/>
        <v/>
      </c>
      <c r="Q452" s="170"/>
      <c r="R452" s="170"/>
      <c r="S452" s="170"/>
      <c r="T452" s="170"/>
      <c r="U452" s="170"/>
      <c r="V452" s="170"/>
      <c r="W452" s="170"/>
      <c r="X452" s="76"/>
      <c r="Y452" s="76"/>
      <c r="Z452" s="113" t="str">
        <f>IFERROR(ROUND('Informations générales'!$E$66*(AE452/SUM($AE$28:$AE$404))/12,0)*12,"")</f>
        <v/>
      </c>
      <c r="AA452" s="114"/>
      <c r="AB452" s="113" t="str">
        <f t="shared" si="85"/>
        <v/>
      </c>
      <c r="AC452" s="89"/>
      <c r="AD452" s="76"/>
      <c r="AE452" s="56">
        <f t="shared" si="97"/>
        <v>0</v>
      </c>
      <c r="AF452" s="56">
        <f t="shared" si="86"/>
        <v>0</v>
      </c>
      <c r="AG452" s="56">
        <f t="shared" si="87"/>
        <v>0</v>
      </c>
      <c r="AH452" s="56">
        <f t="shared" si="88"/>
        <v>0</v>
      </c>
      <c r="AI452" s="56">
        <f t="shared" si="89"/>
        <v>0</v>
      </c>
      <c r="AJ452" s="56">
        <f t="shared" si="90"/>
        <v>0</v>
      </c>
      <c r="AK452" s="56">
        <f t="shared" si="91"/>
        <v>0</v>
      </c>
      <c r="AL452" s="56">
        <f t="shared" si="92"/>
        <v>0</v>
      </c>
      <c r="AM452" s="56">
        <f t="shared" si="98"/>
        <v>0</v>
      </c>
      <c r="AN452" s="60">
        <f t="shared" si="93"/>
        <v>0</v>
      </c>
      <c r="AO452" s="59">
        <f t="shared" si="94"/>
        <v>0</v>
      </c>
      <c r="AP452" s="59">
        <f t="shared" si="95"/>
        <v>0</v>
      </c>
    </row>
    <row r="453" spans="3:42" s="17" customFormat="1" x14ac:dyDescent="0.25">
      <c r="C453" s="241" t="s">
        <v>213</v>
      </c>
      <c r="D453" s="242"/>
      <c r="E453" s="88"/>
      <c r="F453" s="217"/>
      <c r="G453" s="234"/>
      <c r="H453" s="218"/>
      <c r="I453" s="76"/>
      <c r="J453" s="77"/>
      <c r="K453" s="77"/>
      <c r="L453" s="76"/>
      <c r="M453" s="110"/>
      <c r="N453" s="152"/>
      <c r="O453" s="111" t="str">
        <f>IFERROR(MIN(VLOOKUP(ROUNDDOWN(N453,0),'Aide calcul'!$B$2:$C$282,2,FALSE),M453+1),"")</f>
        <v/>
      </c>
      <c r="P453" s="112" t="str">
        <f t="shared" si="96"/>
        <v/>
      </c>
      <c r="Q453" s="170"/>
      <c r="R453" s="170"/>
      <c r="S453" s="170"/>
      <c r="T453" s="170"/>
      <c r="U453" s="170"/>
      <c r="V453" s="170"/>
      <c r="W453" s="170"/>
      <c r="X453" s="76"/>
      <c r="Y453" s="76"/>
      <c r="Z453" s="113" t="str">
        <f>IFERROR(ROUND('Informations générales'!$E$66*(AE453/SUM($AE$28:$AE$404))/12,0)*12,"")</f>
        <v/>
      </c>
      <c r="AA453" s="114"/>
      <c r="AB453" s="113" t="str">
        <f t="shared" si="85"/>
        <v/>
      </c>
      <c r="AC453" s="89"/>
      <c r="AD453" s="76"/>
      <c r="AE453" s="56">
        <f t="shared" si="97"/>
        <v>0</v>
      </c>
      <c r="AF453" s="56">
        <f t="shared" si="86"/>
        <v>0</v>
      </c>
      <c r="AG453" s="56">
        <f t="shared" si="87"/>
        <v>0</v>
      </c>
      <c r="AH453" s="56">
        <f t="shared" si="88"/>
        <v>0</v>
      </c>
      <c r="AI453" s="56">
        <f t="shared" si="89"/>
        <v>0</v>
      </c>
      <c r="AJ453" s="56">
        <f t="shared" si="90"/>
        <v>0</v>
      </c>
      <c r="AK453" s="56">
        <f t="shared" si="91"/>
        <v>0</v>
      </c>
      <c r="AL453" s="56">
        <f t="shared" si="92"/>
        <v>0</v>
      </c>
      <c r="AM453" s="56">
        <f t="shared" si="98"/>
        <v>0</v>
      </c>
      <c r="AN453" s="60">
        <f t="shared" si="93"/>
        <v>0</v>
      </c>
      <c r="AO453" s="59">
        <f t="shared" si="94"/>
        <v>0</v>
      </c>
      <c r="AP453" s="59">
        <f t="shared" si="95"/>
        <v>0</v>
      </c>
    </row>
    <row r="454" spans="3:42" s="17" customFormat="1" x14ac:dyDescent="0.25">
      <c r="C454" s="241" t="s">
        <v>213</v>
      </c>
      <c r="D454" s="242"/>
      <c r="E454" s="88"/>
      <c r="F454" s="217"/>
      <c r="G454" s="234"/>
      <c r="H454" s="218"/>
      <c r="I454" s="76"/>
      <c r="J454" s="77"/>
      <c r="K454" s="77"/>
      <c r="L454" s="76"/>
      <c r="M454" s="110"/>
      <c r="N454" s="152"/>
      <c r="O454" s="111" t="str">
        <f>IFERROR(MIN(VLOOKUP(ROUNDDOWN(N454,0),'Aide calcul'!$B$2:$C$282,2,FALSE),M454+1),"")</f>
        <v/>
      </c>
      <c r="P454" s="112" t="str">
        <f t="shared" si="96"/>
        <v/>
      </c>
      <c r="Q454" s="170"/>
      <c r="R454" s="170"/>
      <c r="S454" s="170"/>
      <c r="T454" s="170"/>
      <c r="U454" s="170"/>
      <c r="V454" s="170"/>
      <c r="W454" s="170"/>
      <c r="X454" s="76"/>
      <c r="Y454" s="76"/>
      <c r="Z454" s="113" t="str">
        <f>IFERROR(ROUND('Informations générales'!$E$66*(AE454/SUM($AE$28:$AE$404))/12,0)*12,"")</f>
        <v/>
      </c>
      <c r="AA454" s="114"/>
      <c r="AB454" s="113" t="str">
        <f t="shared" si="85"/>
        <v/>
      </c>
      <c r="AC454" s="89"/>
      <c r="AD454" s="76"/>
      <c r="AE454" s="56">
        <f t="shared" si="97"/>
        <v>0</v>
      </c>
      <c r="AF454" s="56">
        <f t="shared" si="86"/>
        <v>0</v>
      </c>
      <c r="AG454" s="56">
        <f t="shared" si="87"/>
        <v>0</v>
      </c>
      <c r="AH454" s="56">
        <f t="shared" si="88"/>
        <v>0</v>
      </c>
      <c r="AI454" s="56">
        <f t="shared" si="89"/>
        <v>0</v>
      </c>
      <c r="AJ454" s="56">
        <f t="shared" si="90"/>
        <v>0</v>
      </c>
      <c r="AK454" s="56">
        <f t="shared" si="91"/>
        <v>0</v>
      </c>
      <c r="AL454" s="56">
        <f t="shared" si="92"/>
        <v>0</v>
      </c>
      <c r="AM454" s="56">
        <f t="shared" si="98"/>
        <v>0</v>
      </c>
      <c r="AN454" s="60">
        <f t="shared" si="93"/>
        <v>0</v>
      </c>
      <c r="AO454" s="59">
        <f t="shared" si="94"/>
        <v>0</v>
      </c>
      <c r="AP454" s="59">
        <f t="shared" si="95"/>
        <v>0</v>
      </c>
    </row>
    <row r="455" spans="3:42" s="17" customFormat="1" x14ac:dyDescent="0.25">
      <c r="C455" s="241" t="s">
        <v>213</v>
      </c>
      <c r="D455" s="242"/>
      <c r="E455" s="88"/>
      <c r="F455" s="217"/>
      <c r="G455" s="234"/>
      <c r="H455" s="218"/>
      <c r="I455" s="76"/>
      <c r="J455" s="77"/>
      <c r="K455" s="77"/>
      <c r="L455" s="76"/>
      <c r="M455" s="110"/>
      <c r="N455" s="152"/>
      <c r="O455" s="111" t="str">
        <f>IFERROR(MIN(VLOOKUP(ROUNDDOWN(N455,0),'Aide calcul'!$B$2:$C$282,2,FALSE),M455+1),"")</f>
        <v/>
      </c>
      <c r="P455" s="112" t="str">
        <f t="shared" si="96"/>
        <v/>
      </c>
      <c r="Q455" s="170"/>
      <c r="R455" s="170"/>
      <c r="S455" s="170"/>
      <c r="T455" s="170"/>
      <c r="U455" s="170"/>
      <c r="V455" s="170"/>
      <c r="W455" s="170"/>
      <c r="X455" s="76"/>
      <c r="Y455" s="76"/>
      <c r="Z455" s="113" t="str">
        <f>IFERROR(ROUND('Informations générales'!$E$66*(AE455/SUM($AE$28:$AE$404))/12,0)*12,"")</f>
        <v/>
      </c>
      <c r="AA455" s="114"/>
      <c r="AB455" s="113" t="str">
        <f t="shared" si="85"/>
        <v/>
      </c>
      <c r="AC455" s="89"/>
      <c r="AD455" s="76"/>
      <c r="AE455" s="56">
        <f t="shared" si="97"/>
        <v>0</v>
      </c>
      <c r="AF455" s="56">
        <f t="shared" si="86"/>
        <v>0</v>
      </c>
      <c r="AG455" s="56">
        <f t="shared" si="87"/>
        <v>0</v>
      </c>
      <c r="AH455" s="56">
        <f t="shared" si="88"/>
        <v>0</v>
      </c>
      <c r="AI455" s="56">
        <f t="shared" si="89"/>
        <v>0</v>
      </c>
      <c r="AJ455" s="56">
        <f t="shared" si="90"/>
        <v>0</v>
      </c>
      <c r="AK455" s="56">
        <f t="shared" si="91"/>
        <v>0</v>
      </c>
      <c r="AL455" s="56">
        <f t="shared" si="92"/>
        <v>0</v>
      </c>
      <c r="AM455" s="56">
        <f t="shared" si="98"/>
        <v>0</v>
      </c>
      <c r="AN455" s="60">
        <f t="shared" si="93"/>
        <v>0</v>
      </c>
      <c r="AO455" s="59">
        <f t="shared" si="94"/>
        <v>0</v>
      </c>
      <c r="AP455" s="59">
        <f t="shared" si="95"/>
        <v>0</v>
      </c>
    </row>
    <row r="456" spans="3:42" s="17" customFormat="1" x14ac:dyDescent="0.25">
      <c r="C456" s="241" t="s">
        <v>213</v>
      </c>
      <c r="D456" s="242"/>
      <c r="E456" s="88"/>
      <c r="F456" s="217"/>
      <c r="G456" s="234"/>
      <c r="H456" s="218"/>
      <c r="I456" s="76"/>
      <c r="J456" s="77"/>
      <c r="K456" s="77"/>
      <c r="L456" s="76"/>
      <c r="M456" s="110"/>
      <c r="N456" s="152"/>
      <c r="O456" s="111" t="str">
        <f>IFERROR(MIN(VLOOKUP(ROUNDDOWN(N456,0),'Aide calcul'!$B$2:$C$282,2,FALSE),M456+1),"")</f>
        <v/>
      </c>
      <c r="P456" s="112" t="str">
        <f t="shared" si="96"/>
        <v/>
      </c>
      <c r="Q456" s="170"/>
      <c r="R456" s="170"/>
      <c r="S456" s="170"/>
      <c r="T456" s="170"/>
      <c r="U456" s="170"/>
      <c r="V456" s="170"/>
      <c r="W456" s="170"/>
      <c r="X456" s="76"/>
      <c r="Y456" s="76"/>
      <c r="Z456" s="113" t="str">
        <f>IFERROR(ROUND('Informations générales'!$E$66*(AE456/SUM($AE$28:$AE$404))/12,0)*12,"")</f>
        <v/>
      </c>
      <c r="AA456" s="114"/>
      <c r="AB456" s="113" t="str">
        <f t="shared" si="85"/>
        <v/>
      </c>
      <c r="AC456" s="89"/>
      <c r="AD456" s="76"/>
      <c r="AE456" s="56">
        <f t="shared" si="97"/>
        <v>0</v>
      </c>
      <c r="AF456" s="56">
        <f t="shared" si="86"/>
        <v>0</v>
      </c>
      <c r="AG456" s="56">
        <f t="shared" si="87"/>
        <v>0</v>
      </c>
      <c r="AH456" s="56">
        <f t="shared" si="88"/>
        <v>0</v>
      </c>
      <c r="AI456" s="56">
        <f t="shared" si="89"/>
        <v>0</v>
      </c>
      <c r="AJ456" s="56">
        <f t="shared" si="90"/>
        <v>0</v>
      </c>
      <c r="AK456" s="56">
        <f t="shared" si="91"/>
        <v>0</v>
      </c>
      <c r="AL456" s="56">
        <f t="shared" si="92"/>
        <v>0</v>
      </c>
      <c r="AM456" s="56">
        <f t="shared" si="98"/>
        <v>0</v>
      </c>
      <c r="AN456" s="60">
        <f t="shared" si="93"/>
        <v>0</v>
      </c>
      <c r="AO456" s="59">
        <f t="shared" si="94"/>
        <v>0</v>
      </c>
      <c r="AP456" s="59">
        <f t="shared" si="95"/>
        <v>0</v>
      </c>
    </row>
    <row r="457" spans="3:42" s="17" customFormat="1" x14ac:dyDescent="0.25">
      <c r="C457" s="241" t="s">
        <v>213</v>
      </c>
      <c r="D457" s="242"/>
      <c r="E457" s="88"/>
      <c r="F457" s="217"/>
      <c r="G457" s="234"/>
      <c r="H457" s="218"/>
      <c r="I457" s="76"/>
      <c r="J457" s="77"/>
      <c r="K457" s="77"/>
      <c r="L457" s="76"/>
      <c r="M457" s="110"/>
      <c r="N457" s="152"/>
      <c r="O457" s="111" t="str">
        <f>IFERROR(MIN(VLOOKUP(ROUNDDOWN(N457,0),'Aide calcul'!$B$2:$C$282,2,FALSE),M457+1),"")</f>
        <v/>
      </c>
      <c r="P457" s="112" t="str">
        <f t="shared" si="96"/>
        <v/>
      </c>
      <c r="Q457" s="170"/>
      <c r="R457" s="170"/>
      <c r="S457" s="170"/>
      <c r="T457" s="170"/>
      <c r="U457" s="170"/>
      <c r="V457" s="170"/>
      <c r="W457" s="170"/>
      <c r="X457" s="76"/>
      <c r="Y457" s="76"/>
      <c r="Z457" s="113" t="str">
        <f>IFERROR(ROUND('Informations générales'!$E$66*(AE457/SUM($AE$28:$AE$404))/12,0)*12,"")</f>
        <v/>
      </c>
      <c r="AA457" s="114"/>
      <c r="AB457" s="113" t="str">
        <f t="shared" si="85"/>
        <v/>
      </c>
      <c r="AC457" s="89"/>
      <c r="AD457" s="76"/>
      <c r="AE457" s="56">
        <f t="shared" si="97"/>
        <v>0</v>
      </c>
      <c r="AF457" s="56">
        <f t="shared" si="86"/>
        <v>0</v>
      </c>
      <c r="AG457" s="56">
        <f t="shared" si="87"/>
        <v>0</v>
      </c>
      <c r="AH457" s="56">
        <f t="shared" si="88"/>
        <v>0</v>
      </c>
      <c r="AI457" s="56">
        <f t="shared" si="89"/>
        <v>0</v>
      </c>
      <c r="AJ457" s="56">
        <f t="shared" si="90"/>
        <v>0</v>
      </c>
      <c r="AK457" s="56">
        <f t="shared" si="91"/>
        <v>0</v>
      </c>
      <c r="AL457" s="56">
        <f t="shared" si="92"/>
        <v>0</v>
      </c>
      <c r="AM457" s="56">
        <f t="shared" si="98"/>
        <v>0</v>
      </c>
      <c r="AN457" s="60">
        <f t="shared" si="93"/>
        <v>0</v>
      </c>
      <c r="AO457" s="59">
        <f t="shared" si="94"/>
        <v>0</v>
      </c>
      <c r="AP457" s="59">
        <f t="shared" si="95"/>
        <v>0</v>
      </c>
    </row>
    <row r="458" spans="3:42" s="17" customFormat="1" x14ac:dyDescent="0.25">
      <c r="C458" s="241" t="s">
        <v>213</v>
      </c>
      <c r="D458" s="242"/>
      <c r="E458" s="88"/>
      <c r="F458" s="217"/>
      <c r="G458" s="234"/>
      <c r="H458" s="218"/>
      <c r="I458" s="76"/>
      <c r="J458" s="77"/>
      <c r="K458" s="77"/>
      <c r="L458" s="76"/>
      <c r="M458" s="110"/>
      <c r="N458" s="152"/>
      <c r="O458" s="111" t="str">
        <f>IFERROR(MIN(VLOOKUP(ROUNDDOWN(N458,0),'Aide calcul'!$B$2:$C$282,2,FALSE),M458+1),"")</f>
        <v/>
      </c>
      <c r="P458" s="112" t="str">
        <f t="shared" si="96"/>
        <v/>
      </c>
      <c r="Q458" s="170"/>
      <c r="R458" s="170"/>
      <c r="S458" s="170"/>
      <c r="T458" s="170"/>
      <c r="U458" s="170"/>
      <c r="V458" s="170"/>
      <c r="W458" s="170"/>
      <c r="X458" s="76"/>
      <c r="Y458" s="76"/>
      <c r="Z458" s="113" t="str">
        <f>IFERROR(ROUND('Informations générales'!$E$66*(AE458/SUM($AE$28:$AE$404))/12,0)*12,"")</f>
        <v/>
      </c>
      <c r="AA458" s="114"/>
      <c r="AB458" s="113" t="str">
        <f t="shared" si="85"/>
        <v/>
      </c>
      <c r="AC458" s="89"/>
      <c r="AD458" s="76"/>
      <c r="AE458" s="56">
        <f t="shared" si="97"/>
        <v>0</v>
      </c>
      <c r="AF458" s="56">
        <f t="shared" si="86"/>
        <v>0</v>
      </c>
      <c r="AG458" s="56">
        <f t="shared" si="87"/>
        <v>0</v>
      </c>
      <c r="AH458" s="56">
        <f t="shared" si="88"/>
        <v>0</v>
      </c>
      <c r="AI458" s="56">
        <f t="shared" si="89"/>
        <v>0</v>
      </c>
      <c r="AJ458" s="56">
        <f t="shared" si="90"/>
        <v>0</v>
      </c>
      <c r="AK458" s="56">
        <f t="shared" si="91"/>
        <v>0</v>
      </c>
      <c r="AL458" s="56">
        <f t="shared" si="92"/>
        <v>0</v>
      </c>
      <c r="AM458" s="56">
        <f t="shared" si="98"/>
        <v>0</v>
      </c>
      <c r="AN458" s="60">
        <f t="shared" si="93"/>
        <v>0</v>
      </c>
      <c r="AO458" s="59">
        <f t="shared" si="94"/>
        <v>0</v>
      </c>
      <c r="AP458" s="59">
        <f t="shared" si="95"/>
        <v>0</v>
      </c>
    </row>
    <row r="459" spans="3:42" s="17" customFormat="1" x14ac:dyDescent="0.25">
      <c r="C459" s="241" t="s">
        <v>213</v>
      </c>
      <c r="D459" s="242"/>
      <c r="E459" s="88"/>
      <c r="F459" s="217"/>
      <c r="G459" s="234"/>
      <c r="H459" s="218"/>
      <c r="I459" s="76"/>
      <c r="J459" s="77"/>
      <c r="K459" s="77"/>
      <c r="L459" s="76"/>
      <c r="M459" s="110"/>
      <c r="N459" s="152"/>
      <c r="O459" s="111" t="str">
        <f>IFERROR(MIN(VLOOKUP(ROUNDDOWN(N459,0),'Aide calcul'!$B$2:$C$282,2,FALSE),M459+1),"")</f>
        <v/>
      </c>
      <c r="P459" s="112" t="str">
        <f t="shared" si="96"/>
        <v/>
      </c>
      <c r="Q459" s="170"/>
      <c r="R459" s="170"/>
      <c r="S459" s="170"/>
      <c r="T459" s="170"/>
      <c r="U459" s="170"/>
      <c r="V459" s="170"/>
      <c r="W459" s="170"/>
      <c r="X459" s="76"/>
      <c r="Y459" s="76"/>
      <c r="Z459" s="113" t="str">
        <f>IFERROR(ROUND('Informations générales'!$E$66*(AE459/SUM($AE$28:$AE$404))/12,0)*12,"")</f>
        <v/>
      </c>
      <c r="AA459" s="114"/>
      <c r="AB459" s="113" t="str">
        <f t="shared" si="85"/>
        <v/>
      </c>
      <c r="AC459" s="89"/>
      <c r="AD459" s="76"/>
      <c r="AE459" s="56">
        <f t="shared" si="97"/>
        <v>0</v>
      </c>
      <c r="AF459" s="56">
        <f t="shared" si="86"/>
        <v>0</v>
      </c>
      <c r="AG459" s="56">
        <f t="shared" si="87"/>
        <v>0</v>
      </c>
      <c r="AH459" s="56">
        <f t="shared" si="88"/>
        <v>0</v>
      </c>
      <c r="AI459" s="56">
        <f t="shared" si="89"/>
        <v>0</v>
      </c>
      <c r="AJ459" s="56">
        <f t="shared" si="90"/>
        <v>0</v>
      </c>
      <c r="AK459" s="56">
        <f t="shared" si="91"/>
        <v>0</v>
      </c>
      <c r="AL459" s="56">
        <f t="shared" si="92"/>
        <v>0</v>
      </c>
      <c r="AM459" s="56">
        <f t="shared" si="98"/>
        <v>0</v>
      </c>
      <c r="AN459" s="60">
        <f t="shared" si="93"/>
        <v>0</v>
      </c>
      <c r="AO459" s="59">
        <f t="shared" si="94"/>
        <v>0</v>
      </c>
      <c r="AP459" s="59">
        <f t="shared" si="95"/>
        <v>0</v>
      </c>
    </row>
    <row r="460" spans="3:42" s="17" customFormat="1" x14ac:dyDescent="0.25">
      <c r="C460" s="241" t="s">
        <v>213</v>
      </c>
      <c r="D460" s="242"/>
      <c r="E460" s="88"/>
      <c r="F460" s="217"/>
      <c r="G460" s="234"/>
      <c r="H460" s="218"/>
      <c r="I460" s="76"/>
      <c r="J460" s="77"/>
      <c r="K460" s="77"/>
      <c r="L460" s="76"/>
      <c r="M460" s="110"/>
      <c r="N460" s="152"/>
      <c r="O460" s="111" t="str">
        <f>IFERROR(MIN(VLOOKUP(ROUNDDOWN(N460,0),'Aide calcul'!$B$2:$C$282,2,FALSE),M460+1),"")</f>
        <v/>
      </c>
      <c r="P460" s="112" t="str">
        <f t="shared" si="96"/>
        <v/>
      </c>
      <c r="Q460" s="170"/>
      <c r="R460" s="170"/>
      <c r="S460" s="170"/>
      <c r="T460" s="170"/>
      <c r="U460" s="170"/>
      <c r="V460" s="170"/>
      <c r="W460" s="170"/>
      <c r="X460" s="76"/>
      <c r="Y460" s="76"/>
      <c r="Z460" s="113" t="str">
        <f>IFERROR(ROUND('Informations générales'!$E$66*(AE460/SUM($AE$28:$AE$404))/12,0)*12,"")</f>
        <v/>
      </c>
      <c r="AA460" s="114"/>
      <c r="AB460" s="113" t="str">
        <f t="shared" si="85"/>
        <v/>
      </c>
      <c r="AC460" s="89"/>
      <c r="AD460" s="76"/>
      <c r="AE460" s="56">
        <f t="shared" si="97"/>
        <v>0</v>
      </c>
      <c r="AF460" s="56">
        <f t="shared" si="86"/>
        <v>0</v>
      </c>
      <c r="AG460" s="56">
        <f t="shared" si="87"/>
        <v>0</v>
      </c>
      <c r="AH460" s="56">
        <f t="shared" si="88"/>
        <v>0</v>
      </c>
      <c r="AI460" s="56">
        <f t="shared" si="89"/>
        <v>0</v>
      </c>
      <c r="AJ460" s="56">
        <f t="shared" si="90"/>
        <v>0</v>
      </c>
      <c r="AK460" s="56">
        <f t="shared" si="91"/>
        <v>0</v>
      </c>
      <c r="AL460" s="56">
        <f t="shared" si="92"/>
        <v>0</v>
      </c>
      <c r="AM460" s="56">
        <f t="shared" si="98"/>
        <v>0</v>
      </c>
      <c r="AN460" s="60">
        <f t="shared" si="93"/>
        <v>0</v>
      </c>
      <c r="AO460" s="59">
        <f t="shared" si="94"/>
        <v>0</v>
      </c>
      <c r="AP460" s="59">
        <f t="shared" si="95"/>
        <v>0</v>
      </c>
    </row>
    <row r="461" spans="3:42" s="17" customFormat="1" x14ac:dyDescent="0.25">
      <c r="C461" s="241" t="s">
        <v>213</v>
      </c>
      <c r="D461" s="242"/>
      <c r="E461" s="88"/>
      <c r="F461" s="217"/>
      <c r="G461" s="234"/>
      <c r="H461" s="218"/>
      <c r="I461" s="76"/>
      <c r="J461" s="77"/>
      <c r="K461" s="77"/>
      <c r="L461" s="76"/>
      <c r="M461" s="110"/>
      <c r="N461" s="152"/>
      <c r="O461" s="111" t="str">
        <f>IFERROR(MIN(VLOOKUP(ROUNDDOWN(N461,0),'Aide calcul'!$B$2:$C$282,2,FALSE),M461+1),"")</f>
        <v/>
      </c>
      <c r="P461" s="112" t="str">
        <f t="shared" si="96"/>
        <v/>
      </c>
      <c r="Q461" s="170"/>
      <c r="R461" s="170"/>
      <c r="S461" s="170"/>
      <c r="T461" s="170"/>
      <c r="U461" s="170"/>
      <c r="V461" s="170"/>
      <c r="W461" s="170"/>
      <c r="X461" s="76"/>
      <c r="Y461" s="76"/>
      <c r="Z461" s="113" t="str">
        <f>IFERROR(ROUND('Informations générales'!$E$66*(AE461/SUM($AE$28:$AE$404))/12,0)*12,"")</f>
        <v/>
      </c>
      <c r="AA461" s="114"/>
      <c r="AB461" s="113" t="str">
        <f t="shared" si="85"/>
        <v/>
      </c>
      <c r="AC461" s="89"/>
      <c r="AD461" s="76"/>
      <c r="AE461" s="56">
        <f t="shared" si="97"/>
        <v>0</v>
      </c>
      <c r="AF461" s="56">
        <f t="shared" si="86"/>
        <v>0</v>
      </c>
      <c r="AG461" s="56">
        <f t="shared" si="87"/>
        <v>0</v>
      </c>
      <c r="AH461" s="56">
        <f t="shared" si="88"/>
        <v>0</v>
      </c>
      <c r="AI461" s="56">
        <f t="shared" si="89"/>
        <v>0</v>
      </c>
      <c r="AJ461" s="56">
        <f t="shared" si="90"/>
        <v>0</v>
      </c>
      <c r="AK461" s="56">
        <f t="shared" si="91"/>
        <v>0</v>
      </c>
      <c r="AL461" s="56">
        <f t="shared" si="92"/>
        <v>0</v>
      </c>
      <c r="AM461" s="56">
        <f t="shared" si="98"/>
        <v>0</v>
      </c>
      <c r="AN461" s="60">
        <f t="shared" si="93"/>
        <v>0</v>
      </c>
      <c r="AO461" s="59">
        <f t="shared" si="94"/>
        <v>0</v>
      </c>
      <c r="AP461" s="59">
        <f t="shared" si="95"/>
        <v>0</v>
      </c>
    </row>
    <row r="462" spans="3:42" s="17" customFormat="1" x14ac:dyDescent="0.25">
      <c r="C462" s="241" t="s">
        <v>213</v>
      </c>
      <c r="D462" s="242"/>
      <c r="E462" s="88"/>
      <c r="F462" s="217"/>
      <c r="G462" s="234"/>
      <c r="H462" s="218"/>
      <c r="I462" s="76"/>
      <c r="J462" s="77"/>
      <c r="K462" s="77"/>
      <c r="L462" s="76"/>
      <c r="M462" s="110"/>
      <c r="N462" s="152"/>
      <c r="O462" s="111" t="str">
        <f>IFERROR(MIN(VLOOKUP(ROUNDDOWN(N462,0),'Aide calcul'!$B$2:$C$282,2,FALSE),M462+1),"")</f>
        <v/>
      </c>
      <c r="P462" s="112" t="str">
        <f t="shared" si="96"/>
        <v/>
      </c>
      <c r="Q462" s="170"/>
      <c r="R462" s="170"/>
      <c r="S462" s="170"/>
      <c r="T462" s="170"/>
      <c r="U462" s="170"/>
      <c r="V462" s="170"/>
      <c r="W462" s="170"/>
      <c r="X462" s="76"/>
      <c r="Y462" s="76"/>
      <c r="Z462" s="113" t="str">
        <f>IFERROR(ROUND('Informations générales'!$E$66*(AE462/SUM($AE$28:$AE$404))/12,0)*12,"")</f>
        <v/>
      </c>
      <c r="AA462" s="114"/>
      <c r="AB462" s="113" t="str">
        <f t="shared" si="85"/>
        <v/>
      </c>
      <c r="AC462" s="89"/>
      <c r="AD462" s="76"/>
      <c r="AE462" s="56">
        <f t="shared" si="97"/>
        <v>0</v>
      </c>
      <c r="AF462" s="56">
        <f t="shared" si="86"/>
        <v>0</v>
      </c>
      <c r="AG462" s="56">
        <f t="shared" si="87"/>
        <v>0</v>
      </c>
      <c r="AH462" s="56">
        <f t="shared" si="88"/>
        <v>0</v>
      </c>
      <c r="AI462" s="56">
        <f t="shared" si="89"/>
        <v>0</v>
      </c>
      <c r="AJ462" s="56">
        <f t="shared" si="90"/>
        <v>0</v>
      </c>
      <c r="AK462" s="56">
        <f t="shared" si="91"/>
        <v>0</v>
      </c>
      <c r="AL462" s="56">
        <f t="shared" si="92"/>
        <v>0</v>
      </c>
      <c r="AM462" s="56">
        <f t="shared" si="98"/>
        <v>0</v>
      </c>
      <c r="AN462" s="60">
        <f t="shared" si="93"/>
        <v>0</v>
      </c>
      <c r="AO462" s="59">
        <f t="shared" si="94"/>
        <v>0</v>
      </c>
      <c r="AP462" s="59">
        <f t="shared" si="95"/>
        <v>0</v>
      </c>
    </row>
    <row r="463" spans="3:42" s="17" customFormat="1" x14ac:dyDescent="0.25">
      <c r="C463" s="241" t="s">
        <v>213</v>
      </c>
      <c r="D463" s="242"/>
      <c r="E463" s="88"/>
      <c r="F463" s="217"/>
      <c r="G463" s="234"/>
      <c r="H463" s="218"/>
      <c r="I463" s="76"/>
      <c r="J463" s="77"/>
      <c r="K463" s="77"/>
      <c r="L463" s="76"/>
      <c r="M463" s="110"/>
      <c r="N463" s="152"/>
      <c r="O463" s="111" t="str">
        <f>IFERROR(MIN(VLOOKUP(ROUNDDOWN(N463,0),'Aide calcul'!$B$2:$C$282,2,FALSE),M463+1),"")</f>
        <v/>
      </c>
      <c r="P463" s="112" t="str">
        <f t="shared" si="96"/>
        <v/>
      </c>
      <c r="Q463" s="170"/>
      <c r="R463" s="170"/>
      <c r="S463" s="170"/>
      <c r="T463" s="170"/>
      <c r="U463" s="170"/>
      <c r="V463" s="170"/>
      <c r="W463" s="170"/>
      <c r="X463" s="76"/>
      <c r="Y463" s="76"/>
      <c r="Z463" s="113" t="str">
        <f>IFERROR(ROUND('Informations générales'!$E$66*(AE463/SUM($AE$28:$AE$404))/12,0)*12,"")</f>
        <v/>
      </c>
      <c r="AA463" s="114"/>
      <c r="AB463" s="113" t="str">
        <f t="shared" si="85"/>
        <v/>
      </c>
      <c r="AC463" s="89"/>
      <c r="AD463" s="76"/>
      <c r="AE463" s="56">
        <f t="shared" si="97"/>
        <v>0</v>
      </c>
      <c r="AF463" s="56">
        <f t="shared" si="86"/>
        <v>0</v>
      </c>
      <c r="AG463" s="56">
        <f t="shared" si="87"/>
        <v>0</v>
      </c>
      <c r="AH463" s="56">
        <f t="shared" si="88"/>
        <v>0</v>
      </c>
      <c r="AI463" s="56">
        <f t="shared" si="89"/>
        <v>0</v>
      </c>
      <c r="AJ463" s="56">
        <f t="shared" si="90"/>
        <v>0</v>
      </c>
      <c r="AK463" s="56">
        <f t="shared" si="91"/>
        <v>0</v>
      </c>
      <c r="AL463" s="56">
        <f t="shared" si="92"/>
        <v>0</v>
      </c>
      <c r="AM463" s="56">
        <f t="shared" si="98"/>
        <v>0</v>
      </c>
      <c r="AN463" s="60">
        <f t="shared" si="93"/>
        <v>0</v>
      </c>
      <c r="AO463" s="59">
        <f t="shared" si="94"/>
        <v>0</v>
      </c>
      <c r="AP463" s="59">
        <f t="shared" si="95"/>
        <v>0</v>
      </c>
    </row>
    <row r="464" spans="3:42" s="17" customFormat="1" x14ac:dyDescent="0.25">
      <c r="C464" s="241" t="s">
        <v>213</v>
      </c>
      <c r="D464" s="242"/>
      <c r="E464" s="88"/>
      <c r="F464" s="217"/>
      <c r="G464" s="234"/>
      <c r="H464" s="218"/>
      <c r="I464" s="76"/>
      <c r="J464" s="77"/>
      <c r="K464" s="77"/>
      <c r="L464" s="76"/>
      <c r="M464" s="110"/>
      <c r="N464" s="152"/>
      <c r="O464" s="111" t="str">
        <f>IFERROR(MIN(VLOOKUP(ROUNDDOWN(N464,0),'Aide calcul'!$B$2:$C$282,2,FALSE),M464+1),"")</f>
        <v/>
      </c>
      <c r="P464" s="112" t="str">
        <f t="shared" si="96"/>
        <v/>
      </c>
      <c r="Q464" s="170"/>
      <c r="R464" s="170"/>
      <c r="S464" s="170"/>
      <c r="T464" s="170"/>
      <c r="U464" s="170"/>
      <c r="V464" s="170"/>
      <c r="W464" s="170"/>
      <c r="X464" s="76"/>
      <c r="Y464" s="76"/>
      <c r="Z464" s="113" t="str">
        <f>IFERROR(ROUND('Informations générales'!$E$66*(AE464/SUM($AE$28:$AE$404))/12,0)*12,"")</f>
        <v/>
      </c>
      <c r="AA464" s="114"/>
      <c r="AB464" s="113" t="str">
        <f t="shared" si="85"/>
        <v/>
      </c>
      <c r="AC464" s="89"/>
      <c r="AD464" s="76"/>
      <c r="AE464" s="56">
        <f t="shared" si="97"/>
        <v>0</v>
      </c>
      <c r="AF464" s="56">
        <f t="shared" si="86"/>
        <v>0</v>
      </c>
      <c r="AG464" s="56">
        <f t="shared" si="87"/>
        <v>0</v>
      </c>
      <c r="AH464" s="56">
        <f t="shared" si="88"/>
        <v>0</v>
      </c>
      <c r="AI464" s="56">
        <f t="shared" si="89"/>
        <v>0</v>
      </c>
      <c r="AJ464" s="56">
        <f t="shared" si="90"/>
        <v>0</v>
      </c>
      <c r="AK464" s="56">
        <f t="shared" si="91"/>
        <v>0</v>
      </c>
      <c r="AL464" s="56">
        <f t="shared" si="92"/>
        <v>0</v>
      </c>
      <c r="AM464" s="56">
        <f t="shared" si="98"/>
        <v>0</v>
      </c>
      <c r="AN464" s="60">
        <f t="shared" si="93"/>
        <v>0</v>
      </c>
      <c r="AO464" s="59">
        <f t="shared" si="94"/>
        <v>0</v>
      </c>
      <c r="AP464" s="59">
        <f t="shared" si="95"/>
        <v>0</v>
      </c>
    </row>
    <row r="465" spans="3:42" s="17" customFormat="1" x14ac:dyDescent="0.25">
      <c r="C465" s="241" t="s">
        <v>213</v>
      </c>
      <c r="D465" s="242"/>
      <c r="E465" s="88"/>
      <c r="F465" s="217"/>
      <c r="G465" s="234"/>
      <c r="H465" s="218"/>
      <c r="I465" s="76"/>
      <c r="J465" s="77"/>
      <c r="K465" s="77"/>
      <c r="L465" s="76"/>
      <c r="M465" s="110"/>
      <c r="N465" s="152"/>
      <c r="O465" s="111" t="str">
        <f>IFERROR(MIN(VLOOKUP(ROUNDDOWN(N465,0),'Aide calcul'!$B$2:$C$282,2,FALSE),M465+1),"")</f>
        <v/>
      </c>
      <c r="P465" s="112" t="str">
        <f t="shared" si="96"/>
        <v/>
      </c>
      <c r="Q465" s="170"/>
      <c r="R465" s="170"/>
      <c r="S465" s="170"/>
      <c r="T465" s="170"/>
      <c r="U465" s="170"/>
      <c r="V465" s="170"/>
      <c r="W465" s="170"/>
      <c r="X465" s="76"/>
      <c r="Y465" s="76"/>
      <c r="Z465" s="113" t="str">
        <f>IFERROR(ROUND('Informations générales'!$E$66*(AE465/SUM($AE$28:$AE$404))/12,0)*12,"")</f>
        <v/>
      </c>
      <c r="AA465" s="114"/>
      <c r="AB465" s="113" t="str">
        <f t="shared" si="85"/>
        <v/>
      </c>
      <c r="AC465" s="89"/>
      <c r="AD465" s="76"/>
      <c r="AE465" s="56">
        <f t="shared" si="97"/>
        <v>0</v>
      </c>
      <c r="AF465" s="56">
        <f t="shared" si="86"/>
        <v>0</v>
      </c>
      <c r="AG465" s="56">
        <f t="shared" si="87"/>
        <v>0</v>
      </c>
      <c r="AH465" s="56">
        <f t="shared" si="88"/>
        <v>0</v>
      </c>
      <c r="AI465" s="56">
        <f t="shared" si="89"/>
        <v>0</v>
      </c>
      <c r="AJ465" s="56">
        <f t="shared" si="90"/>
        <v>0</v>
      </c>
      <c r="AK465" s="56">
        <f t="shared" si="91"/>
        <v>0</v>
      </c>
      <c r="AL465" s="56">
        <f t="shared" si="92"/>
        <v>0</v>
      </c>
      <c r="AM465" s="56">
        <f t="shared" si="98"/>
        <v>0</v>
      </c>
      <c r="AN465" s="60">
        <f t="shared" si="93"/>
        <v>0</v>
      </c>
      <c r="AO465" s="59">
        <f t="shared" si="94"/>
        <v>0</v>
      </c>
      <c r="AP465" s="59">
        <f t="shared" si="95"/>
        <v>0</v>
      </c>
    </row>
    <row r="466" spans="3:42" s="17" customFormat="1" x14ac:dyDescent="0.25">
      <c r="C466" s="241" t="s">
        <v>213</v>
      </c>
      <c r="D466" s="242"/>
      <c r="E466" s="88"/>
      <c r="F466" s="217"/>
      <c r="G466" s="234"/>
      <c r="H466" s="218"/>
      <c r="I466" s="76"/>
      <c r="J466" s="77"/>
      <c r="K466" s="77"/>
      <c r="L466" s="76"/>
      <c r="M466" s="110"/>
      <c r="N466" s="152"/>
      <c r="O466" s="111" t="str">
        <f>IFERROR(MIN(VLOOKUP(ROUNDDOWN(N466,0),'Aide calcul'!$B$2:$C$282,2,FALSE),M466+1),"")</f>
        <v/>
      </c>
      <c r="P466" s="112" t="str">
        <f t="shared" si="96"/>
        <v/>
      </c>
      <c r="Q466" s="170"/>
      <c r="R466" s="170"/>
      <c r="S466" s="170"/>
      <c r="T466" s="170"/>
      <c r="U466" s="170"/>
      <c r="V466" s="170"/>
      <c r="W466" s="170"/>
      <c r="X466" s="76"/>
      <c r="Y466" s="76"/>
      <c r="Z466" s="113" t="str">
        <f>IFERROR(ROUND('Informations générales'!$E$66*(AE466/SUM($AE$28:$AE$404))/12,0)*12,"")</f>
        <v/>
      </c>
      <c r="AA466" s="114"/>
      <c r="AB466" s="113" t="str">
        <f t="shared" si="85"/>
        <v/>
      </c>
      <c r="AC466" s="89"/>
      <c r="AD466" s="76"/>
      <c r="AE466" s="56">
        <f t="shared" si="97"/>
        <v>0</v>
      </c>
      <c r="AF466" s="56">
        <f t="shared" si="86"/>
        <v>0</v>
      </c>
      <c r="AG466" s="56">
        <f t="shared" si="87"/>
        <v>0</v>
      </c>
      <c r="AH466" s="56">
        <f t="shared" si="88"/>
        <v>0</v>
      </c>
      <c r="AI466" s="56">
        <f t="shared" si="89"/>
        <v>0</v>
      </c>
      <c r="AJ466" s="56">
        <f t="shared" si="90"/>
        <v>0</v>
      </c>
      <c r="AK466" s="56">
        <f t="shared" si="91"/>
        <v>0</v>
      </c>
      <c r="AL466" s="56">
        <f t="shared" si="92"/>
        <v>0</v>
      </c>
      <c r="AM466" s="56">
        <f t="shared" si="98"/>
        <v>0</v>
      </c>
      <c r="AN466" s="60">
        <f t="shared" si="93"/>
        <v>0</v>
      </c>
      <c r="AO466" s="59">
        <f t="shared" si="94"/>
        <v>0</v>
      </c>
      <c r="AP466" s="59">
        <f t="shared" si="95"/>
        <v>0</v>
      </c>
    </row>
    <row r="467" spans="3:42" s="17" customFormat="1" x14ac:dyDescent="0.25">
      <c r="C467" s="241" t="s">
        <v>213</v>
      </c>
      <c r="D467" s="242"/>
      <c r="E467" s="88"/>
      <c r="F467" s="217"/>
      <c r="G467" s="234"/>
      <c r="H467" s="218"/>
      <c r="I467" s="76"/>
      <c r="J467" s="77"/>
      <c r="K467" s="77"/>
      <c r="L467" s="76"/>
      <c r="M467" s="110"/>
      <c r="N467" s="152"/>
      <c r="O467" s="111" t="str">
        <f>IFERROR(MIN(VLOOKUP(ROUNDDOWN(N467,0),'Aide calcul'!$B$2:$C$282,2,FALSE),M467+1),"")</f>
        <v/>
      </c>
      <c r="P467" s="112" t="str">
        <f t="shared" si="96"/>
        <v/>
      </c>
      <c r="Q467" s="170"/>
      <c r="R467" s="170"/>
      <c r="S467" s="170"/>
      <c r="T467" s="170"/>
      <c r="U467" s="170"/>
      <c r="V467" s="170"/>
      <c r="W467" s="170"/>
      <c r="X467" s="76"/>
      <c r="Y467" s="76"/>
      <c r="Z467" s="113" t="str">
        <f>IFERROR(ROUND('Informations générales'!$E$66*(AE467/SUM($AE$28:$AE$404))/12,0)*12,"")</f>
        <v/>
      </c>
      <c r="AA467" s="114"/>
      <c r="AB467" s="113" t="str">
        <f t="shared" si="85"/>
        <v/>
      </c>
      <c r="AC467" s="89"/>
      <c r="AD467" s="76"/>
      <c r="AE467" s="56">
        <f t="shared" si="97"/>
        <v>0</v>
      </c>
      <c r="AF467" s="56">
        <f t="shared" si="86"/>
        <v>0</v>
      </c>
      <c r="AG467" s="56">
        <f t="shared" si="87"/>
        <v>0</v>
      </c>
      <c r="AH467" s="56">
        <f t="shared" si="88"/>
        <v>0</v>
      </c>
      <c r="AI467" s="56">
        <f t="shared" si="89"/>
        <v>0</v>
      </c>
      <c r="AJ467" s="56">
        <f t="shared" si="90"/>
        <v>0</v>
      </c>
      <c r="AK467" s="56">
        <f t="shared" si="91"/>
        <v>0</v>
      </c>
      <c r="AL467" s="56">
        <f t="shared" si="92"/>
        <v>0</v>
      </c>
      <c r="AM467" s="56">
        <f t="shared" si="98"/>
        <v>0</v>
      </c>
      <c r="AN467" s="60">
        <f t="shared" si="93"/>
        <v>0</v>
      </c>
      <c r="AO467" s="59">
        <f t="shared" si="94"/>
        <v>0</v>
      </c>
      <c r="AP467" s="59">
        <f t="shared" si="95"/>
        <v>0</v>
      </c>
    </row>
    <row r="468" spans="3:42" s="17" customFormat="1" x14ac:dyDescent="0.25">
      <c r="C468" s="241" t="s">
        <v>213</v>
      </c>
      <c r="D468" s="242"/>
      <c r="E468" s="88"/>
      <c r="F468" s="217"/>
      <c r="G468" s="234"/>
      <c r="H468" s="218"/>
      <c r="I468" s="76"/>
      <c r="J468" s="77"/>
      <c r="K468" s="77"/>
      <c r="L468" s="76"/>
      <c r="M468" s="110"/>
      <c r="N468" s="152"/>
      <c r="O468" s="111" t="str">
        <f>IFERROR(MIN(VLOOKUP(ROUNDDOWN(N468,0),'Aide calcul'!$B$2:$C$282,2,FALSE),M468+1),"")</f>
        <v/>
      </c>
      <c r="P468" s="112" t="str">
        <f t="shared" si="96"/>
        <v/>
      </c>
      <c r="Q468" s="170"/>
      <c r="R468" s="170"/>
      <c r="S468" s="170"/>
      <c r="T468" s="170"/>
      <c r="U468" s="170"/>
      <c r="V468" s="170"/>
      <c r="W468" s="170"/>
      <c r="X468" s="76"/>
      <c r="Y468" s="76"/>
      <c r="Z468" s="113" t="str">
        <f>IFERROR(ROUND('Informations générales'!$E$66*(AE468/SUM($AE$28:$AE$404))/12,0)*12,"")</f>
        <v/>
      </c>
      <c r="AA468" s="114"/>
      <c r="AB468" s="113" t="str">
        <f t="shared" si="85"/>
        <v/>
      </c>
      <c r="AC468" s="89"/>
      <c r="AD468" s="76"/>
      <c r="AE468" s="56">
        <f t="shared" si="97"/>
        <v>0</v>
      </c>
      <c r="AF468" s="56">
        <f t="shared" si="86"/>
        <v>0</v>
      </c>
      <c r="AG468" s="56">
        <f t="shared" si="87"/>
        <v>0</v>
      </c>
      <c r="AH468" s="56">
        <f t="shared" si="88"/>
        <v>0</v>
      </c>
      <c r="AI468" s="56">
        <f t="shared" si="89"/>
        <v>0</v>
      </c>
      <c r="AJ468" s="56">
        <f t="shared" si="90"/>
        <v>0</v>
      </c>
      <c r="AK468" s="56">
        <f t="shared" si="91"/>
        <v>0</v>
      </c>
      <c r="AL468" s="56">
        <f t="shared" si="92"/>
        <v>0</v>
      </c>
      <c r="AM468" s="56">
        <f t="shared" si="98"/>
        <v>0</v>
      </c>
      <c r="AN468" s="60">
        <f t="shared" si="93"/>
        <v>0</v>
      </c>
      <c r="AO468" s="59">
        <f t="shared" si="94"/>
        <v>0</v>
      </c>
      <c r="AP468" s="59">
        <f t="shared" si="95"/>
        <v>0</v>
      </c>
    </row>
    <row r="469" spans="3:42" s="17" customFormat="1" x14ac:dyDescent="0.25">
      <c r="C469" s="241" t="s">
        <v>213</v>
      </c>
      <c r="D469" s="242"/>
      <c r="E469" s="88"/>
      <c r="F469" s="217"/>
      <c r="G469" s="234"/>
      <c r="H469" s="218"/>
      <c r="I469" s="76"/>
      <c r="J469" s="77"/>
      <c r="K469" s="77"/>
      <c r="L469" s="76"/>
      <c r="M469" s="110"/>
      <c r="N469" s="152"/>
      <c r="O469" s="111" t="str">
        <f>IFERROR(MIN(VLOOKUP(ROUNDDOWN(N469,0),'Aide calcul'!$B$2:$C$282,2,FALSE),M469+1),"")</f>
        <v/>
      </c>
      <c r="P469" s="112" t="str">
        <f t="shared" si="96"/>
        <v/>
      </c>
      <c r="Q469" s="170"/>
      <c r="R469" s="170"/>
      <c r="S469" s="170"/>
      <c r="T469" s="170"/>
      <c r="U469" s="170"/>
      <c r="V469" s="170"/>
      <c r="W469" s="170"/>
      <c r="X469" s="76"/>
      <c r="Y469" s="76"/>
      <c r="Z469" s="113" t="str">
        <f>IFERROR(ROUND('Informations générales'!$E$66*(AE469/SUM($AE$28:$AE$404))/12,0)*12,"")</f>
        <v/>
      </c>
      <c r="AA469" s="114"/>
      <c r="AB469" s="113" t="str">
        <f t="shared" si="85"/>
        <v/>
      </c>
      <c r="AC469" s="89"/>
      <c r="AD469" s="76"/>
      <c r="AE469" s="56">
        <f t="shared" si="97"/>
        <v>0</v>
      </c>
      <c r="AF469" s="56">
        <f t="shared" si="86"/>
        <v>0</v>
      </c>
      <c r="AG469" s="56">
        <f t="shared" si="87"/>
        <v>0</v>
      </c>
      <c r="AH469" s="56">
        <f t="shared" si="88"/>
        <v>0</v>
      </c>
      <c r="AI469" s="56">
        <f t="shared" si="89"/>
        <v>0</v>
      </c>
      <c r="AJ469" s="56">
        <f t="shared" si="90"/>
        <v>0</v>
      </c>
      <c r="AK469" s="56">
        <f t="shared" si="91"/>
        <v>0</v>
      </c>
      <c r="AL469" s="56">
        <f t="shared" si="92"/>
        <v>0</v>
      </c>
      <c r="AM469" s="56">
        <f t="shared" si="98"/>
        <v>0</v>
      </c>
      <c r="AN469" s="60">
        <f t="shared" si="93"/>
        <v>0</v>
      </c>
      <c r="AO469" s="59">
        <f t="shared" si="94"/>
        <v>0</v>
      </c>
      <c r="AP469" s="59">
        <f t="shared" si="95"/>
        <v>0</v>
      </c>
    </row>
    <row r="470" spans="3:42" s="17" customFormat="1" x14ac:dyDescent="0.25">
      <c r="C470" s="241" t="s">
        <v>213</v>
      </c>
      <c r="D470" s="242"/>
      <c r="E470" s="88"/>
      <c r="F470" s="217"/>
      <c r="G470" s="234"/>
      <c r="H470" s="218"/>
      <c r="I470" s="76"/>
      <c r="J470" s="77"/>
      <c r="K470" s="77"/>
      <c r="L470" s="76"/>
      <c r="M470" s="110"/>
      <c r="N470" s="152"/>
      <c r="O470" s="111" t="str">
        <f>IFERROR(MIN(VLOOKUP(ROUNDDOWN(N470,0),'Aide calcul'!$B$2:$C$282,2,FALSE),M470+1),"")</f>
        <v/>
      </c>
      <c r="P470" s="112" t="str">
        <f t="shared" si="96"/>
        <v/>
      </c>
      <c r="Q470" s="170"/>
      <c r="R470" s="170"/>
      <c r="S470" s="170"/>
      <c r="T470" s="170"/>
      <c r="U470" s="170"/>
      <c r="V470" s="170"/>
      <c r="W470" s="170"/>
      <c r="X470" s="76"/>
      <c r="Y470" s="76"/>
      <c r="Z470" s="113" t="str">
        <f>IFERROR(ROUND('Informations générales'!$E$66*(AE470/SUM($AE$28:$AE$404))/12,0)*12,"")</f>
        <v/>
      </c>
      <c r="AA470" s="114"/>
      <c r="AB470" s="113" t="str">
        <f t="shared" si="85"/>
        <v/>
      </c>
      <c r="AC470" s="89"/>
      <c r="AD470" s="76"/>
      <c r="AE470" s="56">
        <f t="shared" si="97"/>
        <v>0</v>
      </c>
      <c r="AF470" s="56">
        <f t="shared" si="86"/>
        <v>0</v>
      </c>
      <c r="AG470" s="56">
        <f t="shared" si="87"/>
        <v>0</v>
      </c>
      <c r="AH470" s="56">
        <f t="shared" si="88"/>
        <v>0</v>
      </c>
      <c r="AI470" s="56">
        <f t="shared" si="89"/>
        <v>0</v>
      </c>
      <c r="AJ470" s="56">
        <f t="shared" si="90"/>
        <v>0</v>
      </c>
      <c r="AK470" s="56">
        <f t="shared" si="91"/>
        <v>0</v>
      </c>
      <c r="AL470" s="56">
        <f t="shared" si="92"/>
        <v>0</v>
      </c>
      <c r="AM470" s="56">
        <f t="shared" si="98"/>
        <v>0</v>
      </c>
      <c r="AN470" s="60">
        <f t="shared" si="93"/>
        <v>0</v>
      </c>
      <c r="AO470" s="59">
        <f t="shared" si="94"/>
        <v>0</v>
      </c>
      <c r="AP470" s="59">
        <f t="shared" si="95"/>
        <v>0</v>
      </c>
    </row>
    <row r="471" spans="3:42" s="17" customFormat="1" x14ac:dyDescent="0.25">
      <c r="C471" s="241" t="s">
        <v>213</v>
      </c>
      <c r="D471" s="242"/>
      <c r="E471" s="88"/>
      <c r="F471" s="217"/>
      <c r="G471" s="234"/>
      <c r="H471" s="218"/>
      <c r="I471" s="76"/>
      <c r="J471" s="77"/>
      <c r="K471" s="77"/>
      <c r="L471" s="76"/>
      <c r="M471" s="110"/>
      <c r="N471" s="152"/>
      <c r="O471" s="111" t="str">
        <f>IFERROR(MIN(VLOOKUP(ROUNDDOWN(N471,0),'Aide calcul'!$B$2:$C$282,2,FALSE),M471+1),"")</f>
        <v/>
      </c>
      <c r="P471" s="112" t="str">
        <f t="shared" si="96"/>
        <v/>
      </c>
      <c r="Q471" s="170"/>
      <c r="R471" s="170"/>
      <c r="S471" s="170"/>
      <c r="T471" s="170"/>
      <c r="U471" s="170"/>
      <c r="V471" s="170"/>
      <c r="W471" s="170"/>
      <c r="X471" s="76"/>
      <c r="Y471" s="76"/>
      <c r="Z471" s="113" t="str">
        <f>IFERROR(ROUND('Informations générales'!$E$66*(AE471/SUM($AE$28:$AE$404))/12,0)*12,"")</f>
        <v/>
      </c>
      <c r="AA471" s="114"/>
      <c r="AB471" s="113" t="str">
        <f t="shared" si="85"/>
        <v/>
      </c>
      <c r="AC471" s="89"/>
      <c r="AD471" s="76"/>
      <c r="AE471" s="56">
        <f t="shared" si="97"/>
        <v>0</v>
      </c>
      <c r="AF471" s="56">
        <f t="shared" si="86"/>
        <v>0</v>
      </c>
      <c r="AG471" s="56">
        <f t="shared" si="87"/>
        <v>0</v>
      </c>
      <c r="AH471" s="56">
        <f t="shared" si="88"/>
        <v>0</v>
      </c>
      <c r="AI471" s="56">
        <f t="shared" si="89"/>
        <v>0</v>
      </c>
      <c r="AJ471" s="56">
        <f t="shared" si="90"/>
        <v>0</v>
      </c>
      <c r="AK471" s="56">
        <f t="shared" si="91"/>
        <v>0</v>
      </c>
      <c r="AL471" s="56">
        <f t="shared" si="92"/>
        <v>0</v>
      </c>
      <c r="AM471" s="56">
        <f t="shared" si="98"/>
        <v>0</v>
      </c>
      <c r="AN471" s="60">
        <f t="shared" si="93"/>
        <v>0</v>
      </c>
      <c r="AO471" s="59">
        <f t="shared" si="94"/>
        <v>0</v>
      </c>
      <c r="AP471" s="59">
        <f t="shared" si="95"/>
        <v>0</v>
      </c>
    </row>
    <row r="472" spans="3:42" s="17" customFormat="1" x14ac:dyDescent="0.25">
      <c r="C472" s="241" t="s">
        <v>213</v>
      </c>
      <c r="D472" s="242"/>
      <c r="E472" s="88"/>
      <c r="F472" s="217"/>
      <c r="G472" s="234"/>
      <c r="H472" s="218"/>
      <c r="I472" s="76"/>
      <c r="J472" s="77"/>
      <c r="K472" s="77"/>
      <c r="L472" s="76"/>
      <c r="M472" s="110"/>
      <c r="N472" s="152"/>
      <c r="O472" s="111" t="str">
        <f>IFERROR(MIN(VLOOKUP(ROUNDDOWN(N472,0),'Aide calcul'!$B$2:$C$282,2,FALSE),M472+1),"")</f>
        <v/>
      </c>
      <c r="P472" s="112" t="str">
        <f t="shared" si="96"/>
        <v/>
      </c>
      <c r="Q472" s="170"/>
      <c r="R472" s="170"/>
      <c r="S472" s="170"/>
      <c r="T472" s="170"/>
      <c r="U472" s="170"/>
      <c r="V472" s="170"/>
      <c r="W472" s="170"/>
      <c r="X472" s="76"/>
      <c r="Y472" s="76"/>
      <c r="Z472" s="113" t="str">
        <f>IFERROR(ROUND('Informations générales'!$E$66*(AE472/SUM($AE$28:$AE$404))/12,0)*12,"")</f>
        <v/>
      </c>
      <c r="AA472" s="114"/>
      <c r="AB472" s="113" t="str">
        <f t="shared" si="85"/>
        <v/>
      </c>
      <c r="AC472" s="89"/>
      <c r="AD472" s="76"/>
      <c r="AE472" s="56">
        <f t="shared" si="97"/>
        <v>0</v>
      </c>
      <c r="AF472" s="56">
        <f t="shared" si="86"/>
        <v>0</v>
      </c>
      <c r="AG472" s="56">
        <f t="shared" si="87"/>
        <v>0</v>
      </c>
      <c r="AH472" s="56">
        <f t="shared" si="88"/>
        <v>0</v>
      </c>
      <c r="AI472" s="56">
        <f t="shared" si="89"/>
        <v>0</v>
      </c>
      <c r="AJ472" s="56">
        <f t="shared" si="90"/>
        <v>0</v>
      </c>
      <c r="AK472" s="56">
        <f t="shared" si="91"/>
        <v>0</v>
      </c>
      <c r="AL472" s="56">
        <f t="shared" si="92"/>
        <v>0</v>
      </c>
      <c r="AM472" s="56">
        <f t="shared" si="98"/>
        <v>0</v>
      </c>
      <c r="AN472" s="60">
        <f t="shared" si="93"/>
        <v>0</v>
      </c>
      <c r="AO472" s="59">
        <f t="shared" si="94"/>
        <v>0</v>
      </c>
      <c r="AP472" s="59">
        <f t="shared" si="95"/>
        <v>0</v>
      </c>
    </row>
    <row r="473" spans="3:42" s="17" customFormat="1" x14ac:dyDescent="0.25">
      <c r="C473" s="241" t="s">
        <v>213</v>
      </c>
      <c r="D473" s="242"/>
      <c r="E473" s="88"/>
      <c r="F473" s="217"/>
      <c r="G473" s="234"/>
      <c r="H473" s="218"/>
      <c r="I473" s="76"/>
      <c r="J473" s="77"/>
      <c r="K473" s="77"/>
      <c r="L473" s="76"/>
      <c r="M473" s="110"/>
      <c r="N473" s="152"/>
      <c r="O473" s="111" t="str">
        <f>IFERROR(MIN(VLOOKUP(ROUNDDOWN(N473,0),'Aide calcul'!$B$2:$C$282,2,FALSE),M473+1),"")</f>
        <v/>
      </c>
      <c r="P473" s="112" t="str">
        <f t="shared" si="96"/>
        <v/>
      </c>
      <c r="Q473" s="170"/>
      <c r="R473" s="170"/>
      <c r="S473" s="170"/>
      <c r="T473" s="170"/>
      <c r="U473" s="170"/>
      <c r="V473" s="170"/>
      <c r="W473" s="170"/>
      <c r="X473" s="76"/>
      <c r="Y473" s="76"/>
      <c r="Z473" s="113" t="str">
        <f>IFERROR(ROUND('Informations générales'!$E$66*(AE473/SUM($AE$28:$AE$404))/12,0)*12,"")</f>
        <v/>
      </c>
      <c r="AA473" s="114"/>
      <c r="AB473" s="113" t="str">
        <f t="shared" si="85"/>
        <v/>
      </c>
      <c r="AC473" s="89"/>
      <c r="AD473" s="76"/>
      <c r="AE473" s="56">
        <f t="shared" si="97"/>
        <v>0</v>
      </c>
      <c r="AF473" s="56">
        <f t="shared" si="86"/>
        <v>0</v>
      </c>
      <c r="AG473" s="56">
        <f t="shared" si="87"/>
        <v>0</v>
      </c>
      <c r="AH473" s="56">
        <f t="shared" si="88"/>
        <v>0</v>
      </c>
      <c r="AI473" s="56">
        <f t="shared" si="89"/>
        <v>0</v>
      </c>
      <c r="AJ473" s="56">
        <f t="shared" si="90"/>
        <v>0</v>
      </c>
      <c r="AK473" s="56">
        <f t="shared" si="91"/>
        <v>0</v>
      </c>
      <c r="AL473" s="56">
        <f t="shared" si="92"/>
        <v>0</v>
      </c>
      <c r="AM473" s="56">
        <f t="shared" si="98"/>
        <v>0</v>
      </c>
      <c r="AN473" s="60">
        <f t="shared" si="93"/>
        <v>0</v>
      </c>
      <c r="AO473" s="59">
        <f t="shared" si="94"/>
        <v>0</v>
      </c>
      <c r="AP473" s="59">
        <f t="shared" si="95"/>
        <v>0</v>
      </c>
    </row>
    <row r="474" spans="3:42" s="17" customFormat="1" x14ac:dyDescent="0.25">
      <c r="C474" s="241" t="s">
        <v>213</v>
      </c>
      <c r="D474" s="242"/>
      <c r="E474" s="88"/>
      <c r="F474" s="217"/>
      <c r="G474" s="234"/>
      <c r="H474" s="218"/>
      <c r="I474" s="76"/>
      <c r="J474" s="77"/>
      <c r="K474" s="77"/>
      <c r="L474" s="76"/>
      <c r="M474" s="110"/>
      <c r="N474" s="152"/>
      <c r="O474" s="111" t="str">
        <f>IFERROR(MIN(VLOOKUP(ROUNDDOWN(N474,0),'Aide calcul'!$B$2:$C$282,2,FALSE),M474+1),"")</f>
        <v/>
      </c>
      <c r="P474" s="112" t="str">
        <f t="shared" si="96"/>
        <v/>
      </c>
      <c r="Q474" s="170"/>
      <c r="R474" s="170"/>
      <c r="S474" s="170"/>
      <c r="T474" s="170"/>
      <c r="U474" s="170"/>
      <c r="V474" s="170"/>
      <c r="W474" s="170"/>
      <c r="X474" s="76"/>
      <c r="Y474" s="76"/>
      <c r="Z474" s="113" t="str">
        <f>IFERROR(ROUND('Informations générales'!$E$66*(AE474/SUM($AE$28:$AE$404))/12,0)*12,"")</f>
        <v/>
      </c>
      <c r="AA474" s="114"/>
      <c r="AB474" s="113" t="str">
        <f t="shared" si="85"/>
        <v/>
      </c>
      <c r="AC474" s="89"/>
      <c r="AD474" s="76"/>
      <c r="AE474" s="56">
        <f t="shared" si="97"/>
        <v>0</v>
      </c>
      <c r="AF474" s="56">
        <f t="shared" si="86"/>
        <v>0</v>
      </c>
      <c r="AG474" s="56">
        <f t="shared" si="87"/>
        <v>0</v>
      </c>
      <c r="AH474" s="56">
        <f t="shared" si="88"/>
        <v>0</v>
      </c>
      <c r="AI474" s="56">
        <f t="shared" si="89"/>
        <v>0</v>
      </c>
      <c r="AJ474" s="56">
        <f t="shared" si="90"/>
        <v>0</v>
      </c>
      <c r="AK474" s="56">
        <f t="shared" si="91"/>
        <v>0</v>
      </c>
      <c r="AL474" s="56">
        <f t="shared" si="92"/>
        <v>0</v>
      </c>
      <c r="AM474" s="56">
        <f t="shared" si="98"/>
        <v>0</v>
      </c>
      <c r="AN474" s="60">
        <f t="shared" si="93"/>
        <v>0</v>
      </c>
      <c r="AO474" s="59">
        <f t="shared" si="94"/>
        <v>0</v>
      </c>
      <c r="AP474" s="59">
        <f t="shared" si="95"/>
        <v>0</v>
      </c>
    </row>
    <row r="475" spans="3:42" s="17" customFormat="1" x14ac:dyDescent="0.25">
      <c r="C475" s="241" t="s">
        <v>213</v>
      </c>
      <c r="D475" s="242"/>
      <c r="E475" s="88"/>
      <c r="F475" s="217"/>
      <c r="G475" s="234"/>
      <c r="H475" s="218"/>
      <c r="I475" s="76"/>
      <c r="J475" s="77"/>
      <c r="K475" s="77"/>
      <c r="L475" s="76"/>
      <c r="M475" s="110"/>
      <c r="N475" s="152"/>
      <c r="O475" s="111" t="str">
        <f>IFERROR(MIN(VLOOKUP(ROUNDDOWN(N475,0),'Aide calcul'!$B$2:$C$282,2,FALSE),M475+1),"")</f>
        <v/>
      </c>
      <c r="P475" s="112" t="str">
        <f t="shared" si="96"/>
        <v/>
      </c>
      <c r="Q475" s="170"/>
      <c r="R475" s="170"/>
      <c r="S475" s="170"/>
      <c r="T475" s="170"/>
      <c r="U475" s="170"/>
      <c r="V475" s="170"/>
      <c r="W475" s="170"/>
      <c r="X475" s="76"/>
      <c r="Y475" s="76"/>
      <c r="Z475" s="113" t="str">
        <f>IFERROR(ROUND('Informations générales'!$E$66*(AE475/SUM($AE$28:$AE$404))/12,0)*12,"")</f>
        <v/>
      </c>
      <c r="AA475" s="114"/>
      <c r="AB475" s="113" t="str">
        <f t="shared" si="85"/>
        <v/>
      </c>
      <c r="AC475" s="89"/>
      <c r="AD475" s="76"/>
      <c r="AE475" s="56">
        <f t="shared" si="97"/>
        <v>0</v>
      </c>
      <c r="AF475" s="56">
        <f t="shared" si="86"/>
        <v>0</v>
      </c>
      <c r="AG475" s="56">
        <f t="shared" si="87"/>
        <v>0</v>
      </c>
      <c r="AH475" s="56">
        <f t="shared" si="88"/>
        <v>0</v>
      </c>
      <c r="AI475" s="56">
        <f t="shared" si="89"/>
        <v>0</v>
      </c>
      <c r="AJ475" s="56">
        <f t="shared" si="90"/>
        <v>0</v>
      </c>
      <c r="AK475" s="56">
        <f t="shared" si="91"/>
        <v>0</v>
      </c>
      <c r="AL475" s="56">
        <f t="shared" si="92"/>
        <v>0</v>
      </c>
      <c r="AM475" s="56">
        <f t="shared" si="98"/>
        <v>0</v>
      </c>
      <c r="AN475" s="60">
        <f t="shared" si="93"/>
        <v>0</v>
      </c>
      <c r="AO475" s="59">
        <f t="shared" si="94"/>
        <v>0</v>
      </c>
      <c r="AP475" s="59">
        <f t="shared" si="95"/>
        <v>0</v>
      </c>
    </row>
    <row r="476" spans="3:42" s="17" customFormat="1" x14ac:dyDescent="0.25">
      <c r="C476" s="241" t="s">
        <v>213</v>
      </c>
      <c r="D476" s="242"/>
      <c r="E476" s="88"/>
      <c r="F476" s="217"/>
      <c r="G476" s="234"/>
      <c r="H476" s="218"/>
      <c r="I476" s="76"/>
      <c r="J476" s="77"/>
      <c r="K476" s="77"/>
      <c r="L476" s="76"/>
      <c r="M476" s="110"/>
      <c r="N476" s="152"/>
      <c r="O476" s="111" t="str">
        <f>IFERROR(MIN(VLOOKUP(ROUNDDOWN(N476,0),'Aide calcul'!$B$2:$C$282,2,FALSE),M476+1),"")</f>
        <v/>
      </c>
      <c r="P476" s="112" t="str">
        <f t="shared" si="96"/>
        <v/>
      </c>
      <c r="Q476" s="170"/>
      <c r="R476" s="170"/>
      <c r="S476" s="170"/>
      <c r="T476" s="170"/>
      <c r="U476" s="170"/>
      <c r="V476" s="170"/>
      <c r="W476" s="170"/>
      <c r="X476" s="76"/>
      <c r="Y476" s="76"/>
      <c r="Z476" s="113" t="str">
        <f>IFERROR(ROUND('Informations générales'!$E$66*(AE476/SUM($AE$28:$AE$404))/12,0)*12,"")</f>
        <v/>
      </c>
      <c r="AA476" s="114"/>
      <c r="AB476" s="113" t="str">
        <f t="shared" ref="AB476:AB527" si="99">IFERROR(Z476/AM476,"")</f>
        <v/>
      </c>
      <c r="AC476" s="89"/>
      <c r="AD476" s="76"/>
      <c r="AE476" s="56">
        <f t="shared" si="97"/>
        <v>0</v>
      </c>
      <c r="AF476" s="56">
        <f t="shared" ref="AF476:AF527" si="100">Q476*$E$13</f>
        <v>0</v>
      </c>
      <c r="AG476" s="56">
        <f t="shared" ref="AG476:AG527" si="101">R476*$E$14</f>
        <v>0</v>
      </c>
      <c r="AH476" s="56">
        <f t="shared" ref="AH476:AH527" si="102">S476*$E$15</f>
        <v>0</v>
      </c>
      <c r="AI476" s="56">
        <f t="shared" ref="AI476:AI527" si="103">T476*$E$16</f>
        <v>0</v>
      </c>
      <c r="AJ476" s="56">
        <f t="shared" ref="AJ476:AJ527" si="104">U476*$E$17</f>
        <v>0</v>
      </c>
      <c r="AK476" s="56">
        <f t="shared" ref="AK476:AK527" si="105">V476*$E$18</f>
        <v>0</v>
      </c>
      <c r="AL476" s="56">
        <f t="shared" ref="AL476:AL527" si="106">W476*$E$19</f>
        <v>0</v>
      </c>
      <c r="AM476" s="56">
        <f t="shared" si="98"/>
        <v>0</v>
      </c>
      <c r="AN476" s="60">
        <f t="shared" ref="AN476:AN527" si="107">IFERROR(I476*$E$12,0)</f>
        <v>0</v>
      </c>
      <c r="AO476" s="59">
        <f t="shared" ref="AO476:AO510" si="108">IFERROR(VLOOKUP(X476,$H$12:$I$22,2,FALSE),0)</f>
        <v>0</v>
      </c>
      <c r="AP476" s="59">
        <f t="shared" ref="AP476:AP527" si="109">IFERROR(VLOOKUP(Y476,$L$12:$N$19,3,FALSE),0)</f>
        <v>0</v>
      </c>
    </row>
    <row r="477" spans="3:42" s="17" customFormat="1" x14ac:dyDescent="0.25">
      <c r="C477" s="241" t="s">
        <v>213</v>
      </c>
      <c r="D477" s="242"/>
      <c r="E477" s="88"/>
      <c r="F477" s="217"/>
      <c r="G477" s="234"/>
      <c r="H477" s="218"/>
      <c r="I477" s="76"/>
      <c r="J477" s="77"/>
      <c r="K477" s="77"/>
      <c r="L477" s="76"/>
      <c r="M477" s="110"/>
      <c r="N477" s="152"/>
      <c r="O477" s="111" t="str">
        <f>IFERROR(MIN(VLOOKUP(ROUNDDOWN(N477,0),'Aide calcul'!$B$2:$C$282,2,FALSE),M477+1),"")</f>
        <v/>
      </c>
      <c r="P477" s="112" t="str">
        <f t="shared" ref="P477:P510" si="110">IFERROR(TRUNC(O477-0.5),"")</f>
        <v/>
      </c>
      <c r="Q477" s="170"/>
      <c r="R477" s="170"/>
      <c r="S477" s="170"/>
      <c r="T477" s="170"/>
      <c r="U477" s="170"/>
      <c r="V477" s="170"/>
      <c r="W477" s="170"/>
      <c r="X477" s="76"/>
      <c r="Y477" s="76"/>
      <c r="Z477" s="113" t="str">
        <f>IFERROR(ROUND('Informations générales'!$E$66*(AE477/SUM($AE$28:$AE$404))/12,0)*12,"")</f>
        <v/>
      </c>
      <c r="AA477" s="114"/>
      <c r="AB477" s="113" t="str">
        <f t="shared" si="99"/>
        <v/>
      </c>
      <c r="AC477" s="89"/>
      <c r="AD477" s="76"/>
      <c r="AE477" s="56">
        <f t="shared" ref="AE477:AE510" si="111">AM477*(SUM(1,AN477,AO477,AP477))</f>
        <v>0</v>
      </c>
      <c r="AF477" s="56">
        <f t="shared" si="100"/>
        <v>0</v>
      </c>
      <c r="AG477" s="56">
        <f t="shared" si="101"/>
        <v>0</v>
      </c>
      <c r="AH477" s="56">
        <f t="shared" si="102"/>
        <v>0</v>
      </c>
      <c r="AI477" s="56">
        <f t="shared" si="103"/>
        <v>0</v>
      </c>
      <c r="AJ477" s="56">
        <f t="shared" si="104"/>
        <v>0</v>
      </c>
      <c r="AK477" s="56">
        <f t="shared" si="105"/>
        <v>0</v>
      </c>
      <c r="AL477" s="56">
        <f t="shared" si="106"/>
        <v>0</v>
      </c>
      <c r="AM477" s="56">
        <f t="shared" ref="AM477:AM510" si="112">SUM(AF477:AL477)</f>
        <v>0</v>
      </c>
      <c r="AN477" s="60">
        <f t="shared" si="107"/>
        <v>0</v>
      </c>
      <c r="AO477" s="59">
        <f t="shared" si="108"/>
        <v>0</v>
      </c>
      <c r="AP477" s="59">
        <f t="shared" si="109"/>
        <v>0</v>
      </c>
    </row>
    <row r="478" spans="3:42" s="17" customFormat="1" x14ac:dyDescent="0.25">
      <c r="C478" s="241" t="s">
        <v>213</v>
      </c>
      <c r="D478" s="242"/>
      <c r="E478" s="88"/>
      <c r="F478" s="217"/>
      <c r="G478" s="234"/>
      <c r="H478" s="218"/>
      <c r="I478" s="76"/>
      <c r="J478" s="77"/>
      <c r="K478" s="77"/>
      <c r="L478" s="76"/>
      <c r="M478" s="110"/>
      <c r="N478" s="152"/>
      <c r="O478" s="111" t="str">
        <f>IFERROR(MIN(VLOOKUP(ROUNDDOWN(N478,0),'Aide calcul'!$B$2:$C$282,2,FALSE),M478+1),"")</f>
        <v/>
      </c>
      <c r="P478" s="112" t="str">
        <f t="shared" si="110"/>
        <v/>
      </c>
      <c r="Q478" s="170"/>
      <c r="R478" s="170"/>
      <c r="S478" s="170"/>
      <c r="T478" s="170"/>
      <c r="U478" s="170"/>
      <c r="V478" s="170"/>
      <c r="W478" s="170"/>
      <c r="X478" s="76"/>
      <c r="Y478" s="76"/>
      <c r="Z478" s="113" t="str">
        <f>IFERROR(ROUND('Informations générales'!$E$66*(AE478/SUM($AE$28:$AE$404))/12,0)*12,"")</f>
        <v/>
      </c>
      <c r="AA478" s="114"/>
      <c r="AB478" s="113" t="str">
        <f t="shared" si="99"/>
        <v/>
      </c>
      <c r="AC478" s="89"/>
      <c r="AD478" s="76"/>
      <c r="AE478" s="56">
        <f t="shared" si="111"/>
        <v>0</v>
      </c>
      <c r="AF478" s="56">
        <f t="shared" si="100"/>
        <v>0</v>
      </c>
      <c r="AG478" s="56">
        <f t="shared" si="101"/>
        <v>0</v>
      </c>
      <c r="AH478" s="56">
        <f t="shared" si="102"/>
        <v>0</v>
      </c>
      <c r="AI478" s="56">
        <f t="shared" si="103"/>
        <v>0</v>
      </c>
      <c r="AJ478" s="56">
        <f t="shared" si="104"/>
        <v>0</v>
      </c>
      <c r="AK478" s="56">
        <f t="shared" si="105"/>
        <v>0</v>
      </c>
      <c r="AL478" s="56">
        <f t="shared" si="106"/>
        <v>0</v>
      </c>
      <c r="AM478" s="56">
        <f t="shared" si="112"/>
        <v>0</v>
      </c>
      <c r="AN478" s="60">
        <f t="shared" si="107"/>
        <v>0</v>
      </c>
      <c r="AO478" s="59">
        <f t="shared" si="108"/>
        <v>0</v>
      </c>
      <c r="AP478" s="59">
        <f t="shared" si="109"/>
        <v>0</v>
      </c>
    </row>
    <row r="479" spans="3:42" s="17" customFormat="1" x14ac:dyDescent="0.25">
      <c r="C479" s="241" t="s">
        <v>213</v>
      </c>
      <c r="D479" s="242"/>
      <c r="E479" s="88"/>
      <c r="F479" s="217"/>
      <c r="G479" s="234"/>
      <c r="H479" s="218"/>
      <c r="I479" s="76"/>
      <c r="J479" s="77"/>
      <c r="K479" s="77"/>
      <c r="L479" s="76"/>
      <c r="M479" s="110"/>
      <c r="N479" s="152"/>
      <c r="O479" s="111" t="str">
        <f>IFERROR(MIN(VLOOKUP(ROUNDDOWN(N479,0),'Aide calcul'!$B$2:$C$282,2,FALSE),M479+1),"")</f>
        <v/>
      </c>
      <c r="P479" s="112" t="str">
        <f t="shared" si="110"/>
        <v/>
      </c>
      <c r="Q479" s="170"/>
      <c r="R479" s="170"/>
      <c r="S479" s="170"/>
      <c r="T479" s="170"/>
      <c r="U479" s="170"/>
      <c r="V479" s="170"/>
      <c r="W479" s="170"/>
      <c r="X479" s="76"/>
      <c r="Y479" s="76"/>
      <c r="Z479" s="113" t="str">
        <f>IFERROR(ROUND('Informations générales'!$E$66*(AE479/SUM($AE$28:$AE$404))/12,0)*12,"")</f>
        <v/>
      </c>
      <c r="AA479" s="114"/>
      <c r="AB479" s="113" t="str">
        <f t="shared" si="99"/>
        <v/>
      </c>
      <c r="AC479" s="89"/>
      <c r="AD479" s="76"/>
      <c r="AE479" s="56">
        <f t="shared" si="111"/>
        <v>0</v>
      </c>
      <c r="AF479" s="56">
        <f t="shared" si="100"/>
        <v>0</v>
      </c>
      <c r="AG479" s="56">
        <f t="shared" si="101"/>
        <v>0</v>
      </c>
      <c r="AH479" s="56">
        <f t="shared" si="102"/>
        <v>0</v>
      </c>
      <c r="AI479" s="56">
        <f t="shared" si="103"/>
        <v>0</v>
      </c>
      <c r="AJ479" s="56">
        <f t="shared" si="104"/>
        <v>0</v>
      </c>
      <c r="AK479" s="56">
        <f t="shared" si="105"/>
        <v>0</v>
      </c>
      <c r="AL479" s="56">
        <f t="shared" si="106"/>
        <v>0</v>
      </c>
      <c r="AM479" s="56">
        <f t="shared" si="112"/>
        <v>0</v>
      </c>
      <c r="AN479" s="60">
        <f t="shared" si="107"/>
        <v>0</v>
      </c>
      <c r="AO479" s="59">
        <f t="shared" si="108"/>
        <v>0</v>
      </c>
      <c r="AP479" s="59">
        <f t="shared" si="109"/>
        <v>0</v>
      </c>
    </row>
    <row r="480" spans="3:42" s="17" customFormat="1" x14ac:dyDescent="0.25">
      <c r="C480" s="241" t="s">
        <v>213</v>
      </c>
      <c r="D480" s="242"/>
      <c r="E480" s="88"/>
      <c r="F480" s="217"/>
      <c r="G480" s="234"/>
      <c r="H480" s="218"/>
      <c r="I480" s="76"/>
      <c r="J480" s="77"/>
      <c r="K480" s="77"/>
      <c r="L480" s="76"/>
      <c r="M480" s="110"/>
      <c r="N480" s="152"/>
      <c r="O480" s="111" t="str">
        <f>IFERROR(MIN(VLOOKUP(ROUNDDOWN(N480,0),'Aide calcul'!$B$2:$C$282,2,FALSE),M480+1),"")</f>
        <v/>
      </c>
      <c r="P480" s="112" t="str">
        <f t="shared" si="110"/>
        <v/>
      </c>
      <c r="Q480" s="170"/>
      <c r="R480" s="170"/>
      <c r="S480" s="170"/>
      <c r="T480" s="170"/>
      <c r="U480" s="170"/>
      <c r="V480" s="170"/>
      <c r="W480" s="170"/>
      <c r="X480" s="76"/>
      <c r="Y480" s="76"/>
      <c r="Z480" s="113" t="str">
        <f>IFERROR(ROUND('Informations générales'!$E$66*(AE480/SUM($AE$28:$AE$404))/12,0)*12,"")</f>
        <v/>
      </c>
      <c r="AA480" s="114"/>
      <c r="AB480" s="113" t="str">
        <f t="shared" si="99"/>
        <v/>
      </c>
      <c r="AC480" s="89"/>
      <c r="AD480" s="76"/>
      <c r="AE480" s="56">
        <f t="shared" si="111"/>
        <v>0</v>
      </c>
      <c r="AF480" s="56">
        <f t="shared" si="100"/>
        <v>0</v>
      </c>
      <c r="AG480" s="56">
        <f t="shared" si="101"/>
        <v>0</v>
      </c>
      <c r="AH480" s="56">
        <f t="shared" si="102"/>
        <v>0</v>
      </c>
      <c r="AI480" s="56">
        <f t="shared" si="103"/>
        <v>0</v>
      </c>
      <c r="AJ480" s="56">
        <f t="shared" si="104"/>
        <v>0</v>
      </c>
      <c r="AK480" s="56">
        <f t="shared" si="105"/>
        <v>0</v>
      </c>
      <c r="AL480" s="56">
        <f t="shared" si="106"/>
        <v>0</v>
      </c>
      <c r="AM480" s="56">
        <f t="shared" si="112"/>
        <v>0</v>
      </c>
      <c r="AN480" s="60">
        <f t="shared" si="107"/>
        <v>0</v>
      </c>
      <c r="AO480" s="59">
        <f t="shared" si="108"/>
        <v>0</v>
      </c>
      <c r="AP480" s="59">
        <f t="shared" si="109"/>
        <v>0</v>
      </c>
    </row>
    <row r="481" spans="3:42" s="17" customFormat="1" x14ac:dyDescent="0.25">
      <c r="C481" s="241" t="s">
        <v>213</v>
      </c>
      <c r="D481" s="242"/>
      <c r="E481" s="88"/>
      <c r="F481" s="217"/>
      <c r="G481" s="234"/>
      <c r="H481" s="218"/>
      <c r="I481" s="76"/>
      <c r="J481" s="77"/>
      <c r="K481" s="77"/>
      <c r="L481" s="76"/>
      <c r="M481" s="110"/>
      <c r="N481" s="152"/>
      <c r="O481" s="111" t="str">
        <f>IFERROR(MIN(VLOOKUP(ROUNDDOWN(N481,0),'Aide calcul'!$B$2:$C$282,2,FALSE),M481+1),"")</f>
        <v/>
      </c>
      <c r="P481" s="112" t="str">
        <f t="shared" si="110"/>
        <v/>
      </c>
      <c r="Q481" s="170"/>
      <c r="R481" s="170"/>
      <c r="S481" s="170"/>
      <c r="T481" s="170"/>
      <c r="U481" s="170"/>
      <c r="V481" s="170"/>
      <c r="W481" s="170"/>
      <c r="X481" s="76"/>
      <c r="Y481" s="76"/>
      <c r="Z481" s="113" t="str">
        <f>IFERROR(ROUND('Informations générales'!$E$66*(AE481/SUM($AE$28:$AE$404))/12,0)*12,"")</f>
        <v/>
      </c>
      <c r="AA481" s="114"/>
      <c r="AB481" s="113" t="str">
        <f t="shared" si="99"/>
        <v/>
      </c>
      <c r="AC481" s="89"/>
      <c r="AD481" s="76"/>
      <c r="AE481" s="56">
        <f t="shared" si="111"/>
        <v>0</v>
      </c>
      <c r="AF481" s="56">
        <f t="shared" si="100"/>
        <v>0</v>
      </c>
      <c r="AG481" s="56">
        <f t="shared" si="101"/>
        <v>0</v>
      </c>
      <c r="AH481" s="56">
        <f t="shared" si="102"/>
        <v>0</v>
      </c>
      <c r="AI481" s="56">
        <f t="shared" si="103"/>
        <v>0</v>
      </c>
      <c r="AJ481" s="56">
        <f t="shared" si="104"/>
        <v>0</v>
      </c>
      <c r="AK481" s="56">
        <f t="shared" si="105"/>
        <v>0</v>
      </c>
      <c r="AL481" s="56">
        <f t="shared" si="106"/>
        <v>0</v>
      </c>
      <c r="AM481" s="56">
        <f t="shared" si="112"/>
        <v>0</v>
      </c>
      <c r="AN481" s="60">
        <f t="shared" si="107"/>
        <v>0</v>
      </c>
      <c r="AO481" s="59">
        <f t="shared" si="108"/>
        <v>0</v>
      </c>
      <c r="AP481" s="59">
        <f t="shared" si="109"/>
        <v>0</v>
      </c>
    </row>
    <row r="482" spans="3:42" s="17" customFormat="1" x14ac:dyDescent="0.25">
      <c r="C482" s="241" t="s">
        <v>213</v>
      </c>
      <c r="D482" s="242"/>
      <c r="E482" s="88"/>
      <c r="F482" s="217"/>
      <c r="G482" s="234"/>
      <c r="H482" s="218"/>
      <c r="I482" s="76"/>
      <c r="J482" s="77"/>
      <c r="K482" s="77"/>
      <c r="L482" s="76"/>
      <c r="M482" s="110"/>
      <c r="N482" s="152"/>
      <c r="O482" s="111" t="str">
        <f>IFERROR(MIN(VLOOKUP(ROUNDDOWN(N482,0),'Aide calcul'!$B$2:$C$282,2,FALSE),M482+1),"")</f>
        <v/>
      </c>
      <c r="P482" s="112" t="str">
        <f t="shared" si="110"/>
        <v/>
      </c>
      <c r="Q482" s="170"/>
      <c r="R482" s="170"/>
      <c r="S482" s="170"/>
      <c r="T482" s="170"/>
      <c r="U482" s="170"/>
      <c r="V482" s="170"/>
      <c r="W482" s="170"/>
      <c r="X482" s="76"/>
      <c r="Y482" s="76"/>
      <c r="Z482" s="113" t="str">
        <f>IFERROR(ROUND('Informations générales'!$E$66*(AE482/SUM($AE$28:$AE$404))/12,0)*12,"")</f>
        <v/>
      </c>
      <c r="AA482" s="114"/>
      <c r="AB482" s="113" t="str">
        <f t="shared" si="99"/>
        <v/>
      </c>
      <c r="AC482" s="89"/>
      <c r="AD482" s="76"/>
      <c r="AE482" s="56">
        <f t="shared" si="111"/>
        <v>0</v>
      </c>
      <c r="AF482" s="56">
        <f t="shared" si="100"/>
        <v>0</v>
      </c>
      <c r="AG482" s="56">
        <f t="shared" si="101"/>
        <v>0</v>
      </c>
      <c r="AH482" s="56">
        <f t="shared" si="102"/>
        <v>0</v>
      </c>
      <c r="AI482" s="56">
        <f t="shared" si="103"/>
        <v>0</v>
      </c>
      <c r="AJ482" s="56">
        <f t="shared" si="104"/>
        <v>0</v>
      </c>
      <c r="AK482" s="56">
        <f t="shared" si="105"/>
        <v>0</v>
      </c>
      <c r="AL482" s="56">
        <f t="shared" si="106"/>
        <v>0</v>
      </c>
      <c r="AM482" s="56">
        <f t="shared" si="112"/>
        <v>0</v>
      </c>
      <c r="AN482" s="60">
        <f t="shared" si="107"/>
        <v>0</v>
      </c>
      <c r="AO482" s="59">
        <f t="shared" si="108"/>
        <v>0</v>
      </c>
      <c r="AP482" s="59">
        <f t="shared" si="109"/>
        <v>0</v>
      </c>
    </row>
    <row r="483" spans="3:42" s="17" customFormat="1" x14ac:dyDescent="0.25">
      <c r="C483" s="241" t="s">
        <v>213</v>
      </c>
      <c r="D483" s="242"/>
      <c r="E483" s="88"/>
      <c r="F483" s="217"/>
      <c r="G483" s="234"/>
      <c r="H483" s="218"/>
      <c r="I483" s="76"/>
      <c r="J483" s="77"/>
      <c r="K483" s="77"/>
      <c r="L483" s="76"/>
      <c r="M483" s="110"/>
      <c r="N483" s="152"/>
      <c r="O483" s="111" t="str">
        <f>IFERROR(MIN(VLOOKUP(ROUNDDOWN(N483,0),'Aide calcul'!$B$2:$C$282,2,FALSE),M483+1),"")</f>
        <v/>
      </c>
      <c r="P483" s="112" t="str">
        <f t="shared" si="110"/>
        <v/>
      </c>
      <c r="Q483" s="170"/>
      <c r="R483" s="170"/>
      <c r="S483" s="170"/>
      <c r="T483" s="170"/>
      <c r="U483" s="170"/>
      <c r="V483" s="170"/>
      <c r="W483" s="170"/>
      <c r="X483" s="76"/>
      <c r="Y483" s="76"/>
      <c r="Z483" s="113" t="str">
        <f>IFERROR(ROUND('Informations générales'!$E$66*(AE483/SUM($AE$28:$AE$404))/12,0)*12,"")</f>
        <v/>
      </c>
      <c r="AA483" s="114"/>
      <c r="AB483" s="113" t="str">
        <f t="shared" si="99"/>
        <v/>
      </c>
      <c r="AC483" s="89"/>
      <c r="AD483" s="76"/>
      <c r="AE483" s="56">
        <f t="shared" si="111"/>
        <v>0</v>
      </c>
      <c r="AF483" s="56">
        <f t="shared" si="100"/>
        <v>0</v>
      </c>
      <c r="AG483" s="56">
        <f t="shared" si="101"/>
        <v>0</v>
      </c>
      <c r="AH483" s="56">
        <f t="shared" si="102"/>
        <v>0</v>
      </c>
      <c r="AI483" s="56">
        <f t="shared" si="103"/>
        <v>0</v>
      </c>
      <c r="AJ483" s="56">
        <f t="shared" si="104"/>
        <v>0</v>
      </c>
      <c r="AK483" s="56">
        <f t="shared" si="105"/>
        <v>0</v>
      </c>
      <c r="AL483" s="56">
        <f t="shared" si="106"/>
        <v>0</v>
      </c>
      <c r="AM483" s="56">
        <f t="shared" si="112"/>
        <v>0</v>
      </c>
      <c r="AN483" s="60">
        <f t="shared" si="107"/>
        <v>0</v>
      </c>
      <c r="AO483" s="59">
        <f t="shared" si="108"/>
        <v>0</v>
      </c>
      <c r="AP483" s="59">
        <f t="shared" si="109"/>
        <v>0</v>
      </c>
    </row>
    <row r="484" spans="3:42" s="17" customFormat="1" x14ac:dyDescent="0.25">
      <c r="C484" s="241" t="s">
        <v>213</v>
      </c>
      <c r="D484" s="242"/>
      <c r="E484" s="88"/>
      <c r="F484" s="217"/>
      <c r="G484" s="234"/>
      <c r="H484" s="218"/>
      <c r="I484" s="76"/>
      <c r="J484" s="77"/>
      <c r="K484" s="77"/>
      <c r="L484" s="76"/>
      <c r="M484" s="110"/>
      <c r="N484" s="152"/>
      <c r="O484" s="111" t="str">
        <f>IFERROR(MIN(VLOOKUP(ROUNDDOWN(N484,0),'Aide calcul'!$B$2:$C$282,2,FALSE),M484+1),"")</f>
        <v/>
      </c>
      <c r="P484" s="112" t="str">
        <f t="shared" si="110"/>
        <v/>
      </c>
      <c r="Q484" s="170"/>
      <c r="R484" s="170"/>
      <c r="S484" s="170"/>
      <c r="T484" s="170"/>
      <c r="U484" s="170"/>
      <c r="V484" s="170"/>
      <c r="W484" s="170"/>
      <c r="X484" s="76"/>
      <c r="Y484" s="76"/>
      <c r="Z484" s="113" t="str">
        <f>IFERROR(ROUND('Informations générales'!$E$66*(AE484/SUM($AE$28:$AE$404))/12,0)*12,"")</f>
        <v/>
      </c>
      <c r="AA484" s="114"/>
      <c r="AB484" s="113" t="str">
        <f t="shared" si="99"/>
        <v/>
      </c>
      <c r="AC484" s="89"/>
      <c r="AD484" s="76"/>
      <c r="AE484" s="56">
        <f t="shared" si="111"/>
        <v>0</v>
      </c>
      <c r="AF484" s="56">
        <f t="shared" si="100"/>
        <v>0</v>
      </c>
      <c r="AG484" s="56">
        <f t="shared" si="101"/>
        <v>0</v>
      </c>
      <c r="AH484" s="56">
        <f t="shared" si="102"/>
        <v>0</v>
      </c>
      <c r="AI484" s="56">
        <f t="shared" si="103"/>
        <v>0</v>
      </c>
      <c r="AJ484" s="56">
        <f t="shared" si="104"/>
        <v>0</v>
      </c>
      <c r="AK484" s="56">
        <f t="shared" si="105"/>
        <v>0</v>
      </c>
      <c r="AL484" s="56">
        <f t="shared" si="106"/>
        <v>0</v>
      </c>
      <c r="AM484" s="56">
        <f t="shared" si="112"/>
        <v>0</v>
      </c>
      <c r="AN484" s="60">
        <f t="shared" si="107"/>
        <v>0</v>
      </c>
      <c r="AO484" s="59">
        <f t="shared" si="108"/>
        <v>0</v>
      </c>
      <c r="AP484" s="59">
        <f t="shared" si="109"/>
        <v>0</v>
      </c>
    </row>
    <row r="485" spans="3:42" s="17" customFormat="1" x14ac:dyDescent="0.25">
      <c r="C485" s="241" t="s">
        <v>213</v>
      </c>
      <c r="D485" s="242"/>
      <c r="E485" s="88"/>
      <c r="F485" s="217"/>
      <c r="G485" s="234"/>
      <c r="H485" s="218"/>
      <c r="I485" s="76"/>
      <c r="J485" s="77"/>
      <c r="K485" s="77"/>
      <c r="L485" s="76"/>
      <c r="M485" s="110"/>
      <c r="N485" s="152"/>
      <c r="O485" s="111" t="str">
        <f>IFERROR(MIN(VLOOKUP(ROUNDDOWN(N485,0),'Aide calcul'!$B$2:$C$282,2,FALSE),M485+1),"")</f>
        <v/>
      </c>
      <c r="P485" s="112" t="str">
        <f t="shared" si="110"/>
        <v/>
      </c>
      <c r="Q485" s="170"/>
      <c r="R485" s="170"/>
      <c r="S485" s="170"/>
      <c r="T485" s="170"/>
      <c r="U485" s="170"/>
      <c r="V485" s="170"/>
      <c r="W485" s="170"/>
      <c r="X485" s="76"/>
      <c r="Y485" s="76"/>
      <c r="Z485" s="113" t="str">
        <f>IFERROR(ROUND('Informations générales'!$E$66*(AE485/SUM($AE$28:$AE$404))/12,0)*12,"")</f>
        <v/>
      </c>
      <c r="AA485" s="114"/>
      <c r="AB485" s="113" t="str">
        <f t="shared" si="99"/>
        <v/>
      </c>
      <c r="AC485" s="89"/>
      <c r="AD485" s="76"/>
      <c r="AE485" s="56">
        <f t="shared" si="111"/>
        <v>0</v>
      </c>
      <c r="AF485" s="56">
        <f t="shared" si="100"/>
        <v>0</v>
      </c>
      <c r="AG485" s="56">
        <f t="shared" si="101"/>
        <v>0</v>
      </c>
      <c r="AH485" s="56">
        <f t="shared" si="102"/>
        <v>0</v>
      </c>
      <c r="AI485" s="56">
        <f t="shared" si="103"/>
        <v>0</v>
      </c>
      <c r="AJ485" s="56">
        <f t="shared" si="104"/>
        <v>0</v>
      </c>
      <c r="AK485" s="56">
        <f t="shared" si="105"/>
        <v>0</v>
      </c>
      <c r="AL485" s="56">
        <f t="shared" si="106"/>
        <v>0</v>
      </c>
      <c r="AM485" s="56">
        <f t="shared" si="112"/>
        <v>0</v>
      </c>
      <c r="AN485" s="60">
        <f t="shared" si="107"/>
        <v>0</v>
      </c>
      <c r="AO485" s="59">
        <f t="shared" si="108"/>
        <v>0</v>
      </c>
      <c r="AP485" s="59">
        <f t="shared" si="109"/>
        <v>0</v>
      </c>
    </row>
    <row r="486" spans="3:42" s="17" customFormat="1" x14ac:dyDescent="0.25">
      <c r="C486" s="241" t="s">
        <v>213</v>
      </c>
      <c r="D486" s="242"/>
      <c r="E486" s="88"/>
      <c r="F486" s="217"/>
      <c r="G486" s="234"/>
      <c r="H486" s="218"/>
      <c r="I486" s="76"/>
      <c r="J486" s="77"/>
      <c r="K486" s="77"/>
      <c r="L486" s="76"/>
      <c r="M486" s="110"/>
      <c r="N486" s="152"/>
      <c r="O486" s="111" t="str">
        <f>IFERROR(MIN(VLOOKUP(ROUNDDOWN(N486,0),'Aide calcul'!$B$2:$C$282,2,FALSE),M486+1),"")</f>
        <v/>
      </c>
      <c r="P486" s="112" t="str">
        <f t="shared" si="110"/>
        <v/>
      </c>
      <c r="Q486" s="170"/>
      <c r="R486" s="170"/>
      <c r="S486" s="170"/>
      <c r="T486" s="170"/>
      <c r="U486" s="170"/>
      <c r="V486" s="170"/>
      <c r="W486" s="170"/>
      <c r="X486" s="76"/>
      <c r="Y486" s="76"/>
      <c r="Z486" s="113" t="str">
        <f>IFERROR(ROUND('Informations générales'!$E$66*(AE486/SUM($AE$28:$AE$404))/12,0)*12,"")</f>
        <v/>
      </c>
      <c r="AA486" s="114"/>
      <c r="AB486" s="113" t="str">
        <f t="shared" si="99"/>
        <v/>
      </c>
      <c r="AC486" s="89"/>
      <c r="AD486" s="76"/>
      <c r="AE486" s="56">
        <f t="shared" si="111"/>
        <v>0</v>
      </c>
      <c r="AF486" s="56">
        <f t="shared" si="100"/>
        <v>0</v>
      </c>
      <c r="AG486" s="56">
        <f t="shared" si="101"/>
        <v>0</v>
      </c>
      <c r="AH486" s="56">
        <f t="shared" si="102"/>
        <v>0</v>
      </c>
      <c r="AI486" s="56">
        <f t="shared" si="103"/>
        <v>0</v>
      </c>
      <c r="AJ486" s="56">
        <f t="shared" si="104"/>
        <v>0</v>
      </c>
      <c r="AK486" s="56">
        <f t="shared" si="105"/>
        <v>0</v>
      </c>
      <c r="AL486" s="56">
        <f t="shared" si="106"/>
        <v>0</v>
      </c>
      <c r="AM486" s="56">
        <f t="shared" si="112"/>
        <v>0</v>
      </c>
      <c r="AN486" s="60">
        <f t="shared" si="107"/>
        <v>0</v>
      </c>
      <c r="AO486" s="59">
        <f t="shared" si="108"/>
        <v>0</v>
      </c>
      <c r="AP486" s="59">
        <f t="shared" si="109"/>
        <v>0</v>
      </c>
    </row>
    <row r="487" spans="3:42" s="17" customFormat="1" x14ac:dyDescent="0.25">
      <c r="C487" s="241" t="s">
        <v>213</v>
      </c>
      <c r="D487" s="242"/>
      <c r="E487" s="88"/>
      <c r="F487" s="217"/>
      <c r="G487" s="234"/>
      <c r="H487" s="218"/>
      <c r="I487" s="76"/>
      <c r="J487" s="77"/>
      <c r="K487" s="77"/>
      <c r="L487" s="76"/>
      <c r="M487" s="110"/>
      <c r="N487" s="152"/>
      <c r="O487" s="111" t="str">
        <f>IFERROR(MIN(VLOOKUP(ROUNDDOWN(N487,0),'Aide calcul'!$B$2:$C$282,2,FALSE),M487+1),"")</f>
        <v/>
      </c>
      <c r="P487" s="112" t="str">
        <f t="shared" si="110"/>
        <v/>
      </c>
      <c r="Q487" s="170"/>
      <c r="R487" s="170"/>
      <c r="S487" s="170"/>
      <c r="T487" s="170"/>
      <c r="U487" s="170"/>
      <c r="V487" s="170"/>
      <c r="W487" s="170"/>
      <c r="X487" s="76"/>
      <c r="Y487" s="76"/>
      <c r="Z487" s="113" t="str">
        <f>IFERROR(ROUND('Informations générales'!$E$66*(AE487/SUM($AE$28:$AE$404))/12,0)*12,"")</f>
        <v/>
      </c>
      <c r="AA487" s="114"/>
      <c r="AB487" s="113" t="str">
        <f t="shared" si="99"/>
        <v/>
      </c>
      <c r="AC487" s="89"/>
      <c r="AD487" s="76"/>
      <c r="AE487" s="56">
        <f t="shared" si="111"/>
        <v>0</v>
      </c>
      <c r="AF487" s="56">
        <f t="shared" si="100"/>
        <v>0</v>
      </c>
      <c r="AG487" s="56">
        <f t="shared" si="101"/>
        <v>0</v>
      </c>
      <c r="AH487" s="56">
        <f t="shared" si="102"/>
        <v>0</v>
      </c>
      <c r="AI487" s="56">
        <f t="shared" si="103"/>
        <v>0</v>
      </c>
      <c r="AJ487" s="56">
        <f t="shared" si="104"/>
        <v>0</v>
      </c>
      <c r="AK487" s="56">
        <f t="shared" si="105"/>
        <v>0</v>
      </c>
      <c r="AL487" s="56">
        <f t="shared" si="106"/>
        <v>0</v>
      </c>
      <c r="AM487" s="56">
        <f t="shared" si="112"/>
        <v>0</v>
      </c>
      <c r="AN487" s="60">
        <f t="shared" si="107"/>
        <v>0</v>
      </c>
      <c r="AO487" s="59">
        <f t="shared" si="108"/>
        <v>0</v>
      </c>
      <c r="AP487" s="59">
        <f t="shared" si="109"/>
        <v>0</v>
      </c>
    </row>
    <row r="488" spans="3:42" s="17" customFormat="1" x14ac:dyDescent="0.25">
      <c r="C488" s="241" t="s">
        <v>213</v>
      </c>
      <c r="D488" s="242"/>
      <c r="E488" s="88"/>
      <c r="F488" s="217"/>
      <c r="G488" s="234"/>
      <c r="H488" s="218"/>
      <c r="I488" s="76"/>
      <c r="J488" s="77"/>
      <c r="K488" s="77"/>
      <c r="L488" s="76"/>
      <c r="M488" s="110"/>
      <c r="N488" s="152"/>
      <c r="O488" s="111" t="str">
        <f>IFERROR(MIN(VLOOKUP(ROUNDDOWN(N488,0),'Aide calcul'!$B$2:$C$282,2,FALSE),M488+1),"")</f>
        <v/>
      </c>
      <c r="P488" s="112" t="str">
        <f t="shared" si="110"/>
        <v/>
      </c>
      <c r="Q488" s="170"/>
      <c r="R488" s="170"/>
      <c r="S488" s="170"/>
      <c r="T488" s="170"/>
      <c r="U488" s="170"/>
      <c r="V488" s="170"/>
      <c r="W488" s="170"/>
      <c r="X488" s="76"/>
      <c r="Y488" s="76"/>
      <c r="Z488" s="113" t="str">
        <f>IFERROR(ROUND('Informations générales'!$E$66*(AE488/SUM($AE$28:$AE$404))/12,0)*12,"")</f>
        <v/>
      </c>
      <c r="AA488" s="114"/>
      <c r="AB488" s="113" t="str">
        <f t="shared" si="99"/>
        <v/>
      </c>
      <c r="AC488" s="89"/>
      <c r="AD488" s="76"/>
      <c r="AE488" s="56">
        <f t="shared" si="111"/>
        <v>0</v>
      </c>
      <c r="AF488" s="56">
        <f t="shared" si="100"/>
        <v>0</v>
      </c>
      <c r="AG488" s="56">
        <f t="shared" si="101"/>
        <v>0</v>
      </c>
      <c r="AH488" s="56">
        <f t="shared" si="102"/>
        <v>0</v>
      </c>
      <c r="AI488" s="56">
        <f t="shared" si="103"/>
        <v>0</v>
      </c>
      <c r="AJ488" s="56">
        <f t="shared" si="104"/>
        <v>0</v>
      </c>
      <c r="AK488" s="56">
        <f t="shared" si="105"/>
        <v>0</v>
      </c>
      <c r="AL488" s="56">
        <f t="shared" si="106"/>
        <v>0</v>
      </c>
      <c r="AM488" s="56">
        <f t="shared" si="112"/>
        <v>0</v>
      </c>
      <c r="AN488" s="60">
        <f t="shared" si="107"/>
        <v>0</v>
      </c>
      <c r="AO488" s="59">
        <f t="shared" si="108"/>
        <v>0</v>
      </c>
      <c r="AP488" s="59">
        <f t="shared" si="109"/>
        <v>0</v>
      </c>
    </row>
    <row r="489" spans="3:42" s="17" customFormat="1" x14ac:dyDescent="0.25">
      <c r="C489" s="241" t="s">
        <v>213</v>
      </c>
      <c r="D489" s="242"/>
      <c r="E489" s="88"/>
      <c r="F489" s="217"/>
      <c r="G489" s="234"/>
      <c r="H489" s="218"/>
      <c r="I489" s="76"/>
      <c r="J489" s="77"/>
      <c r="K489" s="77"/>
      <c r="L489" s="76"/>
      <c r="M489" s="110"/>
      <c r="N489" s="152"/>
      <c r="O489" s="111" t="str">
        <f>IFERROR(MIN(VLOOKUP(ROUNDDOWN(N489,0),'Aide calcul'!$B$2:$C$282,2,FALSE),M489+1),"")</f>
        <v/>
      </c>
      <c r="P489" s="112" t="str">
        <f t="shared" si="110"/>
        <v/>
      </c>
      <c r="Q489" s="170"/>
      <c r="R489" s="170"/>
      <c r="S489" s="170"/>
      <c r="T489" s="170"/>
      <c r="U489" s="170"/>
      <c r="V489" s="170"/>
      <c r="W489" s="170"/>
      <c r="X489" s="76"/>
      <c r="Y489" s="76"/>
      <c r="Z489" s="113" t="str">
        <f>IFERROR(ROUND('Informations générales'!$E$66*(AE489/SUM($AE$28:$AE$404))/12,0)*12,"")</f>
        <v/>
      </c>
      <c r="AA489" s="114"/>
      <c r="AB489" s="113" t="str">
        <f t="shared" si="99"/>
        <v/>
      </c>
      <c r="AC489" s="89"/>
      <c r="AD489" s="76"/>
      <c r="AE489" s="56">
        <f t="shared" si="111"/>
        <v>0</v>
      </c>
      <c r="AF489" s="56">
        <f t="shared" si="100"/>
        <v>0</v>
      </c>
      <c r="AG489" s="56">
        <f t="shared" si="101"/>
        <v>0</v>
      </c>
      <c r="AH489" s="56">
        <f t="shared" si="102"/>
        <v>0</v>
      </c>
      <c r="AI489" s="56">
        <f t="shared" si="103"/>
        <v>0</v>
      </c>
      <c r="AJ489" s="56">
        <f t="shared" si="104"/>
        <v>0</v>
      </c>
      <c r="AK489" s="56">
        <f t="shared" si="105"/>
        <v>0</v>
      </c>
      <c r="AL489" s="56">
        <f t="shared" si="106"/>
        <v>0</v>
      </c>
      <c r="AM489" s="56">
        <f t="shared" si="112"/>
        <v>0</v>
      </c>
      <c r="AN489" s="60">
        <f t="shared" si="107"/>
        <v>0</v>
      </c>
      <c r="AO489" s="59">
        <f t="shared" si="108"/>
        <v>0</v>
      </c>
      <c r="AP489" s="59">
        <f t="shared" si="109"/>
        <v>0</v>
      </c>
    </row>
    <row r="490" spans="3:42" s="17" customFormat="1" x14ac:dyDescent="0.25">
      <c r="C490" s="241" t="s">
        <v>213</v>
      </c>
      <c r="D490" s="242"/>
      <c r="E490" s="88"/>
      <c r="F490" s="217"/>
      <c r="G490" s="234"/>
      <c r="H490" s="218"/>
      <c r="I490" s="76"/>
      <c r="J490" s="77"/>
      <c r="K490" s="77"/>
      <c r="L490" s="76"/>
      <c r="M490" s="110"/>
      <c r="N490" s="152"/>
      <c r="O490" s="111" t="str">
        <f>IFERROR(MIN(VLOOKUP(ROUNDDOWN(N490,0),'Aide calcul'!$B$2:$C$282,2,FALSE),M490+1),"")</f>
        <v/>
      </c>
      <c r="P490" s="112" t="str">
        <f t="shared" si="110"/>
        <v/>
      </c>
      <c r="Q490" s="170"/>
      <c r="R490" s="170"/>
      <c r="S490" s="170"/>
      <c r="T490" s="170"/>
      <c r="U490" s="170"/>
      <c r="V490" s="170"/>
      <c r="W490" s="170"/>
      <c r="X490" s="76"/>
      <c r="Y490" s="76"/>
      <c r="Z490" s="113" t="str">
        <f>IFERROR(ROUND('Informations générales'!$E$66*(AE490/SUM($AE$28:$AE$404))/12,0)*12,"")</f>
        <v/>
      </c>
      <c r="AA490" s="114"/>
      <c r="AB490" s="113" t="str">
        <f t="shared" si="99"/>
        <v/>
      </c>
      <c r="AC490" s="89"/>
      <c r="AD490" s="76"/>
      <c r="AE490" s="56">
        <f t="shared" si="111"/>
        <v>0</v>
      </c>
      <c r="AF490" s="56">
        <f t="shared" si="100"/>
        <v>0</v>
      </c>
      <c r="AG490" s="56">
        <f t="shared" si="101"/>
        <v>0</v>
      </c>
      <c r="AH490" s="56">
        <f t="shared" si="102"/>
        <v>0</v>
      </c>
      <c r="AI490" s="56">
        <f t="shared" si="103"/>
        <v>0</v>
      </c>
      <c r="AJ490" s="56">
        <f t="shared" si="104"/>
        <v>0</v>
      </c>
      <c r="AK490" s="56">
        <f t="shared" si="105"/>
        <v>0</v>
      </c>
      <c r="AL490" s="56">
        <f t="shared" si="106"/>
        <v>0</v>
      </c>
      <c r="AM490" s="56">
        <f t="shared" si="112"/>
        <v>0</v>
      </c>
      <c r="AN490" s="60">
        <f t="shared" si="107"/>
        <v>0</v>
      </c>
      <c r="AO490" s="59">
        <f t="shared" si="108"/>
        <v>0</v>
      </c>
      <c r="AP490" s="59">
        <f t="shared" si="109"/>
        <v>0</v>
      </c>
    </row>
    <row r="491" spans="3:42" s="17" customFormat="1" x14ac:dyDescent="0.25">
      <c r="C491" s="241" t="s">
        <v>213</v>
      </c>
      <c r="D491" s="242"/>
      <c r="E491" s="88"/>
      <c r="F491" s="217"/>
      <c r="G491" s="234"/>
      <c r="H491" s="218"/>
      <c r="I491" s="76"/>
      <c r="J491" s="77"/>
      <c r="K491" s="77"/>
      <c r="L491" s="76"/>
      <c r="M491" s="110"/>
      <c r="N491" s="152"/>
      <c r="O491" s="111" t="str">
        <f>IFERROR(MIN(VLOOKUP(ROUNDDOWN(N491,0),'Aide calcul'!$B$2:$C$282,2,FALSE),M491+1),"")</f>
        <v/>
      </c>
      <c r="P491" s="112" t="str">
        <f t="shared" si="110"/>
        <v/>
      </c>
      <c r="Q491" s="170"/>
      <c r="R491" s="170"/>
      <c r="S491" s="170"/>
      <c r="T491" s="170"/>
      <c r="U491" s="170"/>
      <c r="V491" s="170"/>
      <c r="W491" s="170"/>
      <c r="X491" s="76"/>
      <c r="Y491" s="76"/>
      <c r="Z491" s="113" t="str">
        <f>IFERROR(ROUND('Informations générales'!$E$66*(AE491/SUM($AE$28:$AE$404))/12,0)*12,"")</f>
        <v/>
      </c>
      <c r="AA491" s="114"/>
      <c r="AB491" s="113" t="str">
        <f t="shared" si="99"/>
        <v/>
      </c>
      <c r="AC491" s="89"/>
      <c r="AD491" s="76"/>
      <c r="AE491" s="56">
        <f t="shared" si="111"/>
        <v>0</v>
      </c>
      <c r="AF491" s="56">
        <f t="shared" si="100"/>
        <v>0</v>
      </c>
      <c r="AG491" s="56">
        <f t="shared" si="101"/>
        <v>0</v>
      </c>
      <c r="AH491" s="56">
        <f t="shared" si="102"/>
        <v>0</v>
      </c>
      <c r="AI491" s="56">
        <f t="shared" si="103"/>
        <v>0</v>
      </c>
      <c r="AJ491" s="56">
        <f t="shared" si="104"/>
        <v>0</v>
      </c>
      <c r="AK491" s="56">
        <f t="shared" si="105"/>
        <v>0</v>
      </c>
      <c r="AL491" s="56">
        <f t="shared" si="106"/>
        <v>0</v>
      </c>
      <c r="AM491" s="56">
        <f t="shared" si="112"/>
        <v>0</v>
      </c>
      <c r="AN491" s="60">
        <f t="shared" si="107"/>
        <v>0</v>
      </c>
      <c r="AO491" s="59">
        <f t="shared" si="108"/>
        <v>0</v>
      </c>
      <c r="AP491" s="59">
        <f t="shared" si="109"/>
        <v>0</v>
      </c>
    </row>
    <row r="492" spans="3:42" s="17" customFormat="1" x14ac:dyDescent="0.25">
      <c r="C492" s="241" t="s">
        <v>213</v>
      </c>
      <c r="D492" s="242"/>
      <c r="E492" s="88"/>
      <c r="F492" s="217"/>
      <c r="G492" s="234"/>
      <c r="H492" s="218"/>
      <c r="I492" s="76"/>
      <c r="J492" s="77"/>
      <c r="K492" s="77"/>
      <c r="L492" s="76"/>
      <c r="M492" s="110"/>
      <c r="N492" s="152"/>
      <c r="O492" s="111" t="str">
        <f>IFERROR(MIN(VLOOKUP(ROUNDDOWN(N492,0),'Aide calcul'!$B$2:$C$282,2,FALSE),M492+1),"")</f>
        <v/>
      </c>
      <c r="P492" s="112" t="str">
        <f t="shared" si="110"/>
        <v/>
      </c>
      <c r="Q492" s="170"/>
      <c r="R492" s="170"/>
      <c r="S492" s="170"/>
      <c r="T492" s="170"/>
      <c r="U492" s="170"/>
      <c r="V492" s="170"/>
      <c r="W492" s="170"/>
      <c r="X492" s="76"/>
      <c r="Y492" s="76"/>
      <c r="Z492" s="113" t="str">
        <f>IFERROR(ROUND('Informations générales'!$E$66*(AE492/SUM($AE$28:$AE$404))/12,0)*12,"")</f>
        <v/>
      </c>
      <c r="AA492" s="114"/>
      <c r="AB492" s="113" t="str">
        <f t="shared" si="99"/>
        <v/>
      </c>
      <c r="AC492" s="89"/>
      <c r="AD492" s="76"/>
      <c r="AE492" s="56">
        <f t="shared" si="111"/>
        <v>0</v>
      </c>
      <c r="AF492" s="56">
        <f t="shared" si="100"/>
        <v>0</v>
      </c>
      <c r="AG492" s="56">
        <f t="shared" si="101"/>
        <v>0</v>
      </c>
      <c r="AH492" s="56">
        <f t="shared" si="102"/>
        <v>0</v>
      </c>
      <c r="AI492" s="56">
        <f t="shared" si="103"/>
        <v>0</v>
      </c>
      <c r="AJ492" s="56">
        <f t="shared" si="104"/>
        <v>0</v>
      </c>
      <c r="AK492" s="56">
        <f t="shared" si="105"/>
        <v>0</v>
      </c>
      <c r="AL492" s="56">
        <f t="shared" si="106"/>
        <v>0</v>
      </c>
      <c r="AM492" s="56">
        <f t="shared" si="112"/>
        <v>0</v>
      </c>
      <c r="AN492" s="60">
        <f t="shared" si="107"/>
        <v>0</v>
      </c>
      <c r="AO492" s="59">
        <f t="shared" si="108"/>
        <v>0</v>
      </c>
      <c r="AP492" s="59">
        <f t="shared" si="109"/>
        <v>0</v>
      </c>
    </row>
    <row r="493" spans="3:42" s="17" customFormat="1" x14ac:dyDescent="0.25">
      <c r="C493" s="241" t="s">
        <v>213</v>
      </c>
      <c r="D493" s="242"/>
      <c r="E493" s="88"/>
      <c r="F493" s="217"/>
      <c r="G493" s="234"/>
      <c r="H493" s="218"/>
      <c r="I493" s="76"/>
      <c r="J493" s="77"/>
      <c r="K493" s="77"/>
      <c r="L493" s="76"/>
      <c r="M493" s="110"/>
      <c r="N493" s="152"/>
      <c r="O493" s="111" t="str">
        <f>IFERROR(MIN(VLOOKUP(ROUNDDOWN(N493,0),'Aide calcul'!$B$2:$C$282,2,FALSE),M493+1),"")</f>
        <v/>
      </c>
      <c r="P493" s="112" t="str">
        <f t="shared" si="110"/>
        <v/>
      </c>
      <c r="Q493" s="170"/>
      <c r="R493" s="170"/>
      <c r="S493" s="170"/>
      <c r="T493" s="170"/>
      <c r="U493" s="170"/>
      <c r="V493" s="170"/>
      <c r="W493" s="170"/>
      <c r="X493" s="76"/>
      <c r="Y493" s="76"/>
      <c r="Z493" s="113" t="str">
        <f>IFERROR(ROUND('Informations générales'!$E$66*(AE493/SUM($AE$28:$AE$404))/12,0)*12,"")</f>
        <v/>
      </c>
      <c r="AA493" s="114"/>
      <c r="AB493" s="113" t="str">
        <f t="shared" si="99"/>
        <v/>
      </c>
      <c r="AC493" s="89"/>
      <c r="AD493" s="76"/>
      <c r="AE493" s="56">
        <f t="shared" si="111"/>
        <v>0</v>
      </c>
      <c r="AF493" s="56">
        <f t="shared" si="100"/>
        <v>0</v>
      </c>
      <c r="AG493" s="56">
        <f t="shared" si="101"/>
        <v>0</v>
      </c>
      <c r="AH493" s="56">
        <f t="shared" si="102"/>
        <v>0</v>
      </c>
      <c r="AI493" s="56">
        <f t="shared" si="103"/>
        <v>0</v>
      </c>
      <c r="AJ493" s="56">
        <f t="shared" si="104"/>
        <v>0</v>
      </c>
      <c r="AK493" s="56">
        <f t="shared" si="105"/>
        <v>0</v>
      </c>
      <c r="AL493" s="56">
        <f t="shared" si="106"/>
        <v>0</v>
      </c>
      <c r="AM493" s="56">
        <f t="shared" si="112"/>
        <v>0</v>
      </c>
      <c r="AN493" s="60">
        <f t="shared" si="107"/>
        <v>0</v>
      </c>
      <c r="AO493" s="59">
        <f t="shared" si="108"/>
        <v>0</v>
      </c>
      <c r="AP493" s="59">
        <f t="shared" si="109"/>
        <v>0</v>
      </c>
    </row>
    <row r="494" spans="3:42" s="17" customFormat="1" x14ac:dyDescent="0.25">
      <c r="C494" s="241" t="s">
        <v>213</v>
      </c>
      <c r="D494" s="242"/>
      <c r="E494" s="88"/>
      <c r="F494" s="217"/>
      <c r="G494" s="234"/>
      <c r="H494" s="218"/>
      <c r="I494" s="76"/>
      <c r="J494" s="77"/>
      <c r="K494" s="77"/>
      <c r="L494" s="76"/>
      <c r="M494" s="110"/>
      <c r="N494" s="152"/>
      <c r="O494" s="111" t="str">
        <f>IFERROR(MIN(VLOOKUP(ROUNDDOWN(N494,0),'Aide calcul'!$B$2:$C$282,2,FALSE),M494+1),"")</f>
        <v/>
      </c>
      <c r="P494" s="112" t="str">
        <f t="shared" si="110"/>
        <v/>
      </c>
      <c r="Q494" s="170"/>
      <c r="R494" s="170"/>
      <c r="S494" s="170"/>
      <c r="T494" s="170"/>
      <c r="U494" s="170"/>
      <c r="V494" s="170"/>
      <c r="W494" s="170"/>
      <c r="X494" s="76"/>
      <c r="Y494" s="76"/>
      <c r="Z494" s="113" t="str">
        <f>IFERROR(ROUND('Informations générales'!$E$66*(AE494/SUM($AE$28:$AE$404))/12,0)*12,"")</f>
        <v/>
      </c>
      <c r="AA494" s="114"/>
      <c r="AB494" s="113" t="str">
        <f t="shared" si="99"/>
        <v/>
      </c>
      <c r="AC494" s="89"/>
      <c r="AD494" s="76"/>
      <c r="AE494" s="56">
        <f t="shared" si="111"/>
        <v>0</v>
      </c>
      <c r="AF494" s="56">
        <f t="shared" si="100"/>
        <v>0</v>
      </c>
      <c r="AG494" s="56">
        <f t="shared" si="101"/>
        <v>0</v>
      </c>
      <c r="AH494" s="56">
        <f t="shared" si="102"/>
        <v>0</v>
      </c>
      <c r="AI494" s="56">
        <f t="shared" si="103"/>
        <v>0</v>
      </c>
      <c r="AJ494" s="56">
        <f t="shared" si="104"/>
        <v>0</v>
      </c>
      <c r="AK494" s="56">
        <f t="shared" si="105"/>
        <v>0</v>
      </c>
      <c r="AL494" s="56">
        <f t="shared" si="106"/>
        <v>0</v>
      </c>
      <c r="AM494" s="56">
        <f t="shared" si="112"/>
        <v>0</v>
      </c>
      <c r="AN494" s="60">
        <f t="shared" si="107"/>
        <v>0</v>
      </c>
      <c r="AO494" s="59">
        <f t="shared" si="108"/>
        <v>0</v>
      </c>
      <c r="AP494" s="59">
        <f t="shared" si="109"/>
        <v>0</v>
      </c>
    </row>
    <row r="495" spans="3:42" s="17" customFormat="1" x14ac:dyDescent="0.25">
      <c r="C495" s="241" t="s">
        <v>213</v>
      </c>
      <c r="D495" s="242"/>
      <c r="E495" s="88"/>
      <c r="F495" s="217"/>
      <c r="G495" s="234"/>
      <c r="H495" s="218"/>
      <c r="I495" s="76"/>
      <c r="J495" s="77"/>
      <c r="K495" s="77"/>
      <c r="L495" s="76"/>
      <c r="M495" s="110"/>
      <c r="N495" s="152"/>
      <c r="O495" s="111" t="str">
        <f>IFERROR(MIN(VLOOKUP(ROUNDDOWN(N495,0),'Aide calcul'!$B$2:$C$282,2,FALSE),M495+1),"")</f>
        <v/>
      </c>
      <c r="P495" s="112" t="str">
        <f t="shared" si="110"/>
        <v/>
      </c>
      <c r="Q495" s="170"/>
      <c r="R495" s="170"/>
      <c r="S495" s="170"/>
      <c r="T495" s="170"/>
      <c r="U495" s="170"/>
      <c r="V495" s="170"/>
      <c r="W495" s="170"/>
      <c r="X495" s="76"/>
      <c r="Y495" s="76"/>
      <c r="Z495" s="113" t="str">
        <f>IFERROR(ROUND('Informations générales'!$E$66*(AE495/SUM($AE$28:$AE$404))/12,0)*12,"")</f>
        <v/>
      </c>
      <c r="AA495" s="114"/>
      <c r="AB495" s="113" t="str">
        <f t="shared" si="99"/>
        <v/>
      </c>
      <c r="AC495" s="89"/>
      <c r="AD495" s="76"/>
      <c r="AE495" s="56">
        <f t="shared" si="111"/>
        <v>0</v>
      </c>
      <c r="AF495" s="56">
        <f t="shared" si="100"/>
        <v>0</v>
      </c>
      <c r="AG495" s="56">
        <f t="shared" si="101"/>
        <v>0</v>
      </c>
      <c r="AH495" s="56">
        <f t="shared" si="102"/>
        <v>0</v>
      </c>
      <c r="AI495" s="56">
        <f t="shared" si="103"/>
        <v>0</v>
      </c>
      <c r="AJ495" s="56">
        <f t="shared" si="104"/>
        <v>0</v>
      </c>
      <c r="AK495" s="56">
        <f t="shared" si="105"/>
        <v>0</v>
      </c>
      <c r="AL495" s="56">
        <f t="shared" si="106"/>
        <v>0</v>
      </c>
      <c r="AM495" s="56">
        <f t="shared" si="112"/>
        <v>0</v>
      </c>
      <c r="AN495" s="60">
        <f t="shared" si="107"/>
        <v>0</v>
      </c>
      <c r="AO495" s="59">
        <f t="shared" si="108"/>
        <v>0</v>
      </c>
      <c r="AP495" s="59">
        <f t="shared" si="109"/>
        <v>0</v>
      </c>
    </row>
    <row r="496" spans="3:42" s="17" customFormat="1" x14ac:dyDescent="0.25">
      <c r="C496" s="241" t="s">
        <v>213</v>
      </c>
      <c r="D496" s="242"/>
      <c r="E496" s="88"/>
      <c r="F496" s="217"/>
      <c r="G496" s="234"/>
      <c r="H496" s="218"/>
      <c r="I496" s="76"/>
      <c r="J496" s="77"/>
      <c r="K496" s="77"/>
      <c r="L496" s="76"/>
      <c r="M496" s="110"/>
      <c r="N496" s="152"/>
      <c r="O496" s="111" t="str">
        <f>IFERROR(MIN(VLOOKUP(ROUNDDOWN(N496,0),'Aide calcul'!$B$2:$C$282,2,FALSE),M496+1),"")</f>
        <v/>
      </c>
      <c r="P496" s="112" t="str">
        <f t="shared" si="110"/>
        <v/>
      </c>
      <c r="Q496" s="170"/>
      <c r="R496" s="170"/>
      <c r="S496" s="170"/>
      <c r="T496" s="170"/>
      <c r="U496" s="170"/>
      <c r="V496" s="170"/>
      <c r="W496" s="170"/>
      <c r="X496" s="76"/>
      <c r="Y496" s="76"/>
      <c r="Z496" s="113" t="str">
        <f>IFERROR(ROUND('Informations générales'!$E$66*(AE496/SUM($AE$28:$AE$404))/12,0)*12,"")</f>
        <v/>
      </c>
      <c r="AA496" s="114"/>
      <c r="AB496" s="113" t="str">
        <f t="shared" si="99"/>
        <v/>
      </c>
      <c r="AC496" s="89"/>
      <c r="AD496" s="76"/>
      <c r="AE496" s="56">
        <f t="shared" si="111"/>
        <v>0</v>
      </c>
      <c r="AF496" s="56">
        <f t="shared" si="100"/>
        <v>0</v>
      </c>
      <c r="AG496" s="56">
        <f t="shared" si="101"/>
        <v>0</v>
      </c>
      <c r="AH496" s="56">
        <f t="shared" si="102"/>
        <v>0</v>
      </c>
      <c r="AI496" s="56">
        <f t="shared" si="103"/>
        <v>0</v>
      </c>
      <c r="AJ496" s="56">
        <f t="shared" si="104"/>
        <v>0</v>
      </c>
      <c r="AK496" s="56">
        <f t="shared" si="105"/>
        <v>0</v>
      </c>
      <c r="AL496" s="56">
        <f t="shared" si="106"/>
        <v>0</v>
      </c>
      <c r="AM496" s="56">
        <f t="shared" si="112"/>
        <v>0</v>
      </c>
      <c r="AN496" s="60">
        <f t="shared" si="107"/>
        <v>0</v>
      </c>
      <c r="AO496" s="59">
        <f t="shared" si="108"/>
        <v>0</v>
      </c>
      <c r="AP496" s="59">
        <f t="shared" si="109"/>
        <v>0</v>
      </c>
    </row>
    <row r="497" spans="3:42" s="17" customFormat="1" x14ac:dyDescent="0.25">
      <c r="C497" s="241" t="s">
        <v>213</v>
      </c>
      <c r="D497" s="242"/>
      <c r="E497" s="88"/>
      <c r="F497" s="217"/>
      <c r="G497" s="234"/>
      <c r="H497" s="218"/>
      <c r="I497" s="76"/>
      <c r="J497" s="77"/>
      <c r="K497" s="77"/>
      <c r="L497" s="76"/>
      <c r="M497" s="110"/>
      <c r="N497" s="152"/>
      <c r="O497" s="111" t="str">
        <f>IFERROR(MIN(VLOOKUP(ROUNDDOWN(N497,0),'Aide calcul'!$B$2:$C$282,2,FALSE),M497+1),"")</f>
        <v/>
      </c>
      <c r="P497" s="112" t="str">
        <f t="shared" si="110"/>
        <v/>
      </c>
      <c r="Q497" s="170"/>
      <c r="R497" s="170"/>
      <c r="S497" s="170"/>
      <c r="T497" s="170"/>
      <c r="U497" s="170"/>
      <c r="V497" s="170"/>
      <c r="W497" s="170"/>
      <c r="X497" s="76"/>
      <c r="Y497" s="76"/>
      <c r="Z497" s="113" t="str">
        <f>IFERROR(ROUND('Informations générales'!$E$66*(AE497/SUM($AE$28:$AE$404))/12,0)*12,"")</f>
        <v/>
      </c>
      <c r="AA497" s="114"/>
      <c r="AB497" s="113" t="str">
        <f t="shared" si="99"/>
        <v/>
      </c>
      <c r="AC497" s="89"/>
      <c r="AD497" s="76"/>
      <c r="AE497" s="56">
        <f t="shared" si="111"/>
        <v>0</v>
      </c>
      <c r="AF497" s="56">
        <f t="shared" si="100"/>
        <v>0</v>
      </c>
      <c r="AG497" s="56">
        <f t="shared" si="101"/>
        <v>0</v>
      </c>
      <c r="AH497" s="56">
        <f t="shared" si="102"/>
        <v>0</v>
      </c>
      <c r="AI497" s="56">
        <f t="shared" si="103"/>
        <v>0</v>
      </c>
      <c r="AJ497" s="56">
        <f t="shared" si="104"/>
        <v>0</v>
      </c>
      <c r="AK497" s="56">
        <f t="shared" si="105"/>
        <v>0</v>
      </c>
      <c r="AL497" s="56">
        <f t="shared" si="106"/>
        <v>0</v>
      </c>
      <c r="AM497" s="56">
        <f t="shared" si="112"/>
        <v>0</v>
      </c>
      <c r="AN497" s="60">
        <f t="shared" si="107"/>
        <v>0</v>
      </c>
      <c r="AO497" s="59">
        <f t="shared" si="108"/>
        <v>0</v>
      </c>
      <c r="AP497" s="59">
        <f t="shared" si="109"/>
        <v>0</v>
      </c>
    </row>
    <row r="498" spans="3:42" s="17" customFormat="1" x14ac:dyDescent="0.25">
      <c r="C498" s="241" t="s">
        <v>213</v>
      </c>
      <c r="D498" s="242"/>
      <c r="E498" s="88"/>
      <c r="F498" s="217"/>
      <c r="G498" s="234"/>
      <c r="H498" s="218"/>
      <c r="I498" s="76"/>
      <c r="J498" s="77"/>
      <c r="K498" s="77"/>
      <c r="L498" s="76"/>
      <c r="M498" s="110"/>
      <c r="N498" s="152"/>
      <c r="O498" s="111" t="str">
        <f>IFERROR(MIN(VLOOKUP(ROUNDDOWN(N498,0),'Aide calcul'!$B$2:$C$282,2,FALSE),M498+1),"")</f>
        <v/>
      </c>
      <c r="P498" s="112" t="str">
        <f t="shared" si="110"/>
        <v/>
      </c>
      <c r="Q498" s="170"/>
      <c r="R498" s="170"/>
      <c r="S498" s="170"/>
      <c r="T498" s="170"/>
      <c r="U498" s="170"/>
      <c r="V498" s="170"/>
      <c r="W498" s="170"/>
      <c r="X498" s="76"/>
      <c r="Y498" s="76"/>
      <c r="Z498" s="113" t="str">
        <f>IFERROR(ROUND('Informations générales'!$E$66*(AE498/SUM($AE$28:$AE$404))/12,0)*12,"")</f>
        <v/>
      </c>
      <c r="AA498" s="114"/>
      <c r="AB498" s="113" t="str">
        <f t="shared" si="99"/>
        <v/>
      </c>
      <c r="AC498" s="89"/>
      <c r="AD498" s="76"/>
      <c r="AE498" s="56">
        <f t="shared" si="111"/>
        <v>0</v>
      </c>
      <c r="AF498" s="56">
        <f t="shared" si="100"/>
        <v>0</v>
      </c>
      <c r="AG498" s="56">
        <f t="shared" si="101"/>
        <v>0</v>
      </c>
      <c r="AH498" s="56">
        <f t="shared" si="102"/>
        <v>0</v>
      </c>
      <c r="AI498" s="56">
        <f t="shared" si="103"/>
        <v>0</v>
      </c>
      <c r="AJ498" s="56">
        <f t="shared" si="104"/>
        <v>0</v>
      </c>
      <c r="AK498" s="56">
        <f t="shared" si="105"/>
        <v>0</v>
      </c>
      <c r="AL498" s="56">
        <f t="shared" si="106"/>
        <v>0</v>
      </c>
      <c r="AM498" s="56">
        <f t="shared" si="112"/>
        <v>0</v>
      </c>
      <c r="AN498" s="60">
        <f t="shared" si="107"/>
        <v>0</v>
      </c>
      <c r="AO498" s="59">
        <f t="shared" si="108"/>
        <v>0</v>
      </c>
      <c r="AP498" s="59">
        <f t="shared" si="109"/>
        <v>0</v>
      </c>
    </row>
    <row r="499" spans="3:42" s="17" customFormat="1" x14ac:dyDescent="0.25">
      <c r="C499" s="241" t="s">
        <v>213</v>
      </c>
      <c r="D499" s="242"/>
      <c r="E499" s="88"/>
      <c r="F499" s="217"/>
      <c r="G499" s="234"/>
      <c r="H499" s="218"/>
      <c r="I499" s="76"/>
      <c r="J499" s="77"/>
      <c r="K499" s="77"/>
      <c r="L499" s="76"/>
      <c r="M499" s="110"/>
      <c r="N499" s="152"/>
      <c r="O499" s="111" t="str">
        <f>IFERROR(MIN(VLOOKUP(ROUNDDOWN(N499,0),'Aide calcul'!$B$2:$C$282,2,FALSE),M499+1),"")</f>
        <v/>
      </c>
      <c r="P499" s="112" t="str">
        <f t="shared" si="110"/>
        <v/>
      </c>
      <c r="Q499" s="170"/>
      <c r="R499" s="170"/>
      <c r="S499" s="170"/>
      <c r="T499" s="170"/>
      <c r="U499" s="170"/>
      <c r="V499" s="170"/>
      <c r="W499" s="170"/>
      <c r="X499" s="76"/>
      <c r="Y499" s="76"/>
      <c r="Z499" s="113" t="str">
        <f>IFERROR(ROUND('Informations générales'!$E$66*(AE499/SUM($AE$28:$AE$404))/12,0)*12,"")</f>
        <v/>
      </c>
      <c r="AA499" s="114"/>
      <c r="AB499" s="113" t="str">
        <f t="shared" si="99"/>
        <v/>
      </c>
      <c r="AC499" s="89"/>
      <c r="AD499" s="76"/>
      <c r="AE499" s="56">
        <f t="shared" si="111"/>
        <v>0</v>
      </c>
      <c r="AF499" s="56">
        <f t="shared" si="100"/>
        <v>0</v>
      </c>
      <c r="AG499" s="56">
        <f t="shared" si="101"/>
        <v>0</v>
      </c>
      <c r="AH499" s="56">
        <f t="shared" si="102"/>
        <v>0</v>
      </c>
      <c r="AI499" s="56">
        <f t="shared" si="103"/>
        <v>0</v>
      </c>
      <c r="AJ499" s="56">
        <f t="shared" si="104"/>
        <v>0</v>
      </c>
      <c r="AK499" s="56">
        <f t="shared" si="105"/>
        <v>0</v>
      </c>
      <c r="AL499" s="56">
        <f t="shared" si="106"/>
        <v>0</v>
      </c>
      <c r="AM499" s="56">
        <f t="shared" si="112"/>
        <v>0</v>
      </c>
      <c r="AN499" s="60">
        <f t="shared" si="107"/>
        <v>0</v>
      </c>
      <c r="AO499" s="59">
        <f t="shared" si="108"/>
        <v>0</v>
      </c>
      <c r="AP499" s="59">
        <f t="shared" si="109"/>
        <v>0</v>
      </c>
    </row>
    <row r="500" spans="3:42" s="17" customFormat="1" x14ac:dyDescent="0.25">
      <c r="C500" s="241" t="s">
        <v>213</v>
      </c>
      <c r="D500" s="242"/>
      <c r="E500" s="88"/>
      <c r="F500" s="217"/>
      <c r="G500" s="234"/>
      <c r="H500" s="218"/>
      <c r="I500" s="76"/>
      <c r="J500" s="77"/>
      <c r="K500" s="77"/>
      <c r="L500" s="76"/>
      <c r="M500" s="110"/>
      <c r="N500" s="152"/>
      <c r="O500" s="111" t="str">
        <f>IFERROR(MIN(VLOOKUP(ROUNDDOWN(N500,0),'Aide calcul'!$B$2:$C$282,2,FALSE),M500+1),"")</f>
        <v/>
      </c>
      <c r="P500" s="112" t="str">
        <f t="shared" si="110"/>
        <v/>
      </c>
      <c r="Q500" s="170"/>
      <c r="R500" s="170"/>
      <c r="S500" s="170"/>
      <c r="T500" s="170"/>
      <c r="U500" s="170"/>
      <c r="V500" s="170"/>
      <c r="W500" s="170"/>
      <c r="X500" s="76"/>
      <c r="Y500" s="76"/>
      <c r="Z500" s="113" t="str">
        <f>IFERROR(ROUND('Informations générales'!$E$66*(AE500/SUM($AE$28:$AE$404))/12,0)*12,"")</f>
        <v/>
      </c>
      <c r="AA500" s="114"/>
      <c r="AB500" s="113" t="str">
        <f t="shared" si="99"/>
        <v/>
      </c>
      <c r="AC500" s="89"/>
      <c r="AD500" s="76"/>
      <c r="AE500" s="56">
        <f t="shared" si="111"/>
        <v>0</v>
      </c>
      <c r="AF500" s="56">
        <f t="shared" si="100"/>
        <v>0</v>
      </c>
      <c r="AG500" s="56">
        <f t="shared" si="101"/>
        <v>0</v>
      </c>
      <c r="AH500" s="56">
        <f t="shared" si="102"/>
        <v>0</v>
      </c>
      <c r="AI500" s="56">
        <f t="shared" si="103"/>
        <v>0</v>
      </c>
      <c r="AJ500" s="56">
        <f t="shared" si="104"/>
        <v>0</v>
      </c>
      <c r="AK500" s="56">
        <f t="shared" si="105"/>
        <v>0</v>
      </c>
      <c r="AL500" s="56">
        <f t="shared" si="106"/>
        <v>0</v>
      </c>
      <c r="AM500" s="56">
        <f t="shared" si="112"/>
        <v>0</v>
      </c>
      <c r="AN500" s="60">
        <f t="shared" si="107"/>
        <v>0</v>
      </c>
      <c r="AO500" s="59">
        <f t="shared" si="108"/>
        <v>0</v>
      </c>
      <c r="AP500" s="59">
        <f t="shared" si="109"/>
        <v>0</v>
      </c>
    </row>
    <row r="501" spans="3:42" s="17" customFormat="1" x14ac:dyDescent="0.25">
      <c r="C501" s="241" t="s">
        <v>213</v>
      </c>
      <c r="D501" s="242"/>
      <c r="E501" s="88"/>
      <c r="F501" s="217"/>
      <c r="G501" s="234"/>
      <c r="H501" s="218"/>
      <c r="I501" s="76"/>
      <c r="J501" s="77"/>
      <c r="K501" s="77"/>
      <c r="L501" s="76"/>
      <c r="M501" s="110"/>
      <c r="N501" s="152"/>
      <c r="O501" s="111" t="str">
        <f>IFERROR(MIN(VLOOKUP(ROUNDDOWN(N501,0),'Aide calcul'!$B$2:$C$282,2,FALSE),M501+1),"")</f>
        <v/>
      </c>
      <c r="P501" s="112" t="str">
        <f t="shared" si="110"/>
        <v/>
      </c>
      <c r="Q501" s="170"/>
      <c r="R501" s="170"/>
      <c r="S501" s="170"/>
      <c r="T501" s="170"/>
      <c r="U501" s="170"/>
      <c r="V501" s="170"/>
      <c r="W501" s="170"/>
      <c r="X501" s="76"/>
      <c r="Y501" s="76"/>
      <c r="Z501" s="113" t="str">
        <f>IFERROR(ROUND('Informations générales'!$E$66*(AE501/SUM($AE$28:$AE$404))/12,0)*12,"")</f>
        <v/>
      </c>
      <c r="AA501" s="114"/>
      <c r="AB501" s="113" t="str">
        <f t="shared" si="99"/>
        <v/>
      </c>
      <c r="AC501" s="89"/>
      <c r="AD501" s="76"/>
      <c r="AE501" s="56">
        <f t="shared" si="111"/>
        <v>0</v>
      </c>
      <c r="AF501" s="56">
        <f t="shared" si="100"/>
        <v>0</v>
      </c>
      <c r="AG501" s="56">
        <f t="shared" si="101"/>
        <v>0</v>
      </c>
      <c r="AH501" s="56">
        <f t="shared" si="102"/>
        <v>0</v>
      </c>
      <c r="AI501" s="56">
        <f t="shared" si="103"/>
        <v>0</v>
      </c>
      <c r="AJ501" s="56">
        <f t="shared" si="104"/>
        <v>0</v>
      </c>
      <c r="AK501" s="56">
        <f t="shared" si="105"/>
        <v>0</v>
      </c>
      <c r="AL501" s="56">
        <f t="shared" si="106"/>
        <v>0</v>
      </c>
      <c r="AM501" s="56">
        <f t="shared" si="112"/>
        <v>0</v>
      </c>
      <c r="AN501" s="60">
        <f t="shared" si="107"/>
        <v>0</v>
      </c>
      <c r="AO501" s="59">
        <f t="shared" si="108"/>
        <v>0</v>
      </c>
      <c r="AP501" s="59">
        <f t="shared" si="109"/>
        <v>0</v>
      </c>
    </row>
    <row r="502" spans="3:42" s="17" customFormat="1" x14ac:dyDescent="0.25">
      <c r="C502" s="241" t="s">
        <v>213</v>
      </c>
      <c r="D502" s="242"/>
      <c r="E502" s="88"/>
      <c r="F502" s="217"/>
      <c r="G502" s="234"/>
      <c r="H502" s="218"/>
      <c r="I502" s="76"/>
      <c r="J502" s="77"/>
      <c r="K502" s="77"/>
      <c r="L502" s="76"/>
      <c r="M502" s="110"/>
      <c r="N502" s="152"/>
      <c r="O502" s="111" t="str">
        <f>IFERROR(MIN(VLOOKUP(ROUNDDOWN(N502,0),'Aide calcul'!$B$2:$C$282,2,FALSE),M502+1),"")</f>
        <v/>
      </c>
      <c r="P502" s="112" t="str">
        <f t="shared" si="110"/>
        <v/>
      </c>
      <c r="Q502" s="170"/>
      <c r="R502" s="170"/>
      <c r="S502" s="170"/>
      <c r="T502" s="170"/>
      <c r="U502" s="170"/>
      <c r="V502" s="170"/>
      <c r="W502" s="170"/>
      <c r="X502" s="76"/>
      <c r="Y502" s="76"/>
      <c r="Z502" s="113" t="str">
        <f>IFERROR(ROUND('Informations générales'!$E$66*(AE502/SUM($AE$28:$AE$404))/12,0)*12,"")</f>
        <v/>
      </c>
      <c r="AA502" s="114"/>
      <c r="AB502" s="113" t="str">
        <f t="shared" si="99"/>
        <v/>
      </c>
      <c r="AC502" s="89"/>
      <c r="AD502" s="76"/>
      <c r="AE502" s="56">
        <f t="shared" si="111"/>
        <v>0</v>
      </c>
      <c r="AF502" s="56">
        <f t="shared" si="100"/>
        <v>0</v>
      </c>
      <c r="AG502" s="56">
        <f t="shared" si="101"/>
        <v>0</v>
      </c>
      <c r="AH502" s="56">
        <f t="shared" si="102"/>
        <v>0</v>
      </c>
      <c r="AI502" s="56">
        <f t="shared" si="103"/>
        <v>0</v>
      </c>
      <c r="AJ502" s="56">
        <f t="shared" si="104"/>
        <v>0</v>
      </c>
      <c r="AK502" s="56">
        <f t="shared" si="105"/>
        <v>0</v>
      </c>
      <c r="AL502" s="56">
        <f t="shared" si="106"/>
        <v>0</v>
      </c>
      <c r="AM502" s="56">
        <f t="shared" si="112"/>
        <v>0</v>
      </c>
      <c r="AN502" s="60">
        <f t="shared" si="107"/>
        <v>0</v>
      </c>
      <c r="AO502" s="59">
        <f t="shared" si="108"/>
        <v>0</v>
      </c>
      <c r="AP502" s="59">
        <f t="shared" si="109"/>
        <v>0</v>
      </c>
    </row>
    <row r="503" spans="3:42" s="17" customFormat="1" x14ac:dyDescent="0.25">
      <c r="C503" s="241" t="s">
        <v>213</v>
      </c>
      <c r="D503" s="242"/>
      <c r="E503" s="88"/>
      <c r="F503" s="217"/>
      <c r="G503" s="234"/>
      <c r="H503" s="218"/>
      <c r="I503" s="76"/>
      <c r="J503" s="77"/>
      <c r="K503" s="77"/>
      <c r="L503" s="76"/>
      <c r="M503" s="110"/>
      <c r="N503" s="152"/>
      <c r="O503" s="111" t="str">
        <f>IFERROR(MIN(VLOOKUP(ROUNDDOWN(N503,0),'Aide calcul'!$B$2:$C$282,2,FALSE),M503+1),"")</f>
        <v/>
      </c>
      <c r="P503" s="112" t="str">
        <f t="shared" si="110"/>
        <v/>
      </c>
      <c r="Q503" s="170"/>
      <c r="R503" s="170"/>
      <c r="S503" s="170"/>
      <c r="T503" s="170"/>
      <c r="U503" s="170"/>
      <c r="V503" s="170"/>
      <c r="W503" s="170"/>
      <c r="X503" s="76"/>
      <c r="Y503" s="76"/>
      <c r="Z503" s="113" t="str">
        <f>IFERROR(ROUND('Informations générales'!$E$66*(AE503/SUM($AE$28:$AE$404))/12,0)*12,"")</f>
        <v/>
      </c>
      <c r="AA503" s="114"/>
      <c r="AB503" s="113" t="str">
        <f t="shared" si="99"/>
        <v/>
      </c>
      <c r="AC503" s="89"/>
      <c r="AD503" s="76"/>
      <c r="AE503" s="56">
        <f t="shared" si="111"/>
        <v>0</v>
      </c>
      <c r="AF503" s="56">
        <f t="shared" si="100"/>
        <v>0</v>
      </c>
      <c r="AG503" s="56">
        <f t="shared" si="101"/>
        <v>0</v>
      </c>
      <c r="AH503" s="56">
        <f t="shared" si="102"/>
        <v>0</v>
      </c>
      <c r="AI503" s="56">
        <f t="shared" si="103"/>
        <v>0</v>
      </c>
      <c r="AJ503" s="56">
        <f t="shared" si="104"/>
        <v>0</v>
      </c>
      <c r="AK503" s="56">
        <f t="shared" si="105"/>
        <v>0</v>
      </c>
      <c r="AL503" s="56">
        <f t="shared" si="106"/>
        <v>0</v>
      </c>
      <c r="AM503" s="56">
        <f t="shared" si="112"/>
        <v>0</v>
      </c>
      <c r="AN503" s="60">
        <f t="shared" si="107"/>
        <v>0</v>
      </c>
      <c r="AO503" s="59">
        <f t="shared" si="108"/>
        <v>0</v>
      </c>
      <c r="AP503" s="59">
        <f t="shared" si="109"/>
        <v>0</v>
      </c>
    </row>
    <row r="504" spans="3:42" s="17" customFormat="1" x14ac:dyDescent="0.25">
      <c r="C504" s="241" t="s">
        <v>213</v>
      </c>
      <c r="D504" s="242"/>
      <c r="E504" s="88"/>
      <c r="F504" s="217"/>
      <c r="G504" s="234"/>
      <c r="H504" s="218"/>
      <c r="I504" s="76"/>
      <c r="J504" s="77"/>
      <c r="K504" s="77"/>
      <c r="L504" s="76"/>
      <c r="M504" s="110"/>
      <c r="N504" s="152"/>
      <c r="O504" s="111" t="str">
        <f>IFERROR(MIN(VLOOKUP(ROUNDDOWN(N504,0),'Aide calcul'!$B$2:$C$282,2,FALSE),M504+1),"")</f>
        <v/>
      </c>
      <c r="P504" s="112" t="str">
        <f t="shared" si="110"/>
        <v/>
      </c>
      <c r="Q504" s="170"/>
      <c r="R504" s="170"/>
      <c r="S504" s="170"/>
      <c r="T504" s="170"/>
      <c r="U504" s="170"/>
      <c r="V504" s="170"/>
      <c r="W504" s="170"/>
      <c r="X504" s="76"/>
      <c r="Y504" s="76"/>
      <c r="Z504" s="113" t="str">
        <f>IFERROR(ROUND('Informations générales'!$E$66*(AE504/SUM($AE$28:$AE$404))/12,0)*12,"")</f>
        <v/>
      </c>
      <c r="AA504" s="114"/>
      <c r="AB504" s="113" t="str">
        <f t="shared" si="99"/>
        <v/>
      </c>
      <c r="AC504" s="89"/>
      <c r="AD504" s="76"/>
      <c r="AE504" s="56">
        <f t="shared" si="111"/>
        <v>0</v>
      </c>
      <c r="AF504" s="56">
        <f t="shared" si="100"/>
        <v>0</v>
      </c>
      <c r="AG504" s="56">
        <f t="shared" si="101"/>
        <v>0</v>
      </c>
      <c r="AH504" s="56">
        <f t="shared" si="102"/>
        <v>0</v>
      </c>
      <c r="AI504" s="56">
        <f t="shared" si="103"/>
        <v>0</v>
      </c>
      <c r="AJ504" s="56">
        <f t="shared" si="104"/>
        <v>0</v>
      </c>
      <c r="AK504" s="56">
        <f t="shared" si="105"/>
        <v>0</v>
      </c>
      <c r="AL504" s="56">
        <f t="shared" si="106"/>
        <v>0</v>
      </c>
      <c r="AM504" s="56">
        <f t="shared" si="112"/>
        <v>0</v>
      </c>
      <c r="AN504" s="60">
        <f t="shared" si="107"/>
        <v>0</v>
      </c>
      <c r="AO504" s="59">
        <f t="shared" si="108"/>
        <v>0</v>
      </c>
      <c r="AP504" s="59">
        <f t="shared" si="109"/>
        <v>0</v>
      </c>
    </row>
    <row r="505" spans="3:42" s="17" customFormat="1" x14ac:dyDescent="0.25">
      <c r="C505" s="241" t="s">
        <v>213</v>
      </c>
      <c r="D505" s="242"/>
      <c r="E505" s="88"/>
      <c r="F505" s="217"/>
      <c r="G505" s="234"/>
      <c r="H505" s="218"/>
      <c r="I505" s="76"/>
      <c r="J505" s="77"/>
      <c r="K505" s="77"/>
      <c r="L505" s="76"/>
      <c r="M505" s="110"/>
      <c r="N505" s="152"/>
      <c r="O505" s="111" t="str">
        <f>IFERROR(MIN(VLOOKUP(ROUNDDOWN(N505,0),'Aide calcul'!$B$2:$C$282,2,FALSE),M505+1),"")</f>
        <v/>
      </c>
      <c r="P505" s="112" t="str">
        <f t="shared" si="110"/>
        <v/>
      </c>
      <c r="Q505" s="170"/>
      <c r="R505" s="170"/>
      <c r="S505" s="170"/>
      <c r="T505" s="170"/>
      <c r="U505" s="170"/>
      <c r="V505" s="170"/>
      <c r="W505" s="170"/>
      <c r="X505" s="76"/>
      <c r="Y505" s="76"/>
      <c r="Z505" s="113" t="str">
        <f>IFERROR(ROUND('Informations générales'!$E$66*(AE505/SUM($AE$28:$AE$404))/12,0)*12,"")</f>
        <v/>
      </c>
      <c r="AA505" s="114"/>
      <c r="AB505" s="113" t="str">
        <f t="shared" si="99"/>
        <v/>
      </c>
      <c r="AC505" s="89"/>
      <c r="AD505" s="76"/>
      <c r="AE505" s="56">
        <f t="shared" si="111"/>
        <v>0</v>
      </c>
      <c r="AF505" s="56">
        <f t="shared" si="100"/>
        <v>0</v>
      </c>
      <c r="AG505" s="56">
        <f t="shared" si="101"/>
        <v>0</v>
      </c>
      <c r="AH505" s="56">
        <f t="shared" si="102"/>
        <v>0</v>
      </c>
      <c r="AI505" s="56">
        <f t="shared" si="103"/>
        <v>0</v>
      </c>
      <c r="AJ505" s="56">
        <f t="shared" si="104"/>
        <v>0</v>
      </c>
      <c r="AK505" s="56">
        <f t="shared" si="105"/>
        <v>0</v>
      </c>
      <c r="AL505" s="56">
        <f t="shared" si="106"/>
        <v>0</v>
      </c>
      <c r="AM505" s="56">
        <f t="shared" si="112"/>
        <v>0</v>
      </c>
      <c r="AN505" s="60">
        <f t="shared" si="107"/>
        <v>0</v>
      </c>
      <c r="AO505" s="59">
        <f t="shared" si="108"/>
        <v>0</v>
      </c>
      <c r="AP505" s="59">
        <f t="shared" si="109"/>
        <v>0</v>
      </c>
    </row>
    <row r="506" spans="3:42" s="17" customFormat="1" x14ac:dyDescent="0.25">
      <c r="C506" s="241" t="s">
        <v>213</v>
      </c>
      <c r="D506" s="242"/>
      <c r="E506" s="88"/>
      <c r="F506" s="217"/>
      <c r="G506" s="234"/>
      <c r="H506" s="218"/>
      <c r="I506" s="76"/>
      <c r="J506" s="77"/>
      <c r="K506" s="77"/>
      <c r="L506" s="76"/>
      <c r="M506" s="110"/>
      <c r="N506" s="152"/>
      <c r="O506" s="111" t="str">
        <f>IFERROR(MIN(VLOOKUP(ROUNDDOWN(N506,0),'Aide calcul'!$B$2:$C$282,2,FALSE),M506+1),"")</f>
        <v/>
      </c>
      <c r="P506" s="112" t="str">
        <f t="shared" si="110"/>
        <v/>
      </c>
      <c r="Q506" s="170"/>
      <c r="R506" s="170"/>
      <c r="S506" s="170"/>
      <c r="T506" s="170"/>
      <c r="U506" s="170"/>
      <c r="V506" s="170"/>
      <c r="W506" s="170"/>
      <c r="X506" s="76"/>
      <c r="Y506" s="76"/>
      <c r="Z506" s="113" t="str">
        <f>IFERROR(ROUND('Informations générales'!$E$66*(AE506/SUM($AE$28:$AE$404))/12,0)*12,"")</f>
        <v/>
      </c>
      <c r="AA506" s="114"/>
      <c r="AB506" s="113" t="str">
        <f t="shared" si="99"/>
        <v/>
      </c>
      <c r="AC506" s="89"/>
      <c r="AD506" s="76"/>
      <c r="AE506" s="56">
        <f t="shared" si="111"/>
        <v>0</v>
      </c>
      <c r="AF506" s="56">
        <f t="shared" si="100"/>
        <v>0</v>
      </c>
      <c r="AG506" s="56">
        <f t="shared" si="101"/>
        <v>0</v>
      </c>
      <c r="AH506" s="56">
        <f t="shared" si="102"/>
        <v>0</v>
      </c>
      <c r="AI506" s="56">
        <f t="shared" si="103"/>
        <v>0</v>
      </c>
      <c r="AJ506" s="56">
        <f t="shared" si="104"/>
        <v>0</v>
      </c>
      <c r="AK506" s="56">
        <f t="shared" si="105"/>
        <v>0</v>
      </c>
      <c r="AL506" s="56">
        <f t="shared" si="106"/>
        <v>0</v>
      </c>
      <c r="AM506" s="56">
        <f t="shared" si="112"/>
        <v>0</v>
      </c>
      <c r="AN506" s="60">
        <f t="shared" si="107"/>
        <v>0</v>
      </c>
      <c r="AO506" s="59">
        <f t="shared" si="108"/>
        <v>0</v>
      </c>
      <c r="AP506" s="59">
        <f t="shared" si="109"/>
        <v>0</v>
      </c>
    </row>
    <row r="507" spans="3:42" s="17" customFormat="1" x14ac:dyDescent="0.25">
      <c r="C507" s="241" t="s">
        <v>213</v>
      </c>
      <c r="D507" s="242"/>
      <c r="E507" s="88"/>
      <c r="F507" s="217"/>
      <c r="G507" s="234"/>
      <c r="H507" s="218"/>
      <c r="I507" s="76"/>
      <c r="J507" s="77"/>
      <c r="K507" s="77"/>
      <c r="L507" s="76"/>
      <c r="M507" s="110"/>
      <c r="N507" s="152"/>
      <c r="O507" s="111" t="str">
        <f>IFERROR(MIN(VLOOKUP(ROUNDDOWN(N507,0),'Aide calcul'!$B$2:$C$282,2,FALSE),M507+1),"")</f>
        <v/>
      </c>
      <c r="P507" s="112" t="str">
        <f t="shared" si="110"/>
        <v/>
      </c>
      <c r="Q507" s="170"/>
      <c r="R507" s="170"/>
      <c r="S507" s="170"/>
      <c r="T507" s="170"/>
      <c r="U507" s="170"/>
      <c r="V507" s="170"/>
      <c r="W507" s="170"/>
      <c r="X507" s="76"/>
      <c r="Y507" s="76"/>
      <c r="Z507" s="113" t="str">
        <f>IFERROR(ROUND('Informations générales'!$E$66*(AE507/SUM($AE$28:$AE$404))/12,0)*12,"")</f>
        <v/>
      </c>
      <c r="AA507" s="114"/>
      <c r="AB507" s="113" t="str">
        <f t="shared" si="99"/>
        <v/>
      </c>
      <c r="AC507" s="89"/>
      <c r="AD507" s="76"/>
      <c r="AE507" s="56">
        <f t="shared" si="111"/>
        <v>0</v>
      </c>
      <c r="AF507" s="56">
        <f t="shared" si="100"/>
        <v>0</v>
      </c>
      <c r="AG507" s="56">
        <f t="shared" si="101"/>
        <v>0</v>
      </c>
      <c r="AH507" s="56">
        <f t="shared" si="102"/>
        <v>0</v>
      </c>
      <c r="AI507" s="56">
        <f t="shared" si="103"/>
        <v>0</v>
      </c>
      <c r="AJ507" s="56">
        <f t="shared" si="104"/>
        <v>0</v>
      </c>
      <c r="AK507" s="56">
        <f t="shared" si="105"/>
        <v>0</v>
      </c>
      <c r="AL507" s="56">
        <f t="shared" si="106"/>
        <v>0</v>
      </c>
      <c r="AM507" s="56">
        <f t="shared" si="112"/>
        <v>0</v>
      </c>
      <c r="AN507" s="60">
        <f t="shared" si="107"/>
        <v>0</v>
      </c>
      <c r="AO507" s="59">
        <f t="shared" si="108"/>
        <v>0</v>
      </c>
      <c r="AP507" s="59">
        <f t="shared" si="109"/>
        <v>0</v>
      </c>
    </row>
    <row r="508" spans="3:42" s="17" customFormat="1" x14ac:dyDescent="0.25">
      <c r="C508" s="241" t="s">
        <v>213</v>
      </c>
      <c r="D508" s="242"/>
      <c r="E508" s="88"/>
      <c r="F508" s="217"/>
      <c r="G508" s="234"/>
      <c r="H508" s="218"/>
      <c r="I508" s="76"/>
      <c r="J508" s="77"/>
      <c r="K508" s="77"/>
      <c r="L508" s="76"/>
      <c r="M508" s="110"/>
      <c r="N508" s="152"/>
      <c r="O508" s="111" t="str">
        <f>IFERROR(MIN(VLOOKUP(ROUNDDOWN(N508,0),'Aide calcul'!$B$2:$C$282,2,FALSE),M508+1),"")</f>
        <v/>
      </c>
      <c r="P508" s="112" t="str">
        <f t="shared" si="110"/>
        <v/>
      </c>
      <c r="Q508" s="170"/>
      <c r="R508" s="170"/>
      <c r="S508" s="170"/>
      <c r="T508" s="170"/>
      <c r="U508" s="170"/>
      <c r="V508" s="170"/>
      <c r="W508" s="170"/>
      <c r="X508" s="76"/>
      <c r="Y508" s="76"/>
      <c r="Z508" s="113" t="str">
        <f>IFERROR(ROUND('Informations générales'!$E$66*(AE508/SUM($AE$28:$AE$404))/12,0)*12,"")</f>
        <v/>
      </c>
      <c r="AA508" s="114"/>
      <c r="AB508" s="113" t="str">
        <f t="shared" si="99"/>
        <v/>
      </c>
      <c r="AC508" s="89"/>
      <c r="AD508" s="76"/>
      <c r="AE508" s="56">
        <f t="shared" si="111"/>
        <v>0</v>
      </c>
      <c r="AF508" s="56">
        <f t="shared" si="100"/>
        <v>0</v>
      </c>
      <c r="AG508" s="56">
        <f t="shared" si="101"/>
        <v>0</v>
      </c>
      <c r="AH508" s="56">
        <f t="shared" si="102"/>
        <v>0</v>
      </c>
      <c r="AI508" s="56">
        <f t="shared" si="103"/>
        <v>0</v>
      </c>
      <c r="AJ508" s="56">
        <f t="shared" si="104"/>
        <v>0</v>
      </c>
      <c r="AK508" s="56">
        <f t="shared" si="105"/>
        <v>0</v>
      </c>
      <c r="AL508" s="56">
        <f t="shared" si="106"/>
        <v>0</v>
      </c>
      <c r="AM508" s="56">
        <f t="shared" si="112"/>
        <v>0</v>
      </c>
      <c r="AN508" s="60">
        <f t="shared" si="107"/>
        <v>0</v>
      </c>
      <c r="AO508" s="59">
        <f t="shared" si="108"/>
        <v>0</v>
      </c>
      <c r="AP508" s="59">
        <f t="shared" si="109"/>
        <v>0</v>
      </c>
    </row>
    <row r="509" spans="3:42" s="17" customFormat="1" x14ac:dyDescent="0.25">
      <c r="C509" s="241" t="s">
        <v>213</v>
      </c>
      <c r="D509" s="242"/>
      <c r="E509" s="88"/>
      <c r="F509" s="217"/>
      <c r="G509" s="234"/>
      <c r="H509" s="218"/>
      <c r="I509" s="76"/>
      <c r="J509" s="77"/>
      <c r="K509" s="77"/>
      <c r="L509" s="76"/>
      <c r="M509" s="110"/>
      <c r="N509" s="152"/>
      <c r="O509" s="111" t="str">
        <f>IFERROR(MIN(VLOOKUP(ROUNDDOWN(N509,0),'Aide calcul'!$B$2:$C$282,2,FALSE),M509+1),"")</f>
        <v/>
      </c>
      <c r="P509" s="112" t="str">
        <f t="shared" si="110"/>
        <v/>
      </c>
      <c r="Q509" s="170"/>
      <c r="R509" s="170"/>
      <c r="S509" s="170"/>
      <c r="T509" s="170"/>
      <c r="U509" s="170"/>
      <c r="V509" s="170"/>
      <c r="W509" s="170"/>
      <c r="X509" s="76"/>
      <c r="Y509" s="76"/>
      <c r="Z509" s="113" t="str">
        <f>IFERROR(ROUND('Informations générales'!$E$66*(AE509/SUM($AE$28:$AE$404))/12,0)*12,"")</f>
        <v/>
      </c>
      <c r="AA509" s="114"/>
      <c r="AB509" s="113" t="str">
        <f t="shared" si="99"/>
        <v/>
      </c>
      <c r="AC509" s="89"/>
      <c r="AD509" s="76"/>
      <c r="AE509" s="56">
        <f t="shared" si="111"/>
        <v>0</v>
      </c>
      <c r="AF509" s="56">
        <f t="shared" si="100"/>
        <v>0</v>
      </c>
      <c r="AG509" s="56">
        <f t="shared" si="101"/>
        <v>0</v>
      </c>
      <c r="AH509" s="56">
        <f t="shared" si="102"/>
        <v>0</v>
      </c>
      <c r="AI509" s="56">
        <f t="shared" si="103"/>
        <v>0</v>
      </c>
      <c r="AJ509" s="56">
        <f t="shared" si="104"/>
        <v>0</v>
      </c>
      <c r="AK509" s="56">
        <f t="shared" si="105"/>
        <v>0</v>
      </c>
      <c r="AL509" s="56">
        <f t="shared" si="106"/>
        <v>0</v>
      </c>
      <c r="AM509" s="56">
        <f t="shared" si="112"/>
        <v>0</v>
      </c>
      <c r="AN509" s="60">
        <f t="shared" si="107"/>
        <v>0</v>
      </c>
      <c r="AO509" s="59">
        <f t="shared" si="108"/>
        <v>0</v>
      </c>
      <c r="AP509" s="59">
        <f t="shared" si="109"/>
        <v>0</v>
      </c>
    </row>
    <row r="510" spans="3:42" s="17" customFormat="1" x14ac:dyDescent="0.25">
      <c r="C510" s="241" t="s">
        <v>213</v>
      </c>
      <c r="D510" s="242"/>
      <c r="E510" s="88"/>
      <c r="F510" s="217"/>
      <c r="G510" s="234"/>
      <c r="H510" s="218"/>
      <c r="I510" s="76"/>
      <c r="J510" s="77"/>
      <c r="K510" s="77"/>
      <c r="L510" s="76"/>
      <c r="M510" s="110"/>
      <c r="N510" s="152"/>
      <c r="O510" s="111" t="str">
        <f>IFERROR(MIN(VLOOKUP(ROUNDDOWN(N510,0),'Aide calcul'!$B$2:$C$282,2,FALSE),M510+1),"")</f>
        <v/>
      </c>
      <c r="P510" s="112" t="str">
        <f t="shared" si="110"/>
        <v/>
      </c>
      <c r="Q510" s="170"/>
      <c r="R510" s="170"/>
      <c r="S510" s="170"/>
      <c r="T510" s="170"/>
      <c r="U510" s="170"/>
      <c r="V510" s="170"/>
      <c r="W510" s="170"/>
      <c r="X510" s="76"/>
      <c r="Y510" s="76"/>
      <c r="Z510" s="113" t="str">
        <f>IFERROR(ROUND('Informations générales'!$E$66*(AE510/SUM($AE$28:$AE$404))/12,0)*12,"")</f>
        <v/>
      </c>
      <c r="AA510" s="114"/>
      <c r="AB510" s="113" t="str">
        <f t="shared" si="99"/>
        <v/>
      </c>
      <c r="AC510" s="89"/>
      <c r="AD510" s="76"/>
      <c r="AE510" s="56">
        <f t="shared" si="111"/>
        <v>0</v>
      </c>
      <c r="AF510" s="56">
        <f t="shared" si="100"/>
        <v>0</v>
      </c>
      <c r="AG510" s="56">
        <f t="shared" si="101"/>
        <v>0</v>
      </c>
      <c r="AH510" s="56">
        <f t="shared" si="102"/>
        <v>0</v>
      </c>
      <c r="AI510" s="56">
        <f t="shared" si="103"/>
        <v>0</v>
      </c>
      <c r="AJ510" s="56">
        <f t="shared" si="104"/>
        <v>0</v>
      </c>
      <c r="AK510" s="56">
        <f t="shared" si="105"/>
        <v>0</v>
      </c>
      <c r="AL510" s="56">
        <f t="shared" si="106"/>
        <v>0</v>
      </c>
      <c r="AM510" s="56">
        <f t="shared" si="112"/>
        <v>0</v>
      </c>
      <c r="AN510" s="60">
        <f t="shared" si="107"/>
        <v>0</v>
      </c>
      <c r="AO510" s="59">
        <f t="shared" si="108"/>
        <v>0</v>
      </c>
      <c r="AP510" s="59">
        <f t="shared" si="109"/>
        <v>0</v>
      </c>
    </row>
    <row r="511" spans="3:42" s="17" customFormat="1" x14ac:dyDescent="0.25">
      <c r="C511" s="241" t="s">
        <v>213</v>
      </c>
      <c r="D511" s="242"/>
      <c r="E511" s="88"/>
      <c r="F511" s="217"/>
      <c r="G511" s="234"/>
      <c r="H511" s="218"/>
      <c r="I511" s="76"/>
      <c r="J511" s="77"/>
      <c r="K511" s="77"/>
      <c r="L511" s="76"/>
      <c r="M511" s="110"/>
      <c r="N511" s="152"/>
      <c r="O511" s="111" t="str">
        <f>IFERROR(MIN(VLOOKUP(ROUNDDOWN(N511,0),'Aide calcul'!$B$2:$C$282,2,FALSE),M511+1),"")</f>
        <v/>
      </c>
      <c r="P511" s="112" t="str">
        <f t="shared" ref="P511:P527" si="113">IFERROR(TRUNC(O511-0.5),"")</f>
        <v/>
      </c>
      <c r="Q511" s="170"/>
      <c r="R511" s="170"/>
      <c r="S511" s="170"/>
      <c r="T511" s="170"/>
      <c r="U511" s="170"/>
      <c r="V511" s="170"/>
      <c r="W511" s="170"/>
      <c r="X511" s="76"/>
      <c r="Y511" s="76"/>
      <c r="Z511" s="113" t="str">
        <f>IFERROR(ROUND('Informations générales'!$E$66*(AE511/SUM($AE$28:$AE$404))/12,0)*12,"")</f>
        <v/>
      </c>
      <c r="AA511" s="114"/>
      <c r="AB511" s="113" t="str">
        <f t="shared" si="99"/>
        <v/>
      </c>
      <c r="AC511" s="89"/>
      <c r="AD511" s="76"/>
      <c r="AE511" s="56">
        <f t="shared" ref="AE511:AE527" si="114">AM511*(SUM(1,AN511,AO511,AP511))</f>
        <v>0</v>
      </c>
      <c r="AF511" s="56">
        <f t="shared" si="100"/>
        <v>0</v>
      </c>
      <c r="AG511" s="56">
        <f t="shared" si="101"/>
        <v>0</v>
      </c>
      <c r="AH511" s="56">
        <f t="shared" si="102"/>
        <v>0</v>
      </c>
      <c r="AI511" s="56">
        <f t="shared" si="103"/>
        <v>0</v>
      </c>
      <c r="AJ511" s="56">
        <f t="shared" si="104"/>
        <v>0</v>
      </c>
      <c r="AK511" s="56">
        <f t="shared" si="105"/>
        <v>0</v>
      </c>
      <c r="AL511" s="56">
        <f t="shared" si="106"/>
        <v>0</v>
      </c>
      <c r="AM511" s="56">
        <f t="shared" ref="AM511:AM527" si="115">SUM(AF511:AL511)</f>
        <v>0</v>
      </c>
      <c r="AN511" s="60">
        <f t="shared" si="107"/>
        <v>0</v>
      </c>
      <c r="AO511" s="59">
        <f t="shared" ref="AO511:AO527" si="116">IFERROR(VLOOKUP(X511,$H$12:$I$22,2,FALSE),0)</f>
        <v>0</v>
      </c>
      <c r="AP511" s="59">
        <f t="shared" si="109"/>
        <v>0</v>
      </c>
    </row>
    <row r="512" spans="3:42" s="17" customFormat="1" x14ac:dyDescent="0.25">
      <c r="C512" s="241" t="s">
        <v>213</v>
      </c>
      <c r="D512" s="242"/>
      <c r="E512" s="88"/>
      <c r="F512" s="217"/>
      <c r="G512" s="234"/>
      <c r="H512" s="218"/>
      <c r="I512" s="76"/>
      <c r="J512" s="77"/>
      <c r="K512" s="77"/>
      <c r="L512" s="76"/>
      <c r="M512" s="110"/>
      <c r="N512" s="152"/>
      <c r="O512" s="111" t="str">
        <f>IFERROR(MIN(VLOOKUP(ROUNDDOWN(N512,0),'Aide calcul'!$B$2:$C$282,2,FALSE),M512+1),"")</f>
        <v/>
      </c>
      <c r="P512" s="112" t="str">
        <f t="shared" si="113"/>
        <v/>
      </c>
      <c r="Q512" s="170"/>
      <c r="R512" s="170"/>
      <c r="S512" s="170"/>
      <c r="T512" s="170"/>
      <c r="U512" s="170"/>
      <c r="V512" s="170"/>
      <c r="W512" s="170"/>
      <c r="X512" s="76"/>
      <c r="Y512" s="76"/>
      <c r="Z512" s="113" t="str">
        <f>IFERROR(ROUND('Informations générales'!$E$66*(AE512/SUM($AE$28:$AE$404))/12,0)*12,"")</f>
        <v/>
      </c>
      <c r="AA512" s="114"/>
      <c r="AB512" s="113" t="str">
        <f t="shared" si="99"/>
        <v/>
      </c>
      <c r="AC512" s="89"/>
      <c r="AD512" s="76"/>
      <c r="AE512" s="56">
        <f t="shared" si="114"/>
        <v>0</v>
      </c>
      <c r="AF512" s="56">
        <f t="shared" si="100"/>
        <v>0</v>
      </c>
      <c r="AG512" s="56">
        <f t="shared" si="101"/>
        <v>0</v>
      </c>
      <c r="AH512" s="56">
        <f t="shared" si="102"/>
        <v>0</v>
      </c>
      <c r="AI512" s="56">
        <f t="shared" si="103"/>
        <v>0</v>
      </c>
      <c r="AJ512" s="56">
        <f t="shared" si="104"/>
        <v>0</v>
      </c>
      <c r="AK512" s="56">
        <f t="shared" si="105"/>
        <v>0</v>
      </c>
      <c r="AL512" s="56">
        <f t="shared" si="106"/>
        <v>0</v>
      </c>
      <c r="AM512" s="56">
        <f t="shared" si="115"/>
        <v>0</v>
      </c>
      <c r="AN512" s="60">
        <f t="shared" si="107"/>
        <v>0</v>
      </c>
      <c r="AO512" s="59">
        <f t="shared" si="116"/>
        <v>0</v>
      </c>
      <c r="AP512" s="59">
        <f t="shared" si="109"/>
        <v>0</v>
      </c>
    </row>
    <row r="513" spans="3:42" s="17" customFormat="1" x14ac:dyDescent="0.25">
      <c r="C513" s="241" t="s">
        <v>213</v>
      </c>
      <c r="D513" s="242"/>
      <c r="E513" s="88"/>
      <c r="F513" s="217"/>
      <c r="G513" s="234"/>
      <c r="H513" s="218"/>
      <c r="I513" s="76"/>
      <c r="J513" s="77"/>
      <c r="K513" s="77"/>
      <c r="L513" s="76"/>
      <c r="M513" s="110"/>
      <c r="N513" s="152"/>
      <c r="O513" s="111" t="str">
        <f>IFERROR(MIN(VLOOKUP(ROUNDDOWN(N513,0),'Aide calcul'!$B$2:$C$282,2,FALSE),M513+1),"")</f>
        <v/>
      </c>
      <c r="P513" s="112" t="str">
        <f t="shared" si="113"/>
        <v/>
      </c>
      <c r="Q513" s="170"/>
      <c r="R513" s="170"/>
      <c r="S513" s="170"/>
      <c r="T513" s="170"/>
      <c r="U513" s="170"/>
      <c r="V513" s="170"/>
      <c r="W513" s="170"/>
      <c r="X513" s="76"/>
      <c r="Y513" s="76"/>
      <c r="Z513" s="113" t="str">
        <f>IFERROR(ROUND('Informations générales'!$E$66*(AE513/SUM($AE$28:$AE$404))/12,0)*12,"")</f>
        <v/>
      </c>
      <c r="AA513" s="114"/>
      <c r="AB513" s="113" t="str">
        <f t="shared" si="99"/>
        <v/>
      </c>
      <c r="AC513" s="89"/>
      <c r="AD513" s="76"/>
      <c r="AE513" s="56">
        <f t="shared" si="114"/>
        <v>0</v>
      </c>
      <c r="AF513" s="56">
        <f t="shared" si="100"/>
        <v>0</v>
      </c>
      <c r="AG513" s="56">
        <f t="shared" si="101"/>
        <v>0</v>
      </c>
      <c r="AH513" s="56">
        <f t="shared" si="102"/>
        <v>0</v>
      </c>
      <c r="AI513" s="56">
        <f t="shared" si="103"/>
        <v>0</v>
      </c>
      <c r="AJ513" s="56">
        <f t="shared" si="104"/>
        <v>0</v>
      </c>
      <c r="AK513" s="56">
        <f t="shared" si="105"/>
        <v>0</v>
      </c>
      <c r="AL513" s="56">
        <f t="shared" si="106"/>
        <v>0</v>
      </c>
      <c r="AM513" s="56">
        <f t="shared" si="115"/>
        <v>0</v>
      </c>
      <c r="AN513" s="60">
        <f t="shared" si="107"/>
        <v>0</v>
      </c>
      <c r="AO513" s="59">
        <f t="shared" si="116"/>
        <v>0</v>
      </c>
      <c r="AP513" s="59">
        <f t="shared" si="109"/>
        <v>0</v>
      </c>
    </row>
    <row r="514" spans="3:42" s="17" customFormat="1" x14ac:dyDescent="0.25">
      <c r="C514" s="241" t="s">
        <v>213</v>
      </c>
      <c r="D514" s="242"/>
      <c r="E514" s="88"/>
      <c r="F514" s="217"/>
      <c r="G514" s="234"/>
      <c r="H514" s="218"/>
      <c r="I514" s="76"/>
      <c r="J514" s="77"/>
      <c r="K514" s="77"/>
      <c r="L514" s="76"/>
      <c r="M514" s="110"/>
      <c r="N514" s="152"/>
      <c r="O514" s="111" t="str">
        <f>IFERROR(MIN(VLOOKUP(ROUNDDOWN(N514,0),'Aide calcul'!$B$2:$C$282,2,FALSE),M514+1),"")</f>
        <v/>
      </c>
      <c r="P514" s="112" t="str">
        <f t="shared" si="113"/>
        <v/>
      </c>
      <c r="Q514" s="170"/>
      <c r="R514" s="170"/>
      <c r="S514" s="170"/>
      <c r="T514" s="170"/>
      <c r="U514" s="170"/>
      <c r="V514" s="170"/>
      <c r="W514" s="170"/>
      <c r="X514" s="76"/>
      <c r="Y514" s="76"/>
      <c r="Z514" s="113" t="str">
        <f>IFERROR(ROUND('Informations générales'!$E$66*(AE514/SUM($AE$28:$AE$404))/12,0)*12,"")</f>
        <v/>
      </c>
      <c r="AA514" s="114"/>
      <c r="AB514" s="113" t="str">
        <f t="shared" si="99"/>
        <v/>
      </c>
      <c r="AC514" s="89"/>
      <c r="AD514" s="76"/>
      <c r="AE514" s="56">
        <f t="shared" si="114"/>
        <v>0</v>
      </c>
      <c r="AF514" s="56">
        <f t="shared" si="100"/>
        <v>0</v>
      </c>
      <c r="AG514" s="56">
        <f t="shared" si="101"/>
        <v>0</v>
      </c>
      <c r="AH514" s="56">
        <f t="shared" si="102"/>
        <v>0</v>
      </c>
      <c r="AI514" s="56">
        <f t="shared" si="103"/>
        <v>0</v>
      </c>
      <c r="AJ514" s="56">
        <f t="shared" si="104"/>
        <v>0</v>
      </c>
      <c r="AK514" s="56">
        <f t="shared" si="105"/>
        <v>0</v>
      </c>
      <c r="AL514" s="56">
        <f t="shared" si="106"/>
        <v>0</v>
      </c>
      <c r="AM514" s="56">
        <f t="shared" si="115"/>
        <v>0</v>
      </c>
      <c r="AN514" s="60">
        <f t="shared" si="107"/>
        <v>0</v>
      </c>
      <c r="AO514" s="59">
        <f t="shared" si="116"/>
        <v>0</v>
      </c>
      <c r="AP514" s="59">
        <f t="shared" si="109"/>
        <v>0</v>
      </c>
    </row>
    <row r="515" spans="3:42" s="17" customFormat="1" x14ac:dyDescent="0.25">
      <c r="C515" s="241" t="s">
        <v>213</v>
      </c>
      <c r="D515" s="242"/>
      <c r="E515" s="88"/>
      <c r="F515" s="217"/>
      <c r="G515" s="234"/>
      <c r="H515" s="218"/>
      <c r="I515" s="76"/>
      <c r="J515" s="77"/>
      <c r="K515" s="77"/>
      <c r="L515" s="76"/>
      <c r="M515" s="110"/>
      <c r="N515" s="152"/>
      <c r="O515" s="111" t="str">
        <f>IFERROR(MIN(VLOOKUP(ROUNDDOWN(N515,0),'Aide calcul'!$B$2:$C$282,2,FALSE),M515+1),"")</f>
        <v/>
      </c>
      <c r="P515" s="112" t="str">
        <f t="shared" si="113"/>
        <v/>
      </c>
      <c r="Q515" s="170"/>
      <c r="R515" s="170"/>
      <c r="S515" s="170"/>
      <c r="T515" s="170"/>
      <c r="U515" s="170"/>
      <c r="V515" s="170"/>
      <c r="W515" s="170"/>
      <c r="X515" s="76"/>
      <c r="Y515" s="76"/>
      <c r="Z515" s="113" t="str">
        <f>IFERROR(ROUND('Informations générales'!$E$66*(AE515/SUM($AE$28:$AE$404))/12,0)*12,"")</f>
        <v/>
      </c>
      <c r="AA515" s="114"/>
      <c r="AB515" s="113" t="str">
        <f t="shared" si="99"/>
        <v/>
      </c>
      <c r="AC515" s="89"/>
      <c r="AD515" s="76"/>
      <c r="AE515" s="56">
        <f t="shared" si="114"/>
        <v>0</v>
      </c>
      <c r="AF515" s="56">
        <f t="shared" si="100"/>
        <v>0</v>
      </c>
      <c r="AG515" s="56">
        <f t="shared" si="101"/>
        <v>0</v>
      </c>
      <c r="AH515" s="56">
        <f t="shared" si="102"/>
        <v>0</v>
      </c>
      <c r="AI515" s="56">
        <f t="shared" si="103"/>
        <v>0</v>
      </c>
      <c r="AJ515" s="56">
        <f t="shared" si="104"/>
        <v>0</v>
      </c>
      <c r="AK515" s="56">
        <f t="shared" si="105"/>
        <v>0</v>
      </c>
      <c r="AL515" s="56">
        <f t="shared" si="106"/>
        <v>0</v>
      </c>
      <c r="AM515" s="56">
        <f t="shared" si="115"/>
        <v>0</v>
      </c>
      <c r="AN515" s="60">
        <f t="shared" si="107"/>
        <v>0</v>
      </c>
      <c r="AO515" s="59">
        <f t="shared" si="116"/>
        <v>0</v>
      </c>
      <c r="AP515" s="59">
        <f t="shared" si="109"/>
        <v>0</v>
      </c>
    </row>
    <row r="516" spans="3:42" s="17" customFormat="1" x14ac:dyDescent="0.25">
      <c r="C516" s="241" t="s">
        <v>213</v>
      </c>
      <c r="D516" s="242"/>
      <c r="E516" s="88"/>
      <c r="F516" s="217"/>
      <c r="G516" s="234"/>
      <c r="H516" s="218"/>
      <c r="I516" s="76"/>
      <c r="J516" s="77"/>
      <c r="K516" s="77"/>
      <c r="L516" s="76"/>
      <c r="M516" s="110"/>
      <c r="N516" s="152"/>
      <c r="O516" s="111" t="str">
        <f>IFERROR(MIN(VLOOKUP(ROUNDDOWN(N516,0),'Aide calcul'!$B$2:$C$282,2,FALSE),M516+1),"")</f>
        <v/>
      </c>
      <c r="P516" s="112" t="str">
        <f t="shared" si="113"/>
        <v/>
      </c>
      <c r="Q516" s="170"/>
      <c r="R516" s="170"/>
      <c r="S516" s="170"/>
      <c r="T516" s="170"/>
      <c r="U516" s="170"/>
      <c r="V516" s="170"/>
      <c r="W516" s="170"/>
      <c r="X516" s="76"/>
      <c r="Y516" s="76"/>
      <c r="Z516" s="113" t="str">
        <f>IFERROR(ROUND('Informations générales'!$E$66*(AE516/SUM($AE$28:$AE$404))/12,0)*12,"")</f>
        <v/>
      </c>
      <c r="AA516" s="114"/>
      <c r="AB516" s="113" t="str">
        <f t="shared" si="99"/>
        <v/>
      </c>
      <c r="AC516" s="89"/>
      <c r="AD516" s="76"/>
      <c r="AE516" s="56">
        <f t="shared" si="114"/>
        <v>0</v>
      </c>
      <c r="AF516" s="56">
        <f t="shared" si="100"/>
        <v>0</v>
      </c>
      <c r="AG516" s="56">
        <f t="shared" si="101"/>
        <v>0</v>
      </c>
      <c r="AH516" s="56">
        <f t="shared" si="102"/>
        <v>0</v>
      </c>
      <c r="AI516" s="56">
        <f t="shared" si="103"/>
        <v>0</v>
      </c>
      <c r="AJ516" s="56">
        <f t="shared" si="104"/>
        <v>0</v>
      </c>
      <c r="AK516" s="56">
        <f t="shared" si="105"/>
        <v>0</v>
      </c>
      <c r="AL516" s="56">
        <f t="shared" si="106"/>
        <v>0</v>
      </c>
      <c r="AM516" s="56">
        <f t="shared" si="115"/>
        <v>0</v>
      </c>
      <c r="AN516" s="60">
        <f t="shared" si="107"/>
        <v>0</v>
      </c>
      <c r="AO516" s="59">
        <f t="shared" si="116"/>
        <v>0</v>
      </c>
      <c r="AP516" s="59">
        <f t="shared" si="109"/>
        <v>0</v>
      </c>
    </row>
    <row r="517" spans="3:42" s="17" customFormat="1" x14ac:dyDescent="0.25">
      <c r="C517" s="241" t="s">
        <v>213</v>
      </c>
      <c r="D517" s="242"/>
      <c r="E517" s="88"/>
      <c r="F517" s="217"/>
      <c r="G517" s="234"/>
      <c r="H517" s="218"/>
      <c r="I517" s="76"/>
      <c r="J517" s="77"/>
      <c r="K517" s="77"/>
      <c r="L517" s="76"/>
      <c r="M517" s="110"/>
      <c r="N517" s="152"/>
      <c r="O517" s="111" t="str">
        <f>IFERROR(MIN(VLOOKUP(ROUNDDOWN(N517,0),'Aide calcul'!$B$2:$C$282,2,FALSE),M517+1),"")</f>
        <v/>
      </c>
      <c r="P517" s="112" t="str">
        <f t="shared" si="113"/>
        <v/>
      </c>
      <c r="Q517" s="170"/>
      <c r="R517" s="170"/>
      <c r="S517" s="170"/>
      <c r="T517" s="170"/>
      <c r="U517" s="170"/>
      <c r="V517" s="170"/>
      <c r="W517" s="170"/>
      <c r="X517" s="76"/>
      <c r="Y517" s="76"/>
      <c r="Z517" s="113" t="str">
        <f>IFERROR(ROUND('Informations générales'!$E$66*(AE517/SUM($AE$28:$AE$404))/12,0)*12,"")</f>
        <v/>
      </c>
      <c r="AA517" s="114"/>
      <c r="AB517" s="113" t="str">
        <f t="shared" si="99"/>
        <v/>
      </c>
      <c r="AC517" s="89"/>
      <c r="AD517" s="76"/>
      <c r="AE517" s="56">
        <f t="shared" si="114"/>
        <v>0</v>
      </c>
      <c r="AF517" s="56">
        <f t="shared" si="100"/>
        <v>0</v>
      </c>
      <c r="AG517" s="56">
        <f t="shared" si="101"/>
        <v>0</v>
      </c>
      <c r="AH517" s="56">
        <f t="shared" si="102"/>
        <v>0</v>
      </c>
      <c r="AI517" s="56">
        <f t="shared" si="103"/>
        <v>0</v>
      </c>
      <c r="AJ517" s="56">
        <f t="shared" si="104"/>
        <v>0</v>
      </c>
      <c r="AK517" s="56">
        <f t="shared" si="105"/>
        <v>0</v>
      </c>
      <c r="AL517" s="56">
        <f t="shared" si="106"/>
        <v>0</v>
      </c>
      <c r="AM517" s="56">
        <f t="shared" si="115"/>
        <v>0</v>
      </c>
      <c r="AN517" s="60">
        <f t="shared" si="107"/>
        <v>0</v>
      </c>
      <c r="AO517" s="59">
        <f t="shared" si="116"/>
        <v>0</v>
      </c>
      <c r="AP517" s="59">
        <f t="shared" si="109"/>
        <v>0</v>
      </c>
    </row>
    <row r="518" spans="3:42" s="17" customFormat="1" x14ac:dyDescent="0.25">
      <c r="C518" s="241" t="s">
        <v>213</v>
      </c>
      <c r="D518" s="242"/>
      <c r="E518" s="88"/>
      <c r="F518" s="217"/>
      <c r="G518" s="234"/>
      <c r="H518" s="218"/>
      <c r="I518" s="76"/>
      <c r="J518" s="77"/>
      <c r="K518" s="77"/>
      <c r="L518" s="76"/>
      <c r="M518" s="110"/>
      <c r="N518" s="152"/>
      <c r="O518" s="111" t="str">
        <f>IFERROR(MIN(VLOOKUP(ROUNDDOWN(N518,0),'Aide calcul'!$B$2:$C$282,2,FALSE),M518+1),"")</f>
        <v/>
      </c>
      <c r="P518" s="112" t="str">
        <f t="shared" si="113"/>
        <v/>
      </c>
      <c r="Q518" s="170"/>
      <c r="R518" s="170"/>
      <c r="S518" s="170"/>
      <c r="T518" s="170"/>
      <c r="U518" s="170"/>
      <c r="V518" s="170"/>
      <c r="W518" s="170"/>
      <c r="X518" s="76"/>
      <c r="Y518" s="76"/>
      <c r="Z518" s="113" t="str">
        <f>IFERROR(ROUND('Informations générales'!$E$66*(AE518/SUM($AE$28:$AE$404))/12,0)*12,"")</f>
        <v/>
      </c>
      <c r="AA518" s="114"/>
      <c r="AB518" s="113" t="str">
        <f t="shared" si="99"/>
        <v/>
      </c>
      <c r="AC518" s="89"/>
      <c r="AD518" s="76"/>
      <c r="AE518" s="56">
        <f t="shared" si="114"/>
        <v>0</v>
      </c>
      <c r="AF518" s="56">
        <f t="shared" si="100"/>
        <v>0</v>
      </c>
      <c r="AG518" s="56">
        <f t="shared" si="101"/>
        <v>0</v>
      </c>
      <c r="AH518" s="56">
        <f t="shared" si="102"/>
        <v>0</v>
      </c>
      <c r="AI518" s="56">
        <f t="shared" si="103"/>
        <v>0</v>
      </c>
      <c r="AJ518" s="56">
        <f t="shared" si="104"/>
        <v>0</v>
      </c>
      <c r="AK518" s="56">
        <f t="shared" si="105"/>
        <v>0</v>
      </c>
      <c r="AL518" s="56">
        <f t="shared" si="106"/>
        <v>0</v>
      </c>
      <c r="AM518" s="56">
        <f t="shared" si="115"/>
        <v>0</v>
      </c>
      <c r="AN518" s="60">
        <f t="shared" si="107"/>
        <v>0</v>
      </c>
      <c r="AO518" s="59">
        <f t="shared" si="116"/>
        <v>0</v>
      </c>
      <c r="AP518" s="59">
        <f t="shared" si="109"/>
        <v>0</v>
      </c>
    </row>
    <row r="519" spans="3:42" s="17" customFormat="1" x14ac:dyDescent="0.25">
      <c r="C519" s="241" t="s">
        <v>213</v>
      </c>
      <c r="D519" s="242"/>
      <c r="E519" s="88"/>
      <c r="F519" s="217"/>
      <c r="G519" s="234"/>
      <c r="H519" s="218"/>
      <c r="I519" s="76"/>
      <c r="J519" s="77"/>
      <c r="K519" s="77"/>
      <c r="L519" s="76"/>
      <c r="M519" s="110"/>
      <c r="N519" s="152"/>
      <c r="O519" s="111" t="str">
        <f>IFERROR(MIN(VLOOKUP(ROUNDDOWN(N519,0),'Aide calcul'!$B$2:$C$282,2,FALSE),M519+1),"")</f>
        <v/>
      </c>
      <c r="P519" s="112" t="str">
        <f t="shared" si="113"/>
        <v/>
      </c>
      <c r="Q519" s="170"/>
      <c r="R519" s="170"/>
      <c r="S519" s="170"/>
      <c r="T519" s="170"/>
      <c r="U519" s="170"/>
      <c r="V519" s="170"/>
      <c r="W519" s="170"/>
      <c r="X519" s="76"/>
      <c r="Y519" s="76"/>
      <c r="Z519" s="113" t="str">
        <f>IFERROR(ROUND('Informations générales'!$E$66*(AE519/SUM($AE$28:$AE$404))/12,0)*12,"")</f>
        <v/>
      </c>
      <c r="AA519" s="114"/>
      <c r="AB519" s="113" t="str">
        <f t="shared" si="99"/>
        <v/>
      </c>
      <c r="AC519" s="89"/>
      <c r="AD519" s="76"/>
      <c r="AE519" s="56">
        <f t="shared" si="114"/>
        <v>0</v>
      </c>
      <c r="AF519" s="56">
        <f t="shared" si="100"/>
        <v>0</v>
      </c>
      <c r="AG519" s="56">
        <f t="shared" si="101"/>
        <v>0</v>
      </c>
      <c r="AH519" s="56">
        <f t="shared" si="102"/>
        <v>0</v>
      </c>
      <c r="AI519" s="56">
        <f t="shared" si="103"/>
        <v>0</v>
      </c>
      <c r="AJ519" s="56">
        <f t="shared" si="104"/>
        <v>0</v>
      </c>
      <c r="AK519" s="56">
        <f t="shared" si="105"/>
        <v>0</v>
      </c>
      <c r="AL519" s="56">
        <f t="shared" si="106"/>
        <v>0</v>
      </c>
      <c r="AM519" s="56">
        <f t="shared" si="115"/>
        <v>0</v>
      </c>
      <c r="AN519" s="60">
        <f t="shared" si="107"/>
        <v>0</v>
      </c>
      <c r="AO519" s="59">
        <f t="shared" si="116"/>
        <v>0</v>
      </c>
      <c r="AP519" s="59">
        <f t="shared" si="109"/>
        <v>0</v>
      </c>
    </row>
    <row r="520" spans="3:42" s="17" customFormat="1" x14ac:dyDescent="0.25">
      <c r="C520" s="241" t="s">
        <v>213</v>
      </c>
      <c r="D520" s="242"/>
      <c r="E520" s="88"/>
      <c r="F520" s="217"/>
      <c r="G520" s="234"/>
      <c r="H520" s="218"/>
      <c r="I520" s="76"/>
      <c r="J520" s="77"/>
      <c r="K520" s="77"/>
      <c r="L520" s="76"/>
      <c r="M520" s="110"/>
      <c r="N520" s="152"/>
      <c r="O520" s="111" t="str">
        <f>IFERROR(MIN(VLOOKUP(ROUNDDOWN(N520,0),'Aide calcul'!$B$2:$C$282,2,FALSE),M520+1),"")</f>
        <v/>
      </c>
      <c r="P520" s="112" t="str">
        <f t="shared" si="113"/>
        <v/>
      </c>
      <c r="Q520" s="170"/>
      <c r="R520" s="170"/>
      <c r="S520" s="170"/>
      <c r="T520" s="170"/>
      <c r="U520" s="170"/>
      <c r="V520" s="170"/>
      <c r="W520" s="170"/>
      <c r="X520" s="76"/>
      <c r="Y520" s="76"/>
      <c r="Z520" s="113" t="str">
        <f>IFERROR(ROUND('Informations générales'!$E$66*(AE520/SUM($AE$28:$AE$404))/12,0)*12,"")</f>
        <v/>
      </c>
      <c r="AA520" s="114"/>
      <c r="AB520" s="113" t="str">
        <f t="shared" si="99"/>
        <v/>
      </c>
      <c r="AC520" s="89"/>
      <c r="AD520" s="76"/>
      <c r="AE520" s="56">
        <f t="shared" si="114"/>
        <v>0</v>
      </c>
      <c r="AF520" s="56">
        <f t="shared" si="100"/>
        <v>0</v>
      </c>
      <c r="AG520" s="56">
        <f t="shared" si="101"/>
        <v>0</v>
      </c>
      <c r="AH520" s="56">
        <f t="shared" si="102"/>
        <v>0</v>
      </c>
      <c r="AI520" s="56">
        <f t="shared" si="103"/>
        <v>0</v>
      </c>
      <c r="AJ520" s="56">
        <f t="shared" si="104"/>
        <v>0</v>
      </c>
      <c r="AK520" s="56">
        <f t="shared" si="105"/>
        <v>0</v>
      </c>
      <c r="AL520" s="56">
        <f t="shared" si="106"/>
        <v>0</v>
      </c>
      <c r="AM520" s="56">
        <f t="shared" si="115"/>
        <v>0</v>
      </c>
      <c r="AN520" s="60">
        <f t="shared" si="107"/>
        <v>0</v>
      </c>
      <c r="AO520" s="59">
        <f t="shared" si="116"/>
        <v>0</v>
      </c>
      <c r="AP520" s="59">
        <f t="shared" si="109"/>
        <v>0</v>
      </c>
    </row>
    <row r="521" spans="3:42" s="17" customFormat="1" x14ac:dyDescent="0.25">
      <c r="C521" s="241" t="s">
        <v>213</v>
      </c>
      <c r="D521" s="242"/>
      <c r="E521" s="88"/>
      <c r="F521" s="217"/>
      <c r="G521" s="234"/>
      <c r="H521" s="218"/>
      <c r="I521" s="76"/>
      <c r="J521" s="77"/>
      <c r="K521" s="77"/>
      <c r="L521" s="76"/>
      <c r="M521" s="110"/>
      <c r="N521" s="152"/>
      <c r="O521" s="111" t="str">
        <f>IFERROR(MIN(VLOOKUP(ROUNDDOWN(N521,0),'Aide calcul'!$B$2:$C$282,2,FALSE),M521+1),"")</f>
        <v/>
      </c>
      <c r="P521" s="112" t="str">
        <f t="shared" si="113"/>
        <v/>
      </c>
      <c r="Q521" s="170"/>
      <c r="R521" s="170"/>
      <c r="S521" s="170"/>
      <c r="T521" s="170"/>
      <c r="U521" s="170"/>
      <c r="V521" s="170"/>
      <c r="W521" s="170"/>
      <c r="X521" s="76"/>
      <c r="Y521" s="76"/>
      <c r="Z521" s="113" t="str">
        <f>IFERROR(ROUND('Informations générales'!$E$66*(AE521/SUM($AE$28:$AE$404))/12,0)*12,"")</f>
        <v/>
      </c>
      <c r="AA521" s="114"/>
      <c r="AB521" s="113" t="str">
        <f t="shared" si="99"/>
        <v/>
      </c>
      <c r="AC521" s="89"/>
      <c r="AD521" s="76"/>
      <c r="AE521" s="56">
        <f t="shared" si="114"/>
        <v>0</v>
      </c>
      <c r="AF521" s="56">
        <f t="shared" si="100"/>
        <v>0</v>
      </c>
      <c r="AG521" s="56">
        <f t="shared" si="101"/>
        <v>0</v>
      </c>
      <c r="AH521" s="56">
        <f t="shared" si="102"/>
        <v>0</v>
      </c>
      <c r="AI521" s="56">
        <f t="shared" si="103"/>
        <v>0</v>
      </c>
      <c r="AJ521" s="56">
        <f t="shared" si="104"/>
        <v>0</v>
      </c>
      <c r="AK521" s="56">
        <f t="shared" si="105"/>
        <v>0</v>
      </c>
      <c r="AL521" s="56">
        <f t="shared" si="106"/>
        <v>0</v>
      </c>
      <c r="AM521" s="56">
        <f t="shared" si="115"/>
        <v>0</v>
      </c>
      <c r="AN521" s="60">
        <f t="shared" si="107"/>
        <v>0</v>
      </c>
      <c r="AO521" s="59">
        <f t="shared" si="116"/>
        <v>0</v>
      </c>
      <c r="AP521" s="59">
        <f t="shared" si="109"/>
        <v>0</v>
      </c>
    </row>
    <row r="522" spans="3:42" s="17" customFormat="1" x14ac:dyDescent="0.25">
      <c r="C522" s="241" t="s">
        <v>213</v>
      </c>
      <c r="D522" s="242"/>
      <c r="E522" s="88"/>
      <c r="F522" s="217"/>
      <c r="G522" s="234"/>
      <c r="H522" s="218"/>
      <c r="I522" s="76"/>
      <c r="J522" s="77"/>
      <c r="K522" s="77"/>
      <c r="L522" s="76"/>
      <c r="M522" s="110"/>
      <c r="N522" s="152"/>
      <c r="O522" s="111" t="str">
        <f>IFERROR(MIN(VLOOKUP(ROUNDDOWN(N522,0),'Aide calcul'!$B$2:$C$282,2,FALSE),M522+1),"")</f>
        <v/>
      </c>
      <c r="P522" s="112" t="str">
        <f t="shared" si="113"/>
        <v/>
      </c>
      <c r="Q522" s="170"/>
      <c r="R522" s="170"/>
      <c r="S522" s="170"/>
      <c r="T522" s="170"/>
      <c r="U522" s="170"/>
      <c r="V522" s="170"/>
      <c r="W522" s="170"/>
      <c r="X522" s="76"/>
      <c r="Y522" s="76"/>
      <c r="Z522" s="113" t="str">
        <f>IFERROR(ROUND('Informations générales'!$E$66*(AE522/SUM($AE$28:$AE$404))/12,0)*12,"")</f>
        <v/>
      </c>
      <c r="AA522" s="114"/>
      <c r="AB522" s="113" t="str">
        <f t="shared" si="99"/>
        <v/>
      </c>
      <c r="AC522" s="89"/>
      <c r="AD522" s="76"/>
      <c r="AE522" s="56">
        <f t="shared" si="114"/>
        <v>0</v>
      </c>
      <c r="AF522" s="56">
        <f t="shared" si="100"/>
        <v>0</v>
      </c>
      <c r="AG522" s="56">
        <f t="shared" si="101"/>
        <v>0</v>
      </c>
      <c r="AH522" s="56">
        <f t="shared" si="102"/>
        <v>0</v>
      </c>
      <c r="AI522" s="56">
        <f t="shared" si="103"/>
        <v>0</v>
      </c>
      <c r="AJ522" s="56">
        <f t="shared" si="104"/>
        <v>0</v>
      </c>
      <c r="AK522" s="56">
        <f t="shared" si="105"/>
        <v>0</v>
      </c>
      <c r="AL522" s="56">
        <f t="shared" si="106"/>
        <v>0</v>
      </c>
      <c r="AM522" s="56">
        <f t="shared" si="115"/>
        <v>0</v>
      </c>
      <c r="AN522" s="60">
        <f t="shared" si="107"/>
        <v>0</v>
      </c>
      <c r="AO522" s="59">
        <f t="shared" si="116"/>
        <v>0</v>
      </c>
      <c r="AP522" s="59">
        <f t="shared" si="109"/>
        <v>0</v>
      </c>
    </row>
    <row r="523" spans="3:42" s="17" customFormat="1" x14ac:dyDescent="0.25">
      <c r="C523" s="241" t="s">
        <v>213</v>
      </c>
      <c r="D523" s="242"/>
      <c r="E523" s="88"/>
      <c r="F523" s="217"/>
      <c r="G523" s="234"/>
      <c r="H523" s="218"/>
      <c r="I523" s="76"/>
      <c r="J523" s="77"/>
      <c r="K523" s="77"/>
      <c r="L523" s="76"/>
      <c r="M523" s="110"/>
      <c r="N523" s="152"/>
      <c r="O523" s="111" t="str">
        <f>IFERROR(MIN(VLOOKUP(ROUNDDOWN(N523,0),'Aide calcul'!$B$2:$C$282,2,FALSE),M523+1),"")</f>
        <v/>
      </c>
      <c r="P523" s="112" t="str">
        <f t="shared" si="113"/>
        <v/>
      </c>
      <c r="Q523" s="170"/>
      <c r="R523" s="170"/>
      <c r="S523" s="170"/>
      <c r="T523" s="170"/>
      <c r="U523" s="170"/>
      <c r="V523" s="170"/>
      <c r="W523" s="170"/>
      <c r="X523" s="76"/>
      <c r="Y523" s="76"/>
      <c r="Z523" s="113" t="str">
        <f>IFERROR(ROUND('Informations générales'!$E$66*(AE523/SUM($AE$28:$AE$404))/12,0)*12,"")</f>
        <v/>
      </c>
      <c r="AA523" s="114"/>
      <c r="AB523" s="113" t="str">
        <f t="shared" si="99"/>
        <v/>
      </c>
      <c r="AC523" s="89"/>
      <c r="AD523" s="76"/>
      <c r="AE523" s="56">
        <f t="shared" si="114"/>
        <v>0</v>
      </c>
      <c r="AF523" s="56">
        <f t="shared" si="100"/>
        <v>0</v>
      </c>
      <c r="AG523" s="56">
        <f t="shared" si="101"/>
        <v>0</v>
      </c>
      <c r="AH523" s="56">
        <f t="shared" si="102"/>
        <v>0</v>
      </c>
      <c r="AI523" s="56">
        <f t="shared" si="103"/>
        <v>0</v>
      </c>
      <c r="AJ523" s="56">
        <f t="shared" si="104"/>
        <v>0</v>
      </c>
      <c r="AK523" s="56">
        <f t="shared" si="105"/>
        <v>0</v>
      </c>
      <c r="AL523" s="56">
        <f t="shared" si="106"/>
        <v>0</v>
      </c>
      <c r="AM523" s="56">
        <f t="shared" si="115"/>
        <v>0</v>
      </c>
      <c r="AN523" s="60">
        <f t="shared" si="107"/>
        <v>0</v>
      </c>
      <c r="AO523" s="59">
        <f t="shared" si="116"/>
        <v>0</v>
      </c>
      <c r="AP523" s="59">
        <f t="shared" si="109"/>
        <v>0</v>
      </c>
    </row>
    <row r="524" spans="3:42" s="17" customFormat="1" x14ac:dyDescent="0.25">
      <c r="C524" s="241" t="s">
        <v>213</v>
      </c>
      <c r="D524" s="242"/>
      <c r="E524" s="88"/>
      <c r="F524" s="217"/>
      <c r="G524" s="234"/>
      <c r="H524" s="218"/>
      <c r="I524" s="76"/>
      <c r="J524" s="77"/>
      <c r="K524" s="77"/>
      <c r="L524" s="76"/>
      <c r="M524" s="110"/>
      <c r="N524" s="152"/>
      <c r="O524" s="111" t="str">
        <f>IFERROR(MIN(VLOOKUP(ROUNDDOWN(N524,0),'Aide calcul'!$B$2:$C$282,2,FALSE),M524+1),"")</f>
        <v/>
      </c>
      <c r="P524" s="112" t="str">
        <f t="shared" si="113"/>
        <v/>
      </c>
      <c r="Q524" s="170"/>
      <c r="R524" s="170"/>
      <c r="S524" s="170"/>
      <c r="T524" s="170"/>
      <c r="U524" s="170"/>
      <c r="V524" s="170"/>
      <c r="W524" s="170"/>
      <c r="X524" s="76"/>
      <c r="Y524" s="76"/>
      <c r="Z524" s="113" t="str">
        <f>IFERROR(ROUND('Informations générales'!$E$66*(AE524/SUM($AE$28:$AE$404))/12,0)*12,"")</f>
        <v/>
      </c>
      <c r="AA524" s="114"/>
      <c r="AB524" s="113" t="str">
        <f t="shared" si="99"/>
        <v/>
      </c>
      <c r="AC524" s="89"/>
      <c r="AD524" s="76"/>
      <c r="AE524" s="56">
        <f t="shared" si="114"/>
        <v>0</v>
      </c>
      <c r="AF524" s="56">
        <f t="shared" si="100"/>
        <v>0</v>
      </c>
      <c r="AG524" s="56">
        <f t="shared" si="101"/>
        <v>0</v>
      </c>
      <c r="AH524" s="56">
        <f t="shared" si="102"/>
        <v>0</v>
      </c>
      <c r="AI524" s="56">
        <f t="shared" si="103"/>
        <v>0</v>
      </c>
      <c r="AJ524" s="56">
        <f t="shared" si="104"/>
        <v>0</v>
      </c>
      <c r="AK524" s="56">
        <f t="shared" si="105"/>
        <v>0</v>
      </c>
      <c r="AL524" s="56">
        <f t="shared" si="106"/>
        <v>0</v>
      </c>
      <c r="AM524" s="56">
        <f t="shared" si="115"/>
        <v>0</v>
      </c>
      <c r="AN524" s="60">
        <f t="shared" si="107"/>
        <v>0</v>
      </c>
      <c r="AO524" s="59">
        <f t="shared" si="116"/>
        <v>0</v>
      </c>
      <c r="AP524" s="59">
        <f t="shared" si="109"/>
        <v>0</v>
      </c>
    </row>
    <row r="525" spans="3:42" s="17" customFormat="1" x14ac:dyDescent="0.25">
      <c r="C525" s="241" t="s">
        <v>213</v>
      </c>
      <c r="D525" s="242"/>
      <c r="E525" s="88"/>
      <c r="F525" s="217"/>
      <c r="G525" s="234"/>
      <c r="H525" s="218"/>
      <c r="I525" s="76"/>
      <c r="J525" s="77"/>
      <c r="K525" s="77"/>
      <c r="L525" s="76"/>
      <c r="M525" s="110"/>
      <c r="N525" s="152"/>
      <c r="O525" s="111" t="str">
        <f>IFERROR(MIN(VLOOKUP(ROUNDDOWN(N525,0),'Aide calcul'!$B$2:$C$282,2,FALSE),M525+1),"")</f>
        <v/>
      </c>
      <c r="P525" s="112" t="str">
        <f t="shared" si="113"/>
        <v/>
      </c>
      <c r="Q525" s="170"/>
      <c r="R525" s="170"/>
      <c r="S525" s="170"/>
      <c r="T525" s="170"/>
      <c r="U525" s="170"/>
      <c r="V525" s="170"/>
      <c r="W525" s="170"/>
      <c r="X525" s="76"/>
      <c r="Y525" s="76"/>
      <c r="Z525" s="113" t="str">
        <f>IFERROR(ROUND('Informations générales'!$E$66*(AE525/SUM($AE$28:$AE$404))/12,0)*12,"")</f>
        <v/>
      </c>
      <c r="AA525" s="114"/>
      <c r="AB525" s="113" t="str">
        <f t="shared" si="99"/>
        <v/>
      </c>
      <c r="AC525" s="89"/>
      <c r="AD525" s="76"/>
      <c r="AE525" s="56">
        <f t="shared" si="114"/>
        <v>0</v>
      </c>
      <c r="AF525" s="56">
        <f t="shared" si="100"/>
        <v>0</v>
      </c>
      <c r="AG525" s="56">
        <f t="shared" si="101"/>
        <v>0</v>
      </c>
      <c r="AH525" s="56">
        <f t="shared" si="102"/>
        <v>0</v>
      </c>
      <c r="AI525" s="56">
        <f t="shared" si="103"/>
        <v>0</v>
      </c>
      <c r="AJ525" s="56">
        <f t="shared" si="104"/>
        <v>0</v>
      </c>
      <c r="AK525" s="56">
        <f t="shared" si="105"/>
        <v>0</v>
      </c>
      <c r="AL525" s="56">
        <f t="shared" si="106"/>
        <v>0</v>
      </c>
      <c r="AM525" s="56">
        <f t="shared" si="115"/>
        <v>0</v>
      </c>
      <c r="AN525" s="60">
        <f t="shared" si="107"/>
        <v>0</v>
      </c>
      <c r="AO525" s="59">
        <f t="shared" si="116"/>
        <v>0</v>
      </c>
      <c r="AP525" s="59">
        <f t="shared" si="109"/>
        <v>0</v>
      </c>
    </row>
    <row r="526" spans="3:42" s="17" customFormat="1" x14ac:dyDescent="0.25">
      <c r="C526" s="241" t="s">
        <v>213</v>
      </c>
      <c r="D526" s="242"/>
      <c r="E526" s="88"/>
      <c r="F526" s="217"/>
      <c r="G526" s="234"/>
      <c r="H526" s="218"/>
      <c r="I526" s="76"/>
      <c r="J526" s="77"/>
      <c r="K526" s="77"/>
      <c r="L526" s="76"/>
      <c r="M526" s="110"/>
      <c r="N526" s="152"/>
      <c r="O526" s="111" t="str">
        <f>IFERROR(MIN(VLOOKUP(ROUNDDOWN(N526,0),'Aide calcul'!$B$2:$C$282,2,FALSE),M526+1),"")</f>
        <v/>
      </c>
      <c r="P526" s="112" t="str">
        <f t="shared" si="113"/>
        <v/>
      </c>
      <c r="Q526" s="170"/>
      <c r="R526" s="170"/>
      <c r="S526" s="170"/>
      <c r="T526" s="170"/>
      <c r="U526" s="170"/>
      <c r="V526" s="170"/>
      <c r="W526" s="170"/>
      <c r="X526" s="76"/>
      <c r="Y526" s="76"/>
      <c r="Z526" s="113" t="str">
        <f>IFERROR(ROUND('Informations générales'!$E$66*(AE526/SUM($AE$28:$AE$404))/12,0)*12,"")</f>
        <v/>
      </c>
      <c r="AA526" s="114"/>
      <c r="AB526" s="113" t="str">
        <f t="shared" si="99"/>
        <v/>
      </c>
      <c r="AC526" s="89"/>
      <c r="AD526" s="76"/>
      <c r="AE526" s="56">
        <f t="shared" si="114"/>
        <v>0</v>
      </c>
      <c r="AF526" s="56">
        <f t="shared" si="100"/>
        <v>0</v>
      </c>
      <c r="AG526" s="56">
        <f t="shared" si="101"/>
        <v>0</v>
      </c>
      <c r="AH526" s="56">
        <f t="shared" si="102"/>
        <v>0</v>
      </c>
      <c r="AI526" s="56">
        <f t="shared" si="103"/>
        <v>0</v>
      </c>
      <c r="AJ526" s="56">
        <f t="shared" si="104"/>
        <v>0</v>
      </c>
      <c r="AK526" s="56">
        <f t="shared" si="105"/>
        <v>0</v>
      </c>
      <c r="AL526" s="56">
        <f t="shared" si="106"/>
        <v>0</v>
      </c>
      <c r="AM526" s="56">
        <f t="shared" si="115"/>
        <v>0</v>
      </c>
      <c r="AN526" s="60">
        <f t="shared" si="107"/>
        <v>0</v>
      </c>
      <c r="AO526" s="59">
        <f t="shared" si="116"/>
        <v>0</v>
      </c>
      <c r="AP526" s="59">
        <f t="shared" si="109"/>
        <v>0</v>
      </c>
    </row>
    <row r="527" spans="3:42" s="17" customFormat="1" x14ac:dyDescent="0.25">
      <c r="C527" s="241" t="s">
        <v>213</v>
      </c>
      <c r="D527" s="242"/>
      <c r="E527" s="88"/>
      <c r="F527" s="217"/>
      <c r="G527" s="234"/>
      <c r="H527" s="218"/>
      <c r="I527" s="76"/>
      <c r="J527" s="77"/>
      <c r="K527" s="77"/>
      <c r="L527" s="76"/>
      <c r="M527" s="110"/>
      <c r="N527" s="152"/>
      <c r="O527" s="111" t="str">
        <f>IFERROR(MIN(VLOOKUP(ROUNDDOWN(N527,0),'Aide calcul'!$B$2:$C$282,2,FALSE),M527+1),"")</f>
        <v/>
      </c>
      <c r="P527" s="112" t="str">
        <f t="shared" si="113"/>
        <v/>
      </c>
      <c r="Q527" s="170"/>
      <c r="R527" s="170"/>
      <c r="S527" s="170"/>
      <c r="T527" s="170"/>
      <c r="U527" s="170"/>
      <c r="V527" s="170"/>
      <c r="W527" s="170"/>
      <c r="X527" s="76"/>
      <c r="Y527" s="76"/>
      <c r="Z527" s="113" t="str">
        <f>IFERROR(ROUND('Informations générales'!$E$66*(AE527/SUM($AE$28:$AE$404))/12,0)*12,"")</f>
        <v/>
      </c>
      <c r="AA527" s="114"/>
      <c r="AB527" s="113" t="str">
        <f t="shared" si="99"/>
        <v/>
      </c>
      <c r="AC527" s="89"/>
      <c r="AD527" s="76"/>
      <c r="AE527" s="56">
        <f t="shared" si="114"/>
        <v>0</v>
      </c>
      <c r="AF527" s="56">
        <f t="shared" si="100"/>
        <v>0</v>
      </c>
      <c r="AG527" s="56">
        <f t="shared" si="101"/>
        <v>0</v>
      </c>
      <c r="AH527" s="56">
        <f t="shared" si="102"/>
        <v>0</v>
      </c>
      <c r="AI527" s="56">
        <f t="shared" si="103"/>
        <v>0</v>
      </c>
      <c r="AJ527" s="56">
        <f t="shared" si="104"/>
        <v>0</v>
      </c>
      <c r="AK527" s="56">
        <f t="shared" si="105"/>
        <v>0</v>
      </c>
      <c r="AL527" s="56">
        <f t="shared" si="106"/>
        <v>0</v>
      </c>
      <c r="AM527" s="56">
        <f t="shared" si="115"/>
        <v>0</v>
      </c>
      <c r="AN527" s="60">
        <f t="shared" si="107"/>
        <v>0</v>
      </c>
      <c r="AO527" s="59">
        <f t="shared" si="116"/>
        <v>0</v>
      </c>
      <c r="AP527" s="59">
        <f t="shared" si="109"/>
        <v>0</v>
      </c>
    </row>
  </sheetData>
  <sheetProtection algorithmName="SHA-512" hashValue="rEl9f4ABOtcwkcraJ+FUdY3/OJgFGNZa1zqElROWCC5mMFOTlu9r9XA98PMeGEFFesYRfWWGyjchko6yXjxDdw==" saltValue="dcfGAfB0lLJIFN0qhsV57A==" spinCount="100000" sheet="1" objects="1" scenarios="1"/>
  <mergeCells count="1013"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C26:D26"/>
    <mergeCell ref="F26:H26"/>
    <mergeCell ref="C28:D28"/>
    <mergeCell ref="F28:H28"/>
    <mergeCell ref="C29:D29"/>
    <mergeCell ref="F29:H29"/>
    <mergeCell ref="C36:D36"/>
    <mergeCell ref="F36:H36"/>
    <mergeCell ref="C37:D37"/>
    <mergeCell ref="F37:H37"/>
    <mergeCell ref="C38:D38"/>
    <mergeCell ref="F38:H38"/>
    <mergeCell ref="C33:D33"/>
    <mergeCell ref="F33:H33"/>
    <mergeCell ref="C34:D34"/>
    <mergeCell ref="F34:H34"/>
    <mergeCell ref="C35:D35"/>
    <mergeCell ref="F35:H35"/>
    <mergeCell ref="C30:D30"/>
    <mergeCell ref="F30:H30"/>
    <mergeCell ref="C31:D31"/>
    <mergeCell ref="F31:H31"/>
    <mergeCell ref="C32:D32"/>
    <mergeCell ref="F32:H32"/>
    <mergeCell ref="C45:D45"/>
    <mergeCell ref="F45:H45"/>
    <mergeCell ref="C46:D46"/>
    <mergeCell ref="F46:H46"/>
    <mergeCell ref="C47:D47"/>
    <mergeCell ref="F47:H47"/>
    <mergeCell ref="C42:D42"/>
    <mergeCell ref="F42:H42"/>
    <mergeCell ref="C43:D43"/>
    <mergeCell ref="F43:H43"/>
    <mergeCell ref="C44:D44"/>
    <mergeCell ref="F44:H44"/>
    <mergeCell ref="C39:D39"/>
    <mergeCell ref="F39:H39"/>
    <mergeCell ref="C40:D40"/>
    <mergeCell ref="F40:H40"/>
    <mergeCell ref="C41:D41"/>
    <mergeCell ref="F41:H41"/>
    <mergeCell ref="C54:D54"/>
    <mergeCell ref="F54:H54"/>
    <mergeCell ref="C55:D55"/>
    <mergeCell ref="F55:H55"/>
    <mergeCell ref="C56:D56"/>
    <mergeCell ref="F56:H56"/>
    <mergeCell ref="C51:D51"/>
    <mergeCell ref="F51:H51"/>
    <mergeCell ref="C52:D52"/>
    <mergeCell ref="F52:H52"/>
    <mergeCell ref="C53:D53"/>
    <mergeCell ref="F53:H53"/>
    <mergeCell ref="C48:D48"/>
    <mergeCell ref="F48:H48"/>
    <mergeCell ref="C49:D49"/>
    <mergeCell ref="F49:H49"/>
    <mergeCell ref="C50:D50"/>
    <mergeCell ref="F50:H50"/>
    <mergeCell ref="C63:D63"/>
    <mergeCell ref="F63:H63"/>
    <mergeCell ref="C64:D64"/>
    <mergeCell ref="F64:H64"/>
    <mergeCell ref="C65:D65"/>
    <mergeCell ref="F65:H65"/>
    <mergeCell ref="C60:D60"/>
    <mergeCell ref="F60:H60"/>
    <mergeCell ref="C61:D61"/>
    <mergeCell ref="F61:H61"/>
    <mergeCell ref="C62:D62"/>
    <mergeCell ref="F62:H62"/>
    <mergeCell ref="C57:D57"/>
    <mergeCell ref="F57:H57"/>
    <mergeCell ref="C58:D58"/>
    <mergeCell ref="F58:H58"/>
    <mergeCell ref="C59:D59"/>
    <mergeCell ref="F59:H59"/>
    <mergeCell ref="C72:D72"/>
    <mergeCell ref="F72:H72"/>
    <mergeCell ref="C73:D73"/>
    <mergeCell ref="F73:H73"/>
    <mergeCell ref="C74:D74"/>
    <mergeCell ref="F74:H74"/>
    <mergeCell ref="C69:D69"/>
    <mergeCell ref="F69:H69"/>
    <mergeCell ref="C70:D70"/>
    <mergeCell ref="F70:H70"/>
    <mergeCell ref="C71:D71"/>
    <mergeCell ref="F71:H71"/>
    <mergeCell ref="C66:D66"/>
    <mergeCell ref="F66:H66"/>
    <mergeCell ref="C67:D67"/>
    <mergeCell ref="F67:H67"/>
    <mergeCell ref="C68:D68"/>
    <mergeCell ref="F68:H68"/>
    <mergeCell ref="C81:D81"/>
    <mergeCell ref="F81:H81"/>
    <mergeCell ref="C82:D82"/>
    <mergeCell ref="F82:H82"/>
    <mergeCell ref="C83:D83"/>
    <mergeCell ref="F83:H83"/>
    <mergeCell ref="C78:D78"/>
    <mergeCell ref="F78:H78"/>
    <mergeCell ref="C79:D79"/>
    <mergeCell ref="F79:H79"/>
    <mergeCell ref="C80:D80"/>
    <mergeCell ref="F80:H80"/>
    <mergeCell ref="C75:D75"/>
    <mergeCell ref="F75:H75"/>
    <mergeCell ref="C76:D76"/>
    <mergeCell ref="F76:H76"/>
    <mergeCell ref="C77:D77"/>
    <mergeCell ref="F77:H77"/>
    <mergeCell ref="C90:D90"/>
    <mergeCell ref="F90:H90"/>
    <mergeCell ref="C91:D91"/>
    <mergeCell ref="F91:H91"/>
    <mergeCell ref="C92:D92"/>
    <mergeCell ref="F92:H92"/>
    <mergeCell ref="C87:D87"/>
    <mergeCell ref="F87:H87"/>
    <mergeCell ref="C88:D88"/>
    <mergeCell ref="F88:H88"/>
    <mergeCell ref="C89:D89"/>
    <mergeCell ref="F89:H89"/>
    <mergeCell ref="C84:D84"/>
    <mergeCell ref="F84:H84"/>
    <mergeCell ref="C85:D85"/>
    <mergeCell ref="F85:H85"/>
    <mergeCell ref="C86:D86"/>
    <mergeCell ref="F86:H86"/>
    <mergeCell ref="C99:D99"/>
    <mergeCell ref="F99:H99"/>
    <mergeCell ref="C100:D100"/>
    <mergeCell ref="F100:H100"/>
    <mergeCell ref="C101:D101"/>
    <mergeCell ref="F101:H101"/>
    <mergeCell ref="C96:D96"/>
    <mergeCell ref="F96:H96"/>
    <mergeCell ref="C97:D97"/>
    <mergeCell ref="F97:H97"/>
    <mergeCell ref="C98:D98"/>
    <mergeCell ref="F98:H98"/>
    <mergeCell ref="C93:D93"/>
    <mergeCell ref="F93:H93"/>
    <mergeCell ref="C94:D94"/>
    <mergeCell ref="F94:H94"/>
    <mergeCell ref="C95:D95"/>
    <mergeCell ref="F95:H95"/>
    <mergeCell ref="C108:D108"/>
    <mergeCell ref="F108:H108"/>
    <mergeCell ref="C109:D109"/>
    <mergeCell ref="F109:H109"/>
    <mergeCell ref="C110:D110"/>
    <mergeCell ref="F110:H110"/>
    <mergeCell ref="C105:D105"/>
    <mergeCell ref="F105:H105"/>
    <mergeCell ref="C106:D106"/>
    <mergeCell ref="F106:H106"/>
    <mergeCell ref="C107:D107"/>
    <mergeCell ref="F107:H107"/>
    <mergeCell ref="C102:D102"/>
    <mergeCell ref="F102:H102"/>
    <mergeCell ref="C103:D103"/>
    <mergeCell ref="F103:H103"/>
    <mergeCell ref="C104:D104"/>
    <mergeCell ref="F104:H104"/>
    <mergeCell ref="C117:D117"/>
    <mergeCell ref="F117:H117"/>
    <mergeCell ref="C118:D118"/>
    <mergeCell ref="F118:H118"/>
    <mergeCell ref="C119:D119"/>
    <mergeCell ref="F119:H119"/>
    <mergeCell ref="C114:D114"/>
    <mergeCell ref="F114:H114"/>
    <mergeCell ref="C115:D115"/>
    <mergeCell ref="F115:H115"/>
    <mergeCell ref="C116:D116"/>
    <mergeCell ref="F116:H116"/>
    <mergeCell ref="C111:D111"/>
    <mergeCell ref="F111:H111"/>
    <mergeCell ref="C112:D112"/>
    <mergeCell ref="F112:H112"/>
    <mergeCell ref="C113:D113"/>
    <mergeCell ref="F113:H113"/>
    <mergeCell ref="C126:D126"/>
    <mergeCell ref="F126:H126"/>
    <mergeCell ref="C127:D127"/>
    <mergeCell ref="F127:H127"/>
    <mergeCell ref="C128:D128"/>
    <mergeCell ref="F128:H128"/>
    <mergeCell ref="C123:D123"/>
    <mergeCell ref="F123:H123"/>
    <mergeCell ref="C124:D124"/>
    <mergeCell ref="F124:H124"/>
    <mergeCell ref="C125:D125"/>
    <mergeCell ref="F125:H125"/>
    <mergeCell ref="C120:D120"/>
    <mergeCell ref="F120:H120"/>
    <mergeCell ref="C121:D121"/>
    <mergeCell ref="F121:H121"/>
    <mergeCell ref="C122:D122"/>
    <mergeCell ref="F122:H122"/>
    <mergeCell ref="C135:D135"/>
    <mergeCell ref="F135:H135"/>
    <mergeCell ref="C136:D136"/>
    <mergeCell ref="F136:H136"/>
    <mergeCell ref="C137:D137"/>
    <mergeCell ref="F137:H137"/>
    <mergeCell ref="C132:D132"/>
    <mergeCell ref="F132:H132"/>
    <mergeCell ref="C133:D133"/>
    <mergeCell ref="F133:H133"/>
    <mergeCell ref="C134:D134"/>
    <mergeCell ref="F134:H134"/>
    <mergeCell ref="C129:D129"/>
    <mergeCell ref="F129:H129"/>
    <mergeCell ref="C130:D130"/>
    <mergeCell ref="F130:H130"/>
    <mergeCell ref="C131:D131"/>
    <mergeCell ref="F131:H131"/>
    <mergeCell ref="C144:D144"/>
    <mergeCell ref="F144:H144"/>
    <mergeCell ref="C145:D145"/>
    <mergeCell ref="F145:H145"/>
    <mergeCell ref="C146:D146"/>
    <mergeCell ref="F146:H146"/>
    <mergeCell ref="C141:D141"/>
    <mergeCell ref="F141:H141"/>
    <mergeCell ref="C142:D142"/>
    <mergeCell ref="F142:H142"/>
    <mergeCell ref="C143:D143"/>
    <mergeCell ref="F143:H143"/>
    <mergeCell ref="C138:D138"/>
    <mergeCell ref="F138:H138"/>
    <mergeCell ref="C139:D139"/>
    <mergeCell ref="F139:H139"/>
    <mergeCell ref="C140:D140"/>
    <mergeCell ref="F140:H140"/>
    <mergeCell ref="C153:D153"/>
    <mergeCell ref="F153:H153"/>
    <mergeCell ref="C154:D154"/>
    <mergeCell ref="F154:H154"/>
    <mergeCell ref="C155:D155"/>
    <mergeCell ref="F155:H155"/>
    <mergeCell ref="C150:D150"/>
    <mergeCell ref="F150:H150"/>
    <mergeCell ref="C151:D151"/>
    <mergeCell ref="F151:H151"/>
    <mergeCell ref="C152:D152"/>
    <mergeCell ref="F152:H152"/>
    <mergeCell ref="C147:D147"/>
    <mergeCell ref="F147:H147"/>
    <mergeCell ref="C148:D148"/>
    <mergeCell ref="F148:H148"/>
    <mergeCell ref="C149:D149"/>
    <mergeCell ref="F149:H149"/>
    <mergeCell ref="C162:D162"/>
    <mergeCell ref="F162:H162"/>
    <mergeCell ref="C163:D163"/>
    <mergeCell ref="F163:H163"/>
    <mergeCell ref="C164:D164"/>
    <mergeCell ref="F164:H164"/>
    <mergeCell ref="C159:D159"/>
    <mergeCell ref="F159:H159"/>
    <mergeCell ref="C160:D160"/>
    <mergeCell ref="F160:H160"/>
    <mergeCell ref="C161:D161"/>
    <mergeCell ref="F161:H161"/>
    <mergeCell ref="C156:D156"/>
    <mergeCell ref="F156:H156"/>
    <mergeCell ref="C157:D157"/>
    <mergeCell ref="F157:H157"/>
    <mergeCell ref="C158:D158"/>
    <mergeCell ref="F158:H158"/>
    <mergeCell ref="C171:D171"/>
    <mergeCell ref="F171:H171"/>
    <mergeCell ref="C172:D172"/>
    <mergeCell ref="F172:H172"/>
    <mergeCell ref="C173:D173"/>
    <mergeCell ref="F173:H173"/>
    <mergeCell ref="C168:D168"/>
    <mergeCell ref="F168:H168"/>
    <mergeCell ref="C169:D169"/>
    <mergeCell ref="F169:H169"/>
    <mergeCell ref="C170:D170"/>
    <mergeCell ref="F170:H170"/>
    <mergeCell ref="C165:D165"/>
    <mergeCell ref="F165:H165"/>
    <mergeCell ref="C166:D166"/>
    <mergeCell ref="F166:H166"/>
    <mergeCell ref="C167:D167"/>
    <mergeCell ref="F167:H167"/>
    <mergeCell ref="C180:D180"/>
    <mergeCell ref="F180:H180"/>
    <mergeCell ref="C181:D181"/>
    <mergeCell ref="F181:H181"/>
    <mergeCell ref="C182:D182"/>
    <mergeCell ref="F182:H182"/>
    <mergeCell ref="C177:D177"/>
    <mergeCell ref="F177:H177"/>
    <mergeCell ref="C178:D178"/>
    <mergeCell ref="F178:H178"/>
    <mergeCell ref="C179:D179"/>
    <mergeCell ref="F179:H179"/>
    <mergeCell ref="C174:D174"/>
    <mergeCell ref="F174:H174"/>
    <mergeCell ref="C175:D175"/>
    <mergeCell ref="F175:H175"/>
    <mergeCell ref="C176:D176"/>
    <mergeCell ref="F176:H176"/>
    <mergeCell ref="C189:D189"/>
    <mergeCell ref="F189:H189"/>
    <mergeCell ref="C190:D190"/>
    <mergeCell ref="F190:H190"/>
    <mergeCell ref="C191:D191"/>
    <mergeCell ref="F191:H191"/>
    <mergeCell ref="C186:D186"/>
    <mergeCell ref="F186:H186"/>
    <mergeCell ref="C187:D187"/>
    <mergeCell ref="F187:H187"/>
    <mergeCell ref="C188:D188"/>
    <mergeCell ref="F188:H188"/>
    <mergeCell ref="C183:D183"/>
    <mergeCell ref="F183:H183"/>
    <mergeCell ref="C184:D184"/>
    <mergeCell ref="F184:H184"/>
    <mergeCell ref="C185:D185"/>
    <mergeCell ref="F185:H185"/>
    <mergeCell ref="C198:D198"/>
    <mergeCell ref="F198:H198"/>
    <mergeCell ref="C199:D199"/>
    <mergeCell ref="F199:H199"/>
    <mergeCell ref="C200:D200"/>
    <mergeCell ref="F200:H200"/>
    <mergeCell ref="C195:D195"/>
    <mergeCell ref="F195:H195"/>
    <mergeCell ref="C196:D196"/>
    <mergeCell ref="F196:H196"/>
    <mergeCell ref="C197:D197"/>
    <mergeCell ref="F197:H197"/>
    <mergeCell ref="C192:D192"/>
    <mergeCell ref="F192:H192"/>
    <mergeCell ref="C193:D193"/>
    <mergeCell ref="F193:H193"/>
    <mergeCell ref="C194:D194"/>
    <mergeCell ref="F194:H194"/>
    <mergeCell ref="C207:D207"/>
    <mergeCell ref="F207:H207"/>
    <mergeCell ref="C208:D208"/>
    <mergeCell ref="F208:H208"/>
    <mergeCell ref="C209:D209"/>
    <mergeCell ref="F209:H209"/>
    <mergeCell ref="C204:D204"/>
    <mergeCell ref="F204:H204"/>
    <mergeCell ref="C205:D205"/>
    <mergeCell ref="F205:H205"/>
    <mergeCell ref="C206:D206"/>
    <mergeCell ref="F206:H206"/>
    <mergeCell ref="C201:D201"/>
    <mergeCell ref="F201:H201"/>
    <mergeCell ref="C202:D202"/>
    <mergeCell ref="F202:H202"/>
    <mergeCell ref="C203:D203"/>
    <mergeCell ref="F203:H203"/>
    <mergeCell ref="C216:D216"/>
    <mergeCell ref="F216:H216"/>
    <mergeCell ref="C217:D217"/>
    <mergeCell ref="F217:H217"/>
    <mergeCell ref="C218:D218"/>
    <mergeCell ref="F218:H218"/>
    <mergeCell ref="C213:D213"/>
    <mergeCell ref="F213:H213"/>
    <mergeCell ref="C214:D214"/>
    <mergeCell ref="F214:H214"/>
    <mergeCell ref="C215:D215"/>
    <mergeCell ref="F215:H215"/>
    <mergeCell ref="C210:D210"/>
    <mergeCell ref="F210:H210"/>
    <mergeCell ref="C211:D211"/>
    <mergeCell ref="F211:H211"/>
    <mergeCell ref="C212:D212"/>
    <mergeCell ref="F212:H212"/>
    <mergeCell ref="C225:D225"/>
    <mergeCell ref="F225:H225"/>
    <mergeCell ref="C226:D226"/>
    <mergeCell ref="F226:H226"/>
    <mergeCell ref="C227:D227"/>
    <mergeCell ref="F227:H227"/>
    <mergeCell ref="C222:D222"/>
    <mergeCell ref="F222:H222"/>
    <mergeCell ref="C223:D223"/>
    <mergeCell ref="F223:H223"/>
    <mergeCell ref="C224:D224"/>
    <mergeCell ref="F224:H224"/>
    <mergeCell ref="C219:D219"/>
    <mergeCell ref="F219:H219"/>
    <mergeCell ref="C220:D220"/>
    <mergeCell ref="F220:H220"/>
    <mergeCell ref="C221:D221"/>
    <mergeCell ref="F221:H221"/>
    <mergeCell ref="C234:D234"/>
    <mergeCell ref="F234:H234"/>
    <mergeCell ref="C235:D235"/>
    <mergeCell ref="F235:H235"/>
    <mergeCell ref="C236:D236"/>
    <mergeCell ref="F236:H236"/>
    <mergeCell ref="C231:D231"/>
    <mergeCell ref="F231:H231"/>
    <mergeCell ref="C232:D232"/>
    <mergeCell ref="F232:H232"/>
    <mergeCell ref="C233:D233"/>
    <mergeCell ref="F233:H233"/>
    <mergeCell ref="C228:D228"/>
    <mergeCell ref="F228:H228"/>
    <mergeCell ref="C229:D229"/>
    <mergeCell ref="F229:H229"/>
    <mergeCell ref="C230:D230"/>
    <mergeCell ref="F230:H230"/>
    <mergeCell ref="C243:D243"/>
    <mergeCell ref="F243:H243"/>
    <mergeCell ref="C244:D244"/>
    <mergeCell ref="F244:H244"/>
    <mergeCell ref="C245:D245"/>
    <mergeCell ref="F245:H245"/>
    <mergeCell ref="C240:D240"/>
    <mergeCell ref="F240:H240"/>
    <mergeCell ref="C241:D241"/>
    <mergeCell ref="F241:H241"/>
    <mergeCell ref="C242:D242"/>
    <mergeCell ref="F242:H242"/>
    <mergeCell ref="C237:D237"/>
    <mergeCell ref="F237:H237"/>
    <mergeCell ref="C238:D238"/>
    <mergeCell ref="F238:H238"/>
    <mergeCell ref="C239:D239"/>
    <mergeCell ref="F239:H239"/>
    <mergeCell ref="C252:D252"/>
    <mergeCell ref="F252:H252"/>
    <mergeCell ref="C253:D253"/>
    <mergeCell ref="F253:H253"/>
    <mergeCell ref="C254:D254"/>
    <mergeCell ref="F254:H254"/>
    <mergeCell ref="C249:D249"/>
    <mergeCell ref="F249:H249"/>
    <mergeCell ref="C250:D250"/>
    <mergeCell ref="F250:H250"/>
    <mergeCell ref="C251:D251"/>
    <mergeCell ref="F251:H251"/>
    <mergeCell ref="C246:D246"/>
    <mergeCell ref="F246:H246"/>
    <mergeCell ref="C247:D247"/>
    <mergeCell ref="F247:H247"/>
    <mergeCell ref="C248:D248"/>
    <mergeCell ref="F248:H248"/>
    <mergeCell ref="C261:D261"/>
    <mergeCell ref="F261:H261"/>
    <mergeCell ref="C262:D262"/>
    <mergeCell ref="F262:H262"/>
    <mergeCell ref="C263:D263"/>
    <mergeCell ref="F263:H263"/>
    <mergeCell ref="C258:D258"/>
    <mergeCell ref="F258:H258"/>
    <mergeCell ref="C259:D259"/>
    <mergeCell ref="F259:H259"/>
    <mergeCell ref="C260:D260"/>
    <mergeCell ref="F260:H260"/>
    <mergeCell ref="C255:D255"/>
    <mergeCell ref="F255:H255"/>
    <mergeCell ref="C256:D256"/>
    <mergeCell ref="F256:H256"/>
    <mergeCell ref="C257:D257"/>
    <mergeCell ref="F257:H257"/>
    <mergeCell ref="C270:D270"/>
    <mergeCell ref="F270:H270"/>
    <mergeCell ref="C271:D271"/>
    <mergeCell ref="F271:H271"/>
    <mergeCell ref="C272:D272"/>
    <mergeCell ref="F272:H272"/>
    <mergeCell ref="C267:D267"/>
    <mergeCell ref="F267:H267"/>
    <mergeCell ref="C268:D268"/>
    <mergeCell ref="F268:H268"/>
    <mergeCell ref="C269:D269"/>
    <mergeCell ref="F269:H269"/>
    <mergeCell ref="C264:D264"/>
    <mergeCell ref="F264:H264"/>
    <mergeCell ref="C265:D265"/>
    <mergeCell ref="F265:H265"/>
    <mergeCell ref="C266:D266"/>
    <mergeCell ref="F266:H266"/>
    <mergeCell ref="C279:D279"/>
    <mergeCell ref="F279:H279"/>
    <mergeCell ref="C280:D280"/>
    <mergeCell ref="F280:H280"/>
    <mergeCell ref="C281:D281"/>
    <mergeCell ref="F281:H281"/>
    <mergeCell ref="C276:D276"/>
    <mergeCell ref="F276:H276"/>
    <mergeCell ref="C277:D277"/>
    <mergeCell ref="F277:H277"/>
    <mergeCell ref="C278:D278"/>
    <mergeCell ref="F278:H278"/>
    <mergeCell ref="C273:D273"/>
    <mergeCell ref="F273:H273"/>
    <mergeCell ref="C274:D274"/>
    <mergeCell ref="F274:H274"/>
    <mergeCell ref="C275:D275"/>
    <mergeCell ref="F275:H275"/>
    <mergeCell ref="C288:D288"/>
    <mergeCell ref="F288:H288"/>
    <mergeCell ref="C289:D289"/>
    <mergeCell ref="F289:H289"/>
    <mergeCell ref="C290:D290"/>
    <mergeCell ref="F290:H290"/>
    <mergeCell ref="C285:D285"/>
    <mergeCell ref="F285:H285"/>
    <mergeCell ref="C286:D286"/>
    <mergeCell ref="F286:H286"/>
    <mergeCell ref="C287:D287"/>
    <mergeCell ref="F287:H287"/>
    <mergeCell ref="C282:D282"/>
    <mergeCell ref="F282:H282"/>
    <mergeCell ref="C283:D283"/>
    <mergeCell ref="F283:H283"/>
    <mergeCell ref="C284:D284"/>
    <mergeCell ref="F284:H284"/>
    <mergeCell ref="C297:D297"/>
    <mergeCell ref="F297:H297"/>
    <mergeCell ref="C298:D298"/>
    <mergeCell ref="F298:H298"/>
    <mergeCell ref="C299:D299"/>
    <mergeCell ref="F299:H299"/>
    <mergeCell ref="C294:D294"/>
    <mergeCell ref="F294:H294"/>
    <mergeCell ref="C295:D295"/>
    <mergeCell ref="F295:H295"/>
    <mergeCell ref="C296:D296"/>
    <mergeCell ref="F296:H296"/>
    <mergeCell ref="C291:D291"/>
    <mergeCell ref="F291:H291"/>
    <mergeCell ref="C292:D292"/>
    <mergeCell ref="F292:H292"/>
    <mergeCell ref="C293:D293"/>
    <mergeCell ref="F293:H293"/>
    <mergeCell ref="C306:D306"/>
    <mergeCell ref="F306:H306"/>
    <mergeCell ref="C307:D307"/>
    <mergeCell ref="F307:H307"/>
    <mergeCell ref="C308:D308"/>
    <mergeCell ref="F308:H308"/>
    <mergeCell ref="C303:D303"/>
    <mergeCell ref="F303:H303"/>
    <mergeCell ref="C304:D304"/>
    <mergeCell ref="F304:H304"/>
    <mergeCell ref="C305:D305"/>
    <mergeCell ref="F305:H305"/>
    <mergeCell ref="C300:D300"/>
    <mergeCell ref="F300:H300"/>
    <mergeCell ref="C301:D301"/>
    <mergeCell ref="F301:H301"/>
    <mergeCell ref="C302:D302"/>
    <mergeCell ref="F302:H302"/>
    <mergeCell ref="C315:D315"/>
    <mergeCell ref="F315:H315"/>
    <mergeCell ref="C316:D316"/>
    <mergeCell ref="F316:H316"/>
    <mergeCell ref="C317:D317"/>
    <mergeCell ref="F317:H317"/>
    <mergeCell ref="C312:D312"/>
    <mergeCell ref="F312:H312"/>
    <mergeCell ref="C313:D313"/>
    <mergeCell ref="F313:H313"/>
    <mergeCell ref="C314:D314"/>
    <mergeCell ref="F314:H314"/>
    <mergeCell ref="C309:D309"/>
    <mergeCell ref="F309:H309"/>
    <mergeCell ref="C310:D310"/>
    <mergeCell ref="F310:H310"/>
    <mergeCell ref="C311:D311"/>
    <mergeCell ref="F311:H311"/>
    <mergeCell ref="C324:D324"/>
    <mergeCell ref="F324:H324"/>
    <mergeCell ref="C325:D325"/>
    <mergeCell ref="F325:H325"/>
    <mergeCell ref="C326:D326"/>
    <mergeCell ref="F326:H326"/>
    <mergeCell ref="C321:D321"/>
    <mergeCell ref="F321:H321"/>
    <mergeCell ref="C322:D322"/>
    <mergeCell ref="F322:H322"/>
    <mergeCell ref="C323:D323"/>
    <mergeCell ref="F323:H323"/>
    <mergeCell ref="C318:D318"/>
    <mergeCell ref="F318:H318"/>
    <mergeCell ref="C319:D319"/>
    <mergeCell ref="F319:H319"/>
    <mergeCell ref="C320:D320"/>
    <mergeCell ref="F320:H320"/>
    <mergeCell ref="C333:D333"/>
    <mergeCell ref="F333:H333"/>
    <mergeCell ref="C334:D334"/>
    <mergeCell ref="F334:H334"/>
    <mergeCell ref="C335:D335"/>
    <mergeCell ref="F335:H335"/>
    <mergeCell ref="C330:D330"/>
    <mergeCell ref="F330:H330"/>
    <mergeCell ref="C331:D331"/>
    <mergeCell ref="F331:H331"/>
    <mergeCell ref="C332:D332"/>
    <mergeCell ref="F332:H332"/>
    <mergeCell ref="C327:D327"/>
    <mergeCell ref="F327:H327"/>
    <mergeCell ref="C328:D328"/>
    <mergeCell ref="F328:H328"/>
    <mergeCell ref="C329:D329"/>
    <mergeCell ref="F329:H329"/>
    <mergeCell ref="C342:D342"/>
    <mergeCell ref="F342:H342"/>
    <mergeCell ref="C343:D343"/>
    <mergeCell ref="F343:H343"/>
    <mergeCell ref="C344:D344"/>
    <mergeCell ref="F344:H344"/>
    <mergeCell ref="C339:D339"/>
    <mergeCell ref="F339:H339"/>
    <mergeCell ref="C340:D340"/>
    <mergeCell ref="F340:H340"/>
    <mergeCell ref="C341:D341"/>
    <mergeCell ref="F341:H341"/>
    <mergeCell ref="C336:D336"/>
    <mergeCell ref="F336:H336"/>
    <mergeCell ref="C337:D337"/>
    <mergeCell ref="F337:H337"/>
    <mergeCell ref="C338:D338"/>
    <mergeCell ref="F338:H338"/>
    <mergeCell ref="C351:D351"/>
    <mergeCell ref="F351:H351"/>
    <mergeCell ref="C352:D352"/>
    <mergeCell ref="F352:H352"/>
    <mergeCell ref="C353:D353"/>
    <mergeCell ref="F353:H353"/>
    <mergeCell ref="C348:D348"/>
    <mergeCell ref="F348:H348"/>
    <mergeCell ref="C349:D349"/>
    <mergeCell ref="F349:H349"/>
    <mergeCell ref="C350:D350"/>
    <mergeCell ref="F350:H350"/>
    <mergeCell ref="C345:D345"/>
    <mergeCell ref="F345:H345"/>
    <mergeCell ref="C346:D346"/>
    <mergeCell ref="F346:H346"/>
    <mergeCell ref="C347:D347"/>
    <mergeCell ref="F347:H347"/>
    <mergeCell ref="C360:D360"/>
    <mergeCell ref="F360:H360"/>
    <mergeCell ref="C361:D361"/>
    <mergeCell ref="F361:H361"/>
    <mergeCell ref="C362:D362"/>
    <mergeCell ref="F362:H362"/>
    <mergeCell ref="C357:D357"/>
    <mergeCell ref="F357:H357"/>
    <mergeCell ref="C358:D358"/>
    <mergeCell ref="F358:H358"/>
    <mergeCell ref="C359:D359"/>
    <mergeCell ref="F359:H359"/>
    <mergeCell ref="C354:D354"/>
    <mergeCell ref="F354:H354"/>
    <mergeCell ref="C355:D355"/>
    <mergeCell ref="F355:H355"/>
    <mergeCell ref="C356:D356"/>
    <mergeCell ref="F356:H356"/>
    <mergeCell ref="C369:D369"/>
    <mergeCell ref="F369:H369"/>
    <mergeCell ref="C370:D370"/>
    <mergeCell ref="F370:H370"/>
    <mergeCell ref="C371:D371"/>
    <mergeCell ref="F371:H371"/>
    <mergeCell ref="C366:D366"/>
    <mergeCell ref="F366:H366"/>
    <mergeCell ref="C367:D367"/>
    <mergeCell ref="F367:H367"/>
    <mergeCell ref="C368:D368"/>
    <mergeCell ref="F368:H368"/>
    <mergeCell ref="C363:D363"/>
    <mergeCell ref="F363:H363"/>
    <mergeCell ref="C364:D364"/>
    <mergeCell ref="F364:H364"/>
    <mergeCell ref="C365:D365"/>
    <mergeCell ref="F365:H365"/>
    <mergeCell ref="C378:D378"/>
    <mergeCell ref="F378:H378"/>
    <mergeCell ref="C379:D379"/>
    <mergeCell ref="F379:H379"/>
    <mergeCell ref="C380:D380"/>
    <mergeCell ref="F380:H380"/>
    <mergeCell ref="C375:D375"/>
    <mergeCell ref="F375:H375"/>
    <mergeCell ref="C376:D376"/>
    <mergeCell ref="F376:H376"/>
    <mergeCell ref="C377:D377"/>
    <mergeCell ref="F377:H377"/>
    <mergeCell ref="C372:D372"/>
    <mergeCell ref="F372:H372"/>
    <mergeCell ref="C373:D373"/>
    <mergeCell ref="F373:H373"/>
    <mergeCell ref="C374:D374"/>
    <mergeCell ref="F374:H374"/>
    <mergeCell ref="C387:D387"/>
    <mergeCell ref="F387:H387"/>
    <mergeCell ref="C388:D388"/>
    <mergeCell ref="F388:H388"/>
    <mergeCell ref="C389:D389"/>
    <mergeCell ref="F389:H389"/>
    <mergeCell ref="C384:D384"/>
    <mergeCell ref="F384:H384"/>
    <mergeCell ref="C385:D385"/>
    <mergeCell ref="F385:H385"/>
    <mergeCell ref="C386:D386"/>
    <mergeCell ref="F386:H386"/>
    <mergeCell ref="C381:D381"/>
    <mergeCell ref="F381:H381"/>
    <mergeCell ref="C382:D382"/>
    <mergeCell ref="F382:H382"/>
    <mergeCell ref="C383:D383"/>
    <mergeCell ref="F383:H383"/>
    <mergeCell ref="C396:D396"/>
    <mergeCell ref="F396:H396"/>
    <mergeCell ref="C397:D397"/>
    <mergeCell ref="F397:H397"/>
    <mergeCell ref="C398:D398"/>
    <mergeCell ref="F398:H398"/>
    <mergeCell ref="C393:D393"/>
    <mergeCell ref="F393:H393"/>
    <mergeCell ref="C394:D394"/>
    <mergeCell ref="F394:H394"/>
    <mergeCell ref="C395:D395"/>
    <mergeCell ref="F395:H395"/>
    <mergeCell ref="C390:D390"/>
    <mergeCell ref="F390:H390"/>
    <mergeCell ref="C391:D391"/>
    <mergeCell ref="F391:H391"/>
    <mergeCell ref="C392:D392"/>
    <mergeCell ref="F392:H392"/>
    <mergeCell ref="C405:D405"/>
    <mergeCell ref="F405:H405"/>
    <mergeCell ref="C406:D406"/>
    <mergeCell ref="F406:H406"/>
    <mergeCell ref="C407:D407"/>
    <mergeCell ref="F407:H407"/>
    <mergeCell ref="C408:D408"/>
    <mergeCell ref="F408:H408"/>
    <mergeCell ref="C409:D409"/>
    <mergeCell ref="F409:H409"/>
    <mergeCell ref="C402:D402"/>
    <mergeCell ref="F402:H402"/>
    <mergeCell ref="C403:D403"/>
    <mergeCell ref="F403:H403"/>
    <mergeCell ref="C404:D404"/>
    <mergeCell ref="F404:H404"/>
    <mergeCell ref="C399:D399"/>
    <mergeCell ref="F399:H399"/>
    <mergeCell ref="C400:D400"/>
    <mergeCell ref="F400:H400"/>
    <mergeCell ref="C401:D401"/>
    <mergeCell ref="F401:H401"/>
    <mergeCell ref="C415:D415"/>
    <mergeCell ref="F415:H415"/>
    <mergeCell ref="C416:D416"/>
    <mergeCell ref="F416:H416"/>
    <mergeCell ref="C417:D417"/>
    <mergeCell ref="F417:H417"/>
    <mergeCell ref="C418:D418"/>
    <mergeCell ref="F418:H418"/>
    <mergeCell ref="C419:D419"/>
    <mergeCell ref="F419:H419"/>
    <mergeCell ref="C410:D410"/>
    <mergeCell ref="F410:H410"/>
    <mergeCell ref="C411:D411"/>
    <mergeCell ref="F411:H411"/>
    <mergeCell ref="C412:D412"/>
    <mergeCell ref="F412:H412"/>
    <mergeCell ref="C413:D413"/>
    <mergeCell ref="F413:H413"/>
    <mergeCell ref="C414:D414"/>
    <mergeCell ref="F414:H414"/>
    <mergeCell ref="C425:D425"/>
    <mergeCell ref="F425:H425"/>
    <mergeCell ref="C426:D426"/>
    <mergeCell ref="F426:H426"/>
    <mergeCell ref="C427:D427"/>
    <mergeCell ref="F427:H427"/>
    <mergeCell ref="C428:D428"/>
    <mergeCell ref="F428:H428"/>
    <mergeCell ref="C429:D429"/>
    <mergeCell ref="F429:H429"/>
    <mergeCell ref="C420:D420"/>
    <mergeCell ref="F420:H420"/>
    <mergeCell ref="C421:D421"/>
    <mergeCell ref="F421:H421"/>
    <mergeCell ref="C422:D422"/>
    <mergeCell ref="F422:H422"/>
    <mergeCell ref="C423:D423"/>
    <mergeCell ref="F423:H423"/>
    <mergeCell ref="C424:D424"/>
    <mergeCell ref="F424:H424"/>
    <mergeCell ref="C435:D435"/>
    <mergeCell ref="F435:H435"/>
    <mergeCell ref="C436:D436"/>
    <mergeCell ref="F436:H436"/>
    <mergeCell ref="C437:D437"/>
    <mergeCell ref="F437:H437"/>
    <mergeCell ref="C438:D438"/>
    <mergeCell ref="F438:H438"/>
    <mergeCell ref="C439:D439"/>
    <mergeCell ref="F439:H439"/>
    <mergeCell ref="C430:D430"/>
    <mergeCell ref="F430:H430"/>
    <mergeCell ref="C431:D431"/>
    <mergeCell ref="F431:H431"/>
    <mergeCell ref="C432:D432"/>
    <mergeCell ref="F432:H432"/>
    <mergeCell ref="C433:D433"/>
    <mergeCell ref="F433:H433"/>
    <mergeCell ref="C434:D434"/>
    <mergeCell ref="F434:H434"/>
    <mergeCell ref="C445:D445"/>
    <mergeCell ref="F445:H445"/>
    <mergeCell ref="C446:D446"/>
    <mergeCell ref="F446:H446"/>
    <mergeCell ref="C447:D447"/>
    <mergeCell ref="F447:H447"/>
    <mergeCell ref="C448:D448"/>
    <mergeCell ref="F448:H448"/>
    <mergeCell ref="C449:D449"/>
    <mergeCell ref="F449:H449"/>
    <mergeCell ref="C440:D440"/>
    <mergeCell ref="F440:H440"/>
    <mergeCell ref="C441:D441"/>
    <mergeCell ref="F441:H441"/>
    <mergeCell ref="C442:D442"/>
    <mergeCell ref="F442:H442"/>
    <mergeCell ref="C443:D443"/>
    <mergeCell ref="F443:H443"/>
    <mergeCell ref="C444:D444"/>
    <mergeCell ref="F444:H444"/>
    <mergeCell ref="C455:D455"/>
    <mergeCell ref="F455:H455"/>
    <mergeCell ref="C456:D456"/>
    <mergeCell ref="F456:H456"/>
    <mergeCell ref="C457:D457"/>
    <mergeCell ref="F457:H457"/>
    <mergeCell ref="C458:D458"/>
    <mergeCell ref="F458:H458"/>
    <mergeCell ref="C459:D459"/>
    <mergeCell ref="F459:H459"/>
    <mergeCell ref="C450:D450"/>
    <mergeCell ref="F450:H450"/>
    <mergeCell ref="C451:D451"/>
    <mergeCell ref="F451:H451"/>
    <mergeCell ref="C452:D452"/>
    <mergeCell ref="F452:H452"/>
    <mergeCell ref="C453:D453"/>
    <mergeCell ref="F453:H453"/>
    <mergeCell ref="C454:D454"/>
    <mergeCell ref="F454:H454"/>
    <mergeCell ref="C465:D465"/>
    <mergeCell ref="F465:H465"/>
    <mergeCell ref="C466:D466"/>
    <mergeCell ref="F466:H466"/>
    <mergeCell ref="C467:D467"/>
    <mergeCell ref="F467:H467"/>
    <mergeCell ref="C468:D468"/>
    <mergeCell ref="F468:H468"/>
    <mergeCell ref="C469:D469"/>
    <mergeCell ref="F469:H469"/>
    <mergeCell ref="C460:D460"/>
    <mergeCell ref="F460:H460"/>
    <mergeCell ref="C461:D461"/>
    <mergeCell ref="F461:H461"/>
    <mergeCell ref="C462:D462"/>
    <mergeCell ref="F462:H462"/>
    <mergeCell ref="C463:D463"/>
    <mergeCell ref="F463:H463"/>
    <mergeCell ref="C464:D464"/>
    <mergeCell ref="F464:H464"/>
    <mergeCell ref="C475:D475"/>
    <mergeCell ref="F475:H475"/>
    <mergeCell ref="C476:D476"/>
    <mergeCell ref="F476:H476"/>
    <mergeCell ref="C477:D477"/>
    <mergeCell ref="F477:H477"/>
    <mergeCell ref="C478:D478"/>
    <mergeCell ref="F478:H478"/>
    <mergeCell ref="C479:D479"/>
    <mergeCell ref="F479:H479"/>
    <mergeCell ref="C470:D470"/>
    <mergeCell ref="F470:H470"/>
    <mergeCell ref="C471:D471"/>
    <mergeCell ref="F471:H471"/>
    <mergeCell ref="C472:D472"/>
    <mergeCell ref="F472:H472"/>
    <mergeCell ref="C473:D473"/>
    <mergeCell ref="F473:H473"/>
    <mergeCell ref="C474:D474"/>
    <mergeCell ref="F474:H474"/>
    <mergeCell ref="C485:D485"/>
    <mergeCell ref="F485:H485"/>
    <mergeCell ref="C486:D486"/>
    <mergeCell ref="F486:H486"/>
    <mergeCell ref="C487:D487"/>
    <mergeCell ref="F487:H487"/>
    <mergeCell ref="C488:D488"/>
    <mergeCell ref="F488:H488"/>
    <mergeCell ref="C489:D489"/>
    <mergeCell ref="F489:H489"/>
    <mergeCell ref="C480:D480"/>
    <mergeCell ref="F480:H480"/>
    <mergeCell ref="C481:D481"/>
    <mergeCell ref="F481:H481"/>
    <mergeCell ref="C482:D482"/>
    <mergeCell ref="F482:H482"/>
    <mergeCell ref="C483:D483"/>
    <mergeCell ref="F483:H483"/>
    <mergeCell ref="C484:D484"/>
    <mergeCell ref="F484:H484"/>
    <mergeCell ref="C495:D495"/>
    <mergeCell ref="F495:H495"/>
    <mergeCell ref="C496:D496"/>
    <mergeCell ref="F496:H496"/>
    <mergeCell ref="C497:D497"/>
    <mergeCell ref="F497:H497"/>
    <mergeCell ref="C498:D498"/>
    <mergeCell ref="F498:H498"/>
    <mergeCell ref="C499:D499"/>
    <mergeCell ref="F499:H499"/>
    <mergeCell ref="C490:D490"/>
    <mergeCell ref="F490:H490"/>
    <mergeCell ref="C491:D491"/>
    <mergeCell ref="F491:H491"/>
    <mergeCell ref="C492:D492"/>
    <mergeCell ref="F492:H492"/>
    <mergeCell ref="C493:D493"/>
    <mergeCell ref="F493:H493"/>
    <mergeCell ref="C494:D494"/>
    <mergeCell ref="F494:H494"/>
    <mergeCell ref="F512:H512"/>
    <mergeCell ref="C513:D513"/>
    <mergeCell ref="F513:H513"/>
    <mergeCell ref="C514:D514"/>
    <mergeCell ref="F514:H514"/>
    <mergeCell ref="C505:D505"/>
    <mergeCell ref="F505:H505"/>
    <mergeCell ref="C506:D506"/>
    <mergeCell ref="F506:H506"/>
    <mergeCell ref="C507:D507"/>
    <mergeCell ref="F507:H507"/>
    <mergeCell ref="C508:D508"/>
    <mergeCell ref="F508:H508"/>
    <mergeCell ref="C509:D509"/>
    <mergeCell ref="F509:H509"/>
    <mergeCell ref="C500:D500"/>
    <mergeCell ref="F500:H500"/>
    <mergeCell ref="C501:D501"/>
    <mergeCell ref="F501:H501"/>
    <mergeCell ref="C502:D502"/>
    <mergeCell ref="F502:H502"/>
    <mergeCell ref="C503:D503"/>
    <mergeCell ref="F503:H503"/>
    <mergeCell ref="C504:D504"/>
    <mergeCell ref="F504:H504"/>
    <mergeCell ref="C11:E11"/>
    <mergeCell ref="C525:D525"/>
    <mergeCell ref="F525:H525"/>
    <mergeCell ref="C526:D526"/>
    <mergeCell ref="F526:H526"/>
    <mergeCell ref="C527:D527"/>
    <mergeCell ref="F527:H527"/>
    <mergeCell ref="C520:D520"/>
    <mergeCell ref="F520:H520"/>
    <mergeCell ref="C521:D521"/>
    <mergeCell ref="F521:H521"/>
    <mergeCell ref="C522:D522"/>
    <mergeCell ref="F522:H522"/>
    <mergeCell ref="C523:D523"/>
    <mergeCell ref="F523:H523"/>
    <mergeCell ref="C524:D524"/>
    <mergeCell ref="F524:H524"/>
    <mergeCell ref="C515:D515"/>
    <mergeCell ref="F515:H515"/>
    <mergeCell ref="C516:D516"/>
    <mergeCell ref="F516:H516"/>
    <mergeCell ref="C517:D517"/>
    <mergeCell ref="F517:H517"/>
    <mergeCell ref="C518:D518"/>
    <mergeCell ref="F518:H518"/>
    <mergeCell ref="C519:D519"/>
    <mergeCell ref="F519:H519"/>
    <mergeCell ref="C510:D510"/>
    <mergeCell ref="F510:H510"/>
    <mergeCell ref="C511:D511"/>
    <mergeCell ref="F511:H511"/>
    <mergeCell ref="C512:D512"/>
  </mergeCells>
  <dataValidations count="2">
    <dataValidation type="list" allowBlank="1" showInputMessage="1" showErrorMessage="1" sqref="X28:X527" xr:uid="{00000000-0002-0000-0200-000001000000}">
      <formula1>$H$12:$H$19</formula1>
    </dataValidation>
    <dataValidation type="list" allowBlank="1" showInputMessage="1" showErrorMessage="1" sqref="Y28:Y527" xr:uid="{00000000-0002-0000-0200-000000000000}">
      <formula1>$L$12:$L$19</formula1>
    </dataValidation>
  </dataValidations>
  <pageMargins left="0.70866141732283472" right="0.70866141732283472" top="0.74803149606299213" bottom="0.74803149606299213" header="0.31496062992125984" footer="0.31496062992125984"/>
  <pageSetup paperSize="9" scale="25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2000000}">
          <x14:formula1>
            <xm:f>Listes!$B$19:$B$70</xm:f>
          </x14:formula1>
          <xm:sqref>I28:I527</xm:sqref>
        </x14:dataValidation>
        <x14:dataValidation type="list" allowBlank="1" showInputMessage="1" showErrorMessage="1" xr:uid="{00000000-0002-0000-0200-000003000000}">
          <x14:formula1>
            <xm:f>Listes!$M$4:$M$15</xm:f>
          </x14:formula1>
          <xm:sqref>F28:H527</xm:sqref>
        </x14:dataValidation>
        <x14:dataValidation type="list" allowBlank="1" showInputMessage="1" showErrorMessage="1" xr:uid="{00000000-0002-0000-0200-000004000000}">
          <x14:formula1>
            <xm:f>Listes!$L$4:$L$8</xm:f>
          </x14:formula1>
          <xm:sqref>C28:D527</xm:sqref>
        </x14:dataValidation>
        <x14:dataValidation type="list" allowBlank="1" showInputMessage="1" showErrorMessage="1" xr:uid="{00000000-0002-0000-0200-000005000000}">
          <x14:formula1>
            <xm:f>Listes!$J$19:$J$23</xm:f>
          </x14:formula1>
          <xm:sqref>H12:H21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autoPageBreaks="0" fitToPage="1"/>
  </sheetPr>
  <dimension ref="A1:T54"/>
  <sheetViews>
    <sheetView showGridLines="0" showZeros="0" zoomScale="90" zoomScaleNormal="90" workbookViewId="0">
      <selection activeCell="C17" sqref="C17"/>
    </sheetView>
  </sheetViews>
  <sheetFormatPr baseColWidth="10" defaultRowHeight="15" x14ac:dyDescent="0.25"/>
  <cols>
    <col min="1" max="1" width="9" customWidth="1"/>
    <col min="2" max="2" width="6.5703125" customWidth="1"/>
    <col min="3" max="3" width="16.7109375" customWidth="1"/>
    <col min="4" max="4" width="28.5703125" customWidth="1"/>
    <col min="5" max="6" width="13.7109375" customWidth="1"/>
    <col min="7" max="7" width="28.7109375" customWidth="1"/>
    <col min="8" max="8" width="28.7109375" style="1" customWidth="1"/>
    <col min="9" max="9" width="16.7109375" style="1" customWidth="1"/>
    <col min="10" max="10" width="13.7109375" customWidth="1"/>
    <col min="11" max="12" width="16.7109375" customWidth="1"/>
    <col min="13" max="13" width="39.7109375" customWidth="1"/>
    <col min="14" max="15" width="13.7109375" customWidth="1"/>
    <col min="16" max="17" width="16.7109375" customWidth="1"/>
    <col min="18" max="18" width="39.7109375" customWidth="1"/>
    <col min="19" max="19" width="16.140625" customWidth="1"/>
    <col min="20" max="20" width="39.7109375" customWidth="1"/>
  </cols>
  <sheetData>
    <row r="1" spans="1:20" s="8" customFormat="1" x14ac:dyDescent="0.25">
      <c r="A1" s="13"/>
      <c r="B1" s="14" t="s">
        <v>10</v>
      </c>
      <c r="D1" s="184"/>
    </row>
    <row r="2" spans="1:20" s="8" customFormat="1" x14ac:dyDescent="0.25">
      <c r="A2" s="13"/>
      <c r="B2" s="14" t="s">
        <v>11</v>
      </c>
      <c r="D2" s="184"/>
    </row>
    <row r="3" spans="1:20" s="8" customFormat="1" x14ac:dyDescent="0.25">
      <c r="A3" s="13"/>
      <c r="B3" s="15" t="s">
        <v>12</v>
      </c>
      <c r="D3" s="184"/>
      <c r="J3" s="205">
        <f ca="1">NOW()</f>
        <v>46029.499411574077</v>
      </c>
      <c r="K3" s="205"/>
    </row>
    <row r="4" spans="1:20" x14ac:dyDescent="0.25">
      <c r="H4"/>
      <c r="I4"/>
    </row>
    <row r="6" spans="1:20" ht="23.25" x14ac:dyDescent="0.35">
      <c r="B6" s="2" t="s">
        <v>273</v>
      </c>
    </row>
    <row r="7" spans="1:20" ht="8.25" customHeight="1" x14ac:dyDescent="0.35">
      <c r="B7" s="2"/>
    </row>
    <row r="8" spans="1:20" ht="18.75" x14ac:dyDescent="0.3">
      <c r="B8" s="172" t="s">
        <v>0</v>
      </c>
    </row>
    <row r="9" spans="1:20" ht="16.5" customHeight="1" x14ac:dyDescent="0.25">
      <c r="I9" s="255"/>
      <c r="J9" s="255"/>
      <c r="K9" s="255"/>
      <c r="L9" s="255"/>
    </row>
    <row r="11" spans="1:20" s="6" customFormat="1" ht="18.75" customHeight="1" x14ac:dyDescent="0.25">
      <c r="B11" s="12" t="s">
        <v>8</v>
      </c>
      <c r="C11" s="5"/>
      <c r="D11" s="5"/>
      <c r="E11" s="5"/>
      <c r="F11" s="5"/>
      <c r="G11" s="5"/>
      <c r="H11" s="7"/>
      <c r="I11" s="7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6" customFormat="1" ht="18.75" customHeight="1" x14ac:dyDescent="0.25">
      <c r="B12" s="39"/>
      <c r="C12" s="40"/>
      <c r="D12" s="40"/>
      <c r="E12" s="40"/>
      <c r="F12" s="40"/>
      <c r="G12" s="40"/>
      <c r="H12" s="41"/>
      <c r="I12" s="41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</row>
    <row r="13" spans="1:20" s="6" customFormat="1" ht="15" customHeight="1" x14ac:dyDescent="0.25">
      <c r="B13" s="39"/>
      <c r="C13" s="40"/>
      <c r="D13" s="40"/>
      <c r="E13" s="40"/>
      <c r="F13" s="40"/>
      <c r="G13" s="40"/>
      <c r="H13" s="41"/>
      <c r="I13" s="41"/>
      <c r="J13" s="40"/>
      <c r="K13" s="40"/>
      <c r="L13" s="248" t="s">
        <v>300</v>
      </c>
      <c r="M13" s="249"/>
      <c r="N13" s="200"/>
      <c r="O13" s="200"/>
      <c r="P13" s="200"/>
      <c r="Q13" s="248" t="s">
        <v>300</v>
      </c>
      <c r="R13" s="249"/>
      <c r="S13" s="40"/>
      <c r="T13" s="40"/>
    </row>
    <row r="14" spans="1:20" x14ac:dyDescent="0.25">
      <c r="J14" s="256" t="str">
        <f>IF('Informations générales'!E14="ZDPPE","LOCATIF - NON APPLICABLE","LOCATIF")</f>
        <v>LOCATIF</v>
      </c>
      <c r="K14" s="257"/>
      <c r="L14" s="257"/>
      <c r="M14" s="258"/>
      <c r="N14" s="259" t="str">
        <f>IF('Informations générales'!E14="ZDPPE","VENTE","VENTE - NON APPLICABLE")</f>
        <v>VENTE - NON APPLICABLE</v>
      </c>
      <c r="O14" s="260"/>
      <c r="P14" s="260"/>
      <c r="Q14" s="260"/>
      <c r="R14" s="260"/>
      <c r="S14" s="42"/>
    </row>
    <row r="15" spans="1:20" ht="44.25" customHeight="1" x14ac:dyDescent="0.25">
      <c r="B15" s="22"/>
      <c r="C15" s="19" t="s">
        <v>165</v>
      </c>
      <c r="D15" s="19" t="s">
        <v>307</v>
      </c>
      <c r="E15" s="21" t="s">
        <v>125</v>
      </c>
      <c r="F15" s="21" t="s">
        <v>126</v>
      </c>
      <c r="G15" s="19" t="s">
        <v>176</v>
      </c>
      <c r="H15" s="21" t="s">
        <v>311</v>
      </c>
      <c r="I15" s="21" t="s">
        <v>2</v>
      </c>
      <c r="J15" s="21" t="s">
        <v>309</v>
      </c>
      <c r="K15" s="21" t="s">
        <v>312</v>
      </c>
      <c r="L15" s="21" t="s">
        <v>313</v>
      </c>
      <c r="M15" s="21" t="s">
        <v>141</v>
      </c>
      <c r="N15" s="21" t="s">
        <v>177</v>
      </c>
      <c r="O15" s="21" t="s">
        <v>308</v>
      </c>
      <c r="P15" s="21" t="s">
        <v>178</v>
      </c>
      <c r="Q15" s="21" t="s">
        <v>315</v>
      </c>
      <c r="R15" s="21" t="s">
        <v>142</v>
      </c>
      <c r="S15" s="21" t="str">
        <f>IF('Informations générales'!E14="ZDPPE","Fr./m²","Fr./m²/an")</f>
        <v>Fr./m²/an</v>
      </c>
      <c r="T15" s="21" t="s">
        <v>134</v>
      </c>
    </row>
    <row r="16" spans="1:20" s="138" customFormat="1" x14ac:dyDescent="0.25">
      <c r="B16" s="139" t="s">
        <v>218</v>
      </c>
      <c r="C16" s="140"/>
      <c r="D16" s="140"/>
      <c r="E16" s="141"/>
      <c r="F16" s="142"/>
      <c r="G16" s="143"/>
      <c r="H16" s="168"/>
      <c r="I16" s="156">
        <f>SUM(I17:I31)</f>
        <v>0</v>
      </c>
      <c r="J16" s="153"/>
      <c r="K16" s="144">
        <f>SUM(K17:K31)</f>
        <v>0</v>
      </c>
      <c r="L16" s="144">
        <f>SUM(L17:L31)</f>
        <v>0</v>
      </c>
      <c r="M16" s="145"/>
      <c r="N16" s="145"/>
      <c r="O16" s="149">
        <f>SUM(O17:O31)</f>
        <v>0</v>
      </c>
      <c r="P16" s="144">
        <f>SUM(P17:P31)</f>
        <v>0</v>
      </c>
      <c r="Q16" s="144">
        <f>SUM(Q17:Q31)</f>
        <v>0</v>
      </c>
      <c r="R16" s="145"/>
      <c r="S16" s="146"/>
      <c r="T16" s="145"/>
    </row>
    <row r="17" spans="2:20" s="16" customFormat="1" x14ac:dyDescent="0.25">
      <c r="B17" s="25"/>
      <c r="C17" s="90"/>
      <c r="D17" s="90"/>
      <c r="E17" s="77"/>
      <c r="F17" s="76"/>
      <c r="G17" s="91"/>
      <c r="H17" s="90"/>
      <c r="I17" s="115" t="str">
        <f>IFERROR(IF('Informations générales'!E15="ZDPPE",O17*VLOOKUP(G17,Listes!$M$19:$N$27,2),J17*VLOOKUP(G17,Listes!$M$19:$N$27,2)),"")</f>
        <v/>
      </c>
      <c r="J17" s="154"/>
      <c r="K17" s="116"/>
      <c r="L17" s="117"/>
      <c r="M17" s="92"/>
      <c r="N17" s="92"/>
      <c r="O17" s="150"/>
      <c r="P17" s="117"/>
      <c r="Q17" s="117"/>
      <c r="R17" s="92"/>
      <c r="S17" s="118" t="str">
        <f>IFERROR(IF('Informations générales'!$E$14="ZDPPE",IF(Q17=0,P17/O17,Q17/O17),IF(L17=0,K17/J17,L17/J17)),"")</f>
        <v/>
      </c>
      <c r="T17" s="92"/>
    </row>
    <row r="18" spans="2:20" s="16" customFormat="1" x14ac:dyDescent="0.25">
      <c r="B18" s="25"/>
      <c r="C18" s="90"/>
      <c r="D18" s="90"/>
      <c r="E18" s="77"/>
      <c r="F18" s="76"/>
      <c r="G18" s="91"/>
      <c r="H18" s="90"/>
      <c r="I18" s="115" t="str">
        <f>IFERROR(IF('Informations générales'!E15="ZDPPE",O18*VLOOKUP(G18,Listes!$M$19:$N$27,2),J18*VLOOKUP(G18,Listes!$M$19:$N$27,2)),"")</f>
        <v/>
      </c>
      <c r="J18" s="154"/>
      <c r="K18" s="116"/>
      <c r="L18" s="117"/>
      <c r="M18" s="92"/>
      <c r="N18" s="92"/>
      <c r="O18" s="150"/>
      <c r="P18" s="117"/>
      <c r="Q18" s="117"/>
      <c r="R18" s="92"/>
      <c r="S18" s="118" t="str">
        <f>IFERROR(IF('Informations générales'!$E$14="ZDPPE",IF(Q18=0,P18/O18,Q18/O18),IF(L18=0,K18/J18,L18/J18)),"")</f>
        <v/>
      </c>
      <c r="T18" s="92"/>
    </row>
    <row r="19" spans="2:20" s="16" customFormat="1" x14ac:dyDescent="0.25">
      <c r="B19" s="25"/>
      <c r="C19" s="90"/>
      <c r="D19" s="90"/>
      <c r="E19" s="77"/>
      <c r="F19" s="76"/>
      <c r="G19" s="91"/>
      <c r="H19" s="90"/>
      <c r="I19" s="115" t="str">
        <f>IFERROR(IF('Informations générales'!E16="ZDPPE",O19*VLOOKUP(G19,Listes!$M$19:$N$27,2),J19*VLOOKUP(G19,Listes!$M$19:$N$27,2)),"")</f>
        <v/>
      </c>
      <c r="J19" s="154"/>
      <c r="K19" s="116"/>
      <c r="L19" s="117"/>
      <c r="M19" s="92"/>
      <c r="N19" s="92"/>
      <c r="O19" s="150"/>
      <c r="P19" s="117"/>
      <c r="Q19" s="117"/>
      <c r="R19" s="92"/>
      <c r="S19" s="118" t="str">
        <f>IFERROR(IF('Informations générales'!$E$14="ZDPPE",IF(Q19=0,P19/O19,Q19/O19),IF(L19=0,K19/J19,L19/J19)),"")</f>
        <v/>
      </c>
      <c r="T19" s="92"/>
    </row>
    <row r="20" spans="2:20" s="16" customFormat="1" x14ac:dyDescent="0.25">
      <c r="B20" s="25"/>
      <c r="C20" s="90"/>
      <c r="D20" s="90"/>
      <c r="E20" s="77"/>
      <c r="F20" s="76"/>
      <c r="G20" s="91"/>
      <c r="H20" s="90"/>
      <c r="I20" s="115" t="str">
        <f>IFERROR(IF('Informations générales'!E17="ZDPPE",O20*VLOOKUP(G20,Listes!$M$19:$N$27,2),J20*VLOOKUP(G20,Listes!$M$19:$N$27,2)),"")</f>
        <v/>
      </c>
      <c r="J20" s="154"/>
      <c r="K20" s="116"/>
      <c r="L20" s="117"/>
      <c r="M20" s="92"/>
      <c r="N20" s="92"/>
      <c r="O20" s="150"/>
      <c r="P20" s="117"/>
      <c r="Q20" s="117"/>
      <c r="R20" s="92"/>
      <c r="S20" s="118" t="str">
        <f>IFERROR(IF('Informations générales'!$E$14="ZDPPE",IF(Q20=0,P20/O20,Q20/O20),IF(L20=0,K20/J20,L20/J20)),"")</f>
        <v/>
      </c>
      <c r="T20" s="92"/>
    </row>
    <row r="21" spans="2:20" s="16" customFormat="1" x14ac:dyDescent="0.25">
      <c r="B21" s="25"/>
      <c r="C21" s="90"/>
      <c r="D21" s="90"/>
      <c r="E21" s="77"/>
      <c r="F21" s="76"/>
      <c r="G21" s="91"/>
      <c r="H21" s="90"/>
      <c r="I21" s="115" t="str">
        <f>IFERROR(IF('Informations générales'!E19="ZDPPE",O21*VLOOKUP(G21,Listes!$M$19:$N$27,2),J21*VLOOKUP(G21,Listes!$M$19:$N$27,2)),"")</f>
        <v/>
      </c>
      <c r="J21" s="154"/>
      <c r="K21" s="116"/>
      <c r="L21" s="117"/>
      <c r="M21" s="92"/>
      <c r="N21" s="92"/>
      <c r="O21" s="150"/>
      <c r="P21" s="117"/>
      <c r="Q21" s="117"/>
      <c r="R21" s="92"/>
      <c r="S21" s="118" t="str">
        <f>IFERROR(IF('Informations générales'!$E$14="ZDPPE",IF(Q21=0,P21/O21,Q21/O21),IF(L21=0,K21/J21,L21/J21)),"")</f>
        <v/>
      </c>
      <c r="T21" s="92"/>
    </row>
    <row r="22" spans="2:20" s="16" customFormat="1" x14ac:dyDescent="0.25">
      <c r="B22" s="25"/>
      <c r="C22" s="90"/>
      <c r="D22" s="90"/>
      <c r="E22" s="77"/>
      <c r="F22" s="76"/>
      <c r="G22" s="91"/>
      <c r="H22" s="90"/>
      <c r="I22" s="115" t="str">
        <f>IFERROR(IF('Informations générales'!E19="ZDPPE",O22*VLOOKUP(G22,Listes!$M$19:$N$27,2),J22*VLOOKUP(G22,Listes!$M$19:$N$27,2)),"")</f>
        <v/>
      </c>
      <c r="J22" s="154"/>
      <c r="K22" s="116"/>
      <c r="L22" s="117"/>
      <c r="M22" s="92"/>
      <c r="N22" s="92"/>
      <c r="O22" s="150"/>
      <c r="P22" s="117"/>
      <c r="Q22" s="117"/>
      <c r="R22" s="92"/>
      <c r="S22" s="118" t="str">
        <f>IFERROR(IF('Informations générales'!$E$14="ZDPPE",IF(Q22=0,P22/O22,Q22/O22),IF(L22=0,K22/J22,L22/J22)),"")</f>
        <v/>
      </c>
      <c r="T22" s="92"/>
    </row>
    <row r="23" spans="2:20" s="16" customFormat="1" x14ac:dyDescent="0.25">
      <c r="B23" s="25"/>
      <c r="C23" s="90"/>
      <c r="D23" s="90"/>
      <c r="E23" s="77"/>
      <c r="F23" s="76"/>
      <c r="G23" s="91"/>
      <c r="H23" s="90"/>
      <c r="I23" s="115" t="str">
        <f>IFERROR(IF('Informations générales'!E20="ZDPPE",O23*VLOOKUP(G23,Listes!$M$19:$N$27,2),J23*VLOOKUP(G23,Listes!$M$19:$N$27,2)),"")</f>
        <v/>
      </c>
      <c r="J23" s="154"/>
      <c r="K23" s="116"/>
      <c r="L23" s="117"/>
      <c r="M23" s="92"/>
      <c r="N23" s="92"/>
      <c r="O23" s="150"/>
      <c r="P23" s="117"/>
      <c r="Q23" s="117"/>
      <c r="R23" s="92"/>
      <c r="S23" s="118" t="str">
        <f>IFERROR(IF('Informations générales'!$E$14="ZDPPE",IF(Q23=0,P23/O23,Q23/O23),IF(L23=0,K23/J23,L23/J23)),"")</f>
        <v/>
      </c>
      <c r="T23" s="92"/>
    </row>
    <row r="24" spans="2:20" s="16" customFormat="1" x14ac:dyDescent="0.25">
      <c r="B24" s="25"/>
      <c r="C24" s="90"/>
      <c r="D24" s="90"/>
      <c r="E24" s="77"/>
      <c r="F24" s="76"/>
      <c r="G24" s="91"/>
      <c r="H24" s="90"/>
      <c r="I24" s="115" t="str">
        <f>IFERROR(IF('Informations générales'!E21="ZDPPE",O24*VLOOKUP(G24,Listes!$M$19:$N$27,2),J24*VLOOKUP(G24,Listes!$M$19:$N$27,2)),"")</f>
        <v/>
      </c>
      <c r="J24" s="154"/>
      <c r="K24" s="116"/>
      <c r="L24" s="117"/>
      <c r="M24" s="92"/>
      <c r="N24" s="92"/>
      <c r="O24" s="150"/>
      <c r="P24" s="117"/>
      <c r="Q24" s="117"/>
      <c r="R24" s="92"/>
      <c r="S24" s="118" t="str">
        <f>IFERROR(IF('Informations générales'!$E$14="ZDPPE",IF(Q24=0,P24/O24,Q24/O24),IF(L24=0,K24/J24,L24/J24)),"")</f>
        <v/>
      </c>
      <c r="T24" s="92"/>
    </row>
    <row r="25" spans="2:20" s="16" customFormat="1" x14ac:dyDescent="0.25">
      <c r="B25" s="25"/>
      <c r="C25" s="90"/>
      <c r="D25" s="90"/>
      <c r="E25" s="77"/>
      <c r="F25" s="76"/>
      <c r="G25" s="91"/>
      <c r="H25" s="90"/>
      <c r="I25" s="115" t="str">
        <f>IFERROR(IF('Informations générales'!E22="ZDPPE",O25*VLOOKUP(G25,Listes!$M$19:$N$27,2),J25*VLOOKUP(G25,Listes!$M$19:$N$27,2)),"")</f>
        <v/>
      </c>
      <c r="J25" s="154"/>
      <c r="K25" s="116"/>
      <c r="L25" s="117"/>
      <c r="M25" s="92"/>
      <c r="N25" s="92"/>
      <c r="O25" s="150"/>
      <c r="P25" s="117"/>
      <c r="Q25" s="117"/>
      <c r="R25" s="92"/>
      <c r="S25" s="118" t="str">
        <f>IFERROR(IF('Informations générales'!$E$14="ZDPPE",IF(Q25=0,P25/O25,Q25/O25),IF(L25=0,K25/J25,L25/J25)),"")</f>
        <v/>
      </c>
      <c r="T25" s="92"/>
    </row>
    <row r="26" spans="2:20" s="16" customFormat="1" x14ac:dyDescent="0.25">
      <c r="B26" s="25"/>
      <c r="C26" s="90"/>
      <c r="D26" s="90"/>
      <c r="E26" s="77"/>
      <c r="F26" s="76"/>
      <c r="G26" s="91"/>
      <c r="H26" s="90"/>
      <c r="I26" s="115" t="str">
        <f>IFERROR(IF('Informations générales'!E23="ZDPPE",O26*VLOOKUP(G26,Listes!$M$19:$N$27,2),J26*VLOOKUP(G26,Listes!$M$19:$N$27,2)),"")</f>
        <v/>
      </c>
      <c r="J26" s="154"/>
      <c r="K26" s="116"/>
      <c r="L26" s="117"/>
      <c r="M26" s="92"/>
      <c r="N26" s="92"/>
      <c r="O26" s="150"/>
      <c r="P26" s="117"/>
      <c r="Q26" s="117"/>
      <c r="R26" s="92"/>
      <c r="S26" s="118" t="str">
        <f>IFERROR(IF('Informations générales'!$E$14="ZDPPE",IF(Q26=0,P26/O26,Q26/O26),IF(L26=0,K26/J26,L26/J26)),"")</f>
        <v/>
      </c>
      <c r="T26" s="92"/>
    </row>
    <row r="27" spans="2:20" s="16" customFormat="1" x14ac:dyDescent="0.25">
      <c r="B27" s="25"/>
      <c r="C27" s="90"/>
      <c r="D27" s="90"/>
      <c r="E27" s="77"/>
      <c r="F27" s="76"/>
      <c r="G27" s="91"/>
      <c r="H27" s="90"/>
      <c r="I27" s="115" t="str">
        <f>IFERROR(IF('Informations générales'!E24="ZDPPE",O27*VLOOKUP(G27,Listes!$M$19:$N$27,2),J27*VLOOKUP(G27,Listes!$M$19:$N$27,2)),"")</f>
        <v/>
      </c>
      <c r="J27" s="154"/>
      <c r="K27" s="116"/>
      <c r="L27" s="117"/>
      <c r="M27" s="92"/>
      <c r="N27" s="92"/>
      <c r="O27" s="150"/>
      <c r="P27" s="117"/>
      <c r="Q27" s="117"/>
      <c r="R27" s="92"/>
      <c r="S27" s="118" t="str">
        <f>IFERROR(IF('Informations générales'!$E$14="ZDPPE",IF(Q27=0,P27/O27,Q27/O27),IF(L27=0,K27/J27,L27/J27)),"")</f>
        <v/>
      </c>
      <c r="T27" s="92"/>
    </row>
    <row r="28" spans="2:20" s="16" customFormat="1" x14ac:dyDescent="0.25">
      <c r="B28" s="25"/>
      <c r="C28" s="90"/>
      <c r="D28" s="90"/>
      <c r="E28" s="77"/>
      <c r="F28" s="76"/>
      <c r="G28" s="91"/>
      <c r="H28" s="90"/>
      <c r="I28" s="115" t="str">
        <f>IFERROR(IF('Informations générales'!E25="ZDPPE",O28*VLOOKUP(G28,Listes!$M$19:$N$27,2),J28*VLOOKUP(G28,Listes!$M$19:$N$27,2)),"")</f>
        <v/>
      </c>
      <c r="J28" s="154"/>
      <c r="K28" s="116"/>
      <c r="L28" s="117"/>
      <c r="M28" s="92"/>
      <c r="N28" s="92"/>
      <c r="O28" s="150"/>
      <c r="P28" s="117"/>
      <c r="Q28" s="117"/>
      <c r="R28" s="92"/>
      <c r="S28" s="118" t="str">
        <f>IFERROR(IF('Informations générales'!$E$14="ZDPPE",IF(Q28=0,P28/O28,Q28/O28),IF(L28=0,K28/J28,L28/J28)),"")</f>
        <v/>
      </c>
      <c r="T28" s="92"/>
    </row>
    <row r="29" spans="2:20" s="16" customFormat="1" x14ac:dyDescent="0.25">
      <c r="B29" s="25"/>
      <c r="C29" s="90"/>
      <c r="D29" s="90"/>
      <c r="E29" s="77"/>
      <c r="F29" s="76"/>
      <c r="G29" s="91"/>
      <c r="H29" s="90"/>
      <c r="I29" s="115" t="str">
        <f>IFERROR(IF('Informations générales'!E26="ZDPPE",O29*VLOOKUP(G29,Listes!$M$19:$N$27,2),J29*VLOOKUP(G29,Listes!$M$19:$N$27,2)),"")</f>
        <v/>
      </c>
      <c r="J29" s="154"/>
      <c r="K29" s="116"/>
      <c r="L29" s="117"/>
      <c r="M29" s="92"/>
      <c r="N29" s="92"/>
      <c r="O29" s="150"/>
      <c r="P29" s="117"/>
      <c r="Q29" s="117"/>
      <c r="R29" s="92"/>
      <c r="S29" s="118" t="str">
        <f>IFERROR(IF('Informations générales'!$E$14="ZDPPE",IF(Q29=0,P29/O29,Q29/O29),IF(L29=0,K29/J29,L29/J29)),"")</f>
        <v/>
      </c>
      <c r="T29" s="92"/>
    </row>
    <row r="30" spans="2:20" s="16" customFormat="1" x14ac:dyDescent="0.25">
      <c r="B30" s="25"/>
      <c r="C30" s="90"/>
      <c r="D30" s="90"/>
      <c r="E30" s="77"/>
      <c r="F30" s="76"/>
      <c r="G30" s="91"/>
      <c r="H30" s="90"/>
      <c r="I30" s="115"/>
      <c r="J30" s="154"/>
      <c r="K30" s="116"/>
      <c r="L30" s="117"/>
      <c r="M30" s="92"/>
      <c r="N30" s="92"/>
      <c r="O30" s="150"/>
      <c r="P30" s="117"/>
      <c r="Q30" s="117"/>
      <c r="R30" s="92"/>
      <c r="S30" s="118" t="str">
        <f>IFERROR(IF('Informations générales'!$E$14="ZDPPE",IF(Q30=0,P30/O30,Q30/O30),IF(L30=0,K30/J30,L30/J30)),"")</f>
        <v/>
      </c>
      <c r="T30" s="92"/>
    </row>
    <row r="31" spans="2:20" s="16" customFormat="1" x14ac:dyDescent="0.25">
      <c r="B31" s="25"/>
      <c r="C31" s="90"/>
      <c r="D31" s="90"/>
      <c r="E31" s="77"/>
      <c r="F31" s="76"/>
      <c r="G31" s="91"/>
      <c r="H31" s="90"/>
      <c r="I31" s="115"/>
      <c r="J31" s="154"/>
      <c r="K31" s="116"/>
      <c r="L31" s="117"/>
      <c r="M31" s="92"/>
      <c r="N31" s="92"/>
      <c r="O31" s="150"/>
      <c r="P31" s="117"/>
      <c r="Q31" s="117"/>
      <c r="R31" s="92"/>
      <c r="S31" s="118" t="str">
        <f>IFERROR(IF('Informations générales'!$E$14="ZDPPE",IF(Q31=0,P31/O31,Q31/O31),IF(L31=0,K31/J31,L31/J31)),"")</f>
        <v/>
      </c>
      <c r="T31" s="92"/>
    </row>
    <row r="34" spans="2:20" s="6" customFormat="1" ht="18.75" customHeight="1" x14ac:dyDescent="0.25">
      <c r="B34" s="12" t="s">
        <v>9</v>
      </c>
      <c r="C34" s="5"/>
      <c r="D34" s="5"/>
      <c r="E34" s="5"/>
      <c r="F34" s="5"/>
      <c r="G34" s="5"/>
      <c r="H34" s="7"/>
      <c r="I34" s="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2:20" s="6" customFormat="1" ht="18.75" customHeight="1" x14ac:dyDescent="0.25">
      <c r="B35" s="39"/>
      <c r="C35" s="40"/>
      <c r="D35" s="40"/>
      <c r="E35" s="40"/>
      <c r="F35" s="40"/>
      <c r="G35" s="40"/>
      <c r="H35" s="41"/>
      <c r="I35" s="41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2:20" ht="15" customHeight="1" x14ac:dyDescent="0.25">
      <c r="B36" s="197"/>
      <c r="J36" s="173"/>
      <c r="K36" s="173"/>
      <c r="L36" s="246" t="s">
        <v>300</v>
      </c>
      <c r="M36" s="247"/>
      <c r="Q36" s="246" t="s">
        <v>300</v>
      </c>
      <c r="R36" s="247"/>
    </row>
    <row r="37" spans="2:20" x14ac:dyDescent="0.25">
      <c r="J37" s="43"/>
      <c r="K37" s="256" t="str">
        <f>IF('Informations générales'!E14="ZDPPE","LOCATIF - NON APPLICABLE","LOCATIF")</f>
        <v>LOCATIF</v>
      </c>
      <c r="L37" s="257"/>
      <c r="M37" s="257"/>
      <c r="N37" s="256" t="str">
        <f>IF('Informations générales'!E14="ZDPPE","VENTE","VENTE - NON APPLICABLE")</f>
        <v>VENTE - NON APPLICABLE</v>
      </c>
      <c r="O37" s="257"/>
      <c r="P37" s="257"/>
      <c r="Q37" s="257"/>
      <c r="R37" s="258"/>
      <c r="S37" s="44"/>
      <c r="T37" s="29"/>
    </row>
    <row r="38" spans="2:20" ht="44.25" customHeight="1" x14ac:dyDescent="0.25">
      <c r="B38" s="22"/>
      <c r="C38" s="243" t="s">
        <v>165</v>
      </c>
      <c r="D38" s="244"/>
      <c r="E38" s="245"/>
      <c r="F38" s="21" t="s">
        <v>126</v>
      </c>
      <c r="G38" s="19" t="s">
        <v>176</v>
      </c>
      <c r="H38" s="21" t="s">
        <v>1</v>
      </c>
      <c r="I38" s="21" t="s">
        <v>2</v>
      </c>
      <c r="J38" s="21" t="s">
        <v>310</v>
      </c>
      <c r="K38" s="21" t="s">
        <v>312</v>
      </c>
      <c r="L38" s="21" t="s">
        <v>314</v>
      </c>
      <c r="M38" s="21" t="s">
        <v>179</v>
      </c>
      <c r="N38" s="235" t="s">
        <v>177</v>
      </c>
      <c r="O38" s="237"/>
      <c r="P38" s="21" t="s">
        <v>178</v>
      </c>
      <c r="Q38" s="199" t="s">
        <v>315</v>
      </c>
      <c r="R38" s="199" t="s">
        <v>142</v>
      </c>
      <c r="S38" s="21" t="str">
        <f>IF('Informations générales'!E14="ZDPPE","Fr./unité","Fr./unité/an")</f>
        <v>Fr./unité/an</v>
      </c>
      <c r="T38" s="21" t="s">
        <v>134</v>
      </c>
    </row>
    <row r="39" spans="2:20" s="138" customFormat="1" x14ac:dyDescent="0.25">
      <c r="B39" s="139" t="s">
        <v>218</v>
      </c>
      <c r="C39" s="140"/>
      <c r="D39" s="140"/>
      <c r="E39" s="141"/>
      <c r="F39" s="142"/>
      <c r="G39" s="143"/>
      <c r="H39" s="168"/>
      <c r="I39" s="156">
        <f>SUM(I40:I54)</f>
        <v>0</v>
      </c>
      <c r="J39" s="147"/>
      <c r="K39" s="144">
        <f>SUM(K40:K54)</f>
        <v>0</v>
      </c>
      <c r="L39" s="144">
        <f>SUM(L40:L54)</f>
        <v>0</v>
      </c>
      <c r="M39" s="145"/>
      <c r="N39" s="253"/>
      <c r="O39" s="254"/>
      <c r="P39" s="144">
        <f>SUM(P40:P54)</f>
        <v>0</v>
      </c>
      <c r="Q39" s="144">
        <f>SUM(Q40:Q54)</f>
        <v>0</v>
      </c>
      <c r="R39" s="145"/>
      <c r="S39" s="148"/>
      <c r="T39" s="145"/>
    </row>
    <row r="40" spans="2:20" s="16" customFormat="1" x14ac:dyDescent="0.25">
      <c r="B40" s="25"/>
      <c r="C40" s="250"/>
      <c r="D40" s="251"/>
      <c r="E40" s="252"/>
      <c r="F40" s="76"/>
      <c r="G40" s="91"/>
      <c r="H40" s="90"/>
      <c r="I40" s="115" t="str">
        <f>IFERROR(VLOOKUP(G40,Listes!$Q$19:$R$26,2)*J40,"")</f>
        <v/>
      </c>
      <c r="J40" s="119"/>
      <c r="K40" s="116"/>
      <c r="L40" s="117"/>
      <c r="M40" s="92"/>
      <c r="N40" s="209"/>
      <c r="O40" s="210"/>
      <c r="P40" s="117"/>
      <c r="Q40" s="117"/>
      <c r="R40" s="92"/>
      <c r="S40" s="120" t="str">
        <f>IFERROR(IF('Informations générales'!$E$14="ZDPPE",IF(Q40&lt;&gt;0,Q40/J40,P40/J40),IF(L40&lt;&gt;0,L40/J40,K40/J40)),"")</f>
        <v/>
      </c>
      <c r="T40" s="92"/>
    </row>
    <row r="41" spans="2:20" s="16" customFormat="1" x14ac:dyDescent="0.25">
      <c r="B41" s="25"/>
      <c r="C41" s="250"/>
      <c r="D41" s="251"/>
      <c r="E41" s="252"/>
      <c r="F41" s="76"/>
      <c r="G41" s="91"/>
      <c r="H41" s="90"/>
      <c r="I41" s="115" t="str">
        <f>IFERROR(VLOOKUP(G41,Listes!$Q$19:$R$26,2)*J41,"")</f>
        <v/>
      </c>
      <c r="J41" s="119"/>
      <c r="K41" s="116"/>
      <c r="L41" s="117"/>
      <c r="M41" s="92"/>
      <c r="N41" s="209"/>
      <c r="O41" s="210"/>
      <c r="P41" s="117"/>
      <c r="Q41" s="117"/>
      <c r="R41" s="92"/>
      <c r="S41" s="120" t="str">
        <f>IFERROR(IF('Informations générales'!$E$14="ZDPPE",IF(Q41&lt;&gt;0,Q41/J41,P41/J41),IF(L41&lt;&gt;0,L41/J41,K41/J41)),"")</f>
        <v/>
      </c>
      <c r="T41" s="92"/>
    </row>
    <row r="42" spans="2:20" s="16" customFormat="1" x14ac:dyDescent="0.25">
      <c r="B42" s="25"/>
      <c r="C42" s="250"/>
      <c r="D42" s="251"/>
      <c r="E42" s="252"/>
      <c r="F42" s="76"/>
      <c r="G42" s="91"/>
      <c r="H42" s="90"/>
      <c r="I42" s="115" t="str">
        <f>IFERROR(VLOOKUP(G42,Listes!$Q$19:$R$26,2)*J42,"")</f>
        <v/>
      </c>
      <c r="J42" s="119"/>
      <c r="K42" s="116"/>
      <c r="L42" s="117"/>
      <c r="M42" s="92"/>
      <c r="N42" s="209"/>
      <c r="O42" s="210"/>
      <c r="P42" s="117"/>
      <c r="Q42" s="117"/>
      <c r="R42" s="92"/>
      <c r="S42" s="120" t="str">
        <f>IFERROR(IF('Informations générales'!$E$14="ZDPPE",IF(Q42&lt;&gt;0,Q42/J42,P42/J42),IF(L42&lt;&gt;0,L42/J42,K42/J42)),"")</f>
        <v/>
      </c>
      <c r="T42" s="92"/>
    </row>
    <row r="43" spans="2:20" s="16" customFormat="1" x14ac:dyDescent="0.25">
      <c r="B43" s="25"/>
      <c r="C43" s="250"/>
      <c r="D43" s="251"/>
      <c r="E43" s="252"/>
      <c r="F43" s="76"/>
      <c r="G43" s="91"/>
      <c r="H43" s="90"/>
      <c r="I43" s="115" t="str">
        <f>IFERROR(VLOOKUP(G43,Listes!$Q$19:$R$26,2)*J43,"")</f>
        <v/>
      </c>
      <c r="J43" s="119"/>
      <c r="K43" s="116"/>
      <c r="L43" s="117"/>
      <c r="M43" s="92"/>
      <c r="N43" s="209"/>
      <c r="O43" s="210"/>
      <c r="P43" s="117"/>
      <c r="Q43" s="117"/>
      <c r="R43" s="92"/>
      <c r="S43" s="120" t="str">
        <f>IFERROR(IF('Informations générales'!$E$14="ZDPPE",IF(Q43&lt;&gt;0,Q43/J43,P43/J43),IF(L43&lt;&gt;0,L43/J43,K43/J43)),"")</f>
        <v/>
      </c>
      <c r="T43" s="92"/>
    </row>
    <row r="44" spans="2:20" s="16" customFormat="1" x14ac:dyDescent="0.25">
      <c r="B44" s="25"/>
      <c r="C44" s="250"/>
      <c r="D44" s="251"/>
      <c r="E44" s="252"/>
      <c r="F44" s="76"/>
      <c r="G44" s="91"/>
      <c r="H44" s="90"/>
      <c r="I44" s="115" t="str">
        <f>IFERROR(VLOOKUP(G44,Listes!$Q$19:$R$26,2)*J44,"")</f>
        <v/>
      </c>
      <c r="J44" s="119"/>
      <c r="K44" s="116"/>
      <c r="L44" s="117"/>
      <c r="M44" s="92"/>
      <c r="N44" s="209"/>
      <c r="O44" s="210"/>
      <c r="P44" s="117"/>
      <c r="Q44" s="117"/>
      <c r="R44" s="92"/>
      <c r="S44" s="120" t="str">
        <f>IFERROR(IF('Informations générales'!$E$14="ZDPPE",IF(Q44&lt;&gt;0,Q44/J44,P44/J44),IF(L44&lt;&gt;0,L44/J44,K44/J44)),"")</f>
        <v/>
      </c>
      <c r="T44" s="92"/>
    </row>
    <row r="45" spans="2:20" s="16" customFormat="1" x14ac:dyDescent="0.25">
      <c r="B45" s="25"/>
      <c r="C45" s="250"/>
      <c r="D45" s="251"/>
      <c r="E45" s="252"/>
      <c r="F45" s="76"/>
      <c r="G45" s="91"/>
      <c r="H45" s="90"/>
      <c r="I45" s="115" t="str">
        <f>IFERROR(VLOOKUP(G45,Listes!$Q$19:$R$26,2)*J45,"")</f>
        <v/>
      </c>
      <c r="J45" s="119"/>
      <c r="K45" s="116"/>
      <c r="L45" s="117"/>
      <c r="M45" s="92"/>
      <c r="N45" s="209"/>
      <c r="O45" s="210"/>
      <c r="P45" s="117"/>
      <c r="Q45" s="117"/>
      <c r="R45" s="92"/>
      <c r="S45" s="120" t="str">
        <f>IFERROR(IF('Informations générales'!$E$14="ZDPPE",IF(Q45&lt;&gt;0,Q45/J45,P45/J45),IF(L45&lt;&gt;0,L45/J45,K45/J45)),"")</f>
        <v/>
      </c>
      <c r="T45" s="92"/>
    </row>
    <row r="46" spans="2:20" s="16" customFormat="1" x14ac:dyDescent="0.25">
      <c r="B46" s="25"/>
      <c r="C46" s="250"/>
      <c r="D46" s="251"/>
      <c r="E46" s="252"/>
      <c r="F46" s="76"/>
      <c r="G46" s="91"/>
      <c r="H46" s="90"/>
      <c r="I46" s="115" t="str">
        <f>IFERROR(VLOOKUP(G46,Listes!$Q$19:$R$26,2)*J46,"")</f>
        <v/>
      </c>
      <c r="J46" s="119"/>
      <c r="K46" s="116"/>
      <c r="L46" s="117"/>
      <c r="M46" s="92"/>
      <c r="N46" s="209"/>
      <c r="O46" s="210"/>
      <c r="P46" s="117"/>
      <c r="Q46" s="117"/>
      <c r="R46" s="92"/>
      <c r="S46" s="120" t="str">
        <f>IFERROR(IF('Informations générales'!$E$14="ZDPPE",IF(Q46&lt;&gt;0,Q46/J46,P46/J46),IF(L46&lt;&gt;0,L46/J46,K46/J46)),"")</f>
        <v/>
      </c>
      <c r="T46" s="92"/>
    </row>
    <row r="47" spans="2:20" s="16" customFormat="1" x14ac:dyDescent="0.25">
      <c r="B47" s="25"/>
      <c r="C47" s="250"/>
      <c r="D47" s="251"/>
      <c r="E47" s="252"/>
      <c r="F47" s="76"/>
      <c r="G47" s="91"/>
      <c r="H47" s="90"/>
      <c r="I47" s="115" t="str">
        <f>IFERROR(VLOOKUP(G47,Listes!$Q$19:$R$26,2)*J47,"")</f>
        <v/>
      </c>
      <c r="J47" s="119"/>
      <c r="K47" s="116"/>
      <c r="L47" s="117"/>
      <c r="M47" s="92"/>
      <c r="N47" s="209"/>
      <c r="O47" s="210"/>
      <c r="P47" s="117"/>
      <c r="Q47" s="117"/>
      <c r="R47" s="92"/>
      <c r="S47" s="120" t="str">
        <f>IFERROR(IF('Informations générales'!$E$14="ZDPPE",IF(Q47&lt;&gt;0,Q47/J47,P47/J47),IF(L47&lt;&gt;0,L47/J47,K47/J47)),"")</f>
        <v/>
      </c>
      <c r="T47" s="92"/>
    </row>
    <row r="48" spans="2:20" s="16" customFormat="1" x14ac:dyDescent="0.25">
      <c r="B48" s="25"/>
      <c r="C48" s="250"/>
      <c r="D48" s="251"/>
      <c r="E48" s="252"/>
      <c r="F48" s="76"/>
      <c r="G48" s="91"/>
      <c r="H48" s="90"/>
      <c r="I48" s="115" t="str">
        <f>IFERROR(VLOOKUP(G48,Listes!$Q$19:$R$26,2)*J48,"")</f>
        <v/>
      </c>
      <c r="J48" s="119"/>
      <c r="K48" s="116"/>
      <c r="L48" s="117"/>
      <c r="M48" s="92"/>
      <c r="N48" s="209"/>
      <c r="O48" s="210"/>
      <c r="P48" s="117"/>
      <c r="Q48" s="117"/>
      <c r="R48" s="92"/>
      <c r="S48" s="120" t="str">
        <f>IFERROR(IF('Informations générales'!$E$14="ZDPPE",IF(Q48&lt;&gt;0,Q48/J48,P48/J48),IF(L48&lt;&gt;0,L48/J48,K48/J48)),"")</f>
        <v/>
      </c>
      <c r="T48" s="92"/>
    </row>
    <row r="49" spans="2:20" s="16" customFormat="1" x14ac:dyDescent="0.25">
      <c r="B49" s="25"/>
      <c r="C49" s="250"/>
      <c r="D49" s="251"/>
      <c r="E49" s="252"/>
      <c r="F49" s="76"/>
      <c r="G49" s="91"/>
      <c r="H49" s="90"/>
      <c r="I49" s="115" t="str">
        <f>IFERROR(VLOOKUP(G49,Listes!$Q$19:$R$26,2)*J49,"")</f>
        <v/>
      </c>
      <c r="J49" s="119"/>
      <c r="K49" s="116"/>
      <c r="L49" s="117"/>
      <c r="M49" s="92"/>
      <c r="N49" s="209"/>
      <c r="O49" s="210"/>
      <c r="P49" s="117"/>
      <c r="Q49" s="117"/>
      <c r="R49" s="92"/>
      <c r="S49" s="120" t="str">
        <f>IFERROR(IF('Informations générales'!$E$14="ZDPPE",IF(Q49&lt;&gt;0,Q49/J49,P49/J49),IF(L49&lt;&gt;0,L49/J49,K49/J49)),"")</f>
        <v/>
      </c>
      <c r="T49" s="92"/>
    </row>
    <row r="50" spans="2:20" s="16" customFormat="1" x14ac:dyDescent="0.25">
      <c r="B50" s="25"/>
      <c r="C50" s="250"/>
      <c r="D50" s="251"/>
      <c r="E50" s="252"/>
      <c r="F50" s="76"/>
      <c r="G50" s="91"/>
      <c r="H50" s="90"/>
      <c r="I50" s="115" t="str">
        <f>IFERROR(VLOOKUP(G50,Listes!$Q$19:$R$26,2)*J50,"")</f>
        <v/>
      </c>
      <c r="J50" s="119"/>
      <c r="K50" s="116"/>
      <c r="L50" s="117"/>
      <c r="M50" s="92"/>
      <c r="N50" s="209"/>
      <c r="O50" s="210"/>
      <c r="P50" s="117"/>
      <c r="Q50" s="117"/>
      <c r="R50" s="92"/>
      <c r="S50" s="120" t="str">
        <f>IFERROR(IF('Informations générales'!$E$14="ZDPPE",IF(Q50&lt;&gt;0,Q50/J50,P50/J50),IF(L50&lt;&gt;0,L50/J50,K50/J50)),"")</f>
        <v/>
      </c>
      <c r="T50" s="92"/>
    </row>
    <row r="51" spans="2:20" s="16" customFormat="1" x14ac:dyDescent="0.25">
      <c r="B51" s="25"/>
      <c r="C51" s="250"/>
      <c r="D51" s="251"/>
      <c r="E51" s="252"/>
      <c r="F51" s="76"/>
      <c r="G51" s="91"/>
      <c r="H51" s="90"/>
      <c r="I51" s="115" t="str">
        <f>IFERROR(VLOOKUP(G51,Listes!$Q$19:$R$26,2)*J51,"")</f>
        <v/>
      </c>
      <c r="J51" s="119"/>
      <c r="K51" s="116"/>
      <c r="L51" s="117"/>
      <c r="M51" s="92"/>
      <c r="N51" s="209"/>
      <c r="O51" s="210"/>
      <c r="P51" s="117"/>
      <c r="Q51" s="117"/>
      <c r="R51" s="92"/>
      <c r="S51" s="120" t="str">
        <f>IFERROR(IF('Informations générales'!$E$14="ZDPPE",IF(Q51&lt;&gt;0,Q51/J51,P51/J51),IF(L51&lt;&gt;0,L51/J51,K51/J51)),"")</f>
        <v/>
      </c>
      <c r="T51" s="92"/>
    </row>
    <row r="52" spans="2:20" s="16" customFormat="1" x14ac:dyDescent="0.25">
      <c r="B52" s="25"/>
      <c r="C52" s="250"/>
      <c r="D52" s="251"/>
      <c r="E52" s="252"/>
      <c r="F52" s="76"/>
      <c r="G52" s="91"/>
      <c r="H52" s="90"/>
      <c r="I52" s="115" t="str">
        <f>IFERROR(VLOOKUP(G52,Listes!$Q$19:$R$26,2)*J52,"")</f>
        <v/>
      </c>
      <c r="J52" s="119"/>
      <c r="K52" s="116"/>
      <c r="L52" s="117"/>
      <c r="M52" s="92"/>
      <c r="N52" s="209"/>
      <c r="O52" s="210"/>
      <c r="P52" s="117"/>
      <c r="Q52" s="117"/>
      <c r="R52" s="92"/>
      <c r="S52" s="120" t="str">
        <f>IFERROR(IF('Informations générales'!$E$14="ZDPPE",IF(Q52&lt;&gt;0,Q52/J52,P52/J52),IF(L52&lt;&gt;0,L52/J52,K52/J52)),"")</f>
        <v/>
      </c>
      <c r="T52" s="92"/>
    </row>
    <row r="53" spans="2:20" s="16" customFormat="1" x14ac:dyDescent="0.25">
      <c r="B53" s="25"/>
      <c r="C53" s="250"/>
      <c r="D53" s="251"/>
      <c r="E53" s="252"/>
      <c r="F53" s="76"/>
      <c r="G53" s="91"/>
      <c r="H53" s="90"/>
      <c r="I53" s="115" t="str">
        <f>IFERROR(VLOOKUP(G53,Listes!$Q$19:$R$26,2)*J53,"")</f>
        <v/>
      </c>
      <c r="J53" s="119"/>
      <c r="K53" s="116"/>
      <c r="L53" s="117"/>
      <c r="M53" s="92"/>
      <c r="N53" s="209"/>
      <c r="O53" s="210"/>
      <c r="P53" s="117"/>
      <c r="Q53" s="117"/>
      <c r="R53" s="92"/>
      <c r="S53" s="120" t="str">
        <f>IFERROR(IF('Informations générales'!$E$14="ZDPPE",IF(Q53&lt;&gt;0,Q53/J53,P53/J53),IF(L53&lt;&gt;0,L53/J53,K53/J53)),"")</f>
        <v/>
      </c>
      <c r="T53" s="92"/>
    </row>
    <row r="54" spans="2:20" s="16" customFormat="1" x14ac:dyDescent="0.25">
      <c r="B54" s="25"/>
      <c r="C54" s="250"/>
      <c r="D54" s="251"/>
      <c r="E54" s="252"/>
      <c r="F54" s="76"/>
      <c r="G54" s="91"/>
      <c r="H54" s="90"/>
      <c r="I54" s="115" t="str">
        <f>IFERROR(VLOOKUP(G54,Listes!$Q$19:$R$26,2)*J54,"")</f>
        <v/>
      </c>
      <c r="J54" s="119"/>
      <c r="K54" s="116"/>
      <c r="L54" s="117"/>
      <c r="M54" s="92"/>
      <c r="N54" s="209"/>
      <c r="O54" s="210"/>
      <c r="P54" s="117"/>
      <c r="Q54" s="117"/>
      <c r="R54" s="92"/>
      <c r="S54" s="120" t="str">
        <f>IFERROR(IF('Informations générales'!$E$14="ZDPPE",IF(Q54&lt;&gt;0,Q54/J54,P54/J54),IF(L54&lt;&gt;0,L54/J54,K54/J54)),"")</f>
        <v/>
      </c>
      <c r="T54" s="92"/>
    </row>
  </sheetData>
  <sheetProtection algorithmName="SHA-512" hashValue="IibghIjH6k+BgyegKyTsT26vrfpy1xpDbYrDqLZJhvPbZ0HFCm0eM0TCIpvnUeLTPx+bTT+meDWU/pTJ7T6Vmw==" saltValue="Yn2UCkRKWl6PHI8WqYEbMQ==" spinCount="100000" sheet="1" objects="1" scenarios="1"/>
  <mergeCells count="43">
    <mergeCell ref="J3:K3"/>
    <mergeCell ref="N50:O50"/>
    <mergeCell ref="N51:O51"/>
    <mergeCell ref="N52:O52"/>
    <mergeCell ref="N53:O53"/>
    <mergeCell ref="N43:O43"/>
    <mergeCell ref="N38:O38"/>
    <mergeCell ref="N39:O39"/>
    <mergeCell ref="N40:O40"/>
    <mergeCell ref="N41:O41"/>
    <mergeCell ref="N42:O42"/>
    <mergeCell ref="I9:L9"/>
    <mergeCell ref="J14:M14"/>
    <mergeCell ref="N14:R14"/>
    <mergeCell ref="K37:M37"/>
    <mergeCell ref="N37:R37"/>
    <mergeCell ref="N54:O54"/>
    <mergeCell ref="N49:O49"/>
    <mergeCell ref="N44:O44"/>
    <mergeCell ref="N45:O45"/>
    <mergeCell ref="N46:O46"/>
    <mergeCell ref="N47:O47"/>
    <mergeCell ref="N48:O48"/>
    <mergeCell ref="C51:E51"/>
    <mergeCell ref="C52:E52"/>
    <mergeCell ref="C53:E53"/>
    <mergeCell ref="C54:E54"/>
    <mergeCell ref="C45:E45"/>
    <mergeCell ref="C46:E46"/>
    <mergeCell ref="C47:E47"/>
    <mergeCell ref="C48:E48"/>
    <mergeCell ref="C49:E49"/>
    <mergeCell ref="C38:E38"/>
    <mergeCell ref="Q36:R36"/>
    <mergeCell ref="L13:M13"/>
    <mergeCell ref="Q13:R13"/>
    <mergeCell ref="C50:E50"/>
    <mergeCell ref="C40:E40"/>
    <mergeCell ref="C41:E41"/>
    <mergeCell ref="C42:E42"/>
    <mergeCell ref="C43:E43"/>
    <mergeCell ref="C44:E44"/>
    <mergeCell ref="L36:M3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300-000000000000}">
          <x14:formula1>
            <xm:f>Listes!$D$19:$D$73</xm:f>
          </x14:formula1>
          <xm:sqref>C17:C31</xm:sqref>
        </x14:dataValidation>
        <x14:dataValidation type="list" allowBlank="1" showInputMessage="1" showErrorMessage="1" xr:uid="{00000000-0002-0000-0300-000001000000}">
          <x14:formula1>
            <xm:f>Listes!$M$19:$M$27</xm:f>
          </x14:formula1>
          <xm:sqref>G17:G31</xm:sqref>
        </x14:dataValidation>
        <x14:dataValidation type="list" allowBlank="1" showInputMessage="1" showErrorMessage="1" xr:uid="{00000000-0002-0000-0300-000002000000}">
          <x14:formula1>
            <xm:f>Listes!$Q$19:$Q$26</xm:f>
          </x14:formula1>
          <xm:sqref>G40:G54</xm:sqref>
        </x14:dataValidation>
        <x14:dataValidation type="list" allowBlank="1" showInputMessage="1" showErrorMessage="1" xr:uid="{E489B94F-0724-47C1-8E87-26A21F646D80}">
          <x14:formula1>
            <xm:f>Listes!$C$19:$C$24</xm:f>
          </x14:formula1>
          <xm:sqref>C40:C54</xm:sqref>
        </x14:dataValidation>
        <x14:dataValidation type="list" allowBlank="1" showInputMessage="1" showErrorMessage="1" xr:uid="{12BE2CB3-C1B9-4A1C-9A58-2CCD67DB6FA2}">
          <x14:formula1>
            <xm:f>Listes!$M$4:$M$15</xm:f>
          </x14:formula1>
          <xm:sqref>D17:D31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autoPageBreaks="0" fitToPage="1"/>
  </sheetPr>
  <dimension ref="A1:M51"/>
  <sheetViews>
    <sheetView showGridLines="0" zoomScaleNormal="100" workbookViewId="0">
      <selection activeCell="G16" sqref="G16"/>
    </sheetView>
  </sheetViews>
  <sheetFormatPr baseColWidth="10" defaultRowHeight="15" x14ac:dyDescent="0.25"/>
  <cols>
    <col min="2" max="2" width="45.5703125" customWidth="1"/>
    <col min="3" max="3" width="22.5703125" customWidth="1"/>
    <col min="4" max="4" width="22.7109375" customWidth="1"/>
    <col min="5" max="5" width="2.140625" customWidth="1"/>
    <col min="6" max="7" width="18.7109375" customWidth="1"/>
    <col min="8" max="8" width="8.7109375" customWidth="1"/>
    <col min="9" max="9" width="18.7109375" customWidth="1"/>
    <col min="10" max="10" width="8.7109375" customWidth="1"/>
    <col min="11" max="13" width="13.7109375" customWidth="1"/>
  </cols>
  <sheetData>
    <row r="1" spans="1:13" s="18" customFormat="1" x14ac:dyDescent="0.25">
      <c r="A1" s="13"/>
      <c r="B1" s="14" t="s">
        <v>10</v>
      </c>
    </row>
    <row r="2" spans="1:13" s="18" customFormat="1" x14ac:dyDescent="0.25">
      <c r="A2" s="13"/>
      <c r="B2" s="14" t="s">
        <v>11</v>
      </c>
    </row>
    <row r="3" spans="1:13" s="18" customFormat="1" x14ac:dyDescent="0.25">
      <c r="A3" s="13"/>
      <c r="B3" s="15" t="s">
        <v>12</v>
      </c>
      <c r="I3" s="179">
        <f ca="1">NOW()</f>
        <v>46029.499411574077</v>
      </c>
      <c r="J3" s="261"/>
      <c r="K3" s="261"/>
      <c r="L3" s="179"/>
    </row>
    <row r="5" spans="1:13" x14ac:dyDescent="0.25">
      <c r="G5" s="1"/>
      <c r="H5" s="1"/>
      <c r="I5" s="180"/>
    </row>
    <row r="6" spans="1:13" ht="23.25" x14ac:dyDescent="0.35">
      <c r="B6" s="2" t="s">
        <v>273</v>
      </c>
      <c r="G6" s="1"/>
      <c r="H6" s="1"/>
    </row>
    <row r="7" spans="1:13" ht="8.25" customHeight="1" x14ac:dyDescent="0.25"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</row>
    <row r="8" spans="1:13" ht="18.75" x14ac:dyDescent="0.3">
      <c r="B8" s="172" t="s">
        <v>192</v>
      </c>
      <c r="G8" s="1"/>
      <c r="H8" s="1"/>
    </row>
    <row r="10" spans="1:13" x14ac:dyDescent="0.25">
      <c r="B10" t="s">
        <v>2</v>
      </c>
      <c r="C10" s="166">
        <f>SUM('Informations LOCATIF'!$Q$27,'Informations VENTE'!$O$27,'Surfaces commerciales &amp; garages'!$I$16,'Surfaces commerciales &amp; garages'!$I$39)</f>
        <v>0</v>
      </c>
    </row>
    <row r="11" spans="1:13" ht="8.25" customHeight="1" x14ac:dyDescent="0.25">
      <c r="C11" s="107"/>
    </row>
    <row r="12" spans="1:13" x14ac:dyDescent="0.25">
      <c r="B12" t="str">
        <f>IF('Informations générales'!$E$14="ZDPPE","Total prix de vente maximum autorisé","Total loyer annuel maximum autorisé")</f>
        <v>Total loyer annuel maximum autorisé</v>
      </c>
      <c r="C12" s="167">
        <f>IF('Informations générales'!$E$14="ZDPPE",SUM('Informations VENTE'!$Z$27,'Surfaces commerciales &amp; garages'!$P$16,'Surfaces commerciales &amp; garages'!$P$39),SUM('Informations LOCATIF'!$AD$27,'Surfaces commerciales &amp; garages'!$K$16,'Surfaces commerciales &amp; garages'!$K$39))</f>
        <v>0</v>
      </c>
    </row>
    <row r="13" spans="1:13" ht="6.75" customHeight="1" x14ac:dyDescent="0.25">
      <c r="C13" s="107"/>
    </row>
    <row r="14" spans="1:13" x14ac:dyDescent="0.25">
      <c r="A14" t="s">
        <v>102</v>
      </c>
      <c r="B14" t="str">
        <f>IF('Informations générales'!$E$14="ZDPPE","Total prix de vente effectifs (selon actes de vente)","Total loyer effectif (selon baux)")</f>
        <v>Total loyer effectif (selon baux)</v>
      </c>
      <c r="C14" s="167">
        <f>IF('Informations générales'!$E$14="ZDPPE",SUM('Informations VENTE'!$AA$27,'Surfaces commerciales &amp; garages'!$Q$16,'Surfaces commerciales &amp; garages'!$Q$39),SUM('Informations LOCATIF'!$AE$27,'Surfaces commerciales &amp; garages'!$L$16,'Surfaces commerciales &amp; garages'!$L$39))</f>
        <v>0</v>
      </c>
    </row>
    <row r="15" spans="1:13" ht="5.25" customHeight="1" x14ac:dyDescent="0.25"/>
    <row r="16" spans="1:13" ht="15.75" customHeight="1" x14ac:dyDescent="0.25">
      <c r="B16" s="71" t="s">
        <v>193</v>
      </c>
      <c r="C16" s="70"/>
      <c r="D16" s="70"/>
      <c r="E16" s="70"/>
      <c r="F16" s="71" t="s">
        <v>128</v>
      </c>
      <c r="G16" s="9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générales'!$E$43="Non"),"","- N/A")</f>
        <v>- N/A</v>
      </c>
      <c r="H16" s="70"/>
      <c r="I16" s="94" t="s">
        <v>205</v>
      </c>
      <c r="J16" s="97" t="str">
        <f>IF(OR('Informations générales'!$E$14="HM",'Informations générales'!$E$14="HM LUP"),"","- N/A")</f>
        <v>- N/A</v>
      </c>
      <c r="K16" s="95" t="s">
        <v>204</v>
      </c>
      <c r="L16" s="95"/>
      <c r="M16" s="96" t="str">
        <f>IF(AND(OR('Informations générales'!$E$14="HBM",'Informations générales'!$E$14="HBM LUP"),SUM($C$19:$C$25)&gt;50,'Informations générales'!$E$39&lt;&gt;"Non"),"","- N/A")</f>
        <v>- N/A</v>
      </c>
    </row>
    <row r="17" spans="2:13" ht="3" customHeight="1" x14ac:dyDescent="0.25"/>
    <row r="18" spans="2:13" s="75" customFormat="1" ht="30" customHeight="1" x14ac:dyDescent="0.25">
      <c r="B18" s="73" t="s">
        <v>52</v>
      </c>
      <c r="C18" s="74" t="str">
        <f>CONCATENATE("Nombre logements (",SUM($C$19:$C$30),")")</f>
        <v>Nombre logements (0)</v>
      </c>
      <c r="D18" s="74" t="str">
        <f ca="1">CONCATENATE("Nombre pièces (",SUM($D$19:$D$30),")")</f>
        <v>Nombre pièces (0)</v>
      </c>
      <c r="F18" s="73" t="s">
        <v>194</v>
      </c>
      <c r="G18" s="73" t="s">
        <v>195</v>
      </c>
      <c r="I18" s="74" t="s">
        <v>196</v>
      </c>
      <c r="K18" s="73" t="s">
        <v>197</v>
      </c>
      <c r="L18" s="74" t="s">
        <v>198</v>
      </c>
      <c r="M18" s="73" t="s">
        <v>199</v>
      </c>
    </row>
    <row r="19" spans="2:13" x14ac:dyDescent="0.25">
      <c r="B19" s="67" t="str">
        <f>IF('Informations générales'!F48&lt;&gt;"",'Informations générales'!F48," ")</f>
        <v xml:space="preserve"> </v>
      </c>
      <c r="C19" s="159" t="str">
        <f>IF('Informations générales'!$E$14="ZDPPE",IF(COUNTIF('Informations VENTE'!$F$28:$H$527,B19)&gt;0,COUNTIF('Informations VENTE'!$F$28:$H$527,B19),""),IF(COUNTIF('Informations LOCATIF'!$F$28:$H$527,B19)&gt;0,COUNTIF('Informations LOCATIF'!$F$28:$H$527,B19),""))</f>
        <v/>
      </c>
      <c r="D19" s="162" t="str">
        <f ca="1">IF('Informations générales'!$E$14="ZDPPE",IF(SUMIF('Informations VENTE'!$F$28:$H$527,B19,'Informations VENTE'!$O$28:$O$527)&gt;0,SUMIF('Informations VENTE'!$F$28:$H$527,B19,'Informations VENTE'!$O$28:$O$527),""),IF(SUMIF('Informations LOCATIF'!$F$28:$H$527,B19,'Informations LOCATIF'!$Q$28:$Q$527)&gt;0,SUMIF('Informations LOCATIF'!$F$28:$H$527,B19,'Informations LOCATIF'!$Q$28:$Q$527),""))</f>
        <v/>
      </c>
      <c r="E19" s="107"/>
      <c r="F19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générales'!$E$43="Non"),IFERROR(COUNTIFS('Informations LOCATIF'!$F$28:$F$527,B19,'Informations LOCATIF'!$M$28:$M$527,"=Oui") / (C19-SUM(COUNTIFS('Informations LOCATIF'!$F$28:$F$527,B19,'Informations LOCATIF'!$L$28:$L$527,"=IEPA"),COUNTIFS('Informations LOCATIF'!$F$28:$F$527,B19,'Informations LOCATIF'!$L$28:$L$527,"=Foyer"))),""),"")</f>
        <v/>
      </c>
      <c r="G19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générales'!$E$43="Non"),IFERROR(SUMIFS('Informations LOCATIF'!$Q$28:$Q$527,'Informations LOCATIF'!$F$28:$F$527,B19,'Informations LOCATIF'!$M$28:$M$527,"=Oui") / (D19-SUM(SUMIFS('Informations LOCATIF'!$Q$28:$Q$527,'Informations LOCATIF'!$F$28:$F$527,B19,'Informations LOCATIF'!$L$28:$L$527,"=IEPA"),SUMIFS('Informations LOCATIF'!$Q$28:$Q$527,'Informations LOCATIF'!$F$28:$F$527,B19,'Informations LOCATIF'!$L$28:$L$527,"=Foyer"))),""),"")</f>
        <v/>
      </c>
      <c r="H19" s="107"/>
      <c r="I19" s="164" t="str">
        <f>IFERROR(IF(OR('Informations générales'!$E$14="HM",'Informations générales'!$E$14="HM LUP"),ROUNDUP((C19-(COUNTIFS('Informations LOCATIF'!$F$28:$F$527,B19,'Informations LOCATIF'!$L$28:$L$527,"=FOYER")))*0.6,0), ""),"")</f>
        <v/>
      </c>
      <c r="J19" s="107"/>
      <c r="K19" s="165" t="str">
        <f>IFERROR(IF(AND(OR('Informations générales'!$E$14="HBM",'Informations générales'!$E$14="HBM LUP"),SUM($C$19:$C$31)&gt;50,'Informations générales'!$E$39&lt;&gt;"Non"),ROUNDUP(C19*0.33,0),""),"")</f>
        <v/>
      </c>
      <c r="L19" s="165" t="str">
        <f>IFERROR(IF(AND(OR('Informations générales'!$E$14="HBM",'Informations générales'!$E$14="HBM LUP"),SUM($C$19:$C$25)&gt;50,'Informations générales'!$E$39&lt;&gt;"Non"),ROUNDDOWN(C19*0.66,0),""),"")</f>
        <v/>
      </c>
      <c r="M19" s="165" t="str">
        <f>IFERROR(IF(AND(OR('Informations générales'!$E$14="HBM",'Informations générales'!$E$14="HBM LUP"),SUM($C$19:$C$25)&gt;50,'Informations générales'!$E$39&lt;&gt;"Non"),ROUNDDOWN(C19*0.33,0),""),"")</f>
        <v/>
      </c>
    </row>
    <row r="20" spans="2:13" x14ac:dyDescent="0.25">
      <c r="B20" s="67" t="str">
        <f>IF('Informations générales'!F49&lt;&gt;"",'Informations générales'!F49," ")</f>
        <v xml:space="preserve"> </v>
      </c>
      <c r="C20" s="159" t="str">
        <f>IF('Informations générales'!$E$14="ZDPPE",IF(COUNTIF('Informations VENTE'!$F$28:$H$527,B20)&gt;0,COUNTIF('Informations VENTE'!$F$28:$H$527,B20),""),IF(COUNTIF('Informations LOCATIF'!$F$28:$H$527,B20)&gt;0,COUNTIF('Informations LOCATIF'!$F$28:$H$527,B20),""))</f>
        <v/>
      </c>
      <c r="D20" s="162" t="str">
        <f ca="1">IF('Informations générales'!$E$14="ZDPPE",IF(SUMIF('Informations VENTE'!$F$28:$H$527,B20,'Informations VENTE'!$O$28:$O$527)&gt;0,SUMIF('Informations VENTE'!$F$28:$H$527,B20,'Informations VENTE'!$O$28:$O$527),""),IF(SUMIF('Informations LOCATIF'!$F$28:$H$527,B20,'Informations LOCATIF'!$Q$28:$Q$527)&gt;0,SUMIF('Informations LOCATIF'!$F$28:$H$527,B20,'Informations LOCATIF'!$Q$28:$Q$527),""))</f>
        <v/>
      </c>
      <c r="E20" s="107"/>
      <c r="F20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générales'!$E$43="Non"),IFERROR(COUNTIFS('Informations LOCATIF'!$F$28:$F$527,B20,'Informations LOCATIF'!$M$28:$M$527,"=Oui") / (C20-SUM(COUNTIFS('Informations LOCATIF'!$F$28:$F$527,B20,'Informations LOCATIF'!$L$28:$L$527,"=IEPA"),COUNTIFS('Informations LOCATIF'!$F$28:$F$527,B20,'Informations LOCATIF'!$L$28:$L$527,"=Foyer"))),""),"")</f>
        <v/>
      </c>
      <c r="G20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générales'!$E$43="Non"),IFERROR(SUMIFS('Informations LOCATIF'!$Q$28:$Q$527,'Informations LOCATIF'!$F$28:$F$527,B20,'Informations LOCATIF'!$M$28:$M$527,"=Oui") / (D20-SUM(SUMIFS('Informations LOCATIF'!$Q$28:$Q$527,'Informations LOCATIF'!$F$28:$F$527,B20,'Informations LOCATIF'!$L$28:$L$527,"=IEPA"),SUMIFS('Informations LOCATIF'!$Q$28:$Q$527,'Informations LOCATIF'!$F$28:$F$527,B20,'Informations LOCATIF'!$L$28:$L$527,"=Foyer"))),""),"")</f>
        <v/>
      </c>
      <c r="H20" s="107"/>
      <c r="I20" s="164" t="str">
        <f>IFERROR(IF(OR('Informations générales'!$E$14="HM",'Informations générales'!$E$14="HM LUP"),ROUNDUP(C20*0.6,0), ""),"")</f>
        <v/>
      </c>
      <c r="J20" s="107"/>
      <c r="K20" s="165" t="str">
        <f>IFERROR(IF(AND(OR('Informations générales'!$E$14="HBM",'Informations générales'!$E$14="HBM LUP"),SUM($C$19:$C$31)&gt;50,'Informations générales'!$E$39&lt;&gt;"Non"),ROUNDUP(C20*0.33,0),""),"")</f>
        <v/>
      </c>
      <c r="L20" s="165" t="str">
        <f>IFERROR(IF(AND(OR('Informations générales'!$E$14="HBM",'Informations générales'!$E$14="HBM LUP"),SUM($C$19:$C$25)&gt;50,'Informations générales'!$E$39&lt;&gt;"Non"),ROUNDDOWN(C20*0.66,0),""),"")</f>
        <v/>
      </c>
      <c r="M20" s="165" t="str">
        <f>IFERROR(IF(AND(OR('Informations générales'!$E$14="HBM",'Informations générales'!$E$14="HBM LUP"),SUM($C$19:$C$25)&gt;50,'Informations générales'!$E$39&lt;&gt;"Non"),ROUNDDOWN(C20*0.33,0),""),"")</f>
        <v/>
      </c>
    </row>
    <row r="21" spans="2:13" x14ac:dyDescent="0.25">
      <c r="B21" s="67" t="str">
        <f>IF('Informations générales'!F50&lt;&gt;"",'Informations générales'!F50," ")</f>
        <v xml:space="preserve"> </v>
      </c>
      <c r="C21" s="159" t="str">
        <f>IF('Informations générales'!$E$14="ZDPPE",IF(COUNTIF('Informations VENTE'!$F$28:$H$527,B21)&gt;0,COUNTIF('Informations VENTE'!$F$28:$H$527,B21),""),IF(COUNTIF('Informations LOCATIF'!$F$28:$H$527,B21)&gt;0,COUNTIF('Informations LOCATIF'!$F$28:$H$527,B21),""))</f>
        <v/>
      </c>
      <c r="D21" s="162" t="str">
        <f ca="1">IF('Informations générales'!$E$14="ZDPPE",IF(SUMIF('Informations VENTE'!$F$28:$H$527,B21,'Informations VENTE'!$O$28:$O$527)&gt;0,SUMIF('Informations VENTE'!$F$28:$H$527,B21,'Informations VENTE'!$O$28:$O$527),""),IF(SUMIF('Informations LOCATIF'!$F$28:$H$527,B21,'Informations LOCATIF'!$Q$28:$Q$527)&gt;0,SUMIF('Informations LOCATIF'!$F$28:$H$527,B21,'Informations LOCATIF'!$Q$28:$Q$527),""))</f>
        <v/>
      </c>
      <c r="E21" s="107"/>
      <c r="F21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générales'!$E$43="Non"),IFERROR(COUNTIFS('Informations LOCATIF'!$F$28:$F$527,B21,'Informations LOCATIF'!$M$28:$M$527,"=Oui") / (C21-SUM(COUNTIFS('Informations LOCATIF'!$F$28:$F$527,B21,'Informations LOCATIF'!$L$28:$L$527,"=IEPA"),COUNTIFS('Informations LOCATIF'!$F$28:$F$527,B21,'Informations LOCATIF'!$L$28:$L$527,"=Foyer"))),""),"")</f>
        <v/>
      </c>
      <c r="G21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générales'!$E$43="Non"),IFERROR(SUMIFS('Informations LOCATIF'!$Q$28:$Q$527,'Informations LOCATIF'!$F$28:$F$527,B21,'Informations LOCATIF'!$M$28:$M$527,"=Oui") / (D21-SUM(SUMIFS('Informations LOCATIF'!$Q$28:$Q$527,'Informations LOCATIF'!$F$28:$F$527,B21,'Informations LOCATIF'!$L$28:$L$527,"=IEPA"),SUMIFS('Informations LOCATIF'!$Q$28:$Q$527,'Informations LOCATIF'!$F$28:$F$527,B21,'Informations LOCATIF'!$L$28:$L$527,"=Foyer"))),""),"")</f>
        <v/>
      </c>
      <c r="H21" s="107"/>
      <c r="I21" s="164" t="str">
        <f>IFERROR(IF(OR('Informations générales'!$E$14="HM",'Informations générales'!$E$14="HM LUP"),ROUNDUP(C21*0.6,0), ""),"")</f>
        <v/>
      </c>
      <c r="J21" s="107"/>
      <c r="K21" s="165" t="str">
        <f>IFERROR(IF(AND(OR('Informations générales'!$E$14="HBM",'Informations générales'!$E$14="HBM LUP"),SUM($C$19:$C$31)&gt;50,'Informations générales'!$E$39&lt;&gt;"Non"),ROUNDUP(C21*0.33,0),""),"")</f>
        <v/>
      </c>
      <c r="L21" s="165" t="str">
        <f>IFERROR(IF(AND(OR('Informations générales'!$E$14="HBM",'Informations générales'!$E$14="HBM LUP"),SUM($C$19:$C$25)&gt;50,'Informations générales'!$E$39&lt;&gt;"Non"),ROUNDDOWN(C21*0.66,0),""),"")</f>
        <v/>
      </c>
      <c r="M21" s="165" t="str">
        <f>IFERROR(IF(AND(OR('Informations générales'!$E$14="HBM",'Informations générales'!$E$14="HBM LUP"),SUM($C$19:$C$25)&gt;50,'Informations générales'!$E$39&lt;&gt;"Non"),ROUNDDOWN(C21*0.33,0),""),"")</f>
        <v/>
      </c>
    </row>
    <row r="22" spans="2:13" x14ac:dyDescent="0.25">
      <c r="B22" s="67" t="str">
        <f>IF('Informations générales'!F51&lt;&gt;"",'Informations générales'!F51," ")</f>
        <v xml:space="preserve"> </v>
      </c>
      <c r="C22" s="159" t="str">
        <f>IF('Informations générales'!$E$14="ZDPPE",IF(COUNTIF('Informations VENTE'!$F$28:$H$527,B22)&gt;0,COUNTIF('Informations VENTE'!$F$28:$H$527,B22),""),IF(COUNTIF('Informations LOCATIF'!$F$28:$H$527,B22)&gt;0,COUNTIF('Informations LOCATIF'!$F$28:$H$527,B22),""))</f>
        <v/>
      </c>
      <c r="D22" s="162" t="str">
        <f ca="1">IF('Informations générales'!$E$14="ZDPPE",IF(SUMIF('Informations VENTE'!$F$28:$H$527,B22,'Informations VENTE'!$O$28:$O$527)&gt;0,SUMIF('Informations VENTE'!$F$28:$H$527,B22,'Informations VENTE'!$O$28:$O$527),""),IF(SUMIF('Informations LOCATIF'!$F$28:$H$527,B22,'Informations LOCATIF'!$Q$28:$Q$527)&gt;0,SUMIF('Informations LOCATIF'!$F$28:$H$527,B22,'Informations LOCATIF'!$Q$28:$Q$527),""))</f>
        <v/>
      </c>
      <c r="E22" s="107"/>
      <c r="F22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générales'!$E$43="Non"),IFERROR(COUNTIFS('Informations LOCATIF'!$F$28:$F$527,B22,'Informations LOCATIF'!$M$28:$M$527,"=Oui") / (C22-SUM(COUNTIFS('Informations LOCATIF'!$F$28:$F$527,B22,'Informations LOCATIF'!$L$28:$L$527,"=IEPA"),COUNTIFS('Informations LOCATIF'!$F$28:$F$527,B22,'Informations LOCATIF'!$L$28:$L$527,"=Foyer"))),""),"")</f>
        <v/>
      </c>
      <c r="G22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générales'!$E$43="Non"),IFERROR(SUMIFS('Informations LOCATIF'!$Q$28:$Q$527,'Informations LOCATIF'!$F$28:$F$527,B22,'Informations LOCATIF'!$M$28:$M$527,"=Oui") / (D22-SUM(SUMIFS('Informations LOCATIF'!$Q$28:$Q$527,'Informations LOCATIF'!$F$28:$F$527,B22,'Informations LOCATIF'!$L$28:$L$527,"=IEPA"),SUMIFS('Informations LOCATIF'!$Q$28:$Q$527,'Informations LOCATIF'!$F$28:$F$527,B22,'Informations LOCATIF'!$L$28:$L$527,"=Foyer"))),""),"")</f>
        <v/>
      </c>
      <c r="H22" s="107"/>
      <c r="I22" s="164" t="str">
        <f>IFERROR(IF(OR('Informations générales'!$E$14="HM",'Informations générales'!$E$14="HM LUP"),ROUNDUP(C22*0.6,0), ""),"")</f>
        <v/>
      </c>
      <c r="J22" s="107"/>
      <c r="K22" s="165" t="str">
        <f>IFERROR(IF(AND(OR('Informations générales'!$E$14="HBM",'Informations générales'!$E$14="HBM LUP"),SUM($C$19:$C$31)&gt;50,'Informations générales'!$E$39&lt;&gt;"Non"),ROUNDUP(C22*0.33,0),""),"")</f>
        <v/>
      </c>
      <c r="L22" s="165" t="str">
        <f>IFERROR(IF(AND(OR('Informations générales'!$E$14="HBM",'Informations générales'!$E$14="HBM LUP"),SUM($C$19:$C$25)&gt;50,'Informations générales'!$E$39&lt;&gt;"Non"),ROUNDDOWN(C22*0.66,0),""),"")</f>
        <v/>
      </c>
      <c r="M22" s="165" t="str">
        <f>IFERROR(IF(AND(OR('Informations générales'!$E$14="HBM",'Informations générales'!$E$14="HBM LUP"),SUM($C$19:$C$25)&gt;50,'Informations générales'!$E$39&lt;&gt;"Non"),ROUNDDOWN(C22*0.33,0),""),"")</f>
        <v/>
      </c>
    </row>
    <row r="23" spans="2:13" x14ac:dyDescent="0.25">
      <c r="B23" s="67" t="str">
        <f>IF('Informations générales'!F52&lt;&gt;"",'Informations générales'!F52," ")</f>
        <v xml:space="preserve"> </v>
      </c>
      <c r="C23" s="159" t="str">
        <f>IF('Informations générales'!$E$14="ZDPPE",IF(COUNTIF('Informations VENTE'!$F$28:$H$527,B23)&gt;0,COUNTIF('Informations VENTE'!$F$28:$H$527,B23),""),IF(COUNTIF('Informations LOCATIF'!$F$28:$H$527,B23)&gt;0,COUNTIF('Informations LOCATIF'!$F$28:$H$527,B23),""))</f>
        <v/>
      </c>
      <c r="D23" s="162" t="str">
        <f ca="1">IF('Informations générales'!$E$14="ZDPPE",IF(SUMIF('Informations VENTE'!$F$28:$H$527,B23,'Informations VENTE'!$O$28:$O$527)&gt;0,SUMIF('Informations VENTE'!$F$28:$H$527,B23,'Informations VENTE'!$O$28:$O$527),""),IF(SUMIF('Informations LOCATIF'!$F$28:$H$527,B23,'Informations LOCATIF'!$Q$28:$Q$527)&gt;0,SUMIF('Informations LOCATIF'!$F$28:$H$527,B23,'Informations LOCATIF'!$Q$28:$Q$527),""))</f>
        <v/>
      </c>
      <c r="E23" s="107"/>
      <c r="F23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générales'!$E$43="Non"),IFERROR(COUNTIFS('Informations LOCATIF'!$F$28:$F$527,B23,'Informations LOCATIF'!$M$28:$M$527,"=Oui") / (C23-SUM(COUNTIFS('Informations LOCATIF'!$F$28:$F$527,B23,'Informations LOCATIF'!$L$28:$L$527,"=IEPA"),COUNTIFS('Informations LOCATIF'!$F$28:$F$527,B23,'Informations LOCATIF'!$L$28:$L$527,"=Foyer"))),""),"")</f>
        <v/>
      </c>
      <c r="G23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générales'!$E$43="Non"),IFERROR(SUMIFS('Informations LOCATIF'!$Q$28:$Q$527,'Informations LOCATIF'!$F$28:$F$527,B23,'Informations LOCATIF'!$M$28:$M$527,"=Oui") / (D23-SUM(SUMIFS('Informations LOCATIF'!$Q$28:$Q$527,'Informations LOCATIF'!$F$28:$F$527,B23,'Informations LOCATIF'!$L$28:$L$527,"=IEPA"),SUMIFS('Informations LOCATIF'!$Q$28:$Q$527,'Informations LOCATIF'!$F$28:$F$527,B23,'Informations LOCATIF'!$L$28:$L$527,"=Foyer"))),""),"")</f>
        <v/>
      </c>
      <c r="H23" s="107"/>
      <c r="I23" s="164" t="str">
        <f>IFERROR(IF(OR('Informations générales'!$E$14="HM",'Informations générales'!$E$14="HM LUP"),ROUNDUP(C23*0.6,0), ""),"")</f>
        <v/>
      </c>
      <c r="J23" s="107"/>
      <c r="K23" s="165" t="str">
        <f>IFERROR(IF(AND(OR('Informations générales'!$E$14="HBM",'Informations générales'!$E$14="HBM LUP"),SUM($C$19:$C$31)&gt;50,'Informations générales'!$E$39&lt;&gt;"Non"),ROUNDUP(C23*0.33,0),""),"")</f>
        <v/>
      </c>
      <c r="L23" s="165" t="str">
        <f>IFERROR(IF(AND(OR('Informations générales'!$E$14="HBM",'Informations générales'!$E$14="HBM LUP"),SUM($C$19:$C$25)&gt;50,'Informations générales'!$E$39&lt;&gt;"Non"),ROUNDDOWN(C23*0.66,0),""),"")</f>
        <v/>
      </c>
      <c r="M23" s="165" t="str">
        <f>IFERROR(IF(AND(OR('Informations générales'!$E$14="HBM",'Informations générales'!$E$14="HBM LUP"),SUM($C$19:$C$25)&gt;50,'Informations générales'!$E$39&lt;&gt;"Non"),ROUNDDOWN(C23*0.33,0),""),"")</f>
        <v/>
      </c>
    </row>
    <row r="24" spans="2:13" x14ac:dyDescent="0.25">
      <c r="B24" s="67" t="str">
        <f>IF('Informations générales'!F53&lt;&gt;"",'Informations générales'!F53," ")</f>
        <v xml:space="preserve"> </v>
      </c>
      <c r="C24" s="159" t="str">
        <f>IF('Informations générales'!$E$14="ZDPPE",IF(COUNTIF('Informations VENTE'!$F$28:$H$527,B24)&gt;0,COUNTIF('Informations VENTE'!$F$28:$H$527,B24),""),IF(COUNTIF('Informations LOCATIF'!$F$28:$H$527,B24)&gt;0,COUNTIF('Informations LOCATIF'!$F$28:$H$527,B24),""))</f>
        <v/>
      </c>
      <c r="D24" s="162" t="str">
        <f ca="1">IF('Informations générales'!$E$14="ZDPPE",IF(SUMIF('Informations VENTE'!$F$28:$H$527,B24,'Informations VENTE'!$O$28:$O$527)&gt;0,SUMIF('Informations VENTE'!$F$28:$H$527,B24,'Informations VENTE'!$O$28:$O$527),""),IF(SUMIF('Informations LOCATIF'!$F$28:$H$527,B24,'Informations LOCATIF'!$Q$28:$Q$527)&gt;0,SUMIF('Informations LOCATIF'!$F$28:$H$527,B24,'Informations LOCATIF'!$Q$28:$Q$527),""))</f>
        <v/>
      </c>
      <c r="E24" s="107"/>
      <c r="F24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générales'!$E$43="Non"),IFERROR(COUNTIFS('Informations LOCATIF'!$F$28:$F$527,B24,'Informations LOCATIF'!$M$28:$M$527,"=Oui") / (C24-SUM(COUNTIFS('Informations LOCATIF'!$F$28:$F$527,B24,'Informations LOCATIF'!$L$28:$L$527,"=IEPA"),COUNTIFS('Informations LOCATIF'!$F$28:$F$527,B24,'Informations LOCATIF'!$L$28:$L$527,"=Foyer"))),""),"")</f>
        <v/>
      </c>
      <c r="G24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générales'!$E$43="Non"),IFERROR(SUMIFS('Informations LOCATIF'!$Q$28:$Q$527,'Informations LOCATIF'!$F$28:$F$527,B24,'Informations LOCATIF'!$M$28:$M$527,"=Oui") / (D24-SUM(SUMIFS('Informations LOCATIF'!$Q$28:$Q$527,'Informations LOCATIF'!$F$28:$F$527,B24,'Informations LOCATIF'!$L$28:$L$527,"=IEPA"),SUMIFS('Informations LOCATIF'!$Q$28:$Q$527,'Informations LOCATIF'!$F$28:$F$527,B24,'Informations LOCATIF'!$L$28:$L$527,"=Foyer"))),""),"")</f>
        <v/>
      </c>
      <c r="H24" s="107"/>
      <c r="I24" s="164" t="str">
        <f>IFERROR(IF(OR('Informations générales'!$E$14="HM",'Informations générales'!$E$14="HM LUP"),ROUNDUP(C24*0.6,0), ""),"")</f>
        <v/>
      </c>
      <c r="J24" s="107"/>
      <c r="K24" s="165" t="str">
        <f>IFERROR(IF(AND(OR('Informations générales'!$E$14="HBM",'Informations générales'!$E$14="HBM LUP"),SUM($C$19:$C$31)&gt;50,'Informations générales'!$E$39&lt;&gt;"Non"),ROUNDUP(C24*0.33,0),""),"")</f>
        <v/>
      </c>
      <c r="L24" s="165" t="str">
        <f>IFERROR(IF(AND(OR('Informations générales'!$E$14="HBM",'Informations générales'!$E$14="HBM LUP"),SUM($C$19:$C$25)&gt;50,'Informations générales'!$E$39&lt;&gt;"Non"),ROUNDDOWN(C24*0.66,0),""),"")</f>
        <v/>
      </c>
      <c r="M24" s="165" t="str">
        <f>IFERROR(IF(AND(OR('Informations générales'!$E$14="HBM",'Informations générales'!$E$14="HBM LUP"),SUM($C$19:$C$25)&gt;50,'Informations générales'!$E$39&lt;&gt;"Non"),ROUNDDOWN(C24*0.33,0),""),"")</f>
        <v/>
      </c>
    </row>
    <row r="25" spans="2:13" x14ac:dyDescent="0.25">
      <c r="B25" s="67" t="str">
        <f>IF('Informations générales'!F54&lt;&gt;"",'Informations générales'!F54," ")</f>
        <v xml:space="preserve"> </v>
      </c>
      <c r="C25" s="159" t="str">
        <f>IF('Informations générales'!$E$14="ZDPPE",IF(COUNTIF('Informations VENTE'!$F$28:$H$527,B25)&gt;0,COUNTIF('Informations VENTE'!$F$28:$H$527,B25),""),IF(COUNTIF('Informations LOCATIF'!$F$28:$H$527,B25)&gt;0,COUNTIF('Informations LOCATIF'!$F$28:$H$527,B25),""))</f>
        <v/>
      </c>
      <c r="D25" s="162" t="str">
        <f ca="1">IF('Informations générales'!$E$14="ZDPPE",IF(SUMIF('Informations VENTE'!$F$28:$H$527,B25,'Informations VENTE'!$O$28:$O$527)&gt;0,SUMIF('Informations VENTE'!$F$28:$H$527,B25,'Informations VENTE'!$O$28:$O$527),""),IF(SUMIF('Informations LOCATIF'!$F$28:$H$527,B25,'Informations LOCATIF'!$Q$28:$Q$527)&gt;0,SUMIF('Informations LOCATIF'!$F$28:$H$527,B25,'Informations LOCATIF'!$Q$28:$Q$527),""))</f>
        <v/>
      </c>
      <c r="E25" s="107"/>
      <c r="F25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générales'!$E$43="Non"),IFERROR(COUNTIFS('Informations LOCATIF'!$F$28:$F$527,B25,'Informations LOCATIF'!$M$28:$M$527,"=Oui") / (C25-SUM(COUNTIFS('Informations LOCATIF'!$F$28:$F$527,B25,'Informations LOCATIF'!$L$28:$L$527,"=IEPA"),COUNTIFS('Informations LOCATIF'!$F$28:$F$527,B25,'Informations LOCATIF'!$L$28:$L$527,"=Foyer"))),""),"")</f>
        <v/>
      </c>
      <c r="G25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générales'!$E$43="Non"),IFERROR(SUMIFS('Informations LOCATIF'!$Q$28:$Q$527,'Informations LOCATIF'!$F$28:$F$527,B25,'Informations LOCATIF'!$M$28:$M$527,"=Oui") / (D25-SUM(SUMIFS('Informations LOCATIF'!$Q$28:$Q$527,'Informations LOCATIF'!$F$28:$F$527,B25,'Informations LOCATIF'!$L$28:$L$527,"=IEPA"),SUMIFS('Informations LOCATIF'!$Q$28:$Q$527,'Informations LOCATIF'!$F$28:$F$527,B25,'Informations LOCATIF'!$L$28:$L$527,"=Foyer"))),""),"")</f>
        <v/>
      </c>
      <c r="H25" s="107"/>
      <c r="I25" s="164" t="str">
        <f>IFERROR(IF(OR('Informations générales'!$E$14="HM",'Informations générales'!$E$14="HM LUP"),ROUNDUP(C25*0.6,0), ""),"")</f>
        <v/>
      </c>
      <c r="J25" s="107"/>
      <c r="K25" s="165" t="str">
        <f>IFERROR(IF(AND(OR('Informations générales'!$E$14="HBM",'Informations générales'!$E$14="HBM LUP"),SUM($C$19:$C$31)&gt;50,'Informations générales'!$E$39&lt;&gt;"Non"),ROUNDUP(C25*0.33,0),""),"")</f>
        <v/>
      </c>
      <c r="L25" s="165" t="str">
        <f>IFERROR(IF(AND(OR('Informations générales'!$E$14="HBM",'Informations générales'!$E$14="HBM LUP"),SUM($C$19:$C$25)&gt;50,'Informations générales'!$E$39&lt;&gt;"Non"),ROUNDDOWN(C25*0.66,0),""),"")</f>
        <v/>
      </c>
      <c r="M25" s="165" t="str">
        <f>IFERROR(IF(AND(OR('Informations générales'!$E$14="HBM",'Informations générales'!$E$14="HBM LUP"),SUM($C$19:$C$25)&gt;50,'Informations générales'!$E$39&lt;&gt;"Non"),ROUNDDOWN(C25*0.33,0),""),"")</f>
        <v/>
      </c>
    </row>
    <row r="26" spans="2:13" x14ac:dyDescent="0.25">
      <c r="B26" s="67" t="str">
        <f>IF('Informations générales'!F55&lt;&gt;"",'Informations générales'!F55," ")</f>
        <v xml:space="preserve"> </v>
      </c>
      <c r="C26" s="159" t="str">
        <f>IF('Informations générales'!$E$14="ZDPPE",IF(COUNTIF('Informations VENTE'!$F$28:$H$527,B26)&gt;0,COUNTIF('Informations VENTE'!$F$28:$H$527,B26),""),IF(COUNTIF('Informations LOCATIF'!$F$28:$H$527,B26)&gt;0,COUNTIF('Informations LOCATIF'!$F$28:$H$527,B26),""))</f>
        <v/>
      </c>
      <c r="D26" s="162" t="str">
        <f ca="1">IF('Informations générales'!$E$14="ZDPPE",IF(SUMIF('Informations VENTE'!$F$28:$H$527,B26,'Informations VENTE'!$O$28:$O$527)&gt;0,SUMIF('Informations VENTE'!$F$28:$H$527,B26,'Informations VENTE'!$O$28:$O$527),""),IF(SUMIF('Informations LOCATIF'!$F$28:$H$527,B26,'Informations LOCATIF'!$Q$28:$Q$527)&gt;0,SUMIF('Informations LOCATIF'!$F$28:$H$527,B26,'Informations LOCATIF'!$Q$28:$Q$527),""))</f>
        <v/>
      </c>
      <c r="E26" s="107"/>
      <c r="F26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générales'!$E$43="Non"),IFERROR(COUNTIFS('Informations LOCATIF'!$F$28:$F$527,B26,'Informations LOCATIF'!$M$28:$M$527,"=Oui") / (C26-SUM(COUNTIFS('Informations LOCATIF'!$F$28:$F$527,B26,'Informations LOCATIF'!$L$28:$L$527,"=IEPA"),COUNTIFS('Informations LOCATIF'!$F$28:$F$527,B26,'Informations LOCATIF'!$L$28:$L$527,"=Foyer"))),""),"")</f>
        <v/>
      </c>
      <c r="G26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générales'!$E$43="Non"),IFERROR(SUMIFS('Informations LOCATIF'!$Q$28:$Q$527,'Informations LOCATIF'!$F$28:$F$527,B26,'Informations LOCATIF'!$M$28:$M$527,"=Oui") / (D26-SUM(SUMIFS('Informations LOCATIF'!$Q$28:$Q$527,'Informations LOCATIF'!$F$28:$F$527,B26,'Informations LOCATIF'!$L$28:$L$527,"=IEPA"),SUMIFS('Informations LOCATIF'!$Q$28:$Q$527,'Informations LOCATIF'!$F$28:$F$527,B26,'Informations LOCATIF'!$L$28:$L$527,"=Foyer"))),""),"")</f>
        <v/>
      </c>
      <c r="H26" s="107"/>
      <c r="I26" s="164" t="str">
        <f>IFERROR(IF(OR('Informations générales'!$E$14="HM",'Informations générales'!$E$14="HM LUP"),ROUNDUP(C26*0.6,0), ""),"")</f>
        <v/>
      </c>
      <c r="J26" s="107"/>
      <c r="K26" s="165" t="str">
        <f>IFERROR(IF(AND(OR('Informations générales'!$E$14="HBM",'Informations générales'!$E$14="HBM LUP"),SUM($C$19:$C$31)&gt;50,'Informations générales'!$E$39&lt;&gt;"Non"),ROUNDUP(C26*0.33,0),""),"")</f>
        <v/>
      </c>
      <c r="L26" s="165" t="str">
        <f>IFERROR(IF(AND(OR('Informations générales'!$E$14="HBM",'Informations générales'!$E$14="HBM LUP"),SUM($C$19:$C$25)&gt;50,'Informations générales'!$E$39&lt;&gt;"Non"),ROUNDDOWN(C26*0.66,0),""),"")</f>
        <v/>
      </c>
      <c r="M26" s="165" t="str">
        <f>IFERROR(IF(AND(OR('Informations générales'!$E$14="HBM",'Informations générales'!$E$14="HBM LUP"),SUM($C$19:$C$25)&gt;50,'Informations générales'!$E$39&lt;&gt;"Non"),ROUNDDOWN(C26*0.33,0),""),"")</f>
        <v/>
      </c>
    </row>
    <row r="27" spans="2:13" x14ac:dyDescent="0.25">
      <c r="B27" s="67" t="str">
        <f>IF('Informations générales'!F56&lt;&gt;"",'Informations générales'!F56," ")</f>
        <v xml:space="preserve"> </v>
      </c>
      <c r="C27" s="159" t="str">
        <f>IF('Informations générales'!$E$14="ZDPPE",IF(COUNTIF('Informations VENTE'!$F$28:$H$527,B27)&gt;0,COUNTIF('Informations VENTE'!$F$28:$H$527,B27),""),IF(COUNTIF('Informations LOCATIF'!$F$28:$H$527,B27)&gt;0,COUNTIF('Informations LOCATIF'!$F$28:$H$527,B27),""))</f>
        <v/>
      </c>
      <c r="D27" s="162" t="str">
        <f ca="1">IF('Informations générales'!$E$14="ZDPPE",IF(SUMIF('Informations VENTE'!$F$28:$H$527,B27,'Informations VENTE'!$O$28:$O$527)&gt;0,SUMIF('Informations VENTE'!$F$28:$H$527,B27,'Informations VENTE'!$O$28:$O$527),""),IF(SUMIF('Informations LOCATIF'!$F$28:$H$527,B27,'Informations LOCATIF'!$Q$28:$Q$527)&gt;0,SUMIF('Informations LOCATIF'!$F$28:$H$527,B27,'Informations LOCATIF'!$Q$28:$Q$527),""))</f>
        <v/>
      </c>
      <c r="E27" s="107"/>
      <c r="F27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générales'!$E$43="Non"),IFERROR(COUNTIFS('Informations LOCATIF'!$F$28:$F$527,B27,'Informations LOCATIF'!$M$28:$M$527,"=Oui") / (C27-SUM(COUNTIFS('Informations LOCATIF'!$F$28:$F$527,B27,'Informations LOCATIF'!$L$28:$L$527,"=IEPA"),COUNTIFS('Informations LOCATIF'!$F$28:$F$527,B27,'Informations LOCATIF'!$L$28:$L$527,"=Foyer"))),""),"")</f>
        <v/>
      </c>
      <c r="G27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générales'!$E$43="Non"),IFERROR(SUMIFS('Informations LOCATIF'!$Q$28:$Q$527,'Informations LOCATIF'!$F$28:$F$527,B27,'Informations LOCATIF'!$M$28:$M$527,"=Oui") / (D27-SUM(SUMIFS('Informations LOCATIF'!$Q$28:$Q$527,'Informations LOCATIF'!$F$28:$F$527,B27,'Informations LOCATIF'!$L$28:$L$527,"=IEPA"),SUMIFS('Informations LOCATIF'!$Q$28:$Q$527,'Informations LOCATIF'!$F$28:$F$527,B27,'Informations LOCATIF'!$L$28:$L$527,"=Foyer"))),""),"")</f>
        <v/>
      </c>
      <c r="H27" s="107"/>
      <c r="I27" s="164" t="str">
        <f>IFERROR(IF(OR('Informations générales'!$E$14="HM",'Informations générales'!$E$14="HM LUP"),ROUNDUP(C27*0.6,0), ""),"")</f>
        <v/>
      </c>
      <c r="J27" s="107"/>
      <c r="K27" s="165" t="str">
        <f>IFERROR(IF(AND(OR('Informations générales'!$E$14="HBM",'Informations générales'!$E$14="HBM LUP"),SUM($C$19:$C$31)&gt;50,'Informations générales'!$E$39&lt;&gt;"Non"),ROUNDUP(C27*0.33,0),""),"")</f>
        <v/>
      </c>
      <c r="L27" s="165" t="str">
        <f>IFERROR(IF(AND(OR('Informations générales'!$E$14="HBM",'Informations générales'!$E$14="HBM LUP"),SUM($C$19:$C$25)&gt;50,'Informations générales'!$E$39&lt;&gt;"Non"),ROUNDDOWN(C27*0.66,0),""),"")</f>
        <v/>
      </c>
      <c r="M27" s="165" t="str">
        <f>IFERROR(IF(AND(OR('Informations générales'!$E$14="HBM",'Informations générales'!$E$14="HBM LUP"),SUM($C$19:$C$25)&gt;50,'Informations générales'!$E$39&lt;&gt;"Non"),ROUNDDOWN(C27*0.33,0),""),"")</f>
        <v/>
      </c>
    </row>
    <row r="28" spans="2:13" x14ac:dyDescent="0.25">
      <c r="B28" s="67" t="str">
        <f>IF('Informations générales'!F57&lt;&gt;"",'Informations générales'!F57," ")</f>
        <v xml:space="preserve"> </v>
      </c>
      <c r="C28" s="159" t="str">
        <f>IF('Informations générales'!$E$14="ZDPPE",IF(COUNTIF('Informations VENTE'!$F$28:$H$527,B28)&gt;0,COUNTIF('Informations VENTE'!$F$28:$H$527,B28),""),IF(COUNTIF('Informations LOCATIF'!$F$28:$H$527,B28)&gt;0,COUNTIF('Informations LOCATIF'!$F$28:$H$527,B28),""))</f>
        <v/>
      </c>
      <c r="D28" s="162" t="str">
        <f ca="1">IF('Informations générales'!$E$14="ZDPPE",IF(SUMIF('Informations VENTE'!$F$28:$H$527,B28,'Informations VENTE'!$O$28:$O$527)&gt;0,SUMIF('Informations VENTE'!$F$28:$H$527,B28,'Informations VENTE'!$O$28:$O$527),""),IF(SUMIF('Informations LOCATIF'!$F$28:$H$527,B28,'Informations LOCATIF'!$Q$28:$Q$527)&gt;0,SUMIF('Informations LOCATIF'!$F$28:$H$527,B28,'Informations LOCATIF'!$Q$28:$Q$527),""))</f>
        <v/>
      </c>
      <c r="E28" s="107"/>
      <c r="F28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générales'!$E$43="Non"),IFERROR(COUNTIFS('Informations LOCATIF'!$F$28:$F$527,B28,'Informations LOCATIF'!$M$28:$M$527,"=Oui") / (C28-SUM(COUNTIFS('Informations LOCATIF'!$F$28:$F$527,B28,'Informations LOCATIF'!$L$28:$L$527,"=IEPA"),COUNTIFS('Informations LOCATIF'!$F$28:$F$527,B28,'Informations LOCATIF'!$L$28:$L$527,"=Foyer"))),""),"")</f>
        <v/>
      </c>
      <c r="G28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générales'!$E$43="Non"),IFERROR(SUMIFS('Informations LOCATIF'!$Q$28:$Q$527,'Informations LOCATIF'!$F$28:$F$527,B28,'Informations LOCATIF'!$M$28:$M$527,"=Oui") / (D28-SUM(SUMIFS('Informations LOCATIF'!$Q$28:$Q$527,'Informations LOCATIF'!$F$28:$F$527,B28,'Informations LOCATIF'!$L$28:$L$527,"=IEPA"),SUMIFS('Informations LOCATIF'!$Q$28:$Q$527,'Informations LOCATIF'!$F$28:$F$527,B28,'Informations LOCATIF'!$L$28:$L$527,"=Foyer"))),""),"")</f>
        <v/>
      </c>
      <c r="H28" s="107"/>
      <c r="I28" s="164" t="str">
        <f>IFERROR(IF(OR('Informations générales'!$E$14="HM",'Informations générales'!$E$14="HM LUP"),ROUNDUP(C28*0.6,0), ""),"")</f>
        <v/>
      </c>
      <c r="J28" s="107"/>
      <c r="K28" s="165" t="str">
        <f>IFERROR(IF(AND(OR('Informations générales'!$E$14="HBM",'Informations générales'!$E$14="HBM LUP"),SUM($C$19:$C$31)&gt;50,'Informations générales'!$E$39&lt;&gt;"Non"),ROUNDUP(C28*0.33,0),""),"")</f>
        <v/>
      </c>
      <c r="L28" s="165" t="str">
        <f>IFERROR(IF(AND(OR('Informations générales'!$E$14="HBM",'Informations générales'!$E$14="HBM LUP"),SUM($C$19:$C$25)&gt;50,'Informations générales'!$E$39&lt;&gt;"Non"),ROUNDDOWN(C28*0.66,0),""),"")</f>
        <v/>
      </c>
      <c r="M28" s="165" t="str">
        <f>IFERROR(IF(AND(OR('Informations générales'!$E$14="HBM",'Informations générales'!$E$14="HBM LUP"),SUM($C$19:$C$25)&gt;50,'Informations générales'!$E$39&lt;&gt;"Non"),ROUNDDOWN(C28*0.33,0),""),"")</f>
        <v/>
      </c>
    </row>
    <row r="29" spans="2:13" x14ac:dyDescent="0.25">
      <c r="B29" s="67" t="str">
        <f>IF('Informations générales'!F58&lt;&gt;"",'Informations générales'!F58," ")</f>
        <v xml:space="preserve"> </v>
      </c>
      <c r="C29" s="159" t="str">
        <f>IF('Informations générales'!$E$14="ZDPPE",IF(COUNTIF('Informations VENTE'!$F$28:$H$527,B29)&gt;0,COUNTIF('Informations VENTE'!$F$28:$H$527,B29),""),IF(COUNTIF('Informations LOCATIF'!$F$28:$H$527,B29)&gt;0,COUNTIF('Informations LOCATIF'!$F$28:$H$527,B29),""))</f>
        <v/>
      </c>
      <c r="D29" s="162" t="str">
        <f ca="1">IF('Informations générales'!$E$14="ZDPPE",IF(SUMIF('Informations VENTE'!$F$28:$H$527,B29,'Informations VENTE'!$O$28:$O$527)&gt;0,SUMIF('Informations VENTE'!$F$28:$H$527,B29,'Informations VENTE'!$O$28:$O$527),""),IF(SUMIF('Informations LOCATIF'!$F$28:$H$527,B29,'Informations LOCATIF'!$Q$28:$Q$527)&gt;0,SUMIF('Informations LOCATIF'!$F$28:$H$527,B29,'Informations LOCATIF'!$Q$28:$Q$527),""))</f>
        <v/>
      </c>
      <c r="E29" s="107"/>
      <c r="F29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générales'!$E$43="Non"),IFERROR(COUNTIFS('Informations LOCATIF'!$F$28:$F$527,B29,'Informations LOCATIF'!$M$28:$M$527,"=Oui") / (C29-SUM(COUNTIFS('Informations LOCATIF'!$F$28:$F$527,B29,'Informations LOCATIF'!$L$28:$L$527,"=IEPA"),COUNTIFS('Informations LOCATIF'!$F$28:$F$527,B29,'Informations LOCATIF'!$L$28:$L$527,"=Foyer"))),""),"")</f>
        <v/>
      </c>
      <c r="G29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générales'!$E$43="Non"),IFERROR(SUMIFS('Informations LOCATIF'!$Q$28:$Q$527,'Informations LOCATIF'!$F$28:$F$527,B29,'Informations LOCATIF'!$M$28:$M$527,"=Oui") / (D29-SUM(SUMIFS('Informations LOCATIF'!$Q$28:$Q$527,'Informations LOCATIF'!$F$28:$F$527,B29,'Informations LOCATIF'!$L$28:$L$527,"=IEPA"),SUMIFS('Informations LOCATIF'!$Q$28:$Q$527,'Informations LOCATIF'!$F$28:$F$527,B29,'Informations LOCATIF'!$L$28:$L$527,"=Foyer"))),""),"")</f>
        <v/>
      </c>
      <c r="H29" s="107"/>
      <c r="I29" s="164" t="str">
        <f>IFERROR(IF(OR('Informations générales'!$E$14="HM",'Informations générales'!$E$14="HM LUP"),ROUNDUP(C29*0.6,0), ""),"")</f>
        <v/>
      </c>
      <c r="J29" s="107"/>
      <c r="K29" s="165" t="str">
        <f>IFERROR(IF(AND(OR('Informations générales'!$E$14="HBM",'Informations générales'!$E$14="HBM LUP"),SUM($C$19:$C$31)&gt;50,'Informations générales'!$E$39&lt;&gt;"Non"),ROUNDUP(C29*0.33,0),""),"")</f>
        <v/>
      </c>
      <c r="L29" s="165" t="str">
        <f>IFERROR(IF(AND(OR('Informations générales'!$E$14="HBM",'Informations générales'!$E$14="HBM LUP"),SUM($C$19:$C$25)&gt;50,'Informations générales'!$E$39&lt;&gt;"Non"),ROUNDDOWN(C29*0.66,0),""),"")</f>
        <v/>
      </c>
      <c r="M29" s="165" t="str">
        <f>IFERROR(IF(AND(OR('Informations générales'!$E$14="HBM",'Informations générales'!$E$14="HBM LUP"),SUM($C$19:$C$25)&gt;50,'Informations générales'!$E$39&lt;&gt;"Non"),ROUNDDOWN(C29*0.33,0),""),"")</f>
        <v/>
      </c>
    </row>
    <row r="30" spans="2:13" x14ac:dyDescent="0.25">
      <c r="B30" s="67" t="str">
        <f>IF('Informations générales'!F59&lt;&gt;"",'Informations générales'!F59," ")</f>
        <v xml:space="preserve"> </v>
      </c>
      <c r="C30" s="159" t="str">
        <f>IF('Informations générales'!$E$14="ZDPPE",IF(COUNTIF('Informations VENTE'!$F$28:$H$527,B30)&gt;0,COUNTIF('Informations VENTE'!$F$28:$H$527,B30),""),IF(COUNTIF('Informations LOCATIF'!$F$28:$H$527,B30)&gt;0,COUNTIF('Informations LOCATIF'!$F$28:$H$527,B30),""))</f>
        <v/>
      </c>
      <c r="D30" s="162" t="str">
        <f ca="1">IF('Informations générales'!$E$14="ZDPPE",IF(SUMIF('Informations VENTE'!$F$28:$H$527,B30,'Informations VENTE'!$O$28:$O$527)&gt;0,SUMIF('Informations VENTE'!$F$28:$H$527,B30,'Informations VENTE'!$O$28:$O$527),""),IF(SUMIF('Informations LOCATIF'!$F$28:$H$527,B30,'Informations LOCATIF'!$Q$28:$Q$527)&gt;0,SUMIF('Informations LOCATIF'!$F$28:$H$527,B30,'Informations LOCATIF'!$Q$28:$Q$527),""))</f>
        <v/>
      </c>
      <c r="E30" s="107"/>
      <c r="F30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générales'!$E$43="Non"),IFERROR(COUNTIFS('Informations LOCATIF'!$F$28:$F$527,B30,'Informations LOCATIF'!$M$28:$M$527,"=Oui") / (C30-SUM(COUNTIFS('Informations LOCATIF'!$F$28:$F$527,B30,'Informations LOCATIF'!$L$28:$L$527,"=IEPA"),COUNTIFS('Informations LOCATIF'!$F$28:$F$527,B30,'Informations LOCATIF'!$L$28:$L$527,"=Foyer"))),""),"")</f>
        <v/>
      </c>
      <c r="G30" s="163" t="str">
        <f>IF(AND(OR('Informations générales'!$E$14 ="HBM", 'Informations générales'!$E$14 ="HM",'Informations générales'!$E$14 ="HLM",'Informations générales'!$E$14 ="HM LUP",'Informations générales'!$E$14 ="HLM LUP",'Informations générales'!$E$14 ="HBM LUP"),'Informations générales'!$E$43="Non"),IFERROR(SUMIFS('Informations LOCATIF'!$Q$28:$Q$527,'Informations LOCATIF'!$F$28:$F$527,B30,'Informations LOCATIF'!$M$28:$M$527,"=Oui") / (D30-SUM(SUMIFS('Informations LOCATIF'!$Q$28:$Q$527,'Informations LOCATIF'!$F$28:$F$527,B30,'Informations LOCATIF'!$L$28:$L$527,"=IEPA"),SUMIFS('Informations LOCATIF'!$Q$28:$Q$527,'Informations LOCATIF'!$F$28:$F$527,B30,'Informations LOCATIF'!$L$28:$L$527,"=Foyer"))),""),"")</f>
        <v/>
      </c>
      <c r="H30" s="107"/>
      <c r="I30" s="164" t="str">
        <f>IFERROR(IF(OR('Informations générales'!$E$14="HM",'Informations générales'!$E$14="HM LUP"),ROUNDUP(C30*0.6,0), ""),"")</f>
        <v/>
      </c>
      <c r="J30" s="107"/>
      <c r="K30" s="165" t="str">
        <f>IFERROR(IF(AND(OR('Informations générales'!$E$14="HBM",'Informations générales'!$E$14="HBM LUP"),SUM($C$19:$C$31)&gt;50,'Informations générales'!$E$39&lt;&gt;"Non"),ROUNDUP(C30*0.33,0),""),"")</f>
        <v/>
      </c>
      <c r="L30" s="165" t="str">
        <f>IFERROR(IF(AND(OR('Informations générales'!$E$14="HBM",'Informations générales'!$E$14="HBM LUP"),SUM($C$19:$C$25)&gt;50,'Informations générales'!$E$39&lt;&gt;"Non"),ROUNDDOWN(C30*0.66,0),""),"")</f>
        <v/>
      </c>
      <c r="M30" s="165" t="str">
        <f>IFERROR(IF(AND(OR('Informations générales'!$E$14="HBM",'Informations générales'!$E$14="HBM LUP"),SUM($C$19:$C$25)&gt;50,'Informations générales'!$E$39&lt;&gt;"Non"),ROUNDDOWN(C30*0.33,0),""),"")</f>
        <v/>
      </c>
    </row>
    <row r="31" spans="2:13" ht="11.25" customHeight="1" x14ac:dyDescent="0.25"/>
    <row r="32" spans="2:13" ht="15.75" customHeight="1" x14ac:dyDescent="0.25">
      <c r="B32" s="71" t="s">
        <v>211</v>
      </c>
      <c r="C32" s="70"/>
      <c r="D32" s="70"/>
    </row>
    <row r="33" spans="2:6" ht="3" customHeight="1" x14ac:dyDescent="0.25"/>
    <row r="34" spans="2:6" ht="33.75" customHeight="1" x14ac:dyDescent="0.25">
      <c r="B34" s="73" t="s">
        <v>212</v>
      </c>
      <c r="C34" s="74" t="str">
        <f>IF('Informations générales'!$E$14&lt;&gt;"ZDPPE","Fr. / an","Fr.")</f>
        <v>Fr. / an</v>
      </c>
      <c r="D34" s="74" t="str">
        <f>CONCATENATE("Nombre logements (",SUM(D35:D39),")")</f>
        <v>Nombre logements (0)</v>
      </c>
      <c r="E34" s="265" t="str">
        <f ca="1">CONCATENATE("Nombre pièces (",SUM($D$19:$D$25),")")</f>
        <v>Nombre pièces (0)</v>
      </c>
      <c r="F34" s="266"/>
    </row>
    <row r="35" spans="2:6" ht="15.75" customHeight="1" x14ac:dyDescent="0.25">
      <c r="B35" s="72" t="str">
        <f>'Informations générales'!$C$66</f>
        <v>3111. Logements</v>
      </c>
      <c r="C35" s="158">
        <f ca="1">IF('Informations générales'!$E$14 ="ZDPPE",'Informations VENTE'!Z27,SUMIF('Informations LOCATIF'!$C$28:$D$527,"3111. Logements",'Informations LOCATIF'!$AD$28:$AD$527))</f>
        <v>0</v>
      </c>
      <c r="D35" s="159">
        <f>IF('Informations générales'!$E$14="ZDPPE",SUM(C19:C30),COUNTIF('Informations LOCATIF'!$C$28:$D$527,"3111. Logements"))</f>
        <v>0</v>
      </c>
      <c r="E35" s="263">
        <f ca="1">IF('Informations générales'!$E$14="ZDPPE",SUM(D19:D30),SUMIF('Informations LOCATIF'!$C$28:$D$527,"3111. Logements",'Informations LOCATIF'!$Q$28:$Q$527))</f>
        <v>0</v>
      </c>
      <c r="F35" s="264"/>
    </row>
    <row r="36" spans="2:6" ht="17.25" customHeight="1" x14ac:dyDescent="0.25">
      <c r="B36" s="72" t="str">
        <f>'Informations générales'!$C$67</f>
        <v>3112. Logements</v>
      </c>
      <c r="C36" s="158">
        <f ca="1">IF('Informations générales'!$E$14 ="ZDPPE","",SUMIF('Informations LOCATIF'!$C$28:$D$527,"3112. Logements",'Informations LOCATIF'!$AD$28:$AD$527))</f>
        <v>0</v>
      </c>
      <c r="D36" s="159">
        <f>IF('Informations générales'!$E$14="ZDPPE","",COUNTIF('Informations LOCATIF'!$C$28:$D$527,"3112. Logements"))</f>
        <v>0</v>
      </c>
      <c r="E36" s="263">
        <f ca="1">IF('Informations générales'!$E$14="ZDPPE","",SUMIF('Informations LOCATIF'!$C$28:$D$527,"3112. Logements",'Informations LOCATIF'!$Q$28:$Q$527))</f>
        <v>0</v>
      </c>
      <c r="F36" s="264"/>
    </row>
    <row r="37" spans="2:6" ht="17.25" customHeight="1" x14ac:dyDescent="0.25">
      <c r="B37" s="72" t="str">
        <f>'Informations générales'!$C$68</f>
        <v>3113. Logements</v>
      </c>
      <c r="C37" s="158">
        <f ca="1">IF('Informations générales'!$E$14 ="ZDPPE","",SUMIF('Informations LOCATIF'!$C$28:$D$527,"3113. Logements",'Informations LOCATIF'!$AD$28:$AD$527))</f>
        <v>0</v>
      </c>
      <c r="D37" s="159">
        <f>IF('Informations générales'!$E$14="ZDPPE","",COUNTIF('Informations LOCATIF'!$C$28:$D$527,"3113. Logements"))</f>
        <v>0</v>
      </c>
      <c r="E37" s="263">
        <f ca="1">IF('Informations générales'!$E$14="ZDPPE","",SUMIF('Informations LOCATIF'!$C$28:$D$527,"3113. Logements",'Informations LOCATIF'!$Q$28:$Q$527))</f>
        <v>0</v>
      </c>
      <c r="F37" s="264"/>
    </row>
    <row r="38" spans="2:6" ht="18" customHeight="1" x14ac:dyDescent="0.25">
      <c r="B38" s="72" t="str">
        <f>'Informations générales'!$C$69</f>
        <v>3114. Logements</v>
      </c>
      <c r="C38" s="158">
        <f ca="1">IF('Informations générales'!$E$14 ="ZDPPE","",SUMIF('Informations LOCATIF'!$C$28:$D$527,"3114. Logements",'Informations LOCATIF'!$AD$28:$AD$527))</f>
        <v>0</v>
      </c>
      <c r="D38" s="159">
        <f>IF('Informations générales'!$E$14="ZDPPE","",COUNTIF('Informations LOCATIF'!$C$28:$D$527,"3114. Logements"))</f>
        <v>0</v>
      </c>
      <c r="E38" s="263">
        <f ca="1">IF('Informations générales'!$E$14="ZDPPE","",SUMIF('Informations LOCATIF'!$C$28:$D$527,"3114. Logements",'Informations LOCATIF'!$Q$28:$Q$527))</f>
        <v>0</v>
      </c>
      <c r="F38" s="264"/>
    </row>
    <row r="39" spans="2:6" ht="18" customHeight="1" x14ac:dyDescent="0.25">
      <c r="B39" s="72" t="str">
        <f>'Informations générales'!$C$70</f>
        <v>3115. Logements</v>
      </c>
      <c r="C39" s="158">
        <f ca="1">IF('Informations générales'!$E$14 ="ZDPPE","",SUMIF('Informations LOCATIF'!$C$28:$D$527,"3115. Logements",'Informations LOCATIF'!$AD$28:$AD$527))</f>
        <v>0</v>
      </c>
      <c r="D39" s="159">
        <f>IF('Informations générales'!$E$14="ZDPPE","",COUNTIF('Informations LOCATIF'!$C$28:$D$527,"3115. Logements"))</f>
        <v>0</v>
      </c>
      <c r="E39" s="263">
        <f ca="1">IF('Informations générales'!$E$14="ZDPPE","",SUMIF('Informations LOCATIF'!$C$28:$D$527,"3115. Logements",'Informations LOCATIF'!$Q$28:$Q$527))</f>
        <v>0</v>
      </c>
      <c r="F39" s="264"/>
    </row>
    <row r="40" spans="2:6" ht="7.5" customHeight="1" x14ac:dyDescent="0.25"/>
    <row r="41" spans="2:6" ht="30" x14ac:dyDescent="0.25">
      <c r="C41" s="98" t="s">
        <v>217</v>
      </c>
      <c r="D41" s="106" t="str">
        <f>IF('Informations générales'!$E$14="ZDPPE","N/A","")</f>
        <v/>
      </c>
    </row>
    <row r="42" spans="2:6" ht="4.5" customHeight="1" x14ac:dyDescent="0.25"/>
    <row r="43" spans="2:6" x14ac:dyDescent="0.25">
      <c r="C43" s="68" t="s">
        <v>200</v>
      </c>
      <c r="D43" s="69" t="s">
        <v>201</v>
      </c>
    </row>
    <row r="44" spans="2:6" x14ac:dyDescent="0.25">
      <c r="C44" s="160">
        <f>IF('Informations générales'!$E$14&lt;&gt;"ZDPPE",COUNTIF('Informations LOCATIF'!$Q$28:$Q$527,"&lt;=4"),"")</f>
        <v>0</v>
      </c>
      <c r="D44" s="160">
        <f>IF('Informations générales'!$E$14&lt;&gt;"ZDPPE",COUNTIF('Informations LOCATIF'!$Q$28:$Q$527,"&gt;=5.5"),"")</f>
        <v>0</v>
      </c>
    </row>
    <row r="45" spans="2:6" x14ac:dyDescent="0.25">
      <c r="C45" s="161" t="str">
        <f>IFERROR(IF('Informations générales'!$E$14&lt;&gt;"ZDPPE",C44/(SUM($C$19:$C$30)),""),"")</f>
        <v/>
      </c>
      <c r="D45" s="161" t="str">
        <f>IFERROR(IF('Informations générales'!$E$14&lt;&gt;"ZDPPE",D44/SUM($C$19:$C$30),""),"")</f>
        <v/>
      </c>
    </row>
    <row r="47" spans="2:6" ht="30" x14ac:dyDescent="0.25">
      <c r="C47" s="98" t="s">
        <v>216</v>
      </c>
      <c r="D47" s="105" t="str">
        <f>IF('Informations générales'!$E$14="ZDPPE","","N/A")</f>
        <v>N/A</v>
      </c>
    </row>
    <row r="48" spans="2:6" ht="6" customHeight="1" x14ac:dyDescent="0.25"/>
    <row r="49" spans="3:4" x14ac:dyDescent="0.25">
      <c r="C49" s="68" t="s">
        <v>202</v>
      </c>
      <c r="D49" s="69" t="s">
        <v>203</v>
      </c>
    </row>
    <row r="50" spans="3:4" x14ac:dyDescent="0.25">
      <c r="C50" s="160" t="str">
        <f>IF('Informations générales'!$E$14="ZDPPE",COUNTIF('Informations VENTE'!$Q$28:$Q$527, "&lt;=100"),"")</f>
        <v/>
      </c>
      <c r="D50" s="160" t="str">
        <f>IF('Informations générales'!$E$14="ZDPPE",COUNTIF('Informations VENTE'!$Q$28:$Q$527, "&gt;=130"),"")</f>
        <v/>
      </c>
    </row>
    <row r="51" spans="3:4" x14ac:dyDescent="0.25">
      <c r="C51" s="161" t="str">
        <f>IFERROR(IF('Informations générales'!$E$14="ZDPPE",C50/SUM($C$19:$C$30),""),"")</f>
        <v/>
      </c>
      <c r="D51" s="161" t="str">
        <f>IFERROR(IF('Informations générales'!$E$14="ZDPPE",D50/SUM($C$19:$C$30),""),"")</f>
        <v/>
      </c>
    </row>
  </sheetData>
  <sheetProtection algorithmName="SHA-512" hashValue="d0rOJM0hyLe4yH5xWQ7fyzF1yKaXljTbIW87nV6olqPAUNrVAut2N1mk/N9quiK9foKPckaIWsC5+ZC0ttJM4A==" saltValue="orVzPHDi1RcKaa9rnhj5EA==" spinCount="100000" sheet="1" objects="1" scenarios="1"/>
  <mergeCells count="8">
    <mergeCell ref="J3:K3"/>
    <mergeCell ref="B7:M7"/>
    <mergeCell ref="E38:F38"/>
    <mergeCell ref="E39:F39"/>
    <mergeCell ref="E34:F34"/>
    <mergeCell ref="E35:F35"/>
    <mergeCell ref="E36:F36"/>
    <mergeCell ref="E37:F37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B1:R78"/>
  <sheetViews>
    <sheetView topLeftCell="A4" workbookViewId="0">
      <selection activeCell="L4" sqref="L4"/>
    </sheetView>
  </sheetViews>
  <sheetFormatPr baseColWidth="10" defaultRowHeight="15" x14ac:dyDescent="0.25"/>
  <cols>
    <col min="2" max="2" width="17.42578125" bestFit="1" customWidth="1"/>
    <col min="3" max="4" width="16.85546875" customWidth="1"/>
    <col min="5" max="5" width="31.85546875" bestFit="1" customWidth="1"/>
    <col min="6" max="6" width="15" customWidth="1"/>
    <col min="7" max="7" width="17.85546875" customWidth="1"/>
    <col min="8" max="8" width="15.7109375" customWidth="1"/>
    <col min="9" max="9" width="31.85546875" customWidth="1"/>
    <col min="10" max="10" width="14.28515625" customWidth="1"/>
    <col min="12" max="12" width="33" customWidth="1"/>
    <col min="13" max="13" width="34" customWidth="1"/>
    <col min="17" max="17" width="30" customWidth="1"/>
    <col min="18" max="18" width="16" customWidth="1"/>
  </cols>
  <sheetData>
    <row r="1" spans="2:17" x14ac:dyDescent="0.25">
      <c r="B1" s="4" t="s">
        <v>43</v>
      </c>
      <c r="C1" t="s">
        <v>44</v>
      </c>
    </row>
    <row r="3" spans="2:17" x14ac:dyDescent="0.25">
      <c r="B3" s="185" t="s">
        <v>14</v>
      </c>
      <c r="C3" s="185" t="s">
        <v>23</v>
      </c>
      <c r="D3" s="185"/>
      <c r="E3" s="185" t="s">
        <v>18</v>
      </c>
      <c r="F3" s="185" t="s">
        <v>24</v>
      </c>
      <c r="G3" s="185" t="s">
        <v>34</v>
      </c>
      <c r="H3" s="185" t="s">
        <v>37</v>
      </c>
      <c r="I3" s="185" t="s">
        <v>40</v>
      </c>
      <c r="J3" s="185" t="s">
        <v>41</v>
      </c>
      <c r="K3" s="186"/>
      <c r="L3" s="185" t="s">
        <v>42</v>
      </c>
      <c r="M3" s="185" t="s">
        <v>124</v>
      </c>
      <c r="N3" s="185" t="s">
        <v>93</v>
      </c>
      <c r="Q3" s="4"/>
    </row>
    <row r="4" spans="2:17" x14ac:dyDescent="0.25">
      <c r="B4" t="s">
        <v>19</v>
      </c>
      <c r="C4" t="s">
        <v>25</v>
      </c>
      <c r="E4" t="s">
        <v>15</v>
      </c>
      <c r="F4" t="s">
        <v>30</v>
      </c>
      <c r="G4" t="s">
        <v>35</v>
      </c>
      <c r="H4" t="s">
        <v>38</v>
      </c>
      <c r="I4" t="s">
        <v>135</v>
      </c>
      <c r="L4" t="str">
        <f>IF(ISBLANK('Informations générales'!E66),"",'Informations générales'!C66)</f>
        <v/>
      </c>
      <c r="M4" t="str">
        <f>IF(ISBLANK('Informations générales'!F48),"",'Informations générales'!F48)</f>
        <v/>
      </c>
      <c r="N4" t="s">
        <v>94</v>
      </c>
    </row>
    <row r="5" spans="2:17" x14ac:dyDescent="0.25">
      <c r="B5" t="s">
        <v>20</v>
      </c>
      <c r="C5" t="s">
        <v>26</v>
      </c>
      <c r="E5" t="s">
        <v>16</v>
      </c>
      <c r="F5" t="s">
        <v>31</v>
      </c>
      <c r="G5" t="s">
        <v>275</v>
      </c>
      <c r="H5" t="s">
        <v>39</v>
      </c>
      <c r="I5" t="s">
        <v>136</v>
      </c>
      <c r="L5" t="str">
        <f>IF(ISBLANK('Informations générales'!E67),"",'Informations générales'!C67)</f>
        <v/>
      </c>
      <c r="M5" t="str">
        <f>IF(ISBLANK('Informations générales'!F49),"",'Informations générales'!F49)</f>
        <v/>
      </c>
      <c r="N5" t="s">
        <v>95</v>
      </c>
    </row>
    <row r="6" spans="2:17" x14ac:dyDescent="0.25">
      <c r="B6" t="s">
        <v>21</v>
      </c>
      <c r="C6" t="s">
        <v>27</v>
      </c>
      <c r="E6" t="s">
        <v>17</v>
      </c>
      <c r="F6" t="s">
        <v>32</v>
      </c>
      <c r="G6" t="s">
        <v>36</v>
      </c>
      <c r="I6" t="s">
        <v>137</v>
      </c>
      <c r="L6" t="str">
        <f>IF(ISBLANK('Informations générales'!E68),"",'Informations générales'!C68)</f>
        <v/>
      </c>
      <c r="M6" t="str">
        <f>IF(ISBLANK('Informations générales'!F50),"",'Informations générales'!F50)</f>
        <v/>
      </c>
    </row>
    <row r="7" spans="2:17" x14ac:dyDescent="0.25">
      <c r="B7" t="s">
        <v>22</v>
      </c>
      <c r="C7" t="s">
        <v>28</v>
      </c>
      <c r="F7" t="s">
        <v>33</v>
      </c>
      <c r="G7" t="s">
        <v>276</v>
      </c>
      <c r="I7" t="s">
        <v>138</v>
      </c>
      <c r="L7" t="str">
        <f>IF(ISBLANK('Informations générales'!E69),"",'Informations générales'!C69)</f>
        <v/>
      </c>
      <c r="M7" t="str">
        <f>IF(ISBLANK('Informations générales'!F51),"",'Informations générales'!F51)</f>
        <v/>
      </c>
    </row>
    <row r="8" spans="2:17" x14ac:dyDescent="0.25">
      <c r="B8" t="s">
        <v>50</v>
      </c>
      <c r="C8" t="s">
        <v>29</v>
      </c>
      <c r="I8" t="s">
        <v>139</v>
      </c>
      <c r="L8" t="str">
        <f>IF(ISBLANK('Informations générales'!E70),"",'Informations générales'!C70)</f>
        <v/>
      </c>
      <c r="M8" t="str">
        <f>IF(ISBLANK('Informations générales'!F52),"",'Informations générales'!F52)</f>
        <v/>
      </c>
    </row>
    <row r="9" spans="2:17" x14ac:dyDescent="0.25">
      <c r="I9" t="s">
        <v>140</v>
      </c>
      <c r="L9" t="str">
        <f>IF(ISBLANK('Informations générales'!D71),"",'Informations générales'!C71)</f>
        <v/>
      </c>
      <c r="M9" t="str">
        <f>IF(ISBLANK('Informations générales'!F53),"",'Informations générales'!F53)</f>
        <v/>
      </c>
    </row>
    <row r="10" spans="2:17" x14ac:dyDescent="0.25">
      <c r="I10" t="s">
        <v>68</v>
      </c>
      <c r="L10" t="str">
        <f>IF(ISBLANK('Informations générales'!D72),"",'Informations générales'!C72)</f>
        <v/>
      </c>
      <c r="M10" t="str">
        <f>IF(ISBLANK('Informations générales'!F54),"",'Informations générales'!F54)</f>
        <v/>
      </c>
    </row>
    <row r="11" spans="2:17" x14ac:dyDescent="0.25">
      <c r="M11" t="str">
        <f>IF(ISBLANK('Informations générales'!F55),"",'Informations générales'!F55)</f>
        <v/>
      </c>
    </row>
    <row r="12" spans="2:17" x14ac:dyDescent="0.25">
      <c r="M12" t="str">
        <f>IF(ISBLANK('Informations générales'!F56),"",'Informations générales'!F56)</f>
        <v/>
      </c>
    </row>
    <row r="13" spans="2:17" x14ac:dyDescent="0.25">
      <c r="M13" t="str">
        <f>IF(ISBLANK('Informations générales'!F57),"",'Informations générales'!F57)</f>
        <v/>
      </c>
    </row>
    <row r="14" spans="2:17" x14ac:dyDescent="0.25">
      <c r="M14" t="str">
        <f>IF(ISBLANK('Informations générales'!F58),"",'Informations générales'!F58)</f>
        <v/>
      </c>
    </row>
    <row r="15" spans="2:17" x14ac:dyDescent="0.25">
      <c r="M15" t="str">
        <f>IF(ISBLANK('Informations générales'!F59),"",'Informations générales'!F59)</f>
        <v/>
      </c>
    </row>
    <row r="16" spans="2:17" x14ac:dyDescent="0.25">
      <c r="M16" t="str">
        <f>IF(ISBLANK('Informations générales'!F60),"",'Informations générales'!F60)</f>
        <v/>
      </c>
    </row>
    <row r="17" spans="2:18" x14ac:dyDescent="0.25">
      <c r="M17" t="str">
        <f>IF(ISBLANK('Informations générales'!F61),"",'Informations générales'!F61)</f>
        <v/>
      </c>
    </row>
    <row r="18" spans="2:18" x14ac:dyDescent="0.25">
      <c r="B18" s="185" t="s">
        <v>286</v>
      </c>
      <c r="C18" s="185" t="s">
        <v>285</v>
      </c>
      <c r="D18" s="185" t="s">
        <v>287</v>
      </c>
      <c r="E18" s="185" t="s">
        <v>97</v>
      </c>
      <c r="F18" s="186"/>
      <c r="G18" s="185" t="s">
        <v>14</v>
      </c>
      <c r="H18" s="185" t="s">
        <v>103</v>
      </c>
      <c r="I18" s="185" t="s">
        <v>72</v>
      </c>
      <c r="J18" s="185" t="s">
        <v>69</v>
      </c>
      <c r="K18" s="186"/>
      <c r="L18" s="186"/>
      <c r="M18" s="185" t="s">
        <v>173</v>
      </c>
      <c r="N18" s="185" t="s">
        <v>174</v>
      </c>
      <c r="O18" s="186"/>
      <c r="P18" s="186"/>
      <c r="Q18" s="185" t="s">
        <v>175</v>
      </c>
      <c r="R18" s="185" t="s">
        <v>174</v>
      </c>
    </row>
    <row r="19" spans="2:18" x14ac:dyDescent="0.25">
      <c r="B19" t="s">
        <v>25</v>
      </c>
      <c r="C19" t="s">
        <v>49</v>
      </c>
      <c r="D19" t="s">
        <v>49</v>
      </c>
      <c r="E19" s="16" t="s">
        <v>39</v>
      </c>
      <c r="G19" t="s">
        <v>19</v>
      </c>
      <c r="H19" t="s">
        <v>38</v>
      </c>
      <c r="I19" t="s">
        <v>106</v>
      </c>
      <c r="J19" t="s">
        <v>119</v>
      </c>
      <c r="M19" t="s">
        <v>180</v>
      </c>
      <c r="N19" s="64">
        <v>0.04</v>
      </c>
      <c r="Q19" s="66" t="s">
        <v>184</v>
      </c>
      <c r="R19" s="65">
        <v>0.5</v>
      </c>
    </row>
    <row r="20" spans="2:18" x14ac:dyDescent="0.25">
      <c r="B20" t="s">
        <v>45</v>
      </c>
      <c r="C20" t="s">
        <v>48</v>
      </c>
      <c r="D20" t="s">
        <v>48</v>
      </c>
      <c r="E20" t="s">
        <v>98</v>
      </c>
      <c r="G20" t="s">
        <v>20</v>
      </c>
      <c r="H20" t="s">
        <v>39</v>
      </c>
      <c r="I20" t="s">
        <v>107</v>
      </c>
      <c r="J20" t="s">
        <v>264</v>
      </c>
      <c r="M20" t="s">
        <v>181</v>
      </c>
      <c r="N20" s="64">
        <v>0.04</v>
      </c>
      <c r="Q20" s="66" t="s">
        <v>185</v>
      </c>
      <c r="R20" s="65">
        <v>1</v>
      </c>
    </row>
    <row r="21" spans="2:18" x14ac:dyDescent="0.25">
      <c r="B21" t="s">
        <v>46</v>
      </c>
      <c r="C21" t="s">
        <v>47</v>
      </c>
      <c r="D21" t="s">
        <v>47</v>
      </c>
      <c r="E21" t="s">
        <v>99</v>
      </c>
      <c r="G21" t="s">
        <v>21</v>
      </c>
      <c r="I21" t="s">
        <v>108</v>
      </c>
      <c r="J21" t="s">
        <v>265</v>
      </c>
      <c r="M21" t="s">
        <v>182</v>
      </c>
      <c r="N21" s="64">
        <v>0.04</v>
      </c>
      <c r="Q21" s="66" t="s">
        <v>186</v>
      </c>
      <c r="R21" s="65">
        <v>0.5</v>
      </c>
    </row>
    <row r="22" spans="2:18" x14ac:dyDescent="0.25">
      <c r="B22" s="137">
        <v>1</v>
      </c>
      <c r="C22" t="s">
        <v>25</v>
      </c>
      <c r="D22" t="s">
        <v>25</v>
      </c>
      <c r="E22" t="s">
        <v>100</v>
      </c>
      <c r="G22" t="s">
        <v>22</v>
      </c>
      <c r="I22" t="s">
        <v>109</v>
      </c>
      <c r="J22" t="s">
        <v>120</v>
      </c>
      <c r="M22" t="s">
        <v>183</v>
      </c>
      <c r="N22" s="64">
        <v>0.02</v>
      </c>
      <c r="Q22" s="66" t="s">
        <v>187</v>
      </c>
      <c r="R22" s="65">
        <v>1</v>
      </c>
    </row>
    <row r="23" spans="2:18" x14ac:dyDescent="0.25">
      <c r="B23" s="137">
        <v>2</v>
      </c>
      <c r="C23" t="s">
        <v>45</v>
      </c>
      <c r="D23" t="s">
        <v>45</v>
      </c>
      <c r="E23" t="s">
        <v>278</v>
      </c>
      <c r="I23" t="s">
        <v>110</v>
      </c>
      <c r="J23" t="s">
        <v>121</v>
      </c>
      <c r="M23" t="s">
        <v>268</v>
      </c>
      <c r="N23" s="64">
        <v>0.04</v>
      </c>
      <c r="Q23" s="66" t="s">
        <v>188</v>
      </c>
      <c r="R23" s="65">
        <v>0.125</v>
      </c>
    </row>
    <row r="24" spans="2:18" x14ac:dyDescent="0.25">
      <c r="B24" s="137">
        <v>3</v>
      </c>
      <c r="C24" t="s">
        <v>46</v>
      </c>
      <c r="D24" t="s">
        <v>46</v>
      </c>
      <c r="E24" t="s">
        <v>101</v>
      </c>
      <c r="I24" t="s">
        <v>22</v>
      </c>
      <c r="M24" t="s">
        <v>269</v>
      </c>
      <c r="N24" s="64">
        <v>0.04</v>
      </c>
      <c r="Q24" s="66" t="s">
        <v>189</v>
      </c>
      <c r="R24" s="65">
        <v>0.125</v>
      </c>
    </row>
    <row r="25" spans="2:18" x14ac:dyDescent="0.25">
      <c r="B25" s="137">
        <v>4</v>
      </c>
      <c r="C25" s="137"/>
      <c r="D25" s="137">
        <v>1</v>
      </c>
      <c r="E25" t="s">
        <v>102</v>
      </c>
      <c r="I25" t="s">
        <v>111</v>
      </c>
      <c r="M25" t="s">
        <v>270</v>
      </c>
      <c r="N25" s="64">
        <v>0.04</v>
      </c>
      <c r="Q25" s="66" t="s">
        <v>190</v>
      </c>
      <c r="R25" s="65">
        <v>6.25E-2</v>
      </c>
    </row>
    <row r="26" spans="2:18" x14ac:dyDescent="0.25">
      <c r="B26" s="137">
        <v>5</v>
      </c>
      <c r="C26" s="137"/>
      <c r="D26" s="137">
        <v>2</v>
      </c>
      <c r="I26" t="s">
        <v>112</v>
      </c>
      <c r="M26" t="s">
        <v>271</v>
      </c>
      <c r="N26" s="64">
        <v>0</v>
      </c>
      <c r="Q26" s="66" t="s">
        <v>191</v>
      </c>
      <c r="R26" s="65">
        <v>0</v>
      </c>
    </row>
    <row r="27" spans="2:18" x14ac:dyDescent="0.25">
      <c r="B27" s="137">
        <v>6</v>
      </c>
      <c r="C27" s="137"/>
      <c r="D27" s="137">
        <v>3</v>
      </c>
      <c r="I27" t="s">
        <v>113</v>
      </c>
      <c r="M27" t="s">
        <v>272</v>
      </c>
      <c r="N27" s="64">
        <v>0.04</v>
      </c>
    </row>
    <row r="28" spans="2:18" x14ac:dyDescent="0.25">
      <c r="B28" s="137">
        <v>7</v>
      </c>
      <c r="C28" s="137"/>
      <c r="D28" s="137">
        <v>4</v>
      </c>
    </row>
    <row r="29" spans="2:18" x14ac:dyDescent="0.25">
      <c r="B29" s="137">
        <v>8</v>
      </c>
      <c r="C29" s="137"/>
      <c r="D29" s="137">
        <v>5</v>
      </c>
    </row>
    <row r="30" spans="2:18" x14ac:dyDescent="0.25">
      <c r="B30" s="137">
        <v>9</v>
      </c>
      <c r="C30" s="137"/>
      <c r="D30" s="137">
        <v>6</v>
      </c>
      <c r="E30" s="185" t="s">
        <v>219</v>
      </c>
      <c r="G30" s="185" t="s">
        <v>213</v>
      </c>
    </row>
    <row r="31" spans="2:18" x14ac:dyDescent="0.25">
      <c r="B31" s="137">
        <v>10</v>
      </c>
      <c r="C31" s="137"/>
      <c r="D31" s="137">
        <v>7</v>
      </c>
      <c r="E31" s="18" t="s">
        <v>220</v>
      </c>
      <c r="G31" t="s">
        <v>293</v>
      </c>
    </row>
    <row r="32" spans="2:18" x14ac:dyDescent="0.25">
      <c r="B32" s="137">
        <v>11</v>
      </c>
      <c r="C32" s="137"/>
      <c r="D32" s="137">
        <v>8</v>
      </c>
      <c r="E32" s="18" t="s">
        <v>221</v>
      </c>
      <c r="G32" t="s">
        <v>294</v>
      </c>
    </row>
    <row r="33" spans="2:7" x14ac:dyDescent="0.25">
      <c r="B33" s="137">
        <v>12</v>
      </c>
      <c r="C33" s="137"/>
      <c r="D33" s="137">
        <v>9</v>
      </c>
      <c r="E33" s="18" t="s">
        <v>222</v>
      </c>
      <c r="G33" t="s">
        <v>295</v>
      </c>
    </row>
    <row r="34" spans="2:7" x14ac:dyDescent="0.25">
      <c r="B34" s="137">
        <v>13</v>
      </c>
      <c r="C34" s="137"/>
      <c r="D34" s="137">
        <v>10</v>
      </c>
      <c r="E34" s="18" t="s">
        <v>223</v>
      </c>
      <c r="G34" t="s">
        <v>297</v>
      </c>
    </row>
    <row r="35" spans="2:7" x14ac:dyDescent="0.25">
      <c r="B35" s="137">
        <v>14</v>
      </c>
      <c r="C35" s="137"/>
      <c r="D35" s="137">
        <v>11</v>
      </c>
      <c r="E35" s="18" t="s">
        <v>224</v>
      </c>
    </row>
    <row r="36" spans="2:7" x14ac:dyDescent="0.25">
      <c r="B36" s="137">
        <v>15</v>
      </c>
      <c r="C36" s="137"/>
      <c r="D36" s="137">
        <v>12</v>
      </c>
      <c r="E36" s="18" t="s">
        <v>225</v>
      </c>
    </row>
    <row r="37" spans="2:7" x14ac:dyDescent="0.25">
      <c r="B37" s="137">
        <v>16</v>
      </c>
      <c r="C37" s="137"/>
      <c r="D37" s="137">
        <v>13</v>
      </c>
      <c r="E37" s="18" t="s">
        <v>226</v>
      </c>
    </row>
    <row r="38" spans="2:7" x14ac:dyDescent="0.25">
      <c r="B38" s="137">
        <v>17</v>
      </c>
      <c r="C38" s="137"/>
      <c r="D38" s="137">
        <v>14</v>
      </c>
      <c r="E38" s="18" t="s">
        <v>227</v>
      </c>
    </row>
    <row r="39" spans="2:7" x14ac:dyDescent="0.25">
      <c r="B39" s="137">
        <v>18</v>
      </c>
      <c r="C39" s="137"/>
      <c r="D39" s="137">
        <v>15</v>
      </c>
      <c r="E39" s="18" t="s">
        <v>228</v>
      </c>
    </row>
    <row r="40" spans="2:7" x14ac:dyDescent="0.25">
      <c r="B40" s="137">
        <v>19</v>
      </c>
      <c r="C40" s="137"/>
      <c r="D40" s="137">
        <v>16</v>
      </c>
      <c r="E40" s="18" t="s">
        <v>229</v>
      </c>
    </row>
    <row r="41" spans="2:7" x14ac:dyDescent="0.25">
      <c r="B41" s="137">
        <v>20</v>
      </c>
      <c r="C41" s="137"/>
      <c r="D41" s="137">
        <v>17</v>
      </c>
      <c r="E41" s="18" t="s">
        <v>230</v>
      </c>
    </row>
    <row r="42" spans="2:7" x14ac:dyDescent="0.25">
      <c r="B42" s="137">
        <v>21</v>
      </c>
      <c r="C42" s="137"/>
      <c r="D42" s="137">
        <v>18</v>
      </c>
      <c r="E42" s="18" t="s">
        <v>231</v>
      </c>
    </row>
    <row r="43" spans="2:7" x14ac:dyDescent="0.25">
      <c r="B43" s="137">
        <v>22</v>
      </c>
      <c r="C43" s="137"/>
      <c r="D43" s="137">
        <v>19</v>
      </c>
      <c r="E43" s="18" t="s">
        <v>232</v>
      </c>
    </row>
    <row r="44" spans="2:7" x14ac:dyDescent="0.25">
      <c r="B44" s="137">
        <v>23</v>
      </c>
      <c r="C44" s="137"/>
      <c r="D44" s="137">
        <v>20</v>
      </c>
      <c r="E44" s="18" t="s">
        <v>233</v>
      </c>
    </row>
    <row r="45" spans="2:7" x14ac:dyDescent="0.25">
      <c r="B45" s="137">
        <v>24</v>
      </c>
      <c r="C45" s="137"/>
      <c r="D45" s="137">
        <v>21</v>
      </c>
      <c r="E45" s="18" t="s">
        <v>234</v>
      </c>
    </row>
    <row r="46" spans="2:7" x14ac:dyDescent="0.25">
      <c r="B46" s="137">
        <v>25</v>
      </c>
      <c r="C46" s="137"/>
      <c r="D46" s="137">
        <v>22</v>
      </c>
      <c r="E46" s="18" t="s">
        <v>235</v>
      </c>
    </row>
    <row r="47" spans="2:7" x14ac:dyDescent="0.25">
      <c r="B47" s="137">
        <v>26</v>
      </c>
      <c r="C47" s="137"/>
      <c r="D47" s="137">
        <v>23</v>
      </c>
      <c r="E47" s="18" t="s">
        <v>236</v>
      </c>
    </row>
    <row r="48" spans="2:7" x14ac:dyDescent="0.25">
      <c r="B48" s="137">
        <v>27</v>
      </c>
      <c r="C48" s="137"/>
      <c r="D48" s="137">
        <v>24</v>
      </c>
      <c r="E48" s="18" t="s">
        <v>237</v>
      </c>
    </row>
    <row r="49" spans="2:5" x14ac:dyDescent="0.25">
      <c r="B49" s="137">
        <v>28</v>
      </c>
      <c r="C49" s="137"/>
      <c r="D49" s="137">
        <v>25</v>
      </c>
      <c r="E49" s="18" t="s">
        <v>238</v>
      </c>
    </row>
    <row r="50" spans="2:5" x14ac:dyDescent="0.25">
      <c r="B50" s="137">
        <v>29</v>
      </c>
      <c r="C50" s="137"/>
      <c r="D50" s="137">
        <v>26</v>
      </c>
      <c r="E50" s="18" t="s">
        <v>239</v>
      </c>
    </row>
    <row r="51" spans="2:5" x14ac:dyDescent="0.25">
      <c r="B51" s="137">
        <v>30</v>
      </c>
      <c r="C51" s="137"/>
      <c r="D51" s="137">
        <v>27</v>
      </c>
      <c r="E51" s="18" t="s">
        <v>289</v>
      </c>
    </row>
    <row r="52" spans="2:5" x14ac:dyDescent="0.25">
      <c r="B52" s="137">
        <v>31</v>
      </c>
      <c r="C52" s="137"/>
      <c r="D52" s="137">
        <v>28</v>
      </c>
      <c r="E52" s="183" t="s">
        <v>290</v>
      </c>
    </row>
    <row r="53" spans="2:5" x14ac:dyDescent="0.25">
      <c r="B53" s="137">
        <v>32</v>
      </c>
      <c r="C53" s="137"/>
      <c r="D53" s="137">
        <v>29</v>
      </c>
      <c r="E53" s="181" t="s">
        <v>291</v>
      </c>
    </row>
    <row r="54" spans="2:5" x14ac:dyDescent="0.25">
      <c r="B54" s="137">
        <v>33</v>
      </c>
      <c r="C54" s="137"/>
      <c r="D54" s="137">
        <v>30</v>
      </c>
      <c r="E54" s="183" t="s">
        <v>292</v>
      </c>
    </row>
    <row r="55" spans="2:5" x14ac:dyDescent="0.25">
      <c r="B55" s="137">
        <v>34</v>
      </c>
      <c r="C55" s="137"/>
      <c r="D55" s="137">
        <v>31</v>
      </c>
      <c r="E55" s="18" t="s">
        <v>240</v>
      </c>
    </row>
    <row r="56" spans="2:5" x14ac:dyDescent="0.25">
      <c r="B56" s="137">
        <v>35</v>
      </c>
      <c r="C56" s="137"/>
      <c r="D56" s="137">
        <v>32</v>
      </c>
      <c r="E56" s="18" t="s">
        <v>241</v>
      </c>
    </row>
    <row r="57" spans="2:5" x14ac:dyDescent="0.25">
      <c r="B57" s="137">
        <v>36</v>
      </c>
      <c r="C57" s="137"/>
      <c r="D57" s="137">
        <v>33</v>
      </c>
      <c r="E57" s="18" t="s">
        <v>242</v>
      </c>
    </row>
    <row r="58" spans="2:5" x14ac:dyDescent="0.25">
      <c r="B58" s="137">
        <v>37</v>
      </c>
      <c r="C58" s="137"/>
      <c r="D58" s="137">
        <v>34</v>
      </c>
      <c r="E58" s="18" t="s">
        <v>243</v>
      </c>
    </row>
    <row r="59" spans="2:5" x14ac:dyDescent="0.25">
      <c r="B59" s="137">
        <v>38</v>
      </c>
      <c r="C59" s="137"/>
      <c r="D59" s="137">
        <v>35</v>
      </c>
      <c r="E59" s="18" t="s">
        <v>244</v>
      </c>
    </row>
    <row r="60" spans="2:5" x14ac:dyDescent="0.25">
      <c r="B60" s="137">
        <v>39</v>
      </c>
      <c r="C60" s="137"/>
      <c r="D60" s="137">
        <v>36</v>
      </c>
      <c r="E60" s="18" t="s">
        <v>245</v>
      </c>
    </row>
    <row r="61" spans="2:5" x14ac:dyDescent="0.25">
      <c r="B61" s="137">
        <v>40</v>
      </c>
      <c r="C61" s="137"/>
      <c r="D61" s="137">
        <v>37</v>
      </c>
      <c r="E61" s="18" t="s">
        <v>246</v>
      </c>
    </row>
    <row r="62" spans="2:5" x14ac:dyDescent="0.25">
      <c r="B62" s="137">
        <v>41</v>
      </c>
      <c r="C62" s="137"/>
      <c r="D62" s="137">
        <v>38</v>
      </c>
      <c r="E62" s="18" t="s">
        <v>247</v>
      </c>
    </row>
    <row r="63" spans="2:5" x14ac:dyDescent="0.25">
      <c r="B63" s="137">
        <v>42</v>
      </c>
      <c r="C63" s="137"/>
      <c r="D63" s="137">
        <v>39</v>
      </c>
      <c r="E63" s="18" t="s">
        <v>248</v>
      </c>
    </row>
    <row r="64" spans="2:5" x14ac:dyDescent="0.25">
      <c r="B64" s="137">
        <v>43</v>
      </c>
      <c r="C64" s="137"/>
      <c r="D64" s="137">
        <v>40</v>
      </c>
      <c r="E64" s="18" t="s">
        <v>249</v>
      </c>
    </row>
    <row r="65" spans="2:5" x14ac:dyDescent="0.25">
      <c r="B65" s="137">
        <v>44</v>
      </c>
      <c r="C65" s="137"/>
      <c r="D65" s="137">
        <v>41</v>
      </c>
      <c r="E65" s="18" t="s">
        <v>250</v>
      </c>
    </row>
    <row r="66" spans="2:5" x14ac:dyDescent="0.25">
      <c r="B66" s="137">
        <v>45</v>
      </c>
      <c r="C66" s="137"/>
      <c r="D66" s="137">
        <v>42</v>
      </c>
      <c r="E66" s="18" t="s">
        <v>251</v>
      </c>
    </row>
    <row r="67" spans="2:5" x14ac:dyDescent="0.25">
      <c r="B67" s="137">
        <v>46</v>
      </c>
      <c r="C67" s="137"/>
      <c r="D67" s="137">
        <v>43</v>
      </c>
      <c r="E67" s="18" t="s">
        <v>252</v>
      </c>
    </row>
    <row r="68" spans="2:5" x14ac:dyDescent="0.25">
      <c r="B68" s="137">
        <v>47</v>
      </c>
      <c r="C68" s="137"/>
      <c r="D68" s="137">
        <v>44</v>
      </c>
      <c r="E68" s="18" t="s">
        <v>253</v>
      </c>
    </row>
    <row r="69" spans="2:5" x14ac:dyDescent="0.25">
      <c r="B69" s="137">
        <v>48</v>
      </c>
      <c r="C69" s="137"/>
      <c r="D69" s="137">
        <v>45</v>
      </c>
      <c r="E69" s="18" t="s">
        <v>254</v>
      </c>
    </row>
    <row r="70" spans="2:5" x14ac:dyDescent="0.25">
      <c r="B70" s="137">
        <v>49</v>
      </c>
      <c r="C70" s="137"/>
      <c r="D70" s="137">
        <v>46</v>
      </c>
      <c r="E70" s="18" t="s">
        <v>255</v>
      </c>
    </row>
    <row r="71" spans="2:5" x14ac:dyDescent="0.25">
      <c r="B71" s="187"/>
      <c r="C71" s="137"/>
      <c r="D71" s="137">
        <v>47</v>
      </c>
      <c r="E71" s="18" t="s">
        <v>256</v>
      </c>
    </row>
    <row r="72" spans="2:5" x14ac:dyDescent="0.25">
      <c r="B72" s="188"/>
      <c r="C72" s="137"/>
      <c r="D72" s="137">
        <v>48</v>
      </c>
      <c r="E72" s="18" t="s">
        <v>257</v>
      </c>
    </row>
    <row r="73" spans="2:5" x14ac:dyDescent="0.25">
      <c r="B73" s="188"/>
      <c r="C73" s="137"/>
      <c r="D73" s="137">
        <v>49</v>
      </c>
      <c r="E73" s="18" t="s">
        <v>258</v>
      </c>
    </row>
    <row r="74" spans="2:5" x14ac:dyDescent="0.25">
      <c r="B74" s="188"/>
      <c r="C74" s="137"/>
      <c r="D74" s="137"/>
      <c r="E74" s="18" t="s">
        <v>259</v>
      </c>
    </row>
    <row r="75" spans="2:5" x14ac:dyDescent="0.25">
      <c r="E75" s="18" t="s">
        <v>260</v>
      </c>
    </row>
    <row r="76" spans="2:5" x14ac:dyDescent="0.25">
      <c r="E76" s="18" t="s">
        <v>261</v>
      </c>
    </row>
    <row r="77" spans="2:5" x14ac:dyDescent="0.25">
      <c r="E77" s="18" t="s">
        <v>262</v>
      </c>
    </row>
    <row r="78" spans="2:5" x14ac:dyDescent="0.25">
      <c r="E78" s="18" t="s">
        <v>263</v>
      </c>
    </row>
  </sheetData>
  <sortState xmlns:xlrd2="http://schemas.microsoft.com/office/spreadsheetml/2017/richdata2" ref="Q19:R26">
    <sortCondition ref="Q19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B1:F282"/>
  <sheetViews>
    <sheetView workbookViewId="0">
      <selection activeCell="L4" sqref="L4"/>
    </sheetView>
  </sheetViews>
  <sheetFormatPr baseColWidth="10" defaultRowHeight="15" x14ac:dyDescent="0.25"/>
  <cols>
    <col min="2" max="2" width="15.140625" style="18" customWidth="1"/>
    <col min="3" max="3" width="25.42578125" style="18" customWidth="1"/>
    <col min="6" max="6" width="21" customWidth="1"/>
    <col min="8" max="8" width="38.140625" customWidth="1"/>
  </cols>
  <sheetData>
    <row r="1" spans="2:6" x14ac:dyDescent="0.25">
      <c r="B1" s="53" t="s">
        <v>143</v>
      </c>
      <c r="C1" s="53" t="s">
        <v>144</v>
      </c>
    </row>
    <row r="2" spans="2:6" x14ac:dyDescent="0.25">
      <c r="B2" s="54">
        <v>20</v>
      </c>
      <c r="C2" s="54">
        <v>1.5</v>
      </c>
      <c r="F2" s="55" t="s">
        <v>145</v>
      </c>
    </row>
    <row r="3" spans="2:6" x14ac:dyDescent="0.25">
      <c r="B3" s="54">
        <v>21</v>
      </c>
      <c r="C3" s="54">
        <v>1.5</v>
      </c>
      <c r="F3" s="55"/>
    </row>
    <row r="4" spans="2:6" x14ac:dyDescent="0.25">
      <c r="B4" s="54">
        <v>22</v>
      </c>
      <c r="C4" s="54">
        <v>1.5</v>
      </c>
      <c r="F4" s="55" t="s">
        <v>146</v>
      </c>
    </row>
    <row r="5" spans="2:6" x14ac:dyDescent="0.25">
      <c r="B5" s="54">
        <v>23</v>
      </c>
      <c r="C5" s="54">
        <v>1.5</v>
      </c>
      <c r="F5" s="55"/>
    </row>
    <row r="6" spans="2:6" x14ac:dyDescent="0.25">
      <c r="B6" s="54">
        <v>24</v>
      </c>
      <c r="C6" s="54">
        <v>1.5</v>
      </c>
    </row>
    <row r="7" spans="2:6" x14ac:dyDescent="0.25">
      <c r="B7" s="54">
        <v>25</v>
      </c>
      <c r="C7" s="54">
        <v>1.5</v>
      </c>
    </row>
    <row r="8" spans="2:6" x14ac:dyDescent="0.25">
      <c r="B8" s="54">
        <v>26</v>
      </c>
      <c r="C8" s="54">
        <v>2</v>
      </c>
    </row>
    <row r="9" spans="2:6" x14ac:dyDescent="0.25">
      <c r="B9" s="54">
        <v>27</v>
      </c>
      <c r="C9" s="54">
        <v>2</v>
      </c>
    </row>
    <row r="10" spans="2:6" x14ac:dyDescent="0.25">
      <c r="B10" s="54">
        <v>28</v>
      </c>
      <c r="C10" s="54">
        <v>2</v>
      </c>
    </row>
    <row r="11" spans="2:6" x14ac:dyDescent="0.25">
      <c r="B11" s="54">
        <v>29</v>
      </c>
      <c r="C11" s="54">
        <v>2</v>
      </c>
    </row>
    <row r="12" spans="2:6" x14ac:dyDescent="0.25">
      <c r="B12" s="54">
        <v>30</v>
      </c>
      <c r="C12" s="54">
        <v>2</v>
      </c>
    </row>
    <row r="13" spans="2:6" x14ac:dyDescent="0.25">
      <c r="B13" s="54">
        <v>31</v>
      </c>
      <c r="C13" s="54">
        <v>2</v>
      </c>
    </row>
    <row r="14" spans="2:6" x14ac:dyDescent="0.25">
      <c r="B14" s="54">
        <v>32</v>
      </c>
      <c r="C14" s="54">
        <v>2</v>
      </c>
    </row>
    <row r="15" spans="2:6" x14ac:dyDescent="0.25">
      <c r="B15" s="54">
        <v>33</v>
      </c>
      <c r="C15" s="54">
        <v>2.5</v>
      </c>
    </row>
    <row r="16" spans="2:6" x14ac:dyDescent="0.25">
      <c r="B16" s="54">
        <v>34</v>
      </c>
      <c r="C16" s="54">
        <v>2.5</v>
      </c>
    </row>
    <row r="17" spans="2:3" x14ac:dyDescent="0.25">
      <c r="B17" s="54">
        <v>35</v>
      </c>
      <c r="C17" s="54">
        <v>2.5</v>
      </c>
    </row>
    <row r="18" spans="2:3" x14ac:dyDescent="0.25">
      <c r="B18" s="54">
        <v>36</v>
      </c>
      <c r="C18" s="54">
        <v>2.5</v>
      </c>
    </row>
    <row r="19" spans="2:3" x14ac:dyDescent="0.25">
      <c r="B19" s="54">
        <v>37</v>
      </c>
      <c r="C19" s="54">
        <v>2.5</v>
      </c>
    </row>
    <row r="20" spans="2:3" x14ac:dyDescent="0.25">
      <c r="B20" s="54">
        <v>38</v>
      </c>
      <c r="C20" s="54">
        <v>2.5</v>
      </c>
    </row>
    <row r="21" spans="2:3" x14ac:dyDescent="0.25">
      <c r="B21" s="54">
        <v>39</v>
      </c>
      <c r="C21" s="54">
        <v>3</v>
      </c>
    </row>
    <row r="22" spans="2:3" x14ac:dyDescent="0.25">
      <c r="B22" s="54">
        <v>40</v>
      </c>
      <c r="C22" s="54">
        <v>3</v>
      </c>
    </row>
    <row r="23" spans="2:3" x14ac:dyDescent="0.25">
      <c r="B23" s="54">
        <v>41</v>
      </c>
      <c r="C23" s="54">
        <v>3</v>
      </c>
    </row>
    <row r="24" spans="2:3" x14ac:dyDescent="0.25">
      <c r="B24" s="54">
        <v>42</v>
      </c>
      <c r="C24" s="54">
        <v>3</v>
      </c>
    </row>
    <row r="25" spans="2:3" x14ac:dyDescent="0.25">
      <c r="B25" s="54">
        <v>43</v>
      </c>
      <c r="C25" s="54">
        <v>3</v>
      </c>
    </row>
    <row r="26" spans="2:3" x14ac:dyDescent="0.25">
      <c r="B26" s="54">
        <v>44</v>
      </c>
      <c r="C26" s="54">
        <v>3</v>
      </c>
    </row>
    <row r="27" spans="2:3" x14ac:dyDescent="0.25">
      <c r="B27" s="54">
        <v>45</v>
      </c>
      <c r="C27" s="54">
        <v>3</v>
      </c>
    </row>
    <row r="28" spans="2:3" x14ac:dyDescent="0.25">
      <c r="B28" s="54">
        <v>46</v>
      </c>
      <c r="C28" s="54">
        <v>3.5</v>
      </c>
    </row>
    <row r="29" spans="2:3" x14ac:dyDescent="0.25">
      <c r="B29" s="54">
        <v>47</v>
      </c>
      <c r="C29" s="54">
        <v>3.5</v>
      </c>
    </row>
    <row r="30" spans="2:3" x14ac:dyDescent="0.25">
      <c r="B30" s="54">
        <v>48</v>
      </c>
      <c r="C30" s="54">
        <v>3.5</v>
      </c>
    </row>
    <row r="31" spans="2:3" x14ac:dyDescent="0.25">
      <c r="B31" s="54">
        <v>49</v>
      </c>
      <c r="C31" s="54">
        <v>4</v>
      </c>
    </row>
    <row r="32" spans="2:3" x14ac:dyDescent="0.25">
      <c r="B32" s="54">
        <v>50</v>
      </c>
      <c r="C32" s="54">
        <v>4</v>
      </c>
    </row>
    <row r="33" spans="2:3" x14ac:dyDescent="0.25">
      <c r="B33" s="54">
        <v>51</v>
      </c>
      <c r="C33" s="54">
        <v>4</v>
      </c>
    </row>
    <row r="34" spans="2:3" x14ac:dyDescent="0.25">
      <c r="B34" s="54">
        <v>52</v>
      </c>
      <c r="C34" s="54">
        <v>4</v>
      </c>
    </row>
    <row r="35" spans="2:3" x14ac:dyDescent="0.25">
      <c r="B35" s="54">
        <v>53</v>
      </c>
      <c r="C35" s="54">
        <v>4</v>
      </c>
    </row>
    <row r="36" spans="2:3" x14ac:dyDescent="0.25">
      <c r="B36" s="54">
        <v>54</v>
      </c>
      <c r="C36" s="54">
        <v>4</v>
      </c>
    </row>
    <row r="37" spans="2:3" x14ac:dyDescent="0.25">
      <c r="B37" s="54">
        <v>55</v>
      </c>
      <c r="C37" s="54">
        <v>4</v>
      </c>
    </row>
    <row r="38" spans="2:3" x14ac:dyDescent="0.25">
      <c r="B38" s="54">
        <v>56</v>
      </c>
      <c r="C38" s="54">
        <v>4.5</v>
      </c>
    </row>
    <row r="39" spans="2:3" x14ac:dyDescent="0.25">
      <c r="B39" s="54">
        <v>57</v>
      </c>
      <c r="C39" s="54">
        <v>4.5</v>
      </c>
    </row>
    <row r="40" spans="2:3" x14ac:dyDescent="0.25">
      <c r="B40" s="54">
        <v>58</v>
      </c>
      <c r="C40" s="54">
        <v>4.5</v>
      </c>
    </row>
    <row r="41" spans="2:3" x14ac:dyDescent="0.25">
      <c r="B41" s="54">
        <v>59</v>
      </c>
      <c r="C41" s="54">
        <v>5</v>
      </c>
    </row>
    <row r="42" spans="2:3" x14ac:dyDescent="0.25">
      <c r="B42" s="54">
        <v>60</v>
      </c>
      <c r="C42" s="54">
        <v>5</v>
      </c>
    </row>
    <row r="43" spans="2:3" x14ac:dyDescent="0.25">
      <c r="B43" s="54">
        <v>61</v>
      </c>
      <c r="C43" s="54">
        <v>5</v>
      </c>
    </row>
    <row r="44" spans="2:3" x14ac:dyDescent="0.25">
      <c r="B44" s="54">
        <v>62</v>
      </c>
      <c r="C44" s="54">
        <v>5</v>
      </c>
    </row>
    <row r="45" spans="2:3" x14ac:dyDescent="0.25">
      <c r="B45" s="54">
        <v>63</v>
      </c>
      <c r="C45" s="54">
        <v>5</v>
      </c>
    </row>
    <row r="46" spans="2:3" x14ac:dyDescent="0.25">
      <c r="B46" s="54">
        <v>64</v>
      </c>
      <c r="C46" s="54">
        <v>5</v>
      </c>
    </row>
    <row r="47" spans="2:3" x14ac:dyDescent="0.25">
      <c r="B47" s="54">
        <v>65</v>
      </c>
      <c r="C47" s="54">
        <v>5</v>
      </c>
    </row>
    <row r="48" spans="2:3" x14ac:dyDescent="0.25">
      <c r="B48" s="54">
        <v>66</v>
      </c>
      <c r="C48" s="54">
        <v>5.5</v>
      </c>
    </row>
    <row r="49" spans="2:3" x14ac:dyDescent="0.25">
      <c r="B49" s="54">
        <v>67</v>
      </c>
      <c r="C49" s="54">
        <v>5.5</v>
      </c>
    </row>
    <row r="50" spans="2:3" x14ac:dyDescent="0.25">
      <c r="B50" s="54">
        <v>68</v>
      </c>
      <c r="C50" s="54">
        <v>5.5</v>
      </c>
    </row>
    <row r="51" spans="2:3" x14ac:dyDescent="0.25">
      <c r="B51" s="54">
        <v>69</v>
      </c>
      <c r="C51" s="54">
        <v>6</v>
      </c>
    </row>
    <row r="52" spans="2:3" x14ac:dyDescent="0.25">
      <c r="B52" s="54">
        <v>70</v>
      </c>
      <c r="C52" s="54">
        <v>6</v>
      </c>
    </row>
    <row r="53" spans="2:3" x14ac:dyDescent="0.25">
      <c r="B53" s="54">
        <v>71</v>
      </c>
      <c r="C53" s="54">
        <v>6</v>
      </c>
    </row>
    <row r="54" spans="2:3" x14ac:dyDescent="0.25">
      <c r="B54" s="54">
        <v>72</v>
      </c>
      <c r="C54" s="54">
        <v>6</v>
      </c>
    </row>
    <row r="55" spans="2:3" x14ac:dyDescent="0.25">
      <c r="B55" s="54">
        <v>73</v>
      </c>
      <c r="C55" s="54">
        <v>6</v>
      </c>
    </row>
    <row r="56" spans="2:3" x14ac:dyDescent="0.25">
      <c r="B56" s="54">
        <v>74</v>
      </c>
      <c r="C56" s="54">
        <v>6</v>
      </c>
    </row>
    <row r="57" spans="2:3" x14ac:dyDescent="0.25">
      <c r="B57" s="54">
        <v>75</v>
      </c>
      <c r="C57" s="54">
        <v>6</v>
      </c>
    </row>
    <row r="58" spans="2:3" x14ac:dyDescent="0.25">
      <c r="B58" s="54">
        <v>76</v>
      </c>
      <c r="C58" s="54">
        <v>6.5</v>
      </c>
    </row>
    <row r="59" spans="2:3" x14ac:dyDescent="0.25">
      <c r="B59" s="54">
        <v>77</v>
      </c>
      <c r="C59" s="54">
        <v>6.5</v>
      </c>
    </row>
    <row r="60" spans="2:3" x14ac:dyDescent="0.25">
      <c r="B60" s="54">
        <v>78</v>
      </c>
      <c r="C60" s="54">
        <v>6.5</v>
      </c>
    </row>
    <row r="61" spans="2:3" x14ac:dyDescent="0.25">
      <c r="B61" s="54">
        <v>79</v>
      </c>
      <c r="C61" s="54">
        <v>7</v>
      </c>
    </row>
    <row r="62" spans="2:3" x14ac:dyDescent="0.25">
      <c r="B62" s="54">
        <v>80</v>
      </c>
      <c r="C62" s="54">
        <v>7</v>
      </c>
    </row>
    <row r="63" spans="2:3" x14ac:dyDescent="0.25">
      <c r="B63" s="54">
        <v>81</v>
      </c>
      <c r="C63" s="54">
        <v>7</v>
      </c>
    </row>
    <row r="64" spans="2:3" x14ac:dyDescent="0.25">
      <c r="B64" s="54">
        <v>82</v>
      </c>
      <c r="C64" s="54">
        <v>7</v>
      </c>
    </row>
    <row r="65" spans="2:3" x14ac:dyDescent="0.25">
      <c r="B65" s="54">
        <v>83</v>
      </c>
      <c r="C65" s="54">
        <v>7</v>
      </c>
    </row>
    <row r="66" spans="2:3" x14ac:dyDescent="0.25">
      <c r="B66" s="54">
        <v>84</v>
      </c>
      <c r="C66" s="54">
        <v>7</v>
      </c>
    </row>
    <row r="67" spans="2:3" x14ac:dyDescent="0.25">
      <c r="B67" s="54">
        <v>85</v>
      </c>
      <c r="C67" s="54">
        <v>7</v>
      </c>
    </row>
    <row r="68" spans="2:3" x14ac:dyDescent="0.25">
      <c r="B68" s="54">
        <v>86</v>
      </c>
      <c r="C68" s="54">
        <v>7.5</v>
      </c>
    </row>
    <row r="69" spans="2:3" x14ac:dyDescent="0.25">
      <c r="B69" s="54">
        <v>87</v>
      </c>
      <c r="C69" s="54">
        <v>7.5</v>
      </c>
    </row>
    <row r="70" spans="2:3" x14ac:dyDescent="0.25">
      <c r="B70" s="54">
        <v>88</v>
      </c>
      <c r="C70" s="54">
        <v>7.5</v>
      </c>
    </row>
    <row r="71" spans="2:3" x14ac:dyDescent="0.25">
      <c r="B71" s="54">
        <v>89</v>
      </c>
      <c r="C71" s="54">
        <v>8</v>
      </c>
    </row>
    <row r="72" spans="2:3" x14ac:dyDescent="0.25">
      <c r="B72" s="54">
        <v>90</v>
      </c>
      <c r="C72" s="54">
        <v>8</v>
      </c>
    </row>
    <row r="73" spans="2:3" x14ac:dyDescent="0.25">
      <c r="B73" s="54">
        <v>91</v>
      </c>
      <c r="C73" s="54">
        <v>8</v>
      </c>
    </row>
    <row r="74" spans="2:3" x14ac:dyDescent="0.25">
      <c r="B74" s="54">
        <v>92</v>
      </c>
      <c r="C74" s="54">
        <v>8</v>
      </c>
    </row>
    <row r="75" spans="2:3" x14ac:dyDescent="0.25">
      <c r="B75" s="54">
        <v>93</v>
      </c>
      <c r="C75" s="54">
        <v>8</v>
      </c>
    </row>
    <row r="76" spans="2:3" x14ac:dyDescent="0.25">
      <c r="B76" s="54">
        <v>94</v>
      </c>
      <c r="C76" s="54">
        <v>8</v>
      </c>
    </row>
    <row r="77" spans="2:3" x14ac:dyDescent="0.25">
      <c r="B77" s="54">
        <v>95</v>
      </c>
      <c r="C77" s="54">
        <v>8</v>
      </c>
    </row>
    <row r="78" spans="2:3" x14ac:dyDescent="0.25">
      <c r="B78" s="54">
        <v>96</v>
      </c>
      <c r="C78" s="54">
        <v>8.5</v>
      </c>
    </row>
    <row r="79" spans="2:3" x14ac:dyDescent="0.25">
      <c r="B79" s="54">
        <v>97</v>
      </c>
      <c r="C79" s="54">
        <v>8.5</v>
      </c>
    </row>
    <row r="80" spans="2:3" x14ac:dyDescent="0.25">
      <c r="B80" s="54">
        <v>98</v>
      </c>
      <c r="C80" s="54">
        <v>8.5</v>
      </c>
    </row>
    <row r="81" spans="2:3" x14ac:dyDescent="0.25">
      <c r="B81" s="54">
        <v>99</v>
      </c>
      <c r="C81" s="54">
        <v>9</v>
      </c>
    </row>
    <row r="82" spans="2:3" x14ac:dyDescent="0.25">
      <c r="B82" s="54">
        <v>100</v>
      </c>
      <c r="C82" s="54">
        <v>9</v>
      </c>
    </row>
    <row r="83" spans="2:3" x14ac:dyDescent="0.25">
      <c r="B83" s="54">
        <v>101</v>
      </c>
      <c r="C83" s="54">
        <v>9</v>
      </c>
    </row>
    <row r="84" spans="2:3" x14ac:dyDescent="0.25">
      <c r="B84" s="54">
        <v>102</v>
      </c>
      <c r="C84" s="54">
        <v>9</v>
      </c>
    </row>
    <row r="85" spans="2:3" x14ac:dyDescent="0.25">
      <c r="B85" s="54">
        <v>103</v>
      </c>
      <c r="C85" s="54">
        <v>9</v>
      </c>
    </row>
    <row r="86" spans="2:3" x14ac:dyDescent="0.25">
      <c r="B86" s="54">
        <v>104</v>
      </c>
      <c r="C86" s="54">
        <v>9</v>
      </c>
    </row>
    <row r="87" spans="2:3" x14ac:dyDescent="0.25">
      <c r="B87" s="54">
        <v>105</v>
      </c>
      <c r="C87" s="54">
        <v>9</v>
      </c>
    </row>
    <row r="88" spans="2:3" x14ac:dyDescent="0.25">
      <c r="B88" s="54">
        <v>106</v>
      </c>
      <c r="C88" s="54">
        <v>9.5</v>
      </c>
    </row>
    <row r="89" spans="2:3" x14ac:dyDescent="0.25">
      <c r="B89" s="54">
        <v>107</v>
      </c>
      <c r="C89" s="54">
        <v>9.5</v>
      </c>
    </row>
    <row r="90" spans="2:3" x14ac:dyDescent="0.25">
      <c r="B90" s="54">
        <v>108</v>
      </c>
      <c r="C90" s="54">
        <v>9.5</v>
      </c>
    </row>
    <row r="91" spans="2:3" x14ac:dyDescent="0.25">
      <c r="B91" s="54">
        <v>109</v>
      </c>
      <c r="C91" s="54">
        <v>10</v>
      </c>
    </row>
    <row r="92" spans="2:3" x14ac:dyDescent="0.25">
      <c r="B92" s="54">
        <v>110</v>
      </c>
      <c r="C92" s="54">
        <v>10</v>
      </c>
    </row>
    <row r="93" spans="2:3" x14ac:dyDescent="0.25">
      <c r="B93" s="54">
        <v>111</v>
      </c>
      <c r="C93" s="54">
        <v>10</v>
      </c>
    </row>
    <row r="94" spans="2:3" x14ac:dyDescent="0.25">
      <c r="B94" s="54">
        <v>112</v>
      </c>
      <c r="C94" s="54">
        <v>10</v>
      </c>
    </row>
    <row r="95" spans="2:3" x14ac:dyDescent="0.25">
      <c r="B95" s="54">
        <v>113</v>
      </c>
      <c r="C95" s="54">
        <v>10</v>
      </c>
    </row>
    <row r="96" spans="2:3" x14ac:dyDescent="0.25">
      <c r="B96" s="54">
        <v>114</v>
      </c>
      <c r="C96" s="54">
        <v>10</v>
      </c>
    </row>
    <row r="97" spans="2:3" x14ac:dyDescent="0.25">
      <c r="B97" s="54">
        <v>115</v>
      </c>
      <c r="C97" s="54">
        <v>10</v>
      </c>
    </row>
    <row r="98" spans="2:3" x14ac:dyDescent="0.25">
      <c r="B98" s="54">
        <v>116</v>
      </c>
      <c r="C98" s="54">
        <v>10.5</v>
      </c>
    </row>
    <row r="99" spans="2:3" x14ac:dyDescent="0.25">
      <c r="B99" s="54">
        <v>117</v>
      </c>
      <c r="C99" s="54">
        <v>10.5</v>
      </c>
    </row>
    <row r="100" spans="2:3" x14ac:dyDescent="0.25">
      <c r="B100" s="54">
        <v>118</v>
      </c>
      <c r="C100" s="54">
        <v>10.5</v>
      </c>
    </row>
    <row r="101" spans="2:3" x14ac:dyDescent="0.25">
      <c r="B101" s="54">
        <v>119</v>
      </c>
      <c r="C101" s="54">
        <v>11</v>
      </c>
    </row>
    <row r="102" spans="2:3" x14ac:dyDescent="0.25">
      <c r="B102" s="54">
        <v>120</v>
      </c>
      <c r="C102" s="54">
        <v>11</v>
      </c>
    </row>
    <row r="103" spans="2:3" x14ac:dyDescent="0.25">
      <c r="B103" s="54">
        <v>121</v>
      </c>
      <c r="C103" s="54">
        <v>11</v>
      </c>
    </row>
    <row r="104" spans="2:3" x14ac:dyDescent="0.25">
      <c r="B104" s="54">
        <v>122</v>
      </c>
      <c r="C104" s="54">
        <v>11</v>
      </c>
    </row>
    <row r="105" spans="2:3" x14ac:dyDescent="0.25">
      <c r="B105" s="54">
        <v>123</v>
      </c>
      <c r="C105" s="54">
        <v>11</v>
      </c>
    </row>
    <row r="106" spans="2:3" x14ac:dyDescent="0.25">
      <c r="B106" s="54">
        <v>124</v>
      </c>
      <c r="C106" s="54">
        <v>11</v>
      </c>
    </row>
    <row r="107" spans="2:3" x14ac:dyDescent="0.25">
      <c r="B107" s="54">
        <v>125</v>
      </c>
      <c r="C107" s="54">
        <v>11</v>
      </c>
    </row>
    <row r="108" spans="2:3" x14ac:dyDescent="0.25">
      <c r="B108" s="54">
        <v>126</v>
      </c>
      <c r="C108" s="54">
        <v>11.5</v>
      </c>
    </row>
    <row r="109" spans="2:3" x14ac:dyDescent="0.25">
      <c r="B109" s="54">
        <v>127</v>
      </c>
      <c r="C109" s="54">
        <v>11.5</v>
      </c>
    </row>
    <row r="110" spans="2:3" x14ac:dyDescent="0.25">
      <c r="B110" s="54">
        <v>128</v>
      </c>
      <c r="C110" s="54">
        <v>11.5</v>
      </c>
    </row>
    <row r="111" spans="2:3" x14ac:dyDescent="0.25">
      <c r="B111" s="54">
        <v>129</v>
      </c>
      <c r="C111" s="54">
        <v>12</v>
      </c>
    </row>
    <row r="112" spans="2:3" x14ac:dyDescent="0.25">
      <c r="B112" s="54">
        <v>130</v>
      </c>
      <c r="C112" s="54">
        <v>12</v>
      </c>
    </row>
    <row r="113" spans="2:3" x14ac:dyDescent="0.25">
      <c r="B113" s="54">
        <v>131</v>
      </c>
      <c r="C113" s="54">
        <v>12</v>
      </c>
    </row>
    <row r="114" spans="2:3" x14ac:dyDescent="0.25">
      <c r="B114" s="54">
        <v>132</v>
      </c>
      <c r="C114" s="54">
        <v>12</v>
      </c>
    </row>
    <row r="115" spans="2:3" x14ac:dyDescent="0.25">
      <c r="B115" s="54">
        <v>133</v>
      </c>
      <c r="C115" s="54">
        <v>12</v>
      </c>
    </row>
    <row r="116" spans="2:3" x14ac:dyDescent="0.25">
      <c r="B116" s="54">
        <v>134</v>
      </c>
      <c r="C116" s="54">
        <v>12</v>
      </c>
    </row>
    <row r="117" spans="2:3" x14ac:dyDescent="0.25">
      <c r="B117" s="54">
        <v>135</v>
      </c>
      <c r="C117" s="54">
        <v>12</v>
      </c>
    </row>
    <row r="118" spans="2:3" x14ac:dyDescent="0.25">
      <c r="B118" s="54">
        <v>136</v>
      </c>
      <c r="C118" s="54">
        <v>12.5</v>
      </c>
    </row>
    <row r="119" spans="2:3" x14ac:dyDescent="0.25">
      <c r="B119" s="54">
        <v>137</v>
      </c>
      <c r="C119" s="54">
        <v>12.5</v>
      </c>
    </row>
    <row r="120" spans="2:3" x14ac:dyDescent="0.25">
      <c r="B120" s="54">
        <v>138</v>
      </c>
      <c r="C120" s="54">
        <v>12.5</v>
      </c>
    </row>
    <row r="121" spans="2:3" x14ac:dyDescent="0.25">
      <c r="B121" s="54">
        <v>139</v>
      </c>
      <c r="C121" s="54">
        <v>13</v>
      </c>
    </row>
    <row r="122" spans="2:3" x14ac:dyDescent="0.25">
      <c r="B122" s="54">
        <v>140</v>
      </c>
      <c r="C122" s="54">
        <v>13</v>
      </c>
    </row>
    <row r="123" spans="2:3" x14ac:dyDescent="0.25">
      <c r="B123" s="54">
        <v>141</v>
      </c>
      <c r="C123" s="54">
        <v>13</v>
      </c>
    </row>
    <row r="124" spans="2:3" x14ac:dyDescent="0.25">
      <c r="B124" s="54">
        <v>142</v>
      </c>
      <c r="C124" s="54">
        <v>13</v>
      </c>
    </row>
    <row r="125" spans="2:3" x14ac:dyDescent="0.25">
      <c r="B125" s="54">
        <v>143</v>
      </c>
      <c r="C125" s="54">
        <v>13</v>
      </c>
    </row>
    <row r="126" spans="2:3" x14ac:dyDescent="0.25">
      <c r="B126" s="54">
        <v>144</v>
      </c>
      <c r="C126" s="54">
        <v>13</v>
      </c>
    </row>
    <row r="127" spans="2:3" x14ac:dyDescent="0.25">
      <c r="B127" s="54">
        <v>145</v>
      </c>
      <c r="C127" s="54">
        <v>13</v>
      </c>
    </row>
    <row r="128" spans="2:3" x14ac:dyDescent="0.25">
      <c r="B128" s="54">
        <v>146</v>
      </c>
      <c r="C128" s="54">
        <v>13.5</v>
      </c>
    </row>
    <row r="129" spans="2:3" x14ac:dyDescent="0.25">
      <c r="B129" s="54">
        <v>147</v>
      </c>
      <c r="C129" s="54">
        <v>13.5</v>
      </c>
    </row>
    <row r="130" spans="2:3" x14ac:dyDescent="0.25">
      <c r="B130" s="54">
        <v>148</v>
      </c>
      <c r="C130" s="54">
        <v>13.5</v>
      </c>
    </row>
    <row r="131" spans="2:3" x14ac:dyDescent="0.25">
      <c r="B131" s="54">
        <v>149</v>
      </c>
      <c r="C131" s="54">
        <v>14</v>
      </c>
    </row>
    <row r="132" spans="2:3" x14ac:dyDescent="0.25">
      <c r="B132" s="54">
        <v>150</v>
      </c>
      <c r="C132" s="54">
        <v>14</v>
      </c>
    </row>
    <row r="133" spans="2:3" x14ac:dyDescent="0.25">
      <c r="B133" s="54">
        <v>151</v>
      </c>
      <c r="C133" s="54">
        <v>14</v>
      </c>
    </row>
    <row r="134" spans="2:3" x14ac:dyDescent="0.25">
      <c r="B134" s="54">
        <v>152</v>
      </c>
      <c r="C134" s="54">
        <v>14</v>
      </c>
    </row>
    <row r="135" spans="2:3" x14ac:dyDescent="0.25">
      <c r="B135" s="54">
        <v>153</v>
      </c>
      <c r="C135" s="54">
        <v>14</v>
      </c>
    </row>
    <row r="136" spans="2:3" x14ac:dyDescent="0.25">
      <c r="B136" s="54">
        <v>154</v>
      </c>
      <c r="C136" s="54">
        <v>14</v>
      </c>
    </row>
    <row r="137" spans="2:3" x14ac:dyDescent="0.25">
      <c r="B137" s="54">
        <v>155</v>
      </c>
      <c r="C137" s="54">
        <v>14</v>
      </c>
    </row>
    <row r="138" spans="2:3" x14ac:dyDescent="0.25">
      <c r="B138" s="54">
        <v>156</v>
      </c>
      <c r="C138" s="54">
        <v>14.5</v>
      </c>
    </row>
    <row r="139" spans="2:3" x14ac:dyDescent="0.25">
      <c r="B139" s="54">
        <v>157</v>
      </c>
      <c r="C139" s="54">
        <v>14.5</v>
      </c>
    </row>
    <row r="140" spans="2:3" x14ac:dyDescent="0.25">
      <c r="B140" s="54">
        <v>158</v>
      </c>
      <c r="C140" s="54">
        <v>14.5</v>
      </c>
    </row>
    <row r="141" spans="2:3" x14ac:dyDescent="0.25">
      <c r="B141" s="54">
        <v>159</v>
      </c>
      <c r="C141" s="54">
        <v>15</v>
      </c>
    </row>
    <row r="142" spans="2:3" x14ac:dyDescent="0.25">
      <c r="B142" s="54">
        <v>160</v>
      </c>
      <c r="C142" s="54">
        <v>15</v>
      </c>
    </row>
    <row r="143" spans="2:3" x14ac:dyDescent="0.25">
      <c r="B143" s="54">
        <v>161</v>
      </c>
      <c r="C143" s="54">
        <v>15</v>
      </c>
    </row>
    <row r="144" spans="2:3" x14ac:dyDescent="0.25">
      <c r="B144" s="54">
        <v>162</v>
      </c>
      <c r="C144" s="54">
        <v>15</v>
      </c>
    </row>
    <row r="145" spans="2:3" x14ac:dyDescent="0.25">
      <c r="B145" s="54">
        <v>163</v>
      </c>
      <c r="C145" s="54">
        <v>15</v>
      </c>
    </row>
    <row r="146" spans="2:3" x14ac:dyDescent="0.25">
      <c r="B146" s="54">
        <v>164</v>
      </c>
      <c r="C146" s="54">
        <v>15</v>
      </c>
    </row>
    <row r="147" spans="2:3" x14ac:dyDescent="0.25">
      <c r="B147" s="54">
        <v>165</v>
      </c>
      <c r="C147" s="54">
        <v>15</v>
      </c>
    </row>
    <row r="148" spans="2:3" x14ac:dyDescent="0.25">
      <c r="B148" s="54">
        <v>166</v>
      </c>
      <c r="C148" s="54">
        <v>15.5</v>
      </c>
    </row>
    <row r="149" spans="2:3" x14ac:dyDescent="0.25">
      <c r="B149" s="54">
        <v>167</v>
      </c>
      <c r="C149" s="54">
        <v>15.5</v>
      </c>
    </row>
    <row r="150" spans="2:3" x14ac:dyDescent="0.25">
      <c r="B150" s="54">
        <v>168</v>
      </c>
      <c r="C150" s="54">
        <v>15.5</v>
      </c>
    </row>
    <row r="151" spans="2:3" x14ac:dyDescent="0.25">
      <c r="B151" s="54">
        <v>169</v>
      </c>
      <c r="C151" s="54">
        <v>16</v>
      </c>
    </row>
    <row r="152" spans="2:3" x14ac:dyDescent="0.25">
      <c r="B152" s="54">
        <v>170</v>
      </c>
      <c r="C152" s="54">
        <v>16</v>
      </c>
    </row>
    <row r="153" spans="2:3" x14ac:dyDescent="0.25">
      <c r="B153" s="54">
        <v>171</v>
      </c>
      <c r="C153" s="54">
        <v>16</v>
      </c>
    </row>
    <row r="154" spans="2:3" x14ac:dyDescent="0.25">
      <c r="B154" s="54">
        <v>172</v>
      </c>
      <c r="C154" s="54">
        <v>16</v>
      </c>
    </row>
    <row r="155" spans="2:3" x14ac:dyDescent="0.25">
      <c r="B155" s="54">
        <v>173</v>
      </c>
      <c r="C155" s="54">
        <v>16</v>
      </c>
    </row>
    <row r="156" spans="2:3" x14ac:dyDescent="0.25">
      <c r="B156" s="54">
        <v>174</v>
      </c>
      <c r="C156" s="54">
        <v>16</v>
      </c>
    </row>
    <row r="157" spans="2:3" x14ac:dyDescent="0.25">
      <c r="B157" s="54">
        <v>175</v>
      </c>
      <c r="C157" s="54">
        <v>16</v>
      </c>
    </row>
    <row r="158" spans="2:3" x14ac:dyDescent="0.25">
      <c r="B158" s="54">
        <v>176</v>
      </c>
      <c r="C158" s="54">
        <v>16.5</v>
      </c>
    </row>
    <row r="159" spans="2:3" x14ac:dyDescent="0.25">
      <c r="B159" s="54">
        <v>177</v>
      </c>
      <c r="C159" s="54">
        <v>16.5</v>
      </c>
    </row>
    <row r="160" spans="2:3" x14ac:dyDescent="0.25">
      <c r="B160" s="54">
        <v>178</v>
      </c>
      <c r="C160" s="54">
        <v>16.5</v>
      </c>
    </row>
    <row r="161" spans="2:3" x14ac:dyDescent="0.25">
      <c r="B161" s="54">
        <v>179</v>
      </c>
      <c r="C161" s="54">
        <v>17</v>
      </c>
    </row>
    <row r="162" spans="2:3" x14ac:dyDescent="0.25">
      <c r="B162" s="54">
        <v>180</v>
      </c>
      <c r="C162" s="54">
        <v>17</v>
      </c>
    </row>
    <row r="163" spans="2:3" x14ac:dyDescent="0.25">
      <c r="B163" s="54">
        <v>181</v>
      </c>
      <c r="C163" s="54">
        <v>17</v>
      </c>
    </row>
    <row r="164" spans="2:3" x14ac:dyDescent="0.25">
      <c r="B164" s="54">
        <v>182</v>
      </c>
      <c r="C164" s="54">
        <v>17</v>
      </c>
    </row>
    <row r="165" spans="2:3" x14ac:dyDescent="0.25">
      <c r="B165" s="54">
        <v>183</v>
      </c>
      <c r="C165" s="54">
        <v>17</v>
      </c>
    </row>
    <row r="166" spans="2:3" x14ac:dyDescent="0.25">
      <c r="B166" s="54">
        <v>184</v>
      </c>
      <c r="C166" s="54">
        <v>17</v>
      </c>
    </row>
    <row r="167" spans="2:3" x14ac:dyDescent="0.25">
      <c r="B167" s="54">
        <v>185</v>
      </c>
      <c r="C167" s="54">
        <v>17</v>
      </c>
    </row>
    <row r="168" spans="2:3" x14ac:dyDescent="0.25">
      <c r="B168" s="54">
        <v>186</v>
      </c>
      <c r="C168" s="54">
        <v>17.5</v>
      </c>
    </row>
    <row r="169" spans="2:3" x14ac:dyDescent="0.25">
      <c r="B169" s="54">
        <v>187</v>
      </c>
      <c r="C169" s="54">
        <v>17.5</v>
      </c>
    </row>
    <row r="170" spans="2:3" x14ac:dyDescent="0.25">
      <c r="B170" s="54">
        <v>188</v>
      </c>
      <c r="C170" s="54">
        <v>17.5</v>
      </c>
    </row>
    <row r="171" spans="2:3" x14ac:dyDescent="0.25">
      <c r="B171" s="54">
        <v>189</v>
      </c>
      <c r="C171" s="54">
        <v>18</v>
      </c>
    </row>
    <row r="172" spans="2:3" x14ac:dyDescent="0.25">
      <c r="B172" s="54">
        <v>190</v>
      </c>
      <c r="C172" s="54">
        <v>18</v>
      </c>
    </row>
    <row r="173" spans="2:3" x14ac:dyDescent="0.25">
      <c r="B173" s="54">
        <v>191</v>
      </c>
      <c r="C173" s="54">
        <v>18</v>
      </c>
    </row>
    <row r="174" spans="2:3" x14ac:dyDescent="0.25">
      <c r="B174" s="54">
        <v>192</v>
      </c>
      <c r="C174" s="54">
        <v>18</v>
      </c>
    </row>
    <row r="175" spans="2:3" x14ac:dyDescent="0.25">
      <c r="B175" s="54">
        <v>193</v>
      </c>
      <c r="C175" s="54">
        <v>18</v>
      </c>
    </row>
    <row r="176" spans="2:3" x14ac:dyDescent="0.25">
      <c r="B176" s="54">
        <v>194</v>
      </c>
      <c r="C176" s="54">
        <v>18</v>
      </c>
    </row>
    <row r="177" spans="2:3" x14ac:dyDescent="0.25">
      <c r="B177" s="54">
        <v>195</v>
      </c>
      <c r="C177" s="54">
        <v>18</v>
      </c>
    </row>
    <row r="178" spans="2:3" x14ac:dyDescent="0.25">
      <c r="B178" s="54">
        <v>196</v>
      </c>
      <c r="C178" s="54">
        <v>18.5</v>
      </c>
    </row>
    <row r="179" spans="2:3" x14ac:dyDescent="0.25">
      <c r="B179" s="54">
        <v>197</v>
      </c>
      <c r="C179" s="54">
        <v>18.5</v>
      </c>
    </row>
    <row r="180" spans="2:3" x14ac:dyDescent="0.25">
      <c r="B180" s="54">
        <v>198</v>
      </c>
      <c r="C180" s="54">
        <v>18.5</v>
      </c>
    </row>
    <row r="181" spans="2:3" x14ac:dyDescent="0.25">
      <c r="B181" s="54">
        <v>199</v>
      </c>
      <c r="C181" s="54">
        <v>19</v>
      </c>
    </row>
    <row r="182" spans="2:3" x14ac:dyDescent="0.25">
      <c r="B182" s="54">
        <v>200</v>
      </c>
      <c r="C182" s="54">
        <v>19</v>
      </c>
    </row>
    <row r="183" spans="2:3" x14ac:dyDescent="0.25">
      <c r="B183" s="54">
        <v>201</v>
      </c>
      <c r="C183" s="54">
        <v>19</v>
      </c>
    </row>
    <row r="184" spans="2:3" x14ac:dyDescent="0.25">
      <c r="B184" s="54">
        <v>202</v>
      </c>
      <c r="C184" s="54">
        <v>19</v>
      </c>
    </row>
    <row r="185" spans="2:3" x14ac:dyDescent="0.25">
      <c r="B185" s="54">
        <v>203</v>
      </c>
      <c r="C185" s="54">
        <v>19</v>
      </c>
    </row>
    <row r="186" spans="2:3" x14ac:dyDescent="0.25">
      <c r="B186" s="54">
        <v>204</v>
      </c>
      <c r="C186" s="54">
        <v>19</v>
      </c>
    </row>
    <row r="187" spans="2:3" x14ac:dyDescent="0.25">
      <c r="B187" s="54">
        <v>205</v>
      </c>
      <c r="C187" s="54">
        <v>19</v>
      </c>
    </row>
    <row r="188" spans="2:3" x14ac:dyDescent="0.25">
      <c r="B188" s="54">
        <v>206</v>
      </c>
      <c r="C188" s="54">
        <v>19.5</v>
      </c>
    </row>
    <row r="189" spans="2:3" x14ac:dyDescent="0.25">
      <c r="B189" s="54">
        <v>207</v>
      </c>
      <c r="C189" s="54">
        <v>19.5</v>
      </c>
    </row>
    <row r="190" spans="2:3" x14ac:dyDescent="0.25">
      <c r="B190" s="54">
        <v>208</v>
      </c>
      <c r="C190" s="54">
        <v>19.5</v>
      </c>
    </row>
    <row r="191" spans="2:3" x14ac:dyDescent="0.25">
      <c r="B191" s="54">
        <v>209</v>
      </c>
      <c r="C191" s="54">
        <v>20</v>
      </c>
    </row>
    <row r="192" spans="2:3" x14ac:dyDescent="0.25">
      <c r="B192" s="54">
        <v>210</v>
      </c>
      <c r="C192" s="54">
        <v>20</v>
      </c>
    </row>
    <row r="193" spans="2:3" x14ac:dyDescent="0.25">
      <c r="B193" s="54">
        <v>211</v>
      </c>
      <c r="C193" s="54">
        <v>20</v>
      </c>
    </row>
    <row r="194" spans="2:3" x14ac:dyDescent="0.25">
      <c r="B194" s="54">
        <v>212</v>
      </c>
      <c r="C194" s="54">
        <v>20</v>
      </c>
    </row>
    <row r="195" spans="2:3" x14ac:dyDescent="0.25">
      <c r="B195" s="54">
        <v>213</v>
      </c>
      <c r="C195" s="54">
        <v>20</v>
      </c>
    </row>
    <row r="196" spans="2:3" x14ac:dyDescent="0.25">
      <c r="B196" s="54">
        <v>214</v>
      </c>
      <c r="C196" s="54">
        <v>20</v>
      </c>
    </row>
    <row r="197" spans="2:3" x14ac:dyDescent="0.25">
      <c r="B197" s="54">
        <v>215</v>
      </c>
      <c r="C197" s="54">
        <v>20</v>
      </c>
    </row>
    <row r="198" spans="2:3" x14ac:dyDescent="0.25">
      <c r="B198" s="54">
        <v>216</v>
      </c>
      <c r="C198" s="54">
        <v>20.5</v>
      </c>
    </row>
    <row r="199" spans="2:3" x14ac:dyDescent="0.25">
      <c r="B199" s="54">
        <v>217</v>
      </c>
      <c r="C199" s="54">
        <v>20.5</v>
      </c>
    </row>
    <row r="200" spans="2:3" x14ac:dyDescent="0.25">
      <c r="B200" s="54">
        <v>218</v>
      </c>
      <c r="C200" s="54">
        <v>20.5</v>
      </c>
    </row>
    <row r="201" spans="2:3" x14ac:dyDescent="0.25">
      <c r="B201" s="54">
        <v>219</v>
      </c>
      <c r="C201" s="54">
        <v>21</v>
      </c>
    </row>
    <row r="202" spans="2:3" x14ac:dyDescent="0.25">
      <c r="B202" s="54">
        <v>220</v>
      </c>
      <c r="C202" s="54">
        <v>21</v>
      </c>
    </row>
    <row r="203" spans="2:3" x14ac:dyDescent="0.25">
      <c r="B203" s="54">
        <v>221</v>
      </c>
      <c r="C203" s="54">
        <v>21</v>
      </c>
    </row>
    <row r="204" spans="2:3" x14ac:dyDescent="0.25">
      <c r="B204" s="54">
        <v>222</v>
      </c>
      <c r="C204" s="54">
        <v>21</v>
      </c>
    </row>
    <row r="205" spans="2:3" x14ac:dyDescent="0.25">
      <c r="B205" s="54">
        <v>223</v>
      </c>
      <c r="C205" s="54">
        <v>21</v>
      </c>
    </row>
    <row r="206" spans="2:3" x14ac:dyDescent="0.25">
      <c r="B206" s="54">
        <v>224</v>
      </c>
      <c r="C206" s="54">
        <v>21</v>
      </c>
    </row>
    <row r="207" spans="2:3" x14ac:dyDescent="0.25">
      <c r="B207" s="54">
        <v>225</v>
      </c>
      <c r="C207" s="54">
        <v>21</v>
      </c>
    </row>
    <row r="208" spans="2:3" x14ac:dyDescent="0.25">
      <c r="B208" s="54">
        <v>226</v>
      </c>
      <c r="C208" s="54">
        <v>21.5</v>
      </c>
    </row>
    <row r="209" spans="2:3" x14ac:dyDescent="0.25">
      <c r="B209" s="54">
        <v>227</v>
      </c>
      <c r="C209" s="54">
        <v>21.5</v>
      </c>
    </row>
    <row r="210" spans="2:3" x14ac:dyDescent="0.25">
      <c r="B210" s="54">
        <v>228</v>
      </c>
      <c r="C210" s="54">
        <v>21.5</v>
      </c>
    </row>
    <row r="211" spans="2:3" x14ac:dyDescent="0.25">
      <c r="B211" s="54">
        <v>229</v>
      </c>
      <c r="C211" s="54">
        <v>22</v>
      </c>
    </row>
    <row r="212" spans="2:3" x14ac:dyDescent="0.25">
      <c r="B212" s="54">
        <v>230</v>
      </c>
      <c r="C212" s="54">
        <v>22</v>
      </c>
    </row>
    <row r="213" spans="2:3" x14ac:dyDescent="0.25">
      <c r="B213" s="54">
        <v>231</v>
      </c>
      <c r="C213" s="54">
        <v>22</v>
      </c>
    </row>
    <row r="214" spans="2:3" x14ac:dyDescent="0.25">
      <c r="B214" s="54">
        <v>232</v>
      </c>
      <c r="C214" s="54">
        <v>22</v>
      </c>
    </row>
    <row r="215" spans="2:3" x14ac:dyDescent="0.25">
      <c r="B215" s="54">
        <v>233</v>
      </c>
      <c r="C215" s="54">
        <v>22</v>
      </c>
    </row>
    <row r="216" spans="2:3" x14ac:dyDescent="0.25">
      <c r="B216" s="54">
        <v>234</v>
      </c>
      <c r="C216" s="54">
        <v>22</v>
      </c>
    </row>
    <row r="217" spans="2:3" x14ac:dyDescent="0.25">
      <c r="B217" s="54">
        <v>235</v>
      </c>
      <c r="C217" s="54">
        <v>22</v>
      </c>
    </row>
    <row r="218" spans="2:3" x14ac:dyDescent="0.25">
      <c r="B218" s="54">
        <v>236</v>
      </c>
      <c r="C218" s="54">
        <v>22.5</v>
      </c>
    </row>
    <row r="219" spans="2:3" x14ac:dyDescent="0.25">
      <c r="B219" s="54">
        <v>237</v>
      </c>
      <c r="C219" s="54">
        <v>22.5</v>
      </c>
    </row>
    <row r="220" spans="2:3" x14ac:dyDescent="0.25">
      <c r="B220" s="54">
        <v>238</v>
      </c>
      <c r="C220" s="54">
        <v>22.5</v>
      </c>
    </row>
    <row r="221" spans="2:3" x14ac:dyDescent="0.25">
      <c r="B221" s="54">
        <v>239</v>
      </c>
      <c r="C221" s="54">
        <v>23</v>
      </c>
    </row>
    <row r="222" spans="2:3" x14ac:dyDescent="0.25">
      <c r="B222" s="54">
        <v>240</v>
      </c>
      <c r="C222" s="54">
        <v>23</v>
      </c>
    </row>
    <row r="223" spans="2:3" x14ac:dyDescent="0.25">
      <c r="B223" s="54">
        <v>241</v>
      </c>
      <c r="C223" s="54">
        <v>23</v>
      </c>
    </row>
    <row r="224" spans="2:3" x14ac:dyDescent="0.25">
      <c r="B224" s="54">
        <v>242</v>
      </c>
      <c r="C224" s="54">
        <v>23</v>
      </c>
    </row>
    <row r="225" spans="2:3" x14ac:dyDescent="0.25">
      <c r="B225" s="54">
        <v>243</v>
      </c>
      <c r="C225" s="54">
        <v>23</v>
      </c>
    </row>
    <row r="226" spans="2:3" x14ac:dyDescent="0.25">
      <c r="B226" s="54">
        <v>244</v>
      </c>
      <c r="C226" s="54">
        <v>23</v>
      </c>
    </row>
    <row r="227" spans="2:3" x14ac:dyDescent="0.25">
      <c r="B227" s="54">
        <v>245</v>
      </c>
      <c r="C227" s="54">
        <v>23</v>
      </c>
    </row>
    <row r="228" spans="2:3" x14ac:dyDescent="0.25">
      <c r="B228" s="54">
        <v>246</v>
      </c>
      <c r="C228" s="54">
        <v>23.5</v>
      </c>
    </row>
    <row r="229" spans="2:3" x14ac:dyDescent="0.25">
      <c r="B229" s="54">
        <v>247</v>
      </c>
      <c r="C229" s="54">
        <v>23.5</v>
      </c>
    </row>
    <row r="230" spans="2:3" x14ac:dyDescent="0.25">
      <c r="B230" s="54">
        <v>248</v>
      </c>
      <c r="C230" s="54">
        <v>23.5</v>
      </c>
    </row>
    <row r="231" spans="2:3" x14ac:dyDescent="0.25">
      <c r="B231" s="54">
        <v>249</v>
      </c>
      <c r="C231" s="54">
        <v>24</v>
      </c>
    </row>
    <row r="232" spans="2:3" x14ac:dyDescent="0.25">
      <c r="B232" s="54">
        <v>250</v>
      </c>
      <c r="C232" s="54">
        <v>24</v>
      </c>
    </row>
    <row r="233" spans="2:3" x14ac:dyDescent="0.25">
      <c r="B233" s="54">
        <v>251</v>
      </c>
      <c r="C233" s="54">
        <v>24</v>
      </c>
    </row>
    <row r="234" spans="2:3" x14ac:dyDescent="0.25">
      <c r="B234" s="54">
        <v>252</v>
      </c>
      <c r="C234" s="54">
        <v>24</v>
      </c>
    </row>
    <row r="235" spans="2:3" x14ac:dyDescent="0.25">
      <c r="B235" s="54">
        <v>253</v>
      </c>
      <c r="C235" s="54">
        <v>24</v>
      </c>
    </row>
    <row r="236" spans="2:3" x14ac:dyDescent="0.25">
      <c r="B236" s="54">
        <v>254</v>
      </c>
      <c r="C236" s="54">
        <v>24</v>
      </c>
    </row>
    <row r="237" spans="2:3" x14ac:dyDescent="0.25">
      <c r="B237" s="54">
        <v>255</v>
      </c>
      <c r="C237" s="54">
        <v>24</v>
      </c>
    </row>
    <row r="238" spans="2:3" x14ac:dyDescent="0.25">
      <c r="B238" s="54">
        <v>256</v>
      </c>
      <c r="C238" s="54">
        <v>24.5</v>
      </c>
    </row>
    <row r="239" spans="2:3" x14ac:dyDescent="0.25">
      <c r="B239" s="54">
        <v>257</v>
      </c>
      <c r="C239" s="54">
        <v>24.5</v>
      </c>
    </row>
    <row r="240" spans="2:3" x14ac:dyDescent="0.25">
      <c r="B240" s="54">
        <v>258</v>
      </c>
      <c r="C240" s="54">
        <v>24.5</v>
      </c>
    </row>
    <row r="241" spans="2:3" x14ac:dyDescent="0.25">
      <c r="B241" s="54">
        <v>259</v>
      </c>
      <c r="C241" s="54">
        <v>25</v>
      </c>
    </row>
    <row r="242" spans="2:3" x14ac:dyDescent="0.25">
      <c r="B242" s="54">
        <v>260</v>
      </c>
      <c r="C242" s="54">
        <v>25</v>
      </c>
    </row>
    <row r="243" spans="2:3" x14ac:dyDescent="0.25">
      <c r="B243" s="54">
        <v>261</v>
      </c>
      <c r="C243" s="54">
        <v>25</v>
      </c>
    </row>
    <row r="244" spans="2:3" x14ac:dyDescent="0.25">
      <c r="B244" s="54">
        <v>262</v>
      </c>
      <c r="C244" s="54">
        <v>25</v>
      </c>
    </row>
    <row r="245" spans="2:3" x14ac:dyDescent="0.25">
      <c r="B245" s="54">
        <v>263</v>
      </c>
      <c r="C245" s="54">
        <v>25</v>
      </c>
    </row>
    <row r="246" spans="2:3" x14ac:dyDescent="0.25">
      <c r="B246" s="54">
        <v>264</v>
      </c>
      <c r="C246" s="54">
        <v>25</v>
      </c>
    </row>
    <row r="247" spans="2:3" x14ac:dyDescent="0.25">
      <c r="B247" s="54">
        <v>265</v>
      </c>
      <c r="C247" s="54">
        <v>25</v>
      </c>
    </row>
    <row r="248" spans="2:3" x14ac:dyDescent="0.25">
      <c r="B248" s="54">
        <v>266</v>
      </c>
      <c r="C248" s="54">
        <v>25.5</v>
      </c>
    </row>
    <row r="249" spans="2:3" x14ac:dyDescent="0.25">
      <c r="B249" s="54">
        <v>267</v>
      </c>
      <c r="C249" s="54">
        <v>25.5</v>
      </c>
    </row>
    <row r="250" spans="2:3" x14ac:dyDescent="0.25">
      <c r="B250" s="54">
        <v>268</v>
      </c>
      <c r="C250" s="54">
        <v>25.5</v>
      </c>
    </row>
    <row r="251" spans="2:3" x14ac:dyDescent="0.25">
      <c r="B251" s="54">
        <v>269</v>
      </c>
      <c r="C251" s="54">
        <v>26</v>
      </c>
    </row>
    <row r="252" spans="2:3" x14ac:dyDescent="0.25">
      <c r="B252" s="54">
        <v>270</v>
      </c>
      <c r="C252" s="54">
        <v>26</v>
      </c>
    </row>
    <row r="253" spans="2:3" x14ac:dyDescent="0.25">
      <c r="B253" s="54">
        <v>271</v>
      </c>
      <c r="C253" s="54">
        <v>26</v>
      </c>
    </row>
    <row r="254" spans="2:3" x14ac:dyDescent="0.25">
      <c r="B254" s="54">
        <v>272</v>
      </c>
      <c r="C254" s="54">
        <v>26</v>
      </c>
    </row>
    <row r="255" spans="2:3" x14ac:dyDescent="0.25">
      <c r="B255" s="54">
        <v>273</v>
      </c>
      <c r="C255" s="54">
        <v>26</v>
      </c>
    </row>
    <row r="256" spans="2:3" x14ac:dyDescent="0.25">
      <c r="B256" s="54">
        <v>274</v>
      </c>
      <c r="C256" s="54">
        <v>26</v>
      </c>
    </row>
    <row r="257" spans="2:3" x14ac:dyDescent="0.25">
      <c r="B257" s="54">
        <v>275</v>
      </c>
      <c r="C257" s="54">
        <v>26</v>
      </c>
    </row>
    <row r="258" spans="2:3" x14ac:dyDescent="0.25">
      <c r="B258" s="54">
        <v>276</v>
      </c>
      <c r="C258" s="54">
        <v>26.5</v>
      </c>
    </row>
    <row r="259" spans="2:3" x14ac:dyDescent="0.25">
      <c r="B259" s="54">
        <v>277</v>
      </c>
      <c r="C259" s="54">
        <v>26.5</v>
      </c>
    </row>
    <row r="260" spans="2:3" x14ac:dyDescent="0.25">
      <c r="B260" s="54">
        <v>278</v>
      </c>
      <c r="C260" s="54">
        <v>26.5</v>
      </c>
    </row>
    <row r="261" spans="2:3" x14ac:dyDescent="0.25">
      <c r="B261" s="54">
        <v>279</v>
      </c>
      <c r="C261" s="54">
        <v>27</v>
      </c>
    </row>
    <row r="262" spans="2:3" x14ac:dyDescent="0.25">
      <c r="B262" s="54">
        <v>280</v>
      </c>
      <c r="C262" s="54">
        <v>27</v>
      </c>
    </row>
    <row r="263" spans="2:3" x14ac:dyDescent="0.25">
      <c r="B263" s="54">
        <v>281</v>
      </c>
      <c r="C263" s="54">
        <v>27</v>
      </c>
    </row>
    <row r="264" spans="2:3" x14ac:dyDescent="0.25">
      <c r="B264" s="54">
        <v>282</v>
      </c>
      <c r="C264" s="54">
        <v>27</v>
      </c>
    </row>
    <row r="265" spans="2:3" x14ac:dyDescent="0.25">
      <c r="B265" s="54">
        <v>283</v>
      </c>
      <c r="C265" s="54">
        <v>27</v>
      </c>
    </row>
    <row r="266" spans="2:3" x14ac:dyDescent="0.25">
      <c r="B266" s="54">
        <v>284</v>
      </c>
      <c r="C266" s="54">
        <v>27</v>
      </c>
    </row>
    <row r="267" spans="2:3" x14ac:dyDescent="0.25">
      <c r="B267" s="54">
        <v>285</v>
      </c>
      <c r="C267" s="54">
        <v>27</v>
      </c>
    </row>
    <row r="268" spans="2:3" x14ac:dyDescent="0.25">
      <c r="B268" s="54">
        <v>286</v>
      </c>
      <c r="C268" s="54">
        <v>27.5</v>
      </c>
    </row>
    <row r="269" spans="2:3" x14ac:dyDescent="0.25">
      <c r="B269" s="54">
        <v>287</v>
      </c>
      <c r="C269" s="54">
        <v>27.5</v>
      </c>
    </row>
    <row r="270" spans="2:3" x14ac:dyDescent="0.25">
      <c r="B270" s="54">
        <v>288</v>
      </c>
      <c r="C270" s="54">
        <v>27.5</v>
      </c>
    </row>
    <row r="271" spans="2:3" x14ac:dyDescent="0.25">
      <c r="B271" s="54">
        <v>289</v>
      </c>
      <c r="C271" s="54">
        <v>28</v>
      </c>
    </row>
    <row r="272" spans="2:3" x14ac:dyDescent="0.25">
      <c r="B272" s="54">
        <v>290</v>
      </c>
      <c r="C272" s="54">
        <v>28</v>
      </c>
    </row>
    <row r="273" spans="2:3" x14ac:dyDescent="0.25">
      <c r="B273" s="54">
        <v>291</v>
      </c>
      <c r="C273" s="54">
        <v>28</v>
      </c>
    </row>
    <row r="274" spans="2:3" x14ac:dyDescent="0.25">
      <c r="B274" s="54">
        <v>292</v>
      </c>
      <c r="C274" s="54">
        <v>28</v>
      </c>
    </row>
    <row r="275" spans="2:3" x14ac:dyDescent="0.25">
      <c r="B275" s="54">
        <v>293</v>
      </c>
      <c r="C275" s="54">
        <v>28</v>
      </c>
    </row>
    <row r="276" spans="2:3" x14ac:dyDescent="0.25">
      <c r="B276" s="54">
        <v>294</v>
      </c>
      <c r="C276" s="54">
        <v>28</v>
      </c>
    </row>
    <row r="277" spans="2:3" x14ac:dyDescent="0.25">
      <c r="B277" s="54">
        <v>295</v>
      </c>
      <c r="C277" s="54">
        <v>28</v>
      </c>
    </row>
    <row r="278" spans="2:3" x14ac:dyDescent="0.25">
      <c r="B278" s="54">
        <v>296</v>
      </c>
      <c r="C278" s="54">
        <v>28.5</v>
      </c>
    </row>
    <row r="279" spans="2:3" x14ac:dyDescent="0.25">
      <c r="B279" s="54">
        <v>297</v>
      </c>
      <c r="C279" s="54">
        <v>28.5</v>
      </c>
    </row>
    <row r="280" spans="2:3" x14ac:dyDescent="0.25">
      <c r="B280" s="54">
        <v>298</v>
      </c>
      <c r="C280" s="54">
        <v>28.5</v>
      </c>
    </row>
    <row r="281" spans="2:3" x14ac:dyDescent="0.25">
      <c r="B281" s="54">
        <v>299</v>
      </c>
      <c r="C281" s="54">
        <v>29</v>
      </c>
    </row>
    <row r="282" spans="2:3" x14ac:dyDescent="0.25">
      <c r="B282" s="54">
        <v>300</v>
      </c>
      <c r="C282" s="54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c5a868c2c34f94a640feb6eccb1553 xmlns="16618668-4539-4bb0-a4c5-d868b30b6c7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Elaboration</TermName>
          <TermId xmlns="http://schemas.microsoft.com/office/infopath/2007/PartnerControls">1e5b2a5f-c6de-4eef-bbdb-f1f83b5fd5ae</TermId>
        </TermInfo>
      </Terms>
    </gec5a868c2c34f94a640feb6eccb1553>
    <p12faceae931475da4e4669f94482bb3 xmlns="16618668-4539-4bb0-a4c5-d868b30b6c7d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Non public</TermName>
          <TermId xmlns="http://schemas.microsoft.com/office/infopath/2007/PartnerControls">6f0b6295-39e9-4978-9016-dc89b002883c</TermId>
        </TermInfo>
      </Terms>
    </p12faceae931475da4e4669f94482bb3>
    <_dlc_DocId xmlns="16618668-4539-4bb0-a4c5-d868b30b6c7d">DOCPROJ01-1851621595-42</_dlc_DocId>
    <TaxCatchAll xmlns="16618668-4539-4bb0-a4c5-d868b30b6c7d">
      <Value>2</Value>
      <Value>1</Value>
    </TaxCatchAll>
    <g2e9765f2e1f4b5888c3c4d0dfd182a8 xmlns="16618668-4539-4bb0-a4c5-d868b30b6c7d">
      <Terms xmlns="http://schemas.microsoft.com/office/infopath/2007/PartnerControls"/>
    </g2e9765f2e1f4b5888c3c4d0dfd182a8>
    <hub_uniteOrganisationnelleTaxHTField xmlns="16618668-4539-4bb0-a4c5-d868b30b6c7d">
      <Terms xmlns="http://schemas.microsoft.com/office/infopath/2007/PartnerControls"/>
    </hub_uniteOrganisationnelleTaxHTField>
    <_dlc_DocIdUrl xmlns="16618668-4539-4bb0-a4c5-d868b30b6c7d">
      <Url>https://ecd.ge.ch/dgsi-projets/01/10901/_layouts/15/DocIdRedir.aspx?ID=DOCPROJ01-1851621595-42</Url>
      <Description>DOCPROJ01-1851621595-42</Description>
    </_dlc_DocIdUrl>
    <HubMD001019DonneesMetier xmlns="16618668-4539-4bb0-a4c5-d868b30b6c7d" xsi:nil="true"/>
    <HubMD000NumeroDossier xmlns="16618668-4539-4bb0-a4c5-d868b30b6c7d" xsi:nil="true"/>
    <n4a1bbdfbc7e27df6234047120bf36db xmlns="16618668-4539-4bb0-a4c5-d868b30b6c7d">
      <Terms xmlns="http://schemas.microsoft.com/office/infopath/2007/PartnerControls"/>
    </n4a1bbdfbc7e27df6234047120bf36db>
  </documentManagement>
</p:properties>
</file>

<file path=customXml/item3.xml><?xml version="1.0" encoding="utf-8"?>
<?mso-contentType ?>
<SharedContentType xmlns="Microsoft.SharePoint.Taxonomy.ContentTypeSync" SourceId="049633a5-2ee1-46b6-97ba-b1aa10ccb170" ContentTypeId="0x010100E67DC0D90D08554D9354CDCBD7E51025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DG - Document" ma:contentTypeID="0x010100E67DC0D90D08554D9354CDCBD7E510250053778A24185AEB429D96E84046E87E0B" ma:contentTypeVersion="86" ma:contentTypeDescription="Document standard Etat de Genève" ma:contentTypeScope="" ma:versionID="61ae0534dbdad1b10fdea1e541c10902">
  <xsd:schema xmlns:xsd="http://www.w3.org/2001/XMLSchema" xmlns:xs="http://www.w3.org/2001/XMLSchema" xmlns:p="http://schemas.microsoft.com/office/2006/metadata/properties" xmlns:ns2="16618668-4539-4bb0-a4c5-d868b30b6c7d" targetNamespace="http://schemas.microsoft.com/office/2006/metadata/properties" ma:root="true" ma:fieldsID="c326e8e6fcfe3935fba174cb1b34b9ce" ns2:_="">
    <xsd:import namespace="16618668-4539-4bb0-a4c5-d868b30b6c7d"/>
    <xsd:element name="properties">
      <xsd:complexType>
        <xsd:sequence>
          <xsd:element name="documentManagement">
            <xsd:complexType>
              <xsd:all>
                <xsd:element ref="ns2:TaxCatchAllLabel" minOccurs="0"/>
                <xsd:element ref="ns2:g2e9765f2e1f4b5888c3c4d0dfd182a8" minOccurs="0"/>
                <xsd:element ref="ns2:p12faceae931475da4e4669f94482bb3" minOccurs="0"/>
                <xsd:element ref="ns2:TaxCatchAll" minOccurs="0"/>
                <xsd:element ref="ns2:gec5a868c2c34f94a640feb6eccb1553" minOccurs="0"/>
                <xsd:element ref="ns2:hub_uniteOrganisationnelleTaxHTField" minOccurs="0"/>
                <xsd:element ref="ns2:_dlc_DocId" minOccurs="0"/>
                <xsd:element ref="ns2:_dlc_DocIdUrl" minOccurs="0"/>
                <xsd:element ref="ns2:_dlc_DocIdPersistId" minOccurs="0"/>
                <xsd:element ref="ns2:HubMD000NumeroDossier" minOccurs="0"/>
                <xsd:element ref="ns2:HubMD001019DonneesMetier" minOccurs="0"/>
                <xsd:element ref="ns2:n4a1bbdfbc7e27df6234047120bf36d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18668-4539-4bb0-a4c5-d868b30b6c7d" elementFormDefault="qualified">
    <xsd:import namespace="http://schemas.microsoft.com/office/2006/documentManagement/types"/>
    <xsd:import namespace="http://schemas.microsoft.com/office/infopath/2007/PartnerControls"/>
    <xsd:element name="TaxCatchAllLabel" ma:index="8" nillable="true" ma:displayName="Taxonomy Catch All Column1" ma:hidden="true" ma:list="{f752f154-c27f-4cfa-8e74-872ffda4b3ee}" ma:internalName="TaxCatchAllLabel" ma:readOnly="true" ma:showField="CatchAllDataLabel" ma:web="75136f9e-73ba-4dec-8303-3b776bb70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e9765f2e1f4b5888c3c4d0dfd182a8" ma:index="10" nillable="true" ma:taxonomy="true" ma:internalName="g2e9765f2e1f4b5888c3c4d0dfd182a8" ma:taxonomyFieldName="CH_x002d_MD24_x0020__x002d__x0020_Type_x0020_de_x0020_document" ma:displayName="Type de document" ma:readOnly="false" ma:default="" ma:fieldId="{02e9765f-2e1f-4b58-88c3-c4d0dfd182a8}" ma:sspId="049633a5-2ee1-46b6-97ba-b1aa10ccb170" ma:termSetId="200c5350-25fa-4b49-947c-98689a6f65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2faceae931475da4e4669f94482bb3" ma:index="13" nillable="true" ma:taxonomy="true" ma:internalName="p12faceae931475da4e4669f94482bb3" ma:taxonomyFieldName="CH_x002d_MD05_x0020__x002d__x0020_Classification" ma:displayName="Classification" ma:readOnly="false" ma:default="" ma:fieldId="{912facea-e931-475d-a4e4-669f94482bb3}" ma:sspId="049633a5-2ee1-46b6-97ba-b1aa10ccb170" ma:termSetId="d5d98427-83ee-46a7-9bde-29ea522cc21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f752f154-c27f-4cfa-8e74-872ffda4b3ee}" ma:internalName="TaxCatchAll" ma:showField="CatchAllData" ma:web="75136f9e-73ba-4dec-8303-3b776bb70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ec5a868c2c34f94a640feb6eccb1553" ma:index="15" nillable="true" ma:taxonomy="true" ma:internalName="gec5a868c2c34f94a640feb6eccb1553" ma:taxonomyFieldName="hub_statut" ma:displayName="Etat" ma:readOnly="false" ma:default="1;#Elaboration|1e5b2a5f-c6de-4eef-bbdb-f1f83b5fd5ae" ma:fieldId="{0ec5a868-c2c3-4f94-a640-feb6eccb1553}" ma:sspId="049633a5-2ee1-46b6-97ba-b1aa10ccb170" ma:termSetId="1c66cfcb-3c58-4a8e-b767-6bf0878572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ub_uniteOrganisationnelleTaxHTField" ma:index="17" nillable="true" ma:taxonomy="true" ma:internalName="hub_uniteOrganisationnelleTaxHTField" ma:taxonomyFieldName="hub_uniteOrganisationnelle" ma:displayName="UO" ma:readOnly="false" ma:default="" ma:fieldId="{5df5d59d-c40b-4eee-bb9a-cbd211ff3ee1}" ma:sspId="049633a5-2ee1-46b6-97ba-b1aa10ccb170" ma:termSetId="1e0b99ce-d5db-4774-bee4-69232aaf12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9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0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ubMD000NumeroDossier" ma:index="22" nillable="true" ma:displayName="Dossier" ma:description="Référence administrative du dossier. Cela peut prendre la forme d'un n° d'autorisation de construire (exemple: DD96840 S.1), d'un n° d'AVS, de contribuable..." ma:hidden="true" ma:internalName="HubMD000NumeroDossier" ma:readOnly="false">
      <xsd:simpleType>
        <xsd:restriction base="dms:Text">
          <xsd:maxLength value="70"/>
        </xsd:restriction>
      </xsd:simpleType>
    </xsd:element>
    <xsd:element name="HubMD001019DonneesMetier" ma:index="23" nillable="true" ma:displayName="Données Métier" ma:description="Chaque ligne de texte indique le n° de la MD, son nom et sa valeur." ma:hidden="true" ma:internalName="HubMD001019DonneesMetier" ma:readOnly="false">
      <xsd:simpleType>
        <xsd:restriction base="dms:Note"/>
      </xsd:simpleType>
    </xsd:element>
    <xsd:element name="n4a1bbdfbc7e27df6234047120bf36db" ma:index="24" nillable="true" ma:taxonomy="true" ma:internalName="n4a1bbdfbc7e27df6234047120bf36db" ma:taxonomyFieldName="HubMD021PlanClassement" ma:displayName="Plan de classement" ma:readOnly="false" ma:default="" ma:fieldId="{aba45120-5a23-41e6-84e5-3fd74da31346}" ma:sspId="049633a5-2ee1-46b6-97ba-b1aa10ccb170" ma:termSetId="75c0bcad-e9b9-4624-84c3-ed404300df7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2" ma:displayName="Auteur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507BB-6C8A-46FF-92B9-A224F278265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0E65909-F5F3-4894-BCE0-11F826BD4DDA}">
  <ds:schemaRefs>
    <ds:schemaRef ds:uri="16618668-4539-4bb0-a4c5-d868b30b6c7d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7D7713-D288-4938-B612-DACA1CC4930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30DCCED-EC79-45A5-9F9C-6A0EA5831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618668-4539-4bb0-a4c5-d868b30b6c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B1FDE833-176D-4ED9-AA9B-4B20E2F011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Informations générales</vt:lpstr>
      <vt:lpstr>Informations LOCATIF</vt:lpstr>
      <vt:lpstr>Informations VENTE</vt:lpstr>
      <vt:lpstr>Surfaces commerciales &amp; garages</vt:lpstr>
      <vt:lpstr>Récapitulatif</vt:lpstr>
      <vt:lpstr>Listes</vt:lpstr>
      <vt:lpstr>Aide calcul</vt:lpstr>
      <vt:lpstr>L_HBM</vt:lpstr>
      <vt:lpstr>LHBM</vt:lpstr>
      <vt:lpstr>'Informations générales'!Zone_d_impression</vt:lpstr>
      <vt:lpstr>'Informations LOCATIF'!Zone_d_impression</vt:lpstr>
      <vt:lpstr>'Informations VENTE'!Zone_d_impression</vt:lpstr>
      <vt:lpstr>Récapitulatif!Zone_d_impression</vt:lpstr>
      <vt:lpstr>'Surfaces commerciales &amp; garages'!Zone_d_impression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LCG (DT)</dc:creator>
  <cp:lastModifiedBy>Ebener Anthony</cp:lastModifiedBy>
  <cp:lastPrinted>2024-11-22T15:16:29Z</cp:lastPrinted>
  <dcterms:created xsi:type="dcterms:W3CDTF">2015-06-05T18:19:34Z</dcterms:created>
  <dcterms:modified xsi:type="dcterms:W3CDTF">2026-01-07T10:59:31Z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dfbc7e27df6234147120bf36db4a1bb">
    <vt:lpwstr/>
  </property>
  <property fmtid="{D5CDD505-2E9C-101B-9397-08002B2CF9AE}" pid="3" name="l19bba9111654e542544c9a5f727e447">
    <vt:lpwstr/>
  </property>
  <property fmtid="{D5CDD505-2E9C-101B-9397-08002B2CF9AE}" pid="4" name="HubSortFinal">
    <vt:lpwstr/>
  </property>
  <property fmtid="{D5CDD505-2E9C-101B-9397-08002B2CF9AE}" pid="5" name="CH-MD05 - Classification">
    <vt:lpwstr>2;#Non public|6f0b6295-39e9-4978-9016-dc89b002883c</vt:lpwstr>
  </property>
  <property fmtid="{D5CDD505-2E9C-101B-9397-08002B2CF9AE}" pid="6" name="CH-MD01 - Phase HERMES">
    <vt:lpwstr>1;#01-Initialisation|b319a4c8-29d6-4a53-8ce7-1401d435d337</vt:lpwstr>
  </property>
  <property fmtid="{D5CDD505-2E9C-101B-9397-08002B2CF9AE}" pid="7" name="CH-MD14 - Processus propriétaire">
    <vt:lpwstr/>
  </property>
  <property fmtid="{D5CDD505-2E9C-101B-9397-08002B2CF9AE}" pid="8" name="hub_uniteOrganisationnelle">
    <vt:lpwstr/>
  </property>
  <property fmtid="{D5CDD505-2E9C-101B-9397-08002B2CF9AE}" pid="9" name="ContentTypeId">
    <vt:lpwstr>0x010100E67DC0D90D08554D9354CDCBD7E510250053778A24185AEB429D96E84046E87E0B</vt:lpwstr>
  </property>
  <property fmtid="{D5CDD505-2E9C-101B-9397-08002B2CF9AE}" pid="10" name="HubMD023EtatCycleVie">
    <vt:lpwstr/>
  </property>
  <property fmtid="{D5CDD505-2E9C-101B-9397-08002B2CF9AE}" pid="11" name="hub_statut">
    <vt:lpwstr>1;#Elaboration|1e5b2a5f-c6de-4eef-bbdb-f1f83b5fd5ae</vt:lpwstr>
  </property>
  <property fmtid="{D5CDD505-2E9C-101B-9397-08002B2CF9AE}" pid="12" name="CH-MD14-Processus abregé">
    <vt:lpwstr/>
  </property>
  <property fmtid="{D5CDD505-2E9C-101B-9397-08002B2CF9AE}" pid="13" name="CH-MD80 Categorie document">
    <vt:lpwstr/>
  </property>
  <property fmtid="{D5CDD505-2E9C-101B-9397-08002B2CF9AE}" pid="14" name="CH-MD15 - PEPSIC">
    <vt:lpwstr/>
  </property>
  <property fmtid="{D5CDD505-2E9C-101B-9397-08002B2CF9AE}" pid="15" name="CH-MD07 - Domaine projet">
    <vt:lpwstr/>
  </property>
  <property fmtid="{D5CDD505-2E9C-101B-9397-08002B2CF9AE}" pid="16" name="h56ab09fd49540298c4800237406f8ce">
    <vt:lpwstr/>
  </property>
  <property fmtid="{D5CDD505-2E9C-101B-9397-08002B2CF9AE}" pid="17" name="_dlc_DocIdItemGuid">
    <vt:lpwstr>93954875-3f06-4b2a-ba49-f4a3c6b86b23</vt:lpwstr>
  </property>
  <property fmtid="{D5CDD505-2E9C-101B-9397-08002B2CF9AE}" pid="18" name="HubMD021PlanClassement">
    <vt:lpwstr/>
  </property>
  <property fmtid="{D5CDD505-2E9C-101B-9397-08002B2CF9AE}" pid="19" name="CH-MD09 - Module HERMES">
    <vt:lpwstr/>
  </property>
  <property fmtid="{D5CDD505-2E9C-101B-9397-08002B2CF9AE}" pid="20" name="CH-MD24 - Type de document">
    <vt:lpwstr/>
  </property>
  <property fmtid="{D5CDD505-2E9C-101B-9397-08002B2CF9AE}" pid="21" name="la1bbdfbc7e27df6234147120bf36db4">
    <vt:lpwstr/>
  </property>
  <property fmtid="{D5CDD505-2E9C-101B-9397-08002B2CF9AE}" pid="22" name="n4a1bbdfbc7e27df6234047120bf36db">
    <vt:lpwstr/>
  </property>
  <property fmtid="{D5CDD505-2E9C-101B-9397-08002B2CF9AE}" pid="23" name="HubActionCVD">
    <vt:lpwstr/>
  </property>
  <property fmtid="{D5CDD505-2E9C-101B-9397-08002B2CF9AE}" pid="24" name="HubMD026ServiceProducteurFichier">
    <vt:lpwstr/>
  </property>
  <property fmtid="{D5CDD505-2E9C-101B-9397-08002B2CF9AE}" pid="25" name="CH-MD08 - Resultat HERMES">
    <vt:lpwstr/>
  </property>
  <property fmtid="{D5CDD505-2E9C-101B-9397-08002B2CF9AE}" pid="26" name="CH-MD40 - Type de seance">
    <vt:lpwstr/>
  </property>
  <property fmtid="{D5CDD505-2E9C-101B-9397-08002B2CF9AE}" pid="27" name="_NewReviewCycle">
    <vt:lpwstr/>
  </property>
  <property fmtid="{D5CDD505-2E9C-101B-9397-08002B2CF9AE}" pid="28" name="_AdHocReviewCycleID">
    <vt:i4>-644786865</vt:i4>
  </property>
  <property fmtid="{D5CDD505-2E9C-101B-9397-08002B2CF9AE}" pid="29" name="_EmailSubject">
    <vt:lpwstr>Formulaire C10 Excel - contingent 60 / 40 à jour</vt:lpwstr>
  </property>
  <property fmtid="{D5CDD505-2E9C-101B-9397-08002B2CF9AE}" pid="30" name="_AuthorEmail">
    <vt:lpwstr>Lucile.Clement-Gallais@etat.ge.ch</vt:lpwstr>
  </property>
  <property fmtid="{D5CDD505-2E9C-101B-9397-08002B2CF9AE}" pid="31" name="_AuthorEmailDisplayName">
    <vt:lpwstr>Clement-Gallais Lucile (DT)</vt:lpwstr>
  </property>
  <property fmtid="{D5CDD505-2E9C-101B-9397-08002B2CF9AE}" pid="32" name="_ReviewingToolsShownOnce">
    <vt:lpwstr/>
  </property>
</Properties>
</file>