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V:\Mes_Documents\ge.ch\FormulaireC10\"/>
    </mc:Choice>
  </mc:AlternateContent>
  <bookViews>
    <workbookView xWindow="-120" yWindow="-120" windowWidth="29040" windowHeight="15720"/>
  </bookViews>
  <sheets>
    <sheet name="Informations générales" sheetId="1" r:id="rId1"/>
    <sheet name="Informations LOCATIF" sheetId="2" r:id="rId2"/>
    <sheet name="Informations VENTE" sheetId="6" r:id="rId3"/>
    <sheet name="Surfaces commerciales &amp; garages" sheetId="7" r:id="rId4"/>
    <sheet name="Récapitulatif" sheetId="9" r:id="rId5"/>
    <sheet name="Listes" sheetId="8" state="hidden" r:id="rId6"/>
    <sheet name="Aide calcul" sheetId="10" state="hidden" r:id="rId7"/>
  </sheets>
  <definedNames>
    <definedName name="ID">'Informations LOCATIF'!#REF!</definedName>
    <definedName name="L_HBM">Listes!$K$4:$K$7</definedName>
    <definedName name="LHBM">Listes!$K$4:$K$7</definedName>
    <definedName name="NB">'Informations LOCATIF'!#REF!</definedName>
    <definedName name="_xlnm.Print_Area" localSheetId="0">'Informations générales'!$A$1:$S$103</definedName>
    <definedName name="_xlnm.Print_Area" localSheetId="1">'Informations LOCATIF'!$A$1:$AJ$528</definedName>
    <definedName name="_xlnm.Print_Area" localSheetId="2">'Informations VENTE'!$A$1:$AD$526</definedName>
    <definedName name="_xlnm.Print_Area" localSheetId="4">Récapitulatif!$A$1:$N$53</definedName>
    <definedName name="_xlnm.Print_Area" localSheetId="3">'Surfaces commerciales &amp; garages'!$A$1:$T$54</definedName>
  </definedName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9" l="1"/>
  <c r="E38" i="9"/>
  <c r="E37" i="9"/>
  <c r="E36" i="9"/>
  <c r="D39" i="9"/>
  <c r="D38" i="9"/>
  <c r="D37" i="9"/>
  <c r="D36" i="9"/>
  <c r="I3" i="7"/>
  <c r="I3" i="6"/>
  <c r="I3" i="2"/>
  <c r="I3" i="1"/>
  <c r="I3" i="9"/>
  <c r="C34" i="9"/>
  <c r="Q28" i="2"/>
  <c r="AG26" i="2" l="1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F448" i="2"/>
  <c r="AF449" i="2"/>
  <c r="AF450" i="2"/>
  <c r="AF451" i="2"/>
  <c r="AF452" i="2"/>
  <c r="AF453" i="2"/>
  <c r="AF454" i="2"/>
  <c r="AF455" i="2"/>
  <c r="AF456" i="2"/>
  <c r="AF457" i="2"/>
  <c r="AF458" i="2"/>
  <c r="AF459" i="2"/>
  <c r="AF460" i="2"/>
  <c r="AF461" i="2"/>
  <c r="AF462" i="2"/>
  <c r="AF463" i="2"/>
  <c r="AF464" i="2"/>
  <c r="AF465" i="2"/>
  <c r="AF466" i="2"/>
  <c r="AF467" i="2"/>
  <c r="AF468" i="2"/>
  <c r="AF469" i="2"/>
  <c r="AF470" i="2"/>
  <c r="AF471" i="2"/>
  <c r="AF472" i="2"/>
  <c r="AF473" i="2"/>
  <c r="AF474" i="2"/>
  <c r="AF475" i="2"/>
  <c r="AF476" i="2"/>
  <c r="AF477" i="2"/>
  <c r="AF478" i="2"/>
  <c r="AF479" i="2"/>
  <c r="AF480" i="2"/>
  <c r="AF481" i="2"/>
  <c r="AF482" i="2"/>
  <c r="AF483" i="2"/>
  <c r="AF484" i="2"/>
  <c r="AF485" i="2"/>
  <c r="AF486" i="2"/>
  <c r="AF487" i="2"/>
  <c r="AF488" i="2"/>
  <c r="AF489" i="2"/>
  <c r="AF490" i="2"/>
  <c r="AF491" i="2"/>
  <c r="AF492" i="2"/>
  <c r="AF493" i="2"/>
  <c r="AF494" i="2"/>
  <c r="AF495" i="2"/>
  <c r="AF496" i="2"/>
  <c r="AF497" i="2"/>
  <c r="AF498" i="2"/>
  <c r="AF499" i="2"/>
  <c r="AF500" i="2"/>
  <c r="AF501" i="2"/>
  <c r="AF502" i="2"/>
  <c r="AF503" i="2"/>
  <c r="AF504" i="2"/>
  <c r="AF505" i="2"/>
  <c r="AF506" i="2"/>
  <c r="AF507" i="2"/>
  <c r="AF508" i="2"/>
  <c r="AF509" i="2"/>
  <c r="AF510" i="2"/>
  <c r="AF511" i="2"/>
  <c r="AF512" i="2"/>
  <c r="AF513" i="2"/>
  <c r="AF514" i="2"/>
  <c r="AF515" i="2"/>
  <c r="AF516" i="2"/>
  <c r="AF517" i="2"/>
  <c r="AF518" i="2"/>
  <c r="AF519" i="2"/>
  <c r="AF520" i="2"/>
  <c r="AF521" i="2"/>
  <c r="AF522" i="2"/>
  <c r="AF523" i="2"/>
  <c r="AF524" i="2"/>
  <c r="AF525" i="2"/>
  <c r="AF526" i="2"/>
  <c r="P37" i="7" l="1"/>
  <c r="O37" i="7"/>
  <c r="K37" i="7"/>
  <c r="J37" i="7"/>
  <c r="R52" i="7"/>
  <c r="H52" i="7"/>
  <c r="R51" i="7"/>
  <c r="H51" i="7"/>
  <c r="R50" i="7"/>
  <c r="H50" i="7"/>
  <c r="R49" i="7"/>
  <c r="H49" i="7"/>
  <c r="R48" i="7"/>
  <c r="H48" i="7"/>
  <c r="P15" i="7"/>
  <c r="O15" i="7"/>
  <c r="N15" i="7"/>
  <c r="K15" i="7"/>
  <c r="J15" i="7"/>
  <c r="R30" i="7"/>
  <c r="R29" i="7"/>
  <c r="R28" i="7"/>
  <c r="H28" i="7"/>
  <c r="R27" i="7"/>
  <c r="H27" i="7"/>
  <c r="R26" i="7"/>
  <c r="H26" i="7"/>
  <c r="B43" i="1"/>
  <c r="E8" i="2"/>
  <c r="G65" i="1" l="1"/>
  <c r="Z26" i="6" l="1"/>
  <c r="V26" i="6"/>
  <c r="U26" i="6"/>
  <c r="T26" i="6"/>
  <c r="S26" i="6"/>
  <c r="R26" i="6"/>
  <c r="Q26" i="6"/>
  <c r="P26" i="6"/>
  <c r="M26" i="6"/>
  <c r="J26" i="6"/>
  <c r="AE26" i="2"/>
  <c r="AC26" i="2"/>
  <c r="Y26" i="2"/>
  <c r="X26" i="2"/>
  <c r="W26" i="2"/>
  <c r="V26" i="2"/>
  <c r="U26" i="2"/>
  <c r="T26" i="2"/>
  <c r="S26" i="2"/>
  <c r="P26" i="2"/>
  <c r="J26" i="2"/>
  <c r="B30" i="9" l="1"/>
  <c r="C30" i="9" s="1"/>
  <c r="I30" i="9" s="1"/>
  <c r="B29" i="9"/>
  <c r="C29" i="9" s="1"/>
  <c r="B28" i="9"/>
  <c r="D28" i="9" s="1"/>
  <c r="G28" i="9" s="1"/>
  <c r="B27" i="9"/>
  <c r="D27" i="9" s="1"/>
  <c r="G27" i="9" s="1"/>
  <c r="B26" i="9"/>
  <c r="C26" i="9" s="1"/>
  <c r="I26" i="9" s="1"/>
  <c r="Q27" i="2"/>
  <c r="C44" i="9" s="1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C66" i="1"/>
  <c r="D26" i="9" l="1"/>
  <c r="G26" i="9" s="1"/>
  <c r="C27" i="9"/>
  <c r="F27" i="9" s="1"/>
  <c r="D29" i="9"/>
  <c r="G29" i="9" s="1"/>
  <c r="F26" i="9"/>
  <c r="I29" i="9"/>
  <c r="F29" i="9"/>
  <c r="F30" i="9"/>
  <c r="C28" i="9"/>
  <c r="M35" i="7"/>
  <c r="J35" i="7"/>
  <c r="M13" i="7"/>
  <c r="I13" i="7"/>
  <c r="E8" i="6"/>
  <c r="D50" i="9"/>
  <c r="C50" i="9"/>
  <c r="C39" i="9"/>
  <c r="C38" i="9"/>
  <c r="C37" i="9"/>
  <c r="AP27" i="2"/>
  <c r="AO27" i="2"/>
  <c r="AN27" i="2"/>
  <c r="AN28" i="6"/>
  <c r="AN29" i="6"/>
  <c r="AN30" i="6"/>
  <c r="AN31" i="6"/>
  <c r="AN32" i="6"/>
  <c r="AN33" i="6"/>
  <c r="AN34" i="6"/>
  <c r="AN35" i="6"/>
  <c r="AN36" i="6"/>
  <c r="AN37" i="6"/>
  <c r="AN38" i="6"/>
  <c r="AN39" i="6"/>
  <c r="AN40" i="6"/>
  <c r="AN41" i="6"/>
  <c r="AN42" i="6"/>
  <c r="AN43" i="6"/>
  <c r="AN44" i="6"/>
  <c r="AN45" i="6"/>
  <c r="AN46" i="6"/>
  <c r="AN47" i="6"/>
  <c r="AN48" i="6"/>
  <c r="AN49" i="6"/>
  <c r="AN50" i="6"/>
  <c r="AN51" i="6"/>
  <c r="AN52" i="6"/>
  <c r="AN53" i="6"/>
  <c r="AN54" i="6"/>
  <c r="AN55" i="6"/>
  <c r="AN56" i="6"/>
  <c r="AN57" i="6"/>
  <c r="AN58" i="6"/>
  <c r="AN59" i="6"/>
  <c r="AN60" i="6"/>
  <c r="AN61" i="6"/>
  <c r="AN62" i="6"/>
  <c r="AN63" i="6"/>
  <c r="AN64" i="6"/>
  <c r="AN65" i="6"/>
  <c r="AN66" i="6"/>
  <c r="AN67" i="6"/>
  <c r="AN68" i="6"/>
  <c r="AN69" i="6"/>
  <c r="AN70" i="6"/>
  <c r="AN71" i="6"/>
  <c r="AN72" i="6"/>
  <c r="AN73" i="6"/>
  <c r="AN74" i="6"/>
  <c r="AN75" i="6"/>
  <c r="AN76" i="6"/>
  <c r="AN77" i="6"/>
  <c r="AN78" i="6"/>
  <c r="AN79" i="6"/>
  <c r="AN80" i="6"/>
  <c r="AN81" i="6"/>
  <c r="AN82" i="6"/>
  <c r="AN83" i="6"/>
  <c r="AN84" i="6"/>
  <c r="AN85" i="6"/>
  <c r="AN86" i="6"/>
  <c r="AN87" i="6"/>
  <c r="AN88" i="6"/>
  <c r="AN89" i="6"/>
  <c r="AN90" i="6"/>
  <c r="AN91" i="6"/>
  <c r="AN92" i="6"/>
  <c r="AN93" i="6"/>
  <c r="AN94" i="6"/>
  <c r="AN95" i="6"/>
  <c r="AN96" i="6"/>
  <c r="AN97" i="6"/>
  <c r="AN98" i="6"/>
  <c r="AN99" i="6"/>
  <c r="AN100" i="6"/>
  <c r="AN101" i="6"/>
  <c r="AN102" i="6"/>
  <c r="AN103" i="6"/>
  <c r="AN104" i="6"/>
  <c r="AN105" i="6"/>
  <c r="AN106" i="6"/>
  <c r="AN107" i="6"/>
  <c r="AN108" i="6"/>
  <c r="AN109" i="6"/>
  <c r="AN110" i="6"/>
  <c r="AN111" i="6"/>
  <c r="AN112" i="6"/>
  <c r="AN113" i="6"/>
  <c r="AN114" i="6"/>
  <c r="AN115" i="6"/>
  <c r="AN116" i="6"/>
  <c r="AN117" i="6"/>
  <c r="AN118" i="6"/>
  <c r="AN119" i="6"/>
  <c r="AN120" i="6"/>
  <c r="AN121" i="6"/>
  <c r="AN122" i="6"/>
  <c r="AN123" i="6"/>
  <c r="AN124" i="6"/>
  <c r="AN125" i="6"/>
  <c r="AN126" i="6"/>
  <c r="AN127" i="6"/>
  <c r="AN128" i="6"/>
  <c r="AN129" i="6"/>
  <c r="AN130" i="6"/>
  <c r="AN131" i="6"/>
  <c r="AN132" i="6"/>
  <c r="AN133" i="6"/>
  <c r="AN134" i="6"/>
  <c r="AN135" i="6"/>
  <c r="AN136" i="6"/>
  <c r="AN137" i="6"/>
  <c r="AN138" i="6"/>
  <c r="AN139" i="6"/>
  <c r="AN140" i="6"/>
  <c r="AN141" i="6"/>
  <c r="AN142" i="6"/>
  <c r="AN143" i="6"/>
  <c r="AN144" i="6"/>
  <c r="AN145" i="6"/>
  <c r="AN146" i="6"/>
  <c r="AN147" i="6"/>
  <c r="AN148" i="6"/>
  <c r="AN149" i="6"/>
  <c r="AN150" i="6"/>
  <c r="AN151" i="6"/>
  <c r="AN152" i="6"/>
  <c r="AN153" i="6"/>
  <c r="AN154" i="6"/>
  <c r="AN155" i="6"/>
  <c r="AN156" i="6"/>
  <c r="AN157" i="6"/>
  <c r="AN158" i="6"/>
  <c r="AN159" i="6"/>
  <c r="AN160" i="6"/>
  <c r="AN161" i="6"/>
  <c r="AN162" i="6"/>
  <c r="AN163" i="6"/>
  <c r="AN164" i="6"/>
  <c r="AN165" i="6"/>
  <c r="AN166" i="6"/>
  <c r="AN167" i="6"/>
  <c r="AN168" i="6"/>
  <c r="AN169" i="6"/>
  <c r="AN170" i="6"/>
  <c r="AN171" i="6"/>
  <c r="AN172" i="6"/>
  <c r="AN173" i="6"/>
  <c r="AN174" i="6"/>
  <c r="AN175" i="6"/>
  <c r="AN176" i="6"/>
  <c r="AN177" i="6"/>
  <c r="AN178" i="6"/>
  <c r="AN179" i="6"/>
  <c r="AN180" i="6"/>
  <c r="AN181" i="6"/>
  <c r="AN182" i="6"/>
  <c r="AN183" i="6"/>
  <c r="AN184" i="6"/>
  <c r="AN185" i="6"/>
  <c r="AN186" i="6"/>
  <c r="AN187" i="6"/>
  <c r="AN188" i="6"/>
  <c r="AN189" i="6"/>
  <c r="AN190" i="6"/>
  <c r="AN191" i="6"/>
  <c r="AN192" i="6"/>
  <c r="AN193" i="6"/>
  <c r="AN194" i="6"/>
  <c r="AN195" i="6"/>
  <c r="AN196" i="6"/>
  <c r="AN197" i="6"/>
  <c r="AN198" i="6"/>
  <c r="AN199" i="6"/>
  <c r="AN200" i="6"/>
  <c r="AN201" i="6"/>
  <c r="AN202" i="6"/>
  <c r="AN203" i="6"/>
  <c r="AN204" i="6"/>
  <c r="AN205" i="6"/>
  <c r="AN206" i="6"/>
  <c r="AN207" i="6"/>
  <c r="AN208" i="6"/>
  <c r="AN209" i="6"/>
  <c r="AN210" i="6"/>
  <c r="AN211" i="6"/>
  <c r="AN212" i="6"/>
  <c r="AN213" i="6"/>
  <c r="AN214" i="6"/>
  <c r="AN215" i="6"/>
  <c r="AN216" i="6"/>
  <c r="AN217" i="6"/>
  <c r="AN218" i="6"/>
  <c r="AN219" i="6"/>
  <c r="AN220" i="6"/>
  <c r="AN221" i="6"/>
  <c r="AN222" i="6"/>
  <c r="AN223" i="6"/>
  <c r="AN224" i="6"/>
  <c r="AN225" i="6"/>
  <c r="AN226" i="6"/>
  <c r="AN227" i="6"/>
  <c r="AN228" i="6"/>
  <c r="AN229" i="6"/>
  <c r="AN230" i="6"/>
  <c r="AN231" i="6"/>
  <c r="AN232" i="6"/>
  <c r="AN233" i="6"/>
  <c r="AN234" i="6"/>
  <c r="AN235" i="6"/>
  <c r="AN236" i="6"/>
  <c r="AN237" i="6"/>
  <c r="AN238" i="6"/>
  <c r="AN239" i="6"/>
  <c r="AN240" i="6"/>
  <c r="AN241" i="6"/>
  <c r="AN242" i="6"/>
  <c r="AN243" i="6"/>
  <c r="AN244" i="6"/>
  <c r="AN245" i="6"/>
  <c r="AN246" i="6"/>
  <c r="AN247" i="6"/>
  <c r="AN248" i="6"/>
  <c r="AN249" i="6"/>
  <c r="AN250" i="6"/>
  <c r="AN251" i="6"/>
  <c r="AN252" i="6"/>
  <c r="AN253" i="6"/>
  <c r="AN254" i="6"/>
  <c r="AN255" i="6"/>
  <c r="AN256" i="6"/>
  <c r="AN257" i="6"/>
  <c r="AN258" i="6"/>
  <c r="AN259" i="6"/>
  <c r="AN260" i="6"/>
  <c r="AN261" i="6"/>
  <c r="AN262" i="6"/>
  <c r="AN263" i="6"/>
  <c r="AN264" i="6"/>
  <c r="AN265" i="6"/>
  <c r="AN266" i="6"/>
  <c r="AN267" i="6"/>
  <c r="AN268" i="6"/>
  <c r="AN269" i="6"/>
  <c r="AN270" i="6"/>
  <c r="AN271" i="6"/>
  <c r="AN272" i="6"/>
  <c r="AN273" i="6"/>
  <c r="AN274" i="6"/>
  <c r="AN275" i="6"/>
  <c r="AN276" i="6"/>
  <c r="AN277" i="6"/>
  <c r="AN278" i="6"/>
  <c r="AN279" i="6"/>
  <c r="AN280" i="6"/>
  <c r="AN281" i="6"/>
  <c r="AN282" i="6"/>
  <c r="AN283" i="6"/>
  <c r="AN284" i="6"/>
  <c r="AN285" i="6"/>
  <c r="AN286" i="6"/>
  <c r="AN287" i="6"/>
  <c r="AN288" i="6"/>
  <c r="AN289" i="6"/>
  <c r="AN290" i="6"/>
  <c r="AN291" i="6"/>
  <c r="AN292" i="6"/>
  <c r="AN293" i="6"/>
  <c r="AN294" i="6"/>
  <c r="AN295" i="6"/>
  <c r="AN296" i="6"/>
  <c r="AN297" i="6"/>
  <c r="AN298" i="6"/>
  <c r="AN299" i="6"/>
  <c r="AN300" i="6"/>
  <c r="AN301" i="6"/>
  <c r="AN302" i="6"/>
  <c r="AN303" i="6"/>
  <c r="AN304" i="6"/>
  <c r="AN305" i="6"/>
  <c r="AN306" i="6"/>
  <c r="AN307" i="6"/>
  <c r="AN308" i="6"/>
  <c r="AN309" i="6"/>
  <c r="AN310" i="6"/>
  <c r="AN311" i="6"/>
  <c r="AN312" i="6"/>
  <c r="AN313" i="6"/>
  <c r="AN314" i="6"/>
  <c r="AN315" i="6"/>
  <c r="AN316" i="6"/>
  <c r="AN317" i="6"/>
  <c r="AN318" i="6"/>
  <c r="AN319" i="6"/>
  <c r="AN320" i="6"/>
  <c r="AN321" i="6"/>
  <c r="AN322" i="6"/>
  <c r="AN323" i="6"/>
  <c r="AN324" i="6"/>
  <c r="AN325" i="6"/>
  <c r="AN326" i="6"/>
  <c r="AN327" i="6"/>
  <c r="AN328" i="6"/>
  <c r="AN329" i="6"/>
  <c r="AN330" i="6"/>
  <c r="AN331" i="6"/>
  <c r="AN332" i="6"/>
  <c r="AN333" i="6"/>
  <c r="AN334" i="6"/>
  <c r="AN335" i="6"/>
  <c r="AN336" i="6"/>
  <c r="AN337" i="6"/>
  <c r="AN338" i="6"/>
  <c r="AN339" i="6"/>
  <c r="AN340" i="6"/>
  <c r="AN341" i="6"/>
  <c r="AN342" i="6"/>
  <c r="AN343" i="6"/>
  <c r="AN344" i="6"/>
  <c r="AN345" i="6"/>
  <c r="AN346" i="6"/>
  <c r="AN347" i="6"/>
  <c r="AN348" i="6"/>
  <c r="AN349" i="6"/>
  <c r="AN350" i="6"/>
  <c r="AN351" i="6"/>
  <c r="AN352" i="6"/>
  <c r="AN353" i="6"/>
  <c r="AN354" i="6"/>
  <c r="AN355" i="6"/>
  <c r="AN356" i="6"/>
  <c r="AN357" i="6"/>
  <c r="AN358" i="6"/>
  <c r="AN359" i="6"/>
  <c r="AN360" i="6"/>
  <c r="AN361" i="6"/>
  <c r="AN362" i="6"/>
  <c r="AN363" i="6"/>
  <c r="AN364" i="6"/>
  <c r="AN365" i="6"/>
  <c r="AN366" i="6"/>
  <c r="AN367" i="6"/>
  <c r="AN368" i="6"/>
  <c r="AN369" i="6"/>
  <c r="AN370" i="6"/>
  <c r="AN371" i="6"/>
  <c r="AN372" i="6"/>
  <c r="AN373" i="6"/>
  <c r="AN374" i="6"/>
  <c r="AN375" i="6"/>
  <c r="AN376" i="6"/>
  <c r="AN377" i="6"/>
  <c r="AN378" i="6"/>
  <c r="AN379" i="6"/>
  <c r="AN380" i="6"/>
  <c r="AN381" i="6"/>
  <c r="AN382" i="6"/>
  <c r="AN383" i="6"/>
  <c r="AN384" i="6"/>
  <c r="AN385" i="6"/>
  <c r="AN386" i="6"/>
  <c r="AN387" i="6"/>
  <c r="AN388" i="6"/>
  <c r="AN389" i="6"/>
  <c r="AN390" i="6"/>
  <c r="AN391" i="6"/>
  <c r="AN392" i="6"/>
  <c r="AN393" i="6"/>
  <c r="AN394" i="6"/>
  <c r="AN395" i="6"/>
  <c r="AN396" i="6"/>
  <c r="AN397" i="6"/>
  <c r="AN398" i="6"/>
  <c r="AN399" i="6"/>
  <c r="AN400" i="6"/>
  <c r="AN401" i="6"/>
  <c r="AN402" i="6"/>
  <c r="AN403" i="6"/>
  <c r="AN404" i="6"/>
  <c r="AN405" i="6"/>
  <c r="AN406" i="6"/>
  <c r="AN407" i="6"/>
  <c r="AN408" i="6"/>
  <c r="AN409" i="6"/>
  <c r="AN410" i="6"/>
  <c r="AN411" i="6"/>
  <c r="AN412" i="6"/>
  <c r="AN413" i="6"/>
  <c r="AN414" i="6"/>
  <c r="AN415" i="6"/>
  <c r="AN416" i="6"/>
  <c r="AN417" i="6"/>
  <c r="AN418" i="6"/>
  <c r="AN419" i="6"/>
  <c r="AN420" i="6"/>
  <c r="AN421" i="6"/>
  <c r="AN422" i="6"/>
  <c r="AN423" i="6"/>
  <c r="AN424" i="6"/>
  <c r="AN425" i="6"/>
  <c r="AN426" i="6"/>
  <c r="AN427" i="6"/>
  <c r="AN428" i="6"/>
  <c r="AN429" i="6"/>
  <c r="AN430" i="6"/>
  <c r="AN431" i="6"/>
  <c r="AN432" i="6"/>
  <c r="AN433" i="6"/>
  <c r="AN434" i="6"/>
  <c r="AN435" i="6"/>
  <c r="AN436" i="6"/>
  <c r="AN437" i="6"/>
  <c r="AN438" i="6"/>
  <c r="AN439" i="6"/>
  <c r="AN440" i="6"/>
  <c r="AN441" i="6"/>
  <c r="AN442" i="6"/>
  <c r="AN443" i="6"/>
  <c r="AN444" i="6"/>
  <c r="AN445" i="6"/>
  <c r="AN446" i="6"/>
  <c r="AN447" i="6"/>
  <c r="AN448" i="6"/>
  <c r="AN449" i="6"/>
  <c r="AN450" i="6"/>
  <c r="AN451" i="6"/>
  <c r="AN452" i="6"/>
  <c r="AN453" i="6"/>
  <c r="AN454" i="6"/>
  <c r="AN455" i="6"/>
  <c r="AN456" i="6"/>
  <c r="AN457" i="6"/>
  <c r="AN458" i="6"/>
  <c r="AN459" i="6"/>
  <c r="AN460" i="6"/>
  <c r="AN461" i="6"/>
  <c r="AN462" i="6"/>
  <c r="AN463" i="6"/>
  <c r="AN464" i="6"/>
  <c r="AN465" i="6"/>
  <c r="AN466" i="6"/>
  <c r="AN467" i="6"/>
  <c r="AN468" i="6"/>
  <c r="AN469" i="6"/>
  <c r="AN470" i="6"/>
  <c r="AN471" i="6"/>
  <c r="AN472" i="6"/>
  <c r="AN473" i="6"/>
  <c r="AN474" i="6"/>
  <c r="AN475" i="6"/>
  <c r="AN476" i="6"/>
  <c r="AN477" i="6"/>
  <c r="AN478" i="6"/>
  <c r="AN479" i="6"/>
  <c r="AN480" i="6"/>
  <c r="AN481" i="6"/>
  <c r="AN482" i="6"/>
  <c r="AN483" i="6"/>
  <c r="AN484" i="6"/>
  <c r="AN485" i="6"/>
  <c r="AN486" i="6"/>
  <c r="AN487" i="6"/>
  <c r="AN488" i="6"/>
  <c r="AN489" i="6"/>
  <c r="AN490" i="6"/>
  <c r="AN491" i="6"/>
  <c r="AN492" i="6"/>
  <c r="AN493" i="6"/>
  <c r="AN494" i="6"/>
  <c r="AN495" i="6"/>
  <c r="AN496" i="6"/>
  <c r="AN497" i="6"/>
  <c r="AN498" i="6"/>
  <c r="AN499" i="6"/>
  <c r="AN500" i="6"/>
  <c r="AN501" i="6"/>
  <c r="AN502" i="6"/>
  <c r="AN503" i="6"/>
  <c r="AN504" i="6"/>
  <c r="AN505" i="6"/>
  <c r="AN506" i="6"/>
  <c r="AN507" i="6"/>
  <c r="AN508" i="6"/>
  <c r="AN509" i="6"/>
  <c r="AN510" i="6"/>
  <c r="AN511" i="6"/>
  <c r="AN512" i="6"/>
  <c r="AN513" i="6"/>
  <c r="AN514" i="6"/>
  <c r="AN515" i="6"/>
  <c r="AN516" i="6"/>
  <c r="AN517" i="6"/>
  <c r="AN518" i="6"/>
  <c r="AN519" i="6"/>
  <c r="AN520" i="6"/>
  <c r="AN521" i="6"/>
  <c r="AN522" i="6"/>
  <c r="AN523" i="6"/>
  <c r="AN524" i="6"/>
  <c r="AN525" i="6"/>
  <c r="AN526" i="6"/>
  <c r="AN27" i="6"/>
  <c r="AP526" i="6"/>
  <c r="AO526" i="6"/>
  <c r="AL526" i="6"/>
  <c r="AK526" i="6"/>
  <c r="AJ526" i="6"/>
  <c r="AI526" i="6"/>
  <c r="AH526" i="6"/>
  <c r="AG526" i="6"/>
  <c r="AF526" i="6"/>
  <c r="N526" i="6"/>
  <c r="O526" i="6" s="1"/>
  <c r="AP525" i="6"/>
  <c r="AO525" i="6"/>
  <c r="AL525" i="6"/>
  <c r="AK525" i="6"/>
  <c r="AJ525" i="6"/>
  <c r="AI525" i="6"/>
  <c r="AH525" i="6"/>
  <c r="AG525" i="6"/>
  <c r="AF525" i="6"/>
  <c r="N525" i="6"/>
  <c r="O525" i="6" s="1"/>
  <c r="AP524" i="6"/>
  <c r="AO524" i="6"/>
  <c r="AL524" i="6"/>
  <c r="AK524" i="6"/>
  <c r="AJ524" i="6"/>
  <c r="AI524" i="6"/>
  <c r="AH524" i="6"/>
  <c r="AG524" i="6"/>
  <c r="AF524" i="6"/>
  <c r="N524" i="6"/>
  <c r="O524" i="6" s="1"/>
  <c r="AP523" i="6"/>
  <c r="AO523" i="6"/>
  <c r="AL523" i="6"/>
  <c r="AK523" i="6"/>
  <c r="AJ523" i="6"/>
  <c r="AI523" i="6"/>
  <c r="AH523" i="6"/>
  <c r="AG523" i="6"/>
  <c r="AF523" i="6"/>
  <c r="N523" i="6"/>
  <c r="O523" i="6" s="1"/>
  <c r="AP522" i="6"/>
  <c r="AO522" i="6"/>
  <c r="AL522" i="6"/>
  <c r="AK522" i="6"/>
  <c r="AJ522" i="6"/>
  <c r="AI522" i="6"/>
  <c r="AH522" i="6"/>
  <c r="AG522" i="6"/>
  <c r="AF522" i="6"/>
  <c r="N522" i="6"/>
  <c r="O522" i="6" s="1"/>
  <c r="AP521" i="6"/>
  <c r="AO521" i="6"/>
  <c r="AL521" i="6"/>
  <c r="AK521" i="6"/>
  <c r="AJ521" i="6"/>
  <c r="AI521" i="6"/>
  <c r="AH521" i="6"/>
  <c r="AG521" i="6"/>
  <c r="AF521" i="6"/>
  <c r="N521" i="6"/>
  <c r="O521" i="6" s="1"/>
  <c r="AP520" i="6"/>
  <c r="AO520" i="6"/>
  <c r="AL520" i="6"/>
  <c r="AK520" i="6"/>
  <c r="AJ520" i="6"/>
  <c r="AI520" i="6"/>
  <c r="AH520" i="6"/>
  <c r="AG520" i="6"/>
  <c r="AF520" i="6"/>
  <c r="N520" i="6"/>
  <c r="O520" i="6" s="1"/>
  <c r="AP519" i="6"/>
  <c r="AO519" i="6"/>
  <c r="AL519" i="6"/>
  <c r="AK519" i="6"/>
  <c r="AJ519" i="6"/>
  <c r="AI519" i="6"/>
  <c r="AH519" i="6"/>
  <c r="AG519" i="6"/>
  <c r="AF519" i="6"/>
  <c r="N519" i="6"/>
  <c r="O519" i="6" s="1"/>
  <c r="AP518" i="6"/>
  <c r="AO518" i="6"/>
  <c r="AL518" i="6"/>
  <c r="AK518" i="6"/>
  <c r="AJ518" i="6"/>
  <c r="AI518" i="6"/>
  <c r="AH518" i="6"/>
  <c r="AG518" i="6"/>
  <c r="AF518" i="6"/>
  <c r="N518" i="6"/>
  <c r="O518" i="6" s="1"/>
  <c r="AP517" i="6"/>
  <c r="AO517" i="6"/>
  <c r="AL517" i="6"/>
  <c r="AK517" i="6"/>
  <c r="AJ517" i="6"/>
  <c r="AI517" i="6"/>
  <c r="AH517" i="6"/>
  <c r="AG517" i="6"/>
  <c r="AF517" i="6"/>
  <c r="N517" i="6"/>
  <c r="O517" i="6" s="1"/>
  <c r="AP516" i="6"/>
  <c r="AO516" i="6"/>
  <c r="AL516" i="6"/>
  <c r="AK516" i="6"/>
  <c r="AJ516" i="6"/>
  <c r="AI516" i="6"/>
  <c r="AH516" i="6"/>
  <c r="AG516" i="6"/>
  <c r="AF516" i="6"/>
  <c r="N516" i="6"/>
  <c r="O516" i="6" s="1"/>
  <c r="AP515" i="6"/>
  <c r="AO515" i="6"/>
  <c r="AL515" i="6"/>
  <c r="AK515" i="6"/>
  <c r="AJ515" i="6"/>
  <c r="AI515" i="6"/>
  <c r="AH515" i="6"/>
  <c r="AG515" i="6"/>
  <c r="AF515" i="6"/>
  <c r="N515" i="6"/>
  <c r="O515" i="6" s="1"/>
  <c r="AP514" i="6"/>
  <c r="AO514" i="6"/>
  <c r="AL514" i="6"/>
  <c r="AK514" i="6"/>
  <c r="AJ514" i="6"/>
  <c r="AI514" i="6"/>
  <c r="AH514" i="6"/>
  <c r="AG514" i="6"/>
  <c r="AF514" i="6"/>
  <c r="N514" i="6"/>
  <c r="O514" i="6" s="1"/>
  <c r="AP513" i="6"/>
  <c r="AO513" i="6"/>
  <c r="AL513" i="6"/>
  <c r="AK513" i="6"/>
  <c r="AJ513" i="6"/>
  <c r="AI513" i="6"/>
  <c r="AH513" i="6"/>
  <c r="AG513" i="6"/>
  <c r="AF513" i="6"/>
  <c r="N513" i="6"/>
  <c r="O513" i="6" s="1"/>
  <c r="AP512" i="6"/>
  <c r="AO512" i="6"/>
  <c r="AL512" i="6"/>
  <c r="AK512" i="6"/>
  <c r="AJ512" i="6"/>
  <c r="AI512" i="6"/>
  <c r="AH512" i="6"/>
  <c r="AG512" i="6"/>
  <c r="AF512" i="6"/>
  <c r="N512" i="6"/>
  <c r="O512" i="6" s="1"/>
  <c r="AP511" i="6"/>
  <c r="AO511" i="6"/>
  <c r="AL511" i="6"/>
  <c r="AK511" i="6"/>
  <c r="AJ511" i="6"/>
  <c r="AI511" i="6"/>
  <c r="AH511" i="6"/>
  <c r="AG511" i="6"/>
  <c r="AF511" i="6"/>
  <c r="N511" i="6"/>
  <c r="O511" i="6" s="1"/>
  <c r="AP510" i="6"/>
  <c r="AO510" i="6"/>
  <c r="AL510" i="6"/>
  <c r="AK510" i="6"/>
  <c r="AJ510" i="6"/>
  <c r="AI510" i="6"/>
  <c r="AH510" i="6"/>
  <c r="AG510" i="6"/>
  <c r="AF510" i="6"/>
  <c r="N510" i="6"/>
  <c r="O510" i="6" s="1"/>
  <c r="AP509" i="6"/>
  <c r="AO509" i="6"/>
  <c r="AL509" i="6"/>
  <c r="AK509" i="6"/>
  <c r="AJ509" i="6"/>
  <c r="AI509" i="6"/>
  <c r="AH509" i="6"/>
  <c r="AG509" i="6"/>
  <c r="AF509" i="6"/>
  <c r="N509" i="6"/>
  <c r="O509" i="6" s="1"/>
  <c r="AP508" i="6"/>
  <c r="AO508" i="6"/>
  <c r="AL508" i="6"/>
  <c r="AK508" i="6"/>
  <c r="AJ508" i="6"/>
  <c r="AI508" i="6"/>
  <c r="AH508" i="6"/>
  <c r="AG508" i="6"/>
  <c r="AF508" i="6"/>
  <c r="N508" i="6"/>
  <c r="O508" i="6" s="1"/>
  <c r="AP507" i="6"/>
  <c r="AO507" i="6"/>
  <c r="AL507" i="6"/>
  <c r="AK507" i="6"/>
  <c r="AJ507" i="6"/>
  <c r="AI507" i="6"/>
  <c r="AH507" i="6"/>
  <c r="AG507" i="6"/>
  <c r="AF507" i="6"/>
  <c r="N507" i="6"/>
  <c r="O507" i="6" s="1"/>
  <c r="AP506" i="6"/>
  <c r="AO506" i="6"/>
  <c r="AL506" i="6"/>
  <c r="AK506" i="6"/>
  <c r="AJ506" i="6"/>
  <c r="AI506" i="6"/>
  <c r="AH506" i="6"/>
  <c r="AG506" i="6"/>
  <c r="AF506" i="6"/>
  <c r="N506" i="6"/>
  <c r="O506" i="6" s="1"/>
  <c r="AP505" i="6"/>
  <c r="AO505" i="6"/>
  <c r="AL505" i="6"/>
  <c r="AK505" i="6"/>
  <c r="AJ505" i="6"/>
  <c r="AI505" i="6"/>
  <c r="AH505" i="6"/>
  <c r="AG505" i="6"/>
  <c r="AF505" i="6"/>
  <c r="N505" i="6"/>
  <c r="O505" i="6" s="1"/>
  <c r="AP504" i="6"/>
  <c r="AO504" i="6"/>
  <c r="AL504" i="6"/>
  <c r="AK504" i="6"/>
  <c r="AJ504" i="6"/>
  <c r="AI504" i="6"/>
  <c r="AH504" i="6"/>
  <c r="AG504" i="6"/>
  <c r="AF504" i="6"/>
  <c r="N504" i="6"/>
  <c r="O504" i="6" s="1"/>
  <c r="AP503" i="6"/>
  <c r="AO503" i="6"/>
  <c r="AL503" i="6"/>
  <c r="AK503" i="6"/>
  <c r="AJ503" i="6"/>
  <c r="AI503" i="6"/>
  <c r="AH503" i="6"/>
  <c r="AG503" i="6"/>
  <c r="AF503" i="6"/>
  <c r="N503" i="6"/>
  <c r="O503" i="6" s="1"/>
  <c r="AP502" i="6"/>
  <c r="AO502" i="6"/>
  <c r="AL502" i="6"/>
  <c r="AK502" i="6"/>
  <c r="AJ502" i="6"/>
  <c r="AI502" i="6"/>
  <c r="AH502" i="6"/>
  <c r="AG502" i="6"/>
  <c r="AF502" i="6"/>
  <c r="N502" i="6"/>
  <c r="O502" i="6" s="1"/>
  <c r="AP501" i="6"/>
  <c r="AO501" i="6"/>
  <c r="AL501" i="6"/>
  <c r="AK501" i="6"/>
  <c r="AJ501" i="6"/>
  <c r="AI501" i="6"/>
  <c r="AH501" i="6"/>
  <c r="AG501" i="6"/>
  <c r="AF501" i="6"/>
  <c r="N501" i="6"/>
  <c r="O501" i="6" s="1"/>
  <c r="AP500" i="6"/>
  <c r="AO500" i="6"/>
  <c r="AL500" i="6"/>
  <c r="AK500" i="6"/>
  <c r="AJ500" i="6"/>
  <c r="AI500" i="6"/>
  <c r="AH500" i="6"/>
  <c r="AG500" i="6"/>
  <c r="AF500" i="6"/>
  <c r="N500" i="6"/>
  <c r="O500" i="6" s="1"/>
  <c r="AP499" i="6"/>
  <c r="AO499" i="6"/>
  <c r="AL499" i="6"/>
  <c r="AK499" i="6"/>
  <c r="AJ499" i="6"/>
  <c r="AI499" i="6"/>
  <c r="AH499" i="6"/>
  <c r="AG499" i="6"/>
  <c r="AF499" i="6"/>
  <c r="N499" i="6"/>
  <c r="O499" i="6" s="1"/>
  <c r="AP498" i="6"/>
  <c r="AO498" i="6"/>
  <c r="AL498" i="6"/>
  <c r="AK498" i="6"/>
  <c r="AJ498" i="6"/>
  <c r="AI498" i="6"/>
  <c r="AH498" i="6"/>
  <c r="AG498" i="6"/>
  <c r="AF498" i="6"/>
  <c r="N498" i="6"/>
  <c r="O498" i="6" s="1"/>
  <c r="AP497" i="6"/>
  <c r="AO497" i="6"/>
  <c r="AL497" i="6"/>
  <c r="AK497" i="6"/>
  <c r="AJ497" i="6"/>
  <c r="AI497" i="6"/>
  <c r="AH497" i="6"/>
  <c r="AG497" i="6"/>
  <c r="AF497" i="6"/>
  <c r="N497" i="6"/>
  <c r="O497" i="6" s="1"/>
  <c r="AP496" i="6"/>
  <c r="AO496" i="6"/>
  <c r="AL496" i="6"/>
  <c r="AK496" i="6"/>
  <c r="AJ496" i="6"/>
  <c r="AI496" i="6"/>
  <c r="AH496" i="6"/>
  <c r="AG496" i="6"/>
  <c r="AF496" i="6"/>
  <c r="N496" i="6"/>
  <c r="O496" i="6" s="1"/>
  <c r="AP495" i="6"/>
  <c r="AO495" i="6"/>
  <c r="AL495" i="6"/>
  <c r="AK495" i="6"/>
  <c r="AJ495" i="6"/>
  <c r="AI495" i="6"/>
  <c r="AH495" i="6"/>
  <c r="AG495" i="6"/>
  <c r="AF495" i="6"/>
  <c r="N495" i="6"/>
  <c r="O495" i="6" s="1"/>
  <c r="AP494" i="6"/>
  <c r="AO494" i="6"/>
  <c r="AL494" i="6"/>
  <c r="AK494" i="6"/>
  <c r="AJ494" i="6"/>
  <c r="AI494" i="6"/>
  <c r="AH494" i="6"/>
  <c r="AG494" i="6"/>
  <c r="AF494" i="6"/>
  <c r="N494" i="6"/>
  <c r="O494" i="6" s="1"/>
  <c r="AP493" i="6"/>
  <c r="AO493" i="6"/>
  <c r="AL493" i="6"/>
  <c r="AK493" i="6"/>
  <c r="AJ493" i="6"/>
  <c r="AI493" i="6"/>
  <c r="AH493" i="6"/>
  <c r="AG493" i="6"/>
  <c r="AF493" i="6"/>
  <c r="N493" i="6"/>
  <c r="O493" i="6" s="1"/>
  <c r="AP492" i="6"/>
  <c r="AO492" i="6"/>
  <c r="AL492" i="6"/>
  <c r="AK492" i="6"/>
  <c r="AJ492" i="6"/>
  <c r="AI492" i="6"/>
  <c r="AH492" i="6"/>
  <c r="AG492" i="6"/>
  <c r="AF492" i="6"/>
  <c r="N492" i="6"/>
  <c r="O492" i="6" s="1"/>
  <c r="AP491" i="6"/>
  <c r="AO491" i="6"/>
  <c r="AL491" i="6"/>
  <c r="AK491" i="6"/>
  <c r="AJ491" i="6"/>
  <c r="AI491" i="6"/>
  <c r="AH491" i="6"/>
  <c r="AG491" i="6"/>
  <c r="AF491" i="6"/>
  <c r="N491" i="6"/>
  <c r="O491" i="6" s="1"/>
  <c r="AP490" i="6"/>
  <c r="AO490" i="6"/>
  <c r="AL490" i="6"/>
  <c r="AK490" i="6"/>
  <c r="AJ490" i="6"/>
  <c r="AI490" i="6"/>
  <c r="AH490" i="6"/>
  <c r="AG490" i="6"/>
  <c r="AF490" i="6"/>
  <c r="N490" i="6"/>
  <c r="O490" i="6" s="1"/>
  <c r="AP489" i="6"/>
  <c r="AO489" i="6"/>
  <c r="AL489" i="6"/>
  <c r="AK489" i="6"/>
  <c r="AJ489" i="6"/>
  <c r="AI489" i="6"/>
  <c r="AH489" i="6"/>
  <c r="AG489" i="6"/>
  <c r="AF489" i="6"/>
  <c r="N489" i="6"/>
  <c r="O489" i="6" s="1"/>
  <c r="AP488" i="6"/>
  <c r="AO488" i="6"/>
  <c r="AL488" i="6"/>
  <c r="AK488" i="6"/>
  <c r="AJ488" i="6"/>
  <c r="AI488" i="6"/>
  <c r="AH488" i="6"/>
  <c r="AG488" i="6"/>
  <c r="AF488" i="6"/>
  <c r="N488" i="6"/>
  <c r="O488" i="6" s="1"/>
  <c r="AP487" i="6"/>
  <c r="AO487" i="6"/>
  <c r="AL487" i="6"/>
  <c r="AK487" i="6"/>
  <c r="AJ487" i="6"/>
  <c r="AI487" i="6"/>
  <c r="AH487" i="6"/>
  <c r="AG487" i="6"/>
  <c r="AF487" i="6"/>
  <c r="O487" i="6"/>
  <c r="N487" i="6"/>
  <c r="AP486" i="6"/>
  <c r="AO486" i="6"/>
  <c r="AL486" i="6"/>
  <c r="AK486" i="6"/>
  <c r="AJ486" i="6"/>
  <c r="AI486" i="6"/>
  <c r="AH486" i="6"/>
  <c r="AG486" i="6"/>
  <c r="AF486" i="6"/>
  <c r="N486" i="6"/>
  <c r="O486" i="6" s="1"/>
  <c r="AP485" i="6"/>
  <c r="AO485" i="6"/>
  <c r="AL485" i="6"/>
  <c r="AK485" i="6"/>
  <c r="AJ485" i="6"/>
  <c r="AI485" i="6"/>
  <c r="AH485" i="6"/>
  <c r="AG485" i="6"/>
  <c r="AF485" i="6"/>
  <c r="N485" i="6"/>
  <c r="O485" i="6" s="1"/>
  <c r="AP484" i="6"/>
  <c r="AO484" i="6"/>
  <c r="AL484" i="6"/>
  <c r="AK484" i="6"/>
  <c r="AJ484" i="6"/>
  <c r="AI484" i="6"/>
  <c r="AH484" i="6"/>
  <c r="AG484" i="6"/>
  <c r="AF484" i="6"/>
  <c r="N484" i="6"/>
  <c r="O484" i="6" s="1"/>
  <c r="AP483" i="6"/>
  <c r="AO483" i="6"/>
  <c r="AL483" i="6"/>
  <c r="AK483" i="6"/>
  <c r="AJ483" i="6"/>
  <c r="AI483" i="6"/>
  <c r="AH483" i="6"/>
  <c r="AG483" i="6"/>
  <c r="AF483" i="6"/>
  <c r="N483" i="6"/>
  <c r="O483" i="6" s="1"/>
  <c r="AP482" i="6"/>
  <c r="AO482" i="6"/>
  <c r="AL482" i="6"/>
  <c r="AK482" i="6"/>
  <c r="AJ482" i="6"/>
  <c r="AI482" i="6"/>
  <c r="AH482" i="6"/>
  <c r="AG482" i="6"/>
  <c r="AF482" i="6"/>
  <c r="N482" i="6"/>
  <c r="O482" i="6" s="1"/>
  <c r="AP481" i="6"/>
  <c r="AO481" i="6"/>
  <c r="AL481" i="6"/>
  <c r="AK481" i="6"/>
  <c r="AJ481" i="6"/>
  <c r="AI481" i="6"/>
  <c r="AH481" i="6"/>
  <c r="AG481" i="6"/>
  <c r="AF481" i="6"/>
  <c r="N481" i="6"/>
  <c r="O481" i="6" s="1"/>
  <c r="AP480" i="6"/>
  <c r="AO480" i="6"/>
  <c r="AL480" i="6"/>
  <c r="AK480" i="6"/>
  <c r="AJ480" i="6"/>
  <c r="AI480" i="6"/>
  <c r="AH480" i="6"/>
  <c r="AG480" i="6"/>
  <c r="AF480" i="6"/>
  <c r="N480" i="6"/>
  <c r="O480" i="6" s="1"/>
  <c r="AP479" i="6"/>
  <c r="AO479" i="6"/>
  <c r="AL479" i="6"/>
  <c r="AK479" i="6"/>
  <c r="AJ479" i="6"/>
  <c r="AI479" i="6"/>
  <c r="AH479" i="6"/>
  <c r="AG479" i="6"/>
  <c r="AF479" i="6"/>
  <c r="N479" i="6"/>
  <c r="O479" i="6" s="1"/>
  <c r="AP478" i="6"/>
  <c r="AO478" i="6"/>
  <c r="AL478" i="6"/>
  <c r="AK478" i="6"/>
  <c r="AJ478" i="6"/>
  <c r="AI478" i="6"/>
  <c r="AH478" i="6"/>
  <c r="AG478" i="6"/>
  <c r="AF478" i="6"/>
  <c r="N478" i="6"/>
  <c r="O478" i="6" s="1"/>
  <c r="AP477" i="6"/>
  <c r="AO477" i="6"/>
  <c r="AL477" i="6"/>
  <c r="AK477" i="6"/>
  <c r="AJ477" i="6"/>
  <c r="AI477" i="6"/>
  <c r="AH477" i="6"/>
  <c r="AG477" i="6"/>
  <c r="AF477" i="6"/>
  <c r="N477" i="6"/>
  <c r="O477" i="6" s="1"/>
  <c r="AP476" i="6"/>
  <c r="AO476" i="6"/>
  <c r="AL476" i="6"/>
  <c r="AK476" i="6"/>
  <c r="AJ476" i="6"/>
  <c r="AI476" i="6"/>
  <c r="AH476" i="6"/>
  <c r="AG476" i="6"/>
  <c r="AF476" i="6"/>
  <c r="N476" i="6"/>
  <c r="O476" i="6" s="1"/>
  <c r="AP475" i="6"/>
  <c r="AO475" i="6"/>
  <c r="AL475" i="6"/>
  <c r="AK475" i="6"/>
  <c r="AJ475" i="6"/>
  <c r="AI475" i="6"/>
  <c r="AH475" i="6"/>
  <c r="AG475" i="6"/>
  <c r="AF475" i="6"/>
  <c r="N475" i="6"/>
  <c r="O475" i="6" s="1"/>
  <c r="AP474" i="6"/>
  <c r="AO474" i="6"/>
  <c r="AL474" i="6"/>
  <c r="AK474" i="6"/>
  <c r="AJ474" i="6"/>
  <c r="AI474" i="6"/>
  <c r="AH474" i="6"/>
  <c r="AG474" i="6"/>
  <c r="AF474" i="6"/>
  <c r="N474" i="6"/>
  <c r="O474" i="6" s="1"/>
  <c r="AP473" i="6"/>
  <c r="AO473" i="6"/>
  <c r="AL473" i="6"/>
  <c r="AK473" i="6"/>
  <c r="AJ473" i="6"/>
  <c r="AI473" i="6"/>
  <c r="AH473" i="6"/>
  <c r="AG473" i="6"/>
  <c r="AF473" i="6"/>
  <c r="N473" i="6"/>
  <c r="O473" i="6" s="1"/>
  <c r="AP472" i="6"/>
  <c r="AO472" i="6"/>
  <c r="AL472" i="6"/>
  <c r="AK472" i="6"/>
  <c r="AJ472" i="6"/>
  <c r="AI472" i="6"/>
  <c r="AH472" i="6"/>
  <c r="AG472" i="6"/>
  <c r="AF472" i="6"/>
  <c r="N472" i="6"/>
  <c r="O472" i="6" s="1"/>
  <c r="AP471" i="6"/>
  <c r="AO471" i="6"/>
  <c r="AL471" i="6"/>
  <c r="AK471" i="6"/>
  <c r="AJ471" i="6"/>
  <c r="AI471" i="6"/>
  <c r="AH471" i="6"/>
  <c r="AG471" i="6"/>
  <c r="AF471" i="6"/>
  <c r="N471" i="6"/>
  <c r="O471" i="6" s="1"/>
  <c r="AP470" i="6"/>
  <c r="AO470" i="6"/>
  <c r="AL470" i="6"/>
  <c r="AK470" i="6"/>
  <c r="AJ470" i="6"/>
  <c r="AI470" i="6"/>
  <c r="AH470" i="6"/>
  <c r="AG470" i="6"/>
  <c r="AF470" i="6"/>
  <c r="N470" i="6"/>
  <c r="O470" i="6" s="1"/>
  <c r="AP469" i="6"/>
  <c r="AO469" i="6"/>
  <c r="AL469" i="6"/>
  <c r="AK469" i="6"/>
  <c r="AJ469" i="6"/>
  <c r="AI469" i="6"/>
  <c r="AH469" i="6"/>
  <c r="AG469" i="6"/>
  <c r="AF469" i="6"/>
  <c r="N469" i="6"/>
  <c r="O469" i="6" s="1"/>
  <c r="AP468" i="6"/>
  <c r="AO468" i="6"/>
  <c r="AL468" i="6"/>
  <c r="AK468" i="6"/>
  <c r="AJ468" i="6"/>
  <c r="AI468" i="6"/>
  <c r="AH468" i="6"/>
  <c r="AG468" i="6"/>
  <c r="AF468" i="6"/>
  <c r="N468" i="6"/>
  <c r="O468" i="6" s="1"/>
  <c r="AP467" i="6"/>
  <c r="AO467" i="6"/>
  <c r="AL467" i="6"/>
  <c r="AK467" i="6"/>
  <c r="AJ467" i="6"/>
  <c r="AI467" i="6"/>
  <c r="AH467" i="6"/>
  <c r="AG467" i="6"/>
  <c r="AF467" i="6"/>
  <c r="N467" i="6"/>
  <c r="O467" i="6" s="1"/>
  <c r="AP466" i="6"/>
  <c r="AO466" i="6"/>
  <c r="AL466" i="6"/>
  <c r="AK466" i="6"/>
  <c r="AJ466" i="6"/>
  <c r="AI466" i="6"/>
  <c r="AH466" i="6"/>
  <c r="AG466" i="6"/>
  <c r="AF466" i="6"/>
  <c r="N466" i="6"/>
  <c r="O466" i="6" s="1"/>
  <c r="AP465" i="6"/>
  <c r="AO465" i="6"/>
  <c r="AL465" i="6"/>
  <c r="AK465" i="6"/>
  <c r="AJ465" i="6"/>
  <c r="AI465" i="6"/>
  <c r="AH465" i="6"/>
  <c r="AG465" i="6"/>
  <c r="AF465" i="6"/>
  <c r="N465" i="6"/>
  <c r="O465" i="6" s="1"/>
  <c r="AP464" i="6"/>
  <c r="AO464" i="6"/>
  <c r="AL464" i="6"/>
  <c r="AK464" i="6"/>
  <c r="AJ464" i="6"/>
  <c r="AI464" i="6"/>
  <c r="AH464" i="6"/>
  <c r="AG464" i="6"/>
  <c r="AF464" i="6"/>
  <c r="N464" i="6"/>
  <c r="O464" i="6" s="1"/>
  <c r="AP463" i="6"/>
  <c r="AO463" i="6"/>
  <c r="AL463" i="6"/>
  <c r="AK463" i="6"/>
  <c r="AJ463" i="6"/>
  <c r="AI463" i="6"/>
  <c r="AH463" i="6"/>
  <c r="AG463" i="6"/>
  <c r="AF463" i="6"/>
  <c r="N463" i="6"/>
  <c r="O463" i="6" s="1"/>
  <c r="AP462" i="6"/>
  <c r="AO462" i="6"/>
  <c r="AL462" i="6"/>
  <c r="AK462" i="6"/>
  <c r="AJ462" i="6"/>
  <c r="AI462" i="6"/>
  <c r="AH462" i="6"/>
  <c r="AG462" i="6"/>
  <c r="AF462" i="6"/>
  <c r="N462" i="6"/>
  <c r="O462" i="6" s="1"/>
  <c r="AP461" i="6"/>
  <c r="AO461" i="6"/>
  <c r="AL461" i="6"/>
  <c r="AK461" i="6"/>
  <c r="AJ461" i="6"/>
  <c r="AI461" i="6"/>
  <c r="AH461" i="6"/>
  <c r="AG461" i="6"/>
  <c r="AF461" i="6"/>
  <c r="N461" i="6"/>
  <c r="O461" i="6" s="1"/>
  <c r="AP460" i="6"/>
  <c r="AO460" i="6"/>
  <c r="AL460" i="6"/>
  <c r="AK460" i="6"/>
  <c r="AJ460" i="6"/>
  <c r="AI460" i="6"/>
  <c r="AH460" i="6"/>
  <c r="AG460" i="6"/>
  <c r="AF460" i="6"/>
  <c r="N460" i="6"/>
  <c r="O460" i="6" s="1"/>
  <c r="AP459" i="6"/>
  <c r="AO459" i="6"/>
  <c r="AL459" i="6"/>
  <c r="AK459" i="6"/>
  <c r="AJ459" i="6"/>
  <c r="AI459" i="6"/>
  <c r="AH459" i="6"/>
  <c r="AG459" i="6"/>
  <c r="AF459" i="6"/>
  <c r="N459" i="6"/>
  <c r="O459" i="6" s="1"/>
  <c r="AP458" i="6"/>
  <c r="AO458" i="6"/>
  <c r="AL458" i="6"/>
  <c r="AK458" i="6"/>
  <c r="AJ458" i="6"/>
  <c r="AI458" i="6"/>
  <c r="AH458" i="6"/>
  <c r="AG458" i="6"/>
  <c r="AF458" i="6"/>
  <c r="N458" i="6"/>
  <c r="O458" i="6" s="1"/>
  <c r="AP457" i="6"/>
  <c r="AO457" i="6"/>
  <c r="AL457" i="6"/>
  <c r="AK457" i="6"/>
  <c r="AJ457" i="6"/>
  <c r="AI457" i="6"/>
  <c r="AH457" i="6"/>
  <c r="AG457" i="6"/>
  <c r="AF457" i="6"/>
  <c r="N457" i="6"/>
  <c r="O457" i="6" s="1"/>
  <c r="AP456" i="6"/>
  <c r="AO456" i="6"/>
  <c r="AL456" i="6"/>
  <c r="AK456" i="6"/>
  <c r="AJ456" i="6"/>
  <c r="AI456" i="6"/>
  <c r="AH456" i="6"/>
  <c r="AG456" i="6"/>
  <c r="AF456" i="6"/>
  <c r="N456" i="6"/>
  <c r="O456" i="6" s="1"/>
  <c r="AP455" i="6"/>
  <c r="AO455" i="6"/>
  <c r="AL455" i="6"/>
  <c r="AK455" i="6"/>
  <c r="AJ455" i="6"/>
  <c r="AI455" i="6"/>
  <c r="AH455" i="6"/>
  <c r="AG455" i="6"/>
  <c r="AF455" i="6"/>
  <c r="N455" i="6"/>
  <c r="O455" i="6" s="1"/>
  <c r="AP454" i="6"/>
  <c r="AO454" i="6"/>
  <c r="AL454" i="6"/>
  <c r="AK454" i="6"/>
  <c r="AJ454" i="6"/>
  <c r="AI454" i="6"/>
  <c r="AH454" i="6"/>
  <c r="AG454" i="6"/>
  <c r="AF454" i="6"/>
  <c r="N454" i="6"/>
  <c r="O454" i="6" s="1"/>
  <c r="AP453" i="6"/>
  <c r="AO453" i="6"/>
  <c r="AL453" i="6"/>
  <c r="AK453" i="6"/>
  <c r="AJ453" i="6"/>
  <c r="AI453" i="6"/>
  <c r="AH453" i="6"/>
  <c r="AG453" i="6"/>
  <c r="AF453" i="6"/>
  <c r="N453" i="6"/>
  <c r="O453" i="6" s="1"/>
  <c r="AP452" i="6"/>
  <c r="AO452" i="6"/>
  <c r="AL452" i="6"/>
  <c r="AK452" i="6"/>
  <c r="AJ452" i="6"/>
  <c r="AI452" i="6"/>
  <c r="AH452" i="6"/>
  <c r="AG452" i="6"/>
  <c r="AF452" i="6"/>
  <c r="N452" i="6"/>
  <c r="O452" i="6" s="1"/>
  <c r="AP451" i="6"/>
  <c r="AO451" i="6"/>
  <c r="AL451" i="6"/>
  <c r="AK451" i="6"/>
  <c r="AJ451" i="6"/>
  <c r="AI451" i="6"/>
  <c r="AH451" i="6"/>
  <c r="AG451" i="6"/>
  <c r="AF451" i="6"/>
  <c r="N451" i="6"/>
  <c r="O451" i="6" s="1"/>
  <c r="AP450" i="6"/>
  <c r="AO450" i="6"/>
  <c r="AL450" i="6"/>
  <c r="AK450" i="6"/>
  <c r="AJ450" i="6"/>
  <c r="AI450" i="6"/>
  <c r="AH450" i="6"/>
  <c r="AG450" i="6"/>
  <c r="AF450" i="6"/>
  <c r="N450" i="6"/>
  <c r="O450" i="6" s="1"/>
  <c r="AP449" i="6"/>
  <c r="AO449" i="6"/>
  <c r="AL449" i="6"/>
  <c r="AK449" i="6"/>
  <c r="AJ449" i="6"/>
  <c r="AI449" i="6"/>
  <c r="AH449" i="6"/>
  <c r="AG449" i="6"/>
  <c r="AF449" i="6"/>
  <c r="N449" i="6"/>
  <c r="O449" i="6" s="1"/>
  <c r="AP448" i="6"/>
  <c r="AO448" i="6"/>
  <c r="AL448" i="6"/>
  <c r="AK448" i="6"/>
  <c r="AJ448" i="6"/>
  <c r="AI448" i="6"/>
  <c r="AH448" i="6"/>
  <c r="AG448" i="6"/>
  <c r="AF448" i="6"/>
  <c r="N448" i="6"/>
  <c r="O448" i="6" s="1"/>
  <c r="AP447" i="6"/>
  <c r="AO447" i="6"/>
  <c r="AL447" i="6"/>
  <c r="AK447" i="6"/>
  <c r="AJ447" i="6"/>
  <c r="AI447" i="6"/>
  <c r="AH447" i="6"/>
  <c r="AG447" i="6"/>
  <c r="AF447" i="6"/>
  <c r="N447" i="6"/>
  <c r="O447" i="6" s="1"/>
  <c r="AP446" i="6"/>
  <c r="AO446" i="6"/>
  <c r="AL446" i="6"/>
  <c r="AK446" i="6"/>
  <c r="AJ446" i="6"/>
  <c r="AI446" i="6"/>
  <c r="AH446" i="6"/>
  <c r="AG446" i="6"/>
  <c r="AF446" i="6"/>
  <c r="N446" i="6"/>
  <c r="O446" i="6" s="1"/>
  <c r="AP445" i="6"/>
  <c r="AO445" i="6"/>
  <c r="AL445" i="6"/>
  <c r="AK445" i="6"/>
  <c r="AJ445" i="6"/>
  <c r="AI445" i="6"/>
  <c r="AH445" i="6"/>
  <c r="AG445" i="6"/>
  <c r="AF445" i="6"/>
  <c r="N445" i="6"/>
  <c r="O445" i="6" s="1"/>
  <c r="AP444" i="6"/>
  <c r="AO444" i="6"/>
  <c r="AL444" i="6"/>
  <c r="AK444" i="6"/>
  <c r="AJ444" i="6"/>
  <c r="AI444" i="6"/>
  <c r="AH444" i="6"/>
  <c r="AG444" i="6"/>
  <c r="AF444" i="6"/>
  <c r="N444" i="6"/>
  <c r="O444" i="6" s="1"/>
  <c r="AP443" i="6"/>
  <c r="AO443" i="6"/>
  <c r="AL443" i="6"/>
  <c r="AK443" i="6"/>
  <c r="AJ443" i="6"/>
  <c r="AI443" i="6"/>
  <c r="AH443" i="6"/>
  <c r="AG443" i="6"/>
  <c r="AF443" i="6"/>
  <c r="N443" i="6"/>
  <c r="O443" i="6" s="1"/>
  <c r="AP442" i="6"/>
  <c r="AO442" i="6"/>
  <c r="AL442" i="6"/>
  <c r="AK442" i="6"/>
  <c r="AJ442" i="6"/>
  <c r="AI442" i="6"/>
  <c r="AH442" i="6"/>
  <c r="AG442" i="6"/>
  <c r="AF442" i="6"/>
  <c r="N442" i="6"/>
  <c r="O442" i="6" s="1"/>
  <c r="AP441" i="6"/>
  <c r="AO441" i="6"/>
  <c r="AL441" i="6"/>
  <c r="AK441" i="6"/>
  <c r="AJ441" i="6"/>
  <c r="AI441" i="6"/>
  <c r="AH441" i="6"/>
  <c r="AG441" i="6"/>
  <c r="AF441" i="6"/>
  <c r="N441" i="6"/>
  <c r="O441" i="6" s="1"/>
  <c r="AP440" i="6"/>
  <c r="AO440" i="6"/>
  <c r="AL440" i="6"/>
  <c r="AK440" i="6"/>
  <c r="AJ440" i="6"/>
  <c r="AI440" i="6"/>
  <c r="AH440" i="6"/>
  <c r="AG440" i="6"/>
  <c r="AF440" i="6"/>
  <c r="N440" i="6"/>
  <c r="O440" i="6" s="1"/>
  <c r="AP439" i="6"/>
  <c r="AO439" i="6"/>
  <c r="AL439" i="6"/>
  <c r="AK439" i="6"/>
  <c r="AJ439" i="6"/>
  <c r="AI439" i="6"/>
  <c r="AH439" i="6"/>
  <c r="AG439" i="6"/>
  <c r="AF439" i="6"/>
  <c r="N439" i="6"/>
  <c r="O439" i="6" s="1"/>
  <c r="AP438" i="6"/>
  <c r="AO438" i="6"/>
  <c r="AL438" i="6"/>
  <c r="AK438" i="6"/>
  <c r="AJ438" i="6"/>
  <c r="AI438" i="6"/>
  <c r="AH438" i="6"/>
  <c r="AG438" i="6"/>
  <c r="AF438" i="6"/>
  <c r="N438" i="6"/>
  <c r="O438" i="6" s="1"/>
  <c r="AP437" i="6"/>
  <c r="AO437" i="6"/>
  <c r="AL437" i="6"/>
  <c r="AK437" i="6"/>
  <c r="AJ437" i="6"/>
  <c r="AI437" i="6"/>
  <c r="AH437" i="6"/>
  <c r="AG437" i="6"/>
  <c r="AF437" i="6"/>
  <c r="N437" i="6"/>
  <c r="O437" i="6" s="1"/>
  <c r="AP436" i="6"/>
  <c r="AO436" i="6"/>
  <c r="AL436" i="6"/>
  <c r="AK436" i="6"/>
  <c r="AJ436" i="6"/>
  <c r="AI436" i="6"/>
  <c r="AH436" i="6"/>
  <c r="AG436" i="6"/>
  <c r="AF436" i="6"/>
  <c r="N436" i="6"/>
  <c r="O436" i="6" s="1"/>
  <c r="AP435" i="6"/>
  <c r="AO435" i="6"/>
  <c r="AL435" i="6"/>
  <c r="AK435" i="6"/>
  <c r="AJ435" i="6"/>
  <c r="AI435" i="6"/>
  <c r="AH435" i="6"/>
  <c r="AG435" i="6"/>
  <c r="AF435" i="6"/>
  <c r="N435" i="6"/>
  <c r="O435" i="6" s="1"/>
  <c r="AP434" i="6"/>
  <c r="AO434" i="6"/>
  <c r="AL434" i="6"/>
  <c r="AK434" i="6"/>
  <c r="AJ434" i="6"/>
  <c r="AI434" i="6"/>
  <c r="AH434" i="6"/>
  <c r="AG434" i="6"/>
  <c r="AF434" i="6"/>
  <c r="N434" i="6"/>
  <c r="O434" i="6" s="1"/>
  <c r="AP433" i="6"/>
  <c r="AO433" i="6"/>
  <c r="AL433" i="6"/>
  <c r="AK433" i="6"/>
  <c r="AJ433" i="6"/>
  <c r="AI433" i="6"/>
  <c r="AH433" i="6"/>
  <c r="AG433" i="6"/>
  <c r="AF433" i="6"/>
  <c r="N433" i="6"/>
  <c r="O433" i="6" s="1"/>
  <c r="AP432" i="6"/>
  <c r="AO432" i="6"/>
  <c r="AL432" i="6"/>
  <c r="AK432" i="6"/>
  <c r="AJ432" i="6"/>
  <c r="AI432" i="6"/>
  <c r="AH432" i="6"/>
  <c r="AG432" i="6"/>
  <c r="AF432" i="6"/>
  <c r="N432" i="6"/>
  <c r="O432" i="6" s="1"/>
  <c r="AP431" i="6"/>
  <c r="AO431" i="6"/>
  <c r="AL431" i="6"/>
  <c r="AK431" i="6"/>
  <c r="AJ431" i="6"/>
  <c r="AI431" i="6"/>
  <c r="AH431" i="6"/>
  <c r="AG431" i="6"/>
  <c r="AF431" i="6"/>
  <c r="N431" i="6"/>
  <c r="O431" i="6" s="1"/>
  <c r="AP430" i="6"/>
  <c r="AO430" i="6"/>
  <c r="AL430" i="6"/>
  <c r="AK430" i="6"/>
  <c r="AJ430" i="6"/>
  <c r="AI430" i="6"/>
  <c r="AH430" i="6"/>
  <c r="AG430" i="6"/>
  <c r="AF430" i="6"/>
  <c r="N430" i="6"/>
  <c r="O430" i="6" s="1"/>
  <c r="AP429" i="6"/>
  <c r="AO429" i="6"/>
  <c r="AL429" i="6"/>
  <c r="AK429" i="6"/>
  <c r="AJ429" i="6"/>
  <c r="AI429" i="6"/>
  <c r="AH429" i="6"/>
  <c r="AG429" i="6"/>
  <c r="AF429" i="6"/>
  <c r="N429" i="6"/>
  <c r="O429" i="6" s="1"/>
  <c r="AP428" i="6"/>
  <c r="AO428" i="6"/>
  <c r="AL428" i="6"/>
  <c r="AK428" i="6"/>
  <c r="AJ428" i="6"/>
  <c r="AI428" i="6"/>
  <c r="AH428" i="6"/>
  <c r="AG428" i="6"/>
  <c r="AF428" i="6"/>
  <c r="N428" i="6"/>
  <c r="O428" i="6" s="1"/>
  <c r="AP427" i="6"/>
  <c r="AO427" i="6"/>
  <c r="AL427" i="6"/>
  <c r="AK427" i="6"/>
  <c r="AJ427" i="6"/>
  <c r="AI427" i="6"/>
  <c r="AH427" i="6"/>
  <c r="AG427" i="6"/>
  <c r="AF427" i="6"/>
  <c r="N427" i="6"/>
  <c r="O427" i="6" s="1"/>
  <c r="AP426" i="6"/>
  <c r="AO426" i="6"/>
  <c r="AL426" i="6"/>
  <c r="AK426" i="6"/>
  <c r="AJ426" i="6"/>
  <c r="AI426" i="6"/>
  <c r="AH426" i="6"/>
  <c r="AG426" i="6"/>
  <c r="AF426" i="6"/>
  <c r="N426" i="6"/>
  <c r="O426" i="6" s="1"/>
  <c r="AP425" i="6"/>
  <c r="AO425" i="6"/>
  <c r="AL425" i="6"/>
  <c r="AK425" i="6"/>
  <c r="AJ425" i="6"/>
  <c r="AI425" i="6"/>
  <c r="AH425" i="6"/>
  <c r="AG425" i="6"/>
  <c r="AF425" i="6"/>
  <c r="N425" i="6"/>
  <c r="O425" i="6" s="1"/>
  <c r="AP424" i="6"/>
  <c r="AO424" i="6"/>
  <c r="AL424" i="6"/>
  <c r="AK424" i="6"/>
  <c r="AJ424" i="6"/>
  <c r="AI424" i="6"/>
  <c r="AH424" i="6"/>
  <c r="AG424" i="6"/>
  <c r="AF424" i="6"/>
  <c r="N424" i="6"/>
  <c r="O424" i="6" s="1"/>
  <c r="AP423" i="6"/>
  <c r="AO423" i="6"/>
  <c r="AL423" i="6"/>
  <c r="AK423" i="6"/>
  <c r="AJ423" i="6"/>
  <c r="AI423" i="6"/>
  <c r="AH423" i="6"/>
  <c r="AG423" i="6"/>
  <c r="AF423" i="6"/>
  <c r="N423" i="6"/>
  <c r="O423" i="6" s="1"/>
  <c r="AP422" i="6"/>
  <c r="AO422" i="6"/>
  <c r="AL422" i="6"/>
  <c r="AK422" i="6"/>
  <c r="AJ422" i="6"/>
  <c r="AI422" i="6"/>
  <c r="AH422" i="6"/>
  <c r="AG422" i="6"/>
  <c r="AF422" i="6"/>
  <c r="N422" i="6"/>
  <c r="O422" i="6" s="1"/>
  <c r="AP421" i="6"/>
  <c r="AO421" i="6"/>
  <c r="AL421" i="6"/>
  <c r="AK421" i="6"/>
  <c r="AJ421" i="6"/>
  <c r="AI421" i="6"/>
  <c r="AH421" i="6"/>
  <c r="AG421" i="6"/>
  <c r="AF421" i="6"/>
  <c r="N421" i="6"/>
  <c r="O421" i="6" s="1"/>
  <c r="AP420" i="6"/>
  <c r="AO420" i="6"/>
  <c r="AL420" i="6"/>
  <c r="AK420" i="6"/>
  <c r="AJ420" i="6"/>
  <c r="AI420" i="6"/>
  <c r="AH420" i="6"/>
  <c r="AG420" i="6"/>
  <c r="AF420" i="6"/>
  <c r="N420" i="6"/>
  <c r="O420" i="6" s="1"/>
  <c r="AP419" i="6"/>
  <c r="AO419" i="6"/>
  <c r="AL419" i="6"/>
  <c r="AK419" i="6"/>
  <c r="AJ419" i="6"/>
  <c r="AI419" i="6"/>
  <c r="AH419" i="6"/>
  <c r="AG419" i="6"/>
  <c r="AF419" i="6"/>
  <c r="N419" i="6"/>
  <c r="O419" i="6" s="1"/>
  <c r="AP418" i="6"/>
  <c r="AO418" i="6"/>
  <c r="AL418" i="6"/>
  <c r="AK418" i="6"/>
  <c r="AJ418" i="6"/>
  <c r="AI418" i="6"/>
  <c r="AH418" i="6"/>
  <c r="AG418" i="6"/>
  <c r="AF418" i="6"/>
  <c r="N418" i="6"/>
  <c r="O418" i="6" s="1"/>
  <c r="AP417" i="6"/>
  <c r="AO417" i="6"/>
  <c r="AL417" i="6"/>
  <c r="AK417" i="6"/>
  <c r="AJ417" i="6"/>
  <c r="AI417" i="6"/>
  <c r="AH417" i="6"/>
  <c r="AG417" i="6"/>
  <c r="AF417" i="6"/>
  <c r="N417" i="6"/>
  <c r="O417" i="6" s="1"/>
  <c r="AP416" i="6"/>
  <c r="AO416" i="6"/>
  <c r="AL416" i="6"/>
  <c r="AK416" i="6"/>
  <c r="AJ416" i="6"/>
  <c r="AI416" i="6"/>
  <c r="AH416" i="6"/>
  <c r="AG416" i="6"/>
  <c r="AF416" i="6"/>
  <c r="N416" i="6"/>
  <c r="O416" i="6" s="1"/>
  <c r="AP415" i="6"/>
  <c r="AO415" i="6"/>
  <c r="AL415" i="6"/>
  <c r="AK415" i="6"/>
  <c r="AJ415" i="6"/>
  <c r="AI415" i="6"/>
  <c r="AH415" i="6"/>
  <c r="AG415" i="6"/>
  <c r="AF415" i="6"/>
  <c r="N415" i="6"/>
  <c r="O415" i="6" s="1"/>
  <c r="AP414" i="6"/>
  <c r="AO414" i="6"/>
  <c r="AL414" i="6"/>
  <c r="AK414" i="6"/>
  <c r="AJ414" i="6"/>
  <c r="AI414" i="6"/>
  <c r="AH414" i="6"/>
  <c r="AG414" i="6"/>
  <c r="AF414" i="6"/>
  <c r="N414" i="6"/>
  <c r="O414" i="6" s="1"/>
  <c r="AP413" i="6"/>
  <c r="AO413" i="6"/>
  <c r="AL413" i="6"/>
  <c r="AK413" i="6"/>
  <c r="AJ413" i="6"/>
  <c r="AI413" i="6"/>
  <c r="AH413" i="6"/>
  <c r="AG413" i="6"/>
  <c r="AF413" i="6"/>
  <c r="N413" i="6"/>
  <c r="O413" i="6" s="1"/>
  <c r="AP412" i="6"/>
  <c r="AO412" i="6"/>
  <c r="AL412" i="6"/>
  <c r="AK412" i="6"/>
  <c r="AJ412" i="6"/>
  <c r="AI412" i="6"/>
  <c r="AH412" i="6"/>
  <c r="AG412" i="6"/>
  <c r="AF412" i="6"/>
  <c r="N412" i="6"/>
  <c r="O412" i="6" s="1"/>
  <c r="AP411" i="6"/>
  <c r="AO411" i="6"/>
  <c r="AL411" i="6"/>
  <c r="AK411" i="6"/>
  <c r="AJ411" i="6"/>
  <c r="AI411" i="6"/>
  <c r="AH411" i="6"/>
  <c r="AG411" i="6"/>
  <c r="AF411" i="6"/>
  <c r="N411" i="6"/>
  <c r="O411" i="6" s="1"/>
  <c r="AP410" i="6"/>
  <c r="AO410" i="6"/>
  <c r="AL410" i="6"/>
  <c r="AK410" i="6"/>
  <c r="AJ410" i="6"/>
  <c r="AI410" i="6"/>
  <c r="AH410" i="6"/>
  <c r="AG410" i="6"/>
  <c r="AF410" i="6"/>
  <c r="N410" i="6"/>
  <c r="O410" i="6" s="1"/>
  <c r="AP409" i="6"/>
  <c r="AO409" i="6"/>
  <c r="AL409" i="6"/>
  <c r="AK409" i="6"/>
  <c r="AJ409" i="6"/>
  <c r="AI409" i="6"/>
  <c r="AH409" i="6"/>
  <c r="AG409" i="6"/>
  <c r="AF409" i="6"/>
  <c r="N409" i="6"/>
  <c r="O409" i="6" s="1"/>
  <c r="AP408" i="6"/>
  <c r="AO408" i="6"/>
  <c r="AL408" i="6"/>
  <c r="AK408" i="6"/>
  <c r="AJ408" i="6"/>
  <c r="AI408" i="6"/>
  <c r="AH408" i="6"/>
  <c r="AG408" i="6"/>
  <c r="AF408" i="6"/>
  <c r="N408" i="6"/>
  <c r="O408" i="6" s="1"/>
  <c r="AP407" i="6"/>
  <c r="AO407" i="6"/>
  <c r="AL407" i="6"/>
  <c r="AK407" i="6"/>
  <c r="AJ407" i="6"/>
  <c r="AI407" i="6"/>
  <c r="AH407" i="6"/>
  <c r="AG407" i="6"/>
  <c r="AF407" i="6"/>
  <c r="N407" i="6"/>
  <c r="O407" i="6" s="1"/>
  <c r="AP406" i="6"/>
  <c r="AO406" i="6"/>
  <c r="AL406" i="6"/>
  <c r="AK406" i="6"/>
  <c r="AJ406" i="6"/>
  <c r="AI406" i="6"/>
  <c r="AH406" i="6"/>
  <c r="AG406" i="6"/>
  <c r="AF406" i="6"/>
  <c r="N406" i="6"/>
  <c r="O406" i="6" s="1"/>
  <c r="AP405" i="6"/>
  <c r="AO405" i="6"/>
  <c r="AL405" i="6"/>
  <c r="AK405" i="6"/>
  <c r="AJ405" i="6"/>
  <c r="AI405" i="6"/>
  <c r="AH405" i="6"/>
  <c r="AG405" i="6"/>
  <c r="AF405" i="6"/>
  <c r="N405" i="6"/>
  <c r="O405" i="6" s="1"/>
  <c r="AP404" i="6"/>
  <c r="AO404" i="6"/>
  <c r="AL404" i="6"/>
  <c r="AK404" i="6"/>
  <c r="AJ404" i="6"/>
  <c r="AI404" i="6"/>
  <c r="AH404" i="6"/>
  <c r="AG404" i="6"/>
  <c r="AF404" i="6"/>
  <c r="N404" i="6"/>
  <c r="O404" i="6" s="1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65" i="2"/>
  <c r="AY66" i="2"/>
  <c r="AY67" i="2"/>
  <c r="AY68" i="2"/>
  <c r="AY69" i="2"/>
  <c r="AY70" i="2"/>
  <c r="AY71" i="2"/>
  <c r="AY72" i="2"/>
  <c r="AY73" i="2"/>
  <c r="AY74" i="2"/>
  <c r="AY75" i="2"/>
  <c r="AY76" i="2"/>
  <c r="AY77" i="2"/>
  <c r="AY78" i="2"/>
  <c r="AY79" i="2"/>
  <c r="AY80" i="2"/>
  <c r="AY81" i="2"/>
  <c r="AY82" i="2"/>
  <c r="AY83" i="2"/>
  <c r="AY84" i="2"/>
  <c r="AY85" i="2"/>
  <c r="AY86" i="2"/>
  <c r="AY87" i="2"/>
  <c r="AY88" i="2"/>
  <c r="AY89" i="2"/>
  <c r="AY90" i="2"/>
  <c r="AY91" i="2"/>
  <c r="AY92" i="2"/>
  <c r="AY93" i="2"/>
  <c r="AY94" i="2"/>
  <c r="AY95" i="2"/>
  <c r="AY96" i="2"/>
  <c r="AY97" i="2"/>
  <c r="AY98" i="2"/>
  <c r="AY99" i="2"/>
  <c r="AY100" i="2"/>
  <c r="AY101" i="2"/>
  <c r="AY102" i="2"/>
  <c r="AY103" i="2"/>
  <c r="AY104" i="2"/>
  <c r="AY105" i="2"/>
  <c r="AY106" i="2"/>
  <c r="AY107" i="2"/>
  <c r="AY108" i="2"/>
  <c r="AY109" i="2"/>
  <c r="AY110" i="2"/>
  <c r="AY111" i="2"/>
  <c r="AY112" i="2"/>
  <c r="AY113" i="2"/>
  <c r="AY114" i="2"/>
  <c r="AY115" i="2"/>
  <c r="AY116" i="2"/>
  <c r="AY117" i="2"/>
  <c r="AY118" i="2"/>
  <c r="AY119" i="2"/>
  <c r="AY120" i="2"/>
  <c r="AY121" i="2"/>
  <c r="AY122" i="2"/>
  <c r="AY123" i="2"/>
  <c r="AY124" i="2"/>
  <c r="AY125" i="2"/>
  <c r="AY126" i="2"/>
  <c r="AY127" i="2"/>
  <c r="AY128" i="2"/>
  <c r="AY129" i="2"/>
  <c r="AY130" i="2"/>
  <c r="AY131" i="2"/>
  <c r="AY132" i="2"/>
  <c r="AY133" i="2"/>
  <c r="AY134" i="2"/>
  <c r="AY135" i="2"/>
  <c r="AY136" i="2"/>
  <c r="AY137" i="2"/>
  <c r="AY138" i="2"/>
  <c r="AY139" i="2"/>
  <c r="AY140" i="2"/>
  <c r="AY141" i="2"/>
  <c r="AY142" i="2"/>
  <c r="AY143" i="2"/>
  <c r="AY144" i="2"/>
  <c r="AY145" i="2"/>
  <c r="AY146" i="2"/>
  <c r="AY147" i="2"/>
  <c r="AY148" i="2"/>
  <c r="AY149" i="2"/>
  <c r="AY150" i="2"/>
  <c r="AY151" i="2"/>
  <c r="AY152" i="2"/>
  <c r="AY153" i="2"/>
  <c r="AY154" i="2"/>
  <c r="AY155" i="2"/>
  <c r="AY156" i="2"/>
  <c r="AY157" i="2"/>
  <c r="AY158" i="2"/>
  <c r="AY159" i="2"/>
  <c r="AY160" i="2"/>
  <c r="AY161" i="2"/>
  <c r="AY162" i="2"/>
  <c r="AY163" i="2"/>
  <c r="AY164" i="2"/>
  <c r="AY165" i="2"/>
  <c r="AY166" i="2"/>
  <c r="AY167" i="2"/>
  <c r="AY168" i="2"/>
  <c r="AY169" i="2"/>
  <c r="AY170" i="2"/>
  <c r="AY171" i="2"/>
  <c r="AY172" i="2"/>
  <c r="AY173" i="2"/>
  <c r="AY174" i="2"/>
  <c r="AY175" i="2"/>
  <c r="AY176" i="2"/>
  <c r="AY177" i="2"/>
  <c r="AY178" i="2"/>
  <c r="AY179" i="2"/>
  <c r="AY180" i="2"/>
  <c r="AY181" i="2"/>
  <c r="AY182" i="2"/>
  <c r="AY183" i="2"/>
  <c r="AY184" i="2"/>
  <c r="AY185" i="2"/>
  <c r="AY186" i="2"/>
  <c r="AY187" i="2"/>
  <c r="AY188" i="2"/>
  <c r="AY189" i="2"/>
  <c r="AY190" i="2"/>
  <c r="AY191" i="2"/>
  <c r="AY192" i="2"/>
  <c r="AY193" i="2"/>
  <c r="AY194" i="2"/>
  <c r="AY195" i="2"/>
  <c r="AY196" i="2"/>
  <c r="AY197" i="2"/>
  <c r="AY198" i="2"/>
  <c r="AY199" i="2"/>
  <c r="AY200" i="2"/>
  <c r="AY201" i="2"/>
  <c r="AY202" i="2"/>
  <c r="AY203" i="2"/>
  <c r="AY204" i="2"/>
  <c r="AY205" i="2"/>
  <c r="AY206" i="2"/>
  <c r="AY207" i="2"/>
  <c r="AY208" i="2"/>
  <c r="AY209" i="2"/>
  <c r="AY210" i="2"/>
  <c r="AY211" i="2"/>
  <c r="AY212" i="2"/>
  <c r="AY213" i="2"/>
  <c r="AY214" i="2"/>
  <c r="AY215" i="2"/>
  <c r="AY216" i="2"/>
  <c r="AY217" i="2"/>
  <c r="AY218" i="2"/>
  <c r="AY219" i="2"/>
  <c r="AY220" i="2"/>
  <c r="AY221" i="2"/>
  <c r="AY222" i="2"/>
  <c r="AY223" i="2"/>
  <c r="AY224" i="2"/>
  <c r="AY225" i="2"/>
  <c r="AY226" i="2"/>
  <c r="AY227" i="2"/>
  <c r="AY228" i="2"/>
  <c r="AY229" i="2"/>
  <c r="AY230" i="2"/>
  <c r="AY231" i="2"/>
  <c r="AY232" i="2"/>
  <c r="AY233" i="2"/>
  <c r="AY234" i="2"/>
  <c r="AY235" i="2"/>
  <c r="AY236" i="2"/>
  <c r="AY237" i="2"/>
  <c r="AY238" i="2"/>
  <c r="AY239" i="2"/>
  <c r="AY240" i="2"/>
  <c r="AY241" i="2"/>
  <c r="AY242" i="2"/>
  <c r="AY243" i="2"/>
  <c r="AY244" i="2"/>
  <c r="AY245" i="2"/>
  <c r="AY246" i="2"/>
  <c r="AY247" i="2"/>
  <c r="AY248" i="2"/>
  <c r="AY249" i="2"/>
  <c r="AY250" i="2"/>
  <c r="AY251" i="2"/>
  <c r="AY252" i="2"/>
  <c r="AY253" i="2"/>
  <c r="AY254" i="2"/>
  <c r="AY255" i="2"/>
  <c r="AY256" i="2"/>
  <c r="AY257" i="2"/>
  <c r="AY258" i="2"/>
  <c r="AY259" i="2"/>
  <c r="AY260" i="2"/>
  <c r="AY261" i="2"/>
  <c r="AY262" i="2"/>
  <c r="AY263" i="2"/>
  <c r="AY264" i="2"/>
  <c r="AY265" i="2"/>
  <c r="AY266" i="2"/>
  <c r="AY267" i="2"/>
  <c r="AY268" i="2"/>
  <c r="AY269" i="2"/>
  <c r="AY270" i="2"/>
  <c r="AY271" i="2"/>
  <c r="AY272" i="2"/>
  <c r="AY273" i="2"/>
  <c r="AY274" i="2"/>
  <c r="AY275" i="2"/>
  <c r="AY276" i="2"/>
  <c r="AY277" i="2"/>
  <c r="AY278" i="2"/>
  <c r="AY279" i="2"/>
  <c r="AY280" i="2"/>
  <c r="AY281" i="2"/>
  <c r="AY282" i="2"/>
  <c r="AY283" i="2"/>
  <c r="AY284" i="2"/>
  <c r="AY285" i="2"/>
  <c r="AY286" i="2"/>
  <c r="AY287" i="2"/>
  <c r="AY288" i="2"/>
  <c r="AY289" i="2"/>
  <c r="AY290" i="2"/>
  <c r="AY291" i="2"/>
  <c r="AY292" i="2"/>
  <c r="AY293" i="2"/>
  <c r="AY294" i="2"/>
  <c r="AY295" i="2"/>
  <c r="AY296" i="2"/>
  <c r="AY297" i="2"/>
  <c r="AY298" i="2"/>
  <c r="AY299" i="2"/>
  <c r="AY300" i="2"/>
  <c r="AY301" i="2"/>
  <c r="AY302" i="2"/>
  <c r="AY303" i="2"/>
  <c r="AY304" i="2"/>
  <c r="AY305" i="2"/>
  <c r="AY306" i="2"/>
  <c r="AY307" i="2"/>
  <c r="AY308" i="2"/>
  <c r="AY309" i="2"/>
  <c r="AY310" i="2"/>
  <c r="AY311" i="2"/>
  <c r="AY312" i="2"/>
  <c r="AY313" i="2"/>
  <c r="AY314" i="2"/>
  <c r="AY315" i="2"/>
  <c r="AY316" i="2"/>
  <c r="AY317" i="2"/>
  <c r="AY318" i="2"/>
  <c r="AY319" i="2"/>
  <c r="AY320" i="2"/>
  <c r="AY321" i="2"/>
  <c r="AY322" i="2"/>
  <c r="AY323" i="2"/>
  <c r="AY324" i="2"/>
  <c r="AY325" i="2"/>
  <c r="AY326" i="2"/>
  <c r="AY327" i="2"/>
  <c r="AY328" i="2"/>
  <c r="AY329" i="2"/>
  <c r="AY330" i="2"/>
  <c r="AY331" i="2"/>
  <c r="AY332" i="2"/>
  <c r="AY333" i="2"/>
  <c r="AY334" i="2"/>
  <c r="AY335" i="2"/>
  <c r="AY336" i="2"/>
  <c r="AY337" i="2"/>
  <c r="AY338" i="2"/>
  <c r="AY339" i="2"/>
  <c r="AY340" i="2"/>
  <c r="AY341" i="2"/>
  <c r="AY342" i="2"/>
  <c r="AY343" i="2"/>
  <c r="AY344" i="2"/>
  <c r="AY345" i="2"/>
  <c r="AY346" i="2"/>
  <c r="AY347" i="2"/>
  <c r="AY348" i="2"/>
  <c r="AY349" i="2"/>
  <c r="AY350" i="2"/>
  <c r="AY351" i="2"/>
  <c r="AY352" i="2"/>
  <c r="AY353" i="2"/>
  <c r="AY354" i="2"/>
  <c r="AY355" i="2"/>
  <c r="AY356" i="2"/>
  <c r="AY357" i="2"/>
  <c r="AY358" i="2"/>
  <c r="AY359" i="2"/>
  <c r="AY360" i="2"/>
  <c r="AY361" i="2"/>
  <c r="AY362" i="2"/>
  <c r="AY363" i="2"/>
  <c r="AY364" i="2"/>
  <c r="AY365" i="2"/>
  <c r="AY366" i="2"/>
  <c r="AY367" i="2"/>
  <c r="AY368" i="2"/>
  <c r="AY369" i="2"/>
  <c r="AY370" i="2"/>
  <c r="AY371" i="2"/>
  <c r="AY372" i="2"/>
  <c r="AY373" i="2"/>
  <c r="AY374" i="2"/>
  <c r="AY375" i="2"/>
  <c r="AY376" i="2"/>
  <c r="AY377" i="2"/>
  <c r="AY378" i="2"/>
  <c r="AY379" i="2"/>
  <c r="AY380" i="2"/>
  <c r="AY381" i="2"/>
  <c r="AY382" i="2"/>
  <c r="AY383" i="2"/>
  <c r="AY384" i="2"/>
  <c r="AY385" i="2"/>
  <c r="AY386" i="2"/>
  <c r="AY387" i="2"/>
  <c r="AY388" i="2"/>
  <c r="AY389" i="2"/>
  <c r="AY390" i="2"/>
  <c r="AY391" i="2"/>
  <c r="AY392" i="2"/>
  <c r="AY393" i="2"/>
  <c r="AY394" i="2"/>
  <c r="AY395" i="2"/>
  <c r="AY396" i="2"/>
  <c r="AY397" i="2"/>
  <c r="AY398" i="2"/>
  <c r="AY399" i="2"/>
  <c r="AY400" i="2"/>
  <c r="AY401" i="2"/>
  <c r="AY402" i="2"/>
  <c r="AY403" i="2"/>
  <c r="AY404" i="2"/>
  <c r="AY405" i="2"/>
  <c r="AY406" i="2"/>
  <c r="AY407" i="2"/>
  <c r="AY408" i="2"/>
  <c r="AY409" i="2"/>
  <c r="AY410" i="2"/>
  <c r="AY411" i="2"/>
  <c r="AY412" i="2"/>
  <c r="AY413" i="2"/>
  <c r="AY414" i="2"/>
  <c r="AY415" i="2"/>
  <c r="AY416" i="2"/>
  <c r="AY417" i="2"/>
  <c r="AY418" i="2"/>
  <c r="AY419" i="2"/>
  <c r="AY420" i="2"/>
  <c r="AY421" i="2"/>
  <c r="AY422" i="2"/>
  <c r="AY423" i="2"/>
  <c r="AY424" i="2"/>
  <c r="AY425" i="2"/>
  <c r="AY426" i="2"/>
  <c r="AY427" i="2"/>
  <c r="AY428" i="2"/>
  <c r="AY429" i="2"/>
  <c r="AY430" i="2"/>
  <c r="AY431" i="2"/>
  <c r="AY432" i="2"/>
  <c r="AY433" i="2"/>
  <c r="AY434" i="2"/>
  <c r="AY435" i="2"/>
  <c r="AY436" i="2"/>
  <c r="AY437" i="2"/>
  <c r="AY438" i="2"/>
  <c r="AY439" i="2"/>
  <c r="AY440" i="2"/>
  <c r="AY441" i="2"/>
  <c r="AY442" i="2"/>
  <c r="AY443" i="2"/>
  <c r="AY444" i="2"/>
  <c r="AY445" i="2"/>
  <c r="AY446" i="2"/>
  <c r="AY447" i="2"/>
  <c r="AY448" i="2"/>
  <c r="AY449" i="2"/>
  <c r="AY450" i="2"/>
  <c r="AY451" i="2"/>
  <c r="AY452" i="2"/>
  <c r="AY453" i="2"/>
  <c r="AY454" i="2"/>
  <c r="AY455" i="2"/>
  <c r="AY456" i="2"/>
  <c r="AY457" i="2"/>
  <c r="AY458" i="2"/>
  <c r="AY459" i="2"/>
  <c r="AY460" i="2"/>
  <c r="AY461" i="2"/>
  <c r="AY462" i="2"/>
  <c r="AY463" i="2"/>
  <c r="AY464" i="2"/>
  <c r="AY465" i="2"/>
  <c r="AY466" i="2"/>
  <c r="AY467" i="2"/>
  <c r="AY468" i="2"/>
  <c r="AY469" i="2"/>
  <c r="AY470" i="2"/>
  <c r="AY471" i="2"/>
  <c r="AY472" i="2"/>
  <c r="AY473" i="2"/>
  <c r="AY474" i="2"/>
  <c r="AY475" i="2"/>
  <c r="AY476" i="2"/>
  <c r="AY477" i="2"/>
  <c r="AY478" i="2"/>
  <c r="AY479" i="2"/>
  <c r="AY480" i="2"/>
  <c r="AY481" i="2"/>
  <c r="AY482" i="2"/>
  <c r="AY483" i="2"/>
  <c r="AY484" i="2"/>
  <c r="AY485" i="2"/>
  <c r="AY486" i="2"/>
  <c r="AY487" i="2"/>
  <c r="AY488" i="2"/>
  <c r="AY489" i="2"/>
  <c r="AY490" i="2"/>
  <c r="AY491" i="2"/>
  <c r="AY492" i="2"/>
  <c r="AY493" i="2"/>
  <c r="AY494" i="2"/>
  <c r="AY495" i="2"/>
  <c r="AY496" i="2"/>
  <c r="AY497" i="2"/>
  <c r="AY498" i="2"/>
  <c r="AY499" i="2"/>
  <c r="AY500" i="2"/>
  <c r="AY501" i="2"/>
  <c r="AY502" i="2"/>
  <c r="AY503" i="2"/>
  <c r="AY504" i="2"/>
  <c r="AY505" i="2"/>
  <c r="AY506" i="2"/>
  <c r="AY507" i="2"/>
  <c r="AY508" i="2"/>
  <c r="AY509" i="2"/>
  <c r="AY510" i="2"/>
  <c r="AY511" i="2"/>
  <c r="AY512" i="2"/>
  <c r="AY513" i="2"/>
  <c r="AY514" i="2"/>
  <c r="AY515" i="2"/>
  <c r="AY516" i="2"/>
  <c r="AY517" i="2"/>
  <c r="AY518" i="2"/>
  <c r="AY519" i="2"/>
  <c r="AY520" i="2"/>
  <c r="AY521" i="2"/>
  <c r="AY522" i="2"/>
  <c r="AY523" i="2"/>
  <c r="AY524" i="2"/>
  <c r="AY525" i="2"/>
  <c r="AY526" i="2"/>
  <c r="AY27" i="2"/>
  <c r="BA526" i="2"/>
  <c r="AZ526" i="2"/>
  <c r="AW526" i="2"/>
  <c r="AV526" i="2"/>
  <c r="AU526" i="2"/>
  <c r="AT526" i="2"/>
  <c r="AS526" i="2"/>
  <c r="AR526" i="2"/>
  <c r="AQ526" i="2"/>
  <c r="AH526" i="2"/>
  <c r="AB526" i="2"/>
  <c r="AD526" i="2" s="1"/>
  <c r="Q526" i="2"/>
  <c r="R526" i="2" s="1"/>
  <c r="BA525" i="2"/>
  <c r="AZ525" i="2"/>
  <c r="AW525" i="2"/>
  <c r="AV525" i="2"/>
  <c r="AU525" i="2"/>
  <c r="AT525" i="2"/>
  <c r="AS525" i="2"/>
  <c r="AR525" i="2"/>
  <c r="AQ525" i="2"/>
  <c r="AH525" i="2"/>
  <c r="AB525" i="2"/>
  <c r="AD525" i="2" s="1"/>
  <c r="Q525" i="2"/>
  <c r="R525" i="2" s="1"/>
  <c r="BA524" i="2"/>
  <c r="AZ524" i="2"/>
  <c r="AW524" i="2"/>
  <c r="AV524" i="2"/>
  <c r="AU524" i="2"/>
  <c r="AT524" i="2"/>
  <c r="AS524" i="2"/>
  <c r="AR524" i="2"/>
  <c r="AQ524" i="2"/>
  <c r="AH524" i="2"/>
  <c r="AB524" i="2"/>
  <c r="AD524" i="2" s="1"/>
  <c r="Q524" i="2"/>
  <c r="R524" i="2" s="1"/>
  <c r="BA523" i="2"/>
  <c r="AZ523" i="2"/>
  <c r="AW523" i="2"/>
  <c r="AV523" i="2"/>
  <c r="AU523" i="2"/>
  <c r="AT523" i="2"/>
  <c r="AS523" i="2"/>
  <c r="AR523" i="2"/>
  <c r="AQ523" i="2"/>
  <c r="Q523" i="2"/>
  <c r="R523" i="2" s="1"/>
  <c r="BA522" i="2"/>
  <c r="AZ522" i="2"/>
  <c r="AW522" i="2"/>
  <c r="AV522" i="2"/>
  <c r="AU522" i="2"/>
  <c r="AT522" i="2"/>
  <c r="AS522" i="2"/>
  <c r="AR522" i="2"/>
  <c r="AQ522" i="2"/>
  <c r="AH522" i="2"/>
  <c r="AB522" i="2"/>
  <c r="AD522" i="2" s="1"/>
  <c r="Q522" i="2"/>
  <c r="R522" i="2" s="1"/>
  <c r="BA521" i="2"/>
  <c r="AZ521" i="2"/>
  <c r="AW521" i="2"/>
  <c r="AV521" i="2"/>
  <c r="AU521" i="2"/>
  <c r="AT521" i="2"/>
  <c r="AS521" i="2"/>
  <c r="AR521" i="2"/>
  <c r="AQ521" i="2"/>
  <c r="AH521" i="2"/>
  <c r="AB521" i="2"/>
  <c r="AD521" i="2" s="1"/>
  <c r="Q521" i="2"/>
  <c r="R521" i="2" s="1"/>
  <c r="BA520" i="2"/>
  <c r="AZ520" i="2"/>
  <c r="AW520" i="2"/>
  <c r="AV520" i="2"/>
  <c r="AU520" i="2"/>
  <c r="AT520" i="2"/>
  <c r="AS520" i="2"/>
  <c r="AR520" i="2"/>
  <c r="AQ520" i="2"/>
  <c r="AH520" i="2"/>
  <c r="AB520" i="2"/>
  <c r="AD520" i="2" s="1"/>
  <c r="Q520" i="2"/>
  <c r="R520" i="2" s="1"/>
  <c r="BA519" i="2"/>
  <c r="AZ519" i="2"/>
  <c r="AW519" i="2"/>
  <c r="AV519" i="2"/>
  <c r="AU519" i="2"/>
  <c r="AT519" i="2"/>
  <c r="AS519" i="2"/>
  <c r="AR519" i="2"/>
  <c r="AQ519" i="2"/>
  <c r="AH519" i="2"/>
  <c r="AB519" i="2"/>
  <c r="AD519" i="2" s="1"/>
  <c r="Q519" i="2"/>
  <c r="R519" i="2" s="1"/>
  <c r="BA518" i="2"/>
  <c r="AZ518" i="2"/>
  <c r="AW518" i="2"/>
  <c r="AV518" i="2"/>
  <c r="AU518" i="2"/>
  <c r="AT518" i="2"/>
  <c r="AS518" i="2"/>
  <c r="AR518" i="2"/>
  <c r="AQ518" i="2"/>
  <c r="AH518" i="2"/>
  <c r="AB518" i="2"/>
  <c r="AD518" i="2" s="1"/>
  <c r="Q518" i="2"/>
  <c r="R518" i="2" s="1"/>
  <c r="BA517" i="2"/>
  <c r="AZ517" i="2"/>
  <c r="AW517" i="2"/>
  <c r="AV517" i="2"/>
  <c r="AU517" i="2"/>
  <c r="AT517" i="2"/>
  <c r="AS517" i="2"/>
  <c r="AR517" i="2"/>
  <c r="AQ517" i="2"/>
  <c r="AH517" i="2"/>
  <c r="AB517" i="2"/>
  <c r="AD517" i="2" s="1"/>
  <c r="Q517" i="2"/>
  <c r="R517" i="2" s="1"/>
  <c r="BA516" i="2"/>
  <c r="AZ516" i="2"/>
  <c r="AW516" i="2"/>
  <c r="AV516" i="2"/>
  <c r="AU516" i="2"/>
  <c r="AT516" i="2"/>
  <c r="AS516" i="2"/>
  <c r="AR516" i="2"/>
  <c r="AQ516" i="2"/>
  <c r="AH516" i="2"/>
  <c r="AB516" i="2"/>
  <c r="AD516" i="2" s="1"/>
  <c r="Q516" i="2"/>
  <c r="R516" i="2" s="1"/>
  <c r="BA515" i="2"/>
  <c r="AZ515" i="2"/>
  <c r="AW515" i="2"/>
  <c r="AV515" i="2"/>
  <c r="AU515" i="2"/>
  <c r="AT515" i="2"/>
  <c r="AS515" i="2"/>
  <c r="AR515" i="2"/>
  <c r="AQ515" i="2"/>
  <c r="AH515" i="2"/>
  <c r="AB515" i="2"/>
  <c r="AD515" i="2" s="1"/>
  <c r="Q515" i="2"/>
  <c r="R515" i="2" s="1"/>
  <c r="BA514" i="2"/>
  <c r="AZ514" i="2"/>
  <c r="AW514" i="2"/>
  <c r="AV514" i="2"/>
  <c r="AU514" i="2"/>
  <c r="AT514" i="2"/>
  <c r="AS514" i="2"/>
  <c r="AR514" i="2"/>
  <c r="AQ514" i="2"/>
  <c r="AH514" i="2"/>
  <c r="AB514" i="2"/>
  <c r="AD514" i="2" s="1"/>
  <c r="Q514" i="2"/>
  <c r="R514" i="2" s="1"/>
  <c r="BA513" i="2"/>
  <c r="AZ513" i="2"/>
  <c r="AW513" i="2"/>
  <c r="AV513" i="2"/>
  <c r="AU513" i="2"/>
  <c r="AT513" i="2"/>
  <c r="AS513" i="2"/>
  <c r="AR513" i="2"/>
  <c r="AQ513" i="2"/>
  <c r="AH513" i="2"/>
  <c r="AB513" i="2"/>
  <c r="AD513" i="2" s="1"/>
  <c r="Q513" i="2"/>
  <c r="R513" i="2" s="1"/>
  <c r="BA512" i="2"/>
  <c r="AZ512" i="2"/>
  <c r="AW512" i="2"/>
  <c r="AV512" i="2"/>
  <c r="AU512" i="2"/>
  <c r="AT512" i="2"/>
  <c r="AS512" i="2"/>
  <c r="AR512" i="2"/>
  <c r="AQ512" i="2"/>
  <c r="AH512" i="2"/>
  <c r="AB512" i="2"/>
  <c r="AD512" i="2" s="1"/>
  <c r="Q512" i="2"/>
  <c r="R512" i="2" s="1"/>
  <c r="BA511" i="2"/>
  <c r="AZ511" i="2"/>
  <c r="AW511" i="2"/>
  <c r="AV511" i="2"/>
  <c r="AU511" i="2"/>
  <c r="AT511" i="2"/>
  <c r="AS511" i="2"/>
  <c r="AR511" i="2"/>
  <c r="AQ511" i="2"/>
  <c r="AH511" i="2"/>
  <c r="AB511" i="2"/>
  <c r="AD511" i="2" s="1"/>
  <c r="Q511" i="2"/>
  <c r="R511" i="2" s="1"/>
  <c r="BA510" i="2"/>
  <c r="AZ510" i="2"/>
  <c r="AW510" i="2"/>
  <c r="AV510" i="2"/>
  <c r="AU510" i="2"/>
  <c r="AT510" i="2"/>
  <c r="AS510" i="2"/>
  <c r="AR510" i="2"/>
  <c r="AQ510" i="2"/>
  <c r="AH510" i="2"/>
  <c r="AB510" i="2"/>
  <c r="AD510" i="2" s="1"/>
  <c r="Q510" i="2"/>
  <c r="R510" i="2" s="1"/>
  <c r="BA509" i="2"/>
  <c r="AZ509" i="2"/>
  <c r="AW509" i="2"/>
  <c r="AV509" i="2"/>
  <c r="AU509" i="2"/>
  <c r="AT509" i="2"/>
  <c r="AS509" i="2"/>
  <c r="AR509" i="2"/>
  <c r="AQ509" i="2"/>
  <c r="AH509" i="2"/>
  <c r="AB509" i="2"/>
  <c r="AD509" i="2" s="1"/>
  <c r="Q509" i="2"/>
  <c r="R509" i="2" s="1"/>
  <c r="BA508" i="2"/>
  <c r="AZ508" i="2"/>
  <c r="AW508" i="2"/>
  <c r="AV508" i="2"/>
  <c r="AU508" i="2"/>
  <c r="AT508" i="2"/>
  <c r="AS508" i="2"/>
  <c r="AR508" i="2"/>
  <c r="AQ508" i="2"/>
  <c r="AH508" i="2"/>
  <c r="AB508" i="2"/>
  <c r="AD508" i="2" s="1"/>
  <c r="Q508" i="2"/>
  <c r="R508" i="2" s="1"/>
  <c r="BA507" i="2"/>
  <c r="AZ507" i="2"/>
  <c r="AW507" i="2"/>
  <c r="AV507" i="2"/>
  <c r="AU507" i="2"/>
  <c r="AT507" i="2"/>
  <c r="AS507" i="2"/>
  <c r="AR507" i="2"/>
  <c r="AQ507" i="2"/>
  <c r="AH507" i="2"/>
  <c r="AB507" i="2"/>
  <c r="AD507" i="2" s="1"/>
  <c r="Q507" i="2"/>
  <c r="R507" i="2" s="1"/>
  <c r="BA506" i="2"/>
  <c r="AZ506" i="2"/>
  <c r="AW506" i="2"/>
  <c r="AV506" i="2"/>
  <c r="AU506" i="2"/>
  <c r="AT506" i="2"/>
  <c r="AS506" i="2"/>
  <c r="AR506" i="2"/>
  <c r="AQ506" i="2"/>
  <c r="AH506" i="2"/>
  <c r="AB506" i="2"/>
  <c r="AD506" i="2" s="1"/>
  <c r="Q506" i="2"/>
  <c r="R506" i="2" s="1"/>
  <c r="BA505" i="2"/>
  <c r="AZ505" i="2"/>
  <c r="AW505" i="2"/>
  <c r="AV505" i="2"/>
  <c r="AU505" i="2"/>
  <c r="AT505" i="2"/>
  <c r="AS505" i="2"/>
  <c r="AR505" i="2"/>
  <c r="AQ505" i="2"/>
  <c r="AH505" i="2"/>
  <c r="AB505" i="2"/>
  <c r="AD505" i="2" s="1"/>
  <c r="Q505" i="2"/>
  <c r="R505" i="2" s="1"/>
  <c r="BA504" i="2"/>
  <c r="AZ504" i="2"/>
  <c r="AW504" i="2"/>
  <c r="AV504" i="2"/>
  <c r="AU504" i="2"/>
  <c r="AT504" i="2"/>
  <c r="AS504" i="2"/>
  <c r="AR504" i="2"/>
  <c r="AQ504" i="2"/>
  <c r="AH504" i="2"/>
  <c r="AB504" i="2"/>
  <c r="AD504" i="2" s="1"/>
  <c r="Q504" i="2"/>
  <c r="R504" i="2" s="1"/>
  <c r="BA503" i="2"/>
  <c r="AZ503" i="2"/>
  <c r="AW503" i="2"/>
  <c r="AV503" i="2"/>
  <c r="AU503" i="2"/>
  <c r="AT503" i="2"/>
  <c r="AS503" i="2"/>
  <c r="AR503" i="2"/>
  <c r="AQ503" i="2"/>
  <c r="AH503" i="2"/>
  <c r="AB503" i="2"/>
  <c r="AD503" i="2" s="1"/>
  <c r="Q503" i="2"/>
  <c r="R503" i="2" s="1"/>
  <c r="BA502" i="2"/>
  <c r="AZ502" i="2"/>
  <c r="AW502" i="2"/>
  <c r="AV502" i="2"/>
  <c r="AU502" i="2"/>
  <c r="AT502" i="2"/>
  <c r="AS502" i="2"/>
  <c r="AR502" i="2"/>
  <c r="AQ502" i="2"/>
  <c r="AH502" i="2"/>
  <c r="AB502" i="2"/>
  <c r="AD502" i="2" s="1"/>
  <c r="Q502" i="2"/>
  <c r="R502" i="2" s="1"/>
  <c r="BA501" i="2"/>
  <c r="AZ501" i="2"/>
  <c r="AW501" i="2"/>
  <c r="AV501" i="2"/>
  <c r="AU501" i="2"/>
  <c r="AT501" i="2"/>
  <c r="AS501" i="2"/>
  <c r="AR501" i="2"/>
  <c r="AQ501" i="2"/>
  <c r="AH501" i="2"/>
  <c r="AB501" i="2"/>
  <c r="AD501" i="2" s="1"/>
  <c r="Q501" i="2"/>
  <c r="R501" i="2" s="1"/>
  <c r="BA500" i="2"/>
  <c r="AZ500" i="2"/>
  <c r="AW500" i="2"/>
  <c r="AV500" i="2"/>
  <c r="AU500" i="2"/>
  <c r="AT500" i="2"/>
  <c r="AS500" i="2"/>
  <c r="AR500" i="2"/>
  <c r="AQ500" i="2"/>
  <c r="AH500" i="2"/>
  <c r="AB500" i="2"/>
  <c r="AD500" i="2" s="1"/>
  <c r="Q500" i="2"/>
  <c r="R500" i="2" s="1"/>
  <c r="BA499" i="2"/>
  <c r="AZ499" i="2"/>
  <c r="AW499" i="2"/>
  <c r="AV499" i="2"/>
  <c r="AU499" i="2"/>
  <c r="AT499" i="2"/>
  <c r="AS499" i="2"/>
  <c r="AR499" i="2"/>
  <c r="AQ499" i="2"/>
  <c r="AH499" i="2"/>
  <c r="AB499" i="2"/>
  <c r="AD499" i="2" s="1"/>
  <c r="Q499" i="2"/>
  <c r="R499" i="2" s="1"/>
  <c r="BA498" i="2"/>
  <c r="AZ498" i="2"/>
  <c r="AW498" i="2"/>
  <c r="AV498" i="2"/>
  <c r="AU498" i="2"/>
  <c r="AT498" i="2"/>
  <c r="AS498" i="2"/>
  <c r="AR498" i="2"/>
  <c r="AQ498" i="2"/>
  <c r="AH498" i="2"/>
  <c r="AB498" i="2"/>
  <c r="AD498" i="2" s="1"/>
  <c r="Q498" i="2"/>
  <c r="R498" i="2" s="1"/>
  <c r="BA497" i="2"/>
  <c r="AZ497" i="2"/>
  <c r="AW497" i="2"/>
  <c r="AV497" i="2"/>
  <c r="AU497" i="2"/>
  <c r="AT497" i="2"/>
  <c r="AS497" i="2"/>
  <c r="AR497" i="2"/>
  <c r="AQ497" i="2"/>
  <c r="AH497" i="2"/>
  <c r="AB497" i="2"/>
  <c r="AD497" i="2" s="1"/>
  <c r="Q497" i="2"/>
  <c r="R497" i="2" s="1"/>
  <c r="BA496" i="2"/>
  <c r="AZ496" i="2"/>
  <c r="AW496" i="2"/>
  <c r="AV496" i="2"/>
  <c r="AU496" i="2"/>
  <c r="AT496" i="2"/>
  <c r="AS496" i="2"/>
  <c r="AR496" i="2"/>
  <c r="AQ496" i="2"/>
  <c r="AH496" i="2"/>
  <c r="AB496" i="2"/>
  <c r="AD496" i="2" s="1"/>
  <c r="Q496" i="2"/>
  <c r="R496" i="2" s="1"/>
  <c r="BA495" i="2"/>
  <c r="AZ495" i="2"/>
  <c r="AW495" i="2"/>
  <c r="AV495" i="2"/>
  <c r="AU495" i="2"/>
  <c r="AT495" i="2"/>
  <c r="AS495" i="2"/>
  <c r="AR495" i="2"/>
  <c r="AQ495" i="2"/>
  <c r="AH495" i="2"/>
  <c r="AB495" i="2"/>
  <c r="AD495" i="2" s="1"/>
  <c r="Q495" i="2"/>
  <c r="R495" i="2" s="1"/>
  <c r="BA494" i="2"/>
  <c r="AZ494" i="2"/>
  <c r="AW494" i="2"/>
  <c r="AV494" i="2"/>
  <c r="AU494" i="2"/>
  <c r="AT494" i="2"/>
  <c r="AS494" i="2"/>
  <c r="AR494" i="2"/>
  <c r="AQ494" i="2"/>
  <c r="AH494" i="2"/>
  <c r="AB494" i="2"/>
  <c r="AD494" i="2" s="1"/>
  <c r="Q494" i="2"/>
  <c r="R494" i="2" s="1"/>
  <c r="BA493" i="2"/>
  <c r="AZ493" i="2"/>
  <c r="AW493" i="2"/>
  <c r="AV493" i="2"/>
  <c r="AU493" i="2"/>
  <c r="AT493" i="2"/>
  <c r="AS493" i="2"/>
  <c r="AR493" i="2"/>
  <c r="AQ493" i="2"/>
  <c r="AH493" i="2"/>
  <c r="AB493" i="2"/>
  <c r="AD493" i="2" s="1"/>
  <c r="Q493" i="2"/>
  <c r="R493" i="2" s="1"/>
  <c r="BA492" i="2"/>
  <c r="AZ492" i="2"/>
  <c r="AW492" i="2"/>
  <c r="AV492" i="2"/>
  <c r="AU492" i="2"/>
  <c r="AT492" i="2"/>
  <c r="AS492" i="2"/>
  <c r="AR492" i="2"/>
  <c r="AQ492" i="2"/>
  <c r="AH492" i="2"/>
  <c r="AB492" i="2"/>
  <c r="AD492" i="2" s="1"/>
  <c r="Q492" i="2"/>
  <c r="R492" i="2" s="1"/>
  <c r="BA491" i="2"/>
  <c r="AZ491" i="2"/>
  <c r="AW491" i="2"/>
  <c r="AV491" i="2"/>
  <c r="AU491" i="2"/>
  <c r="AT491" i="2"/>
  <c r="AS491" i="2"/>
  <c r="AR491" i="2"/>
  <c r="AQ491" i="2"/>
  <c r="AH491" i="2"/>
  <c r="AB491" i="2"/>
  <c r="AD491" i="2" s="1"/>
  <c r="Q491" i="2"/>
  <c r="R491" i="2" s="1"/>
  <c r="BA490" i="2"/>
  <c r="AZ490" i="2"/>
  <c r="AW490" i="2"/>
  <c r="AV490" i="2"/>
  <c r="AU490" i="2"/>
  <c r="AT490" i="2"/>
  <c r="AS490" i="2"/>
  <c r="AR490" i="2"/>
  <c r="AQ490" i="2"/>
  <c r="AH490" i="2"/>
  <c r="AB490" i="2"/>
  <c r="AD490" i="2" s="1"/>
  <c r="Q490" i="2"/>
  <c r="R490" i="2" s="1"/>
  <c r="BA489" i="2"/>
  <c r="AZ489" i="2"/>
  <c r="AW489" i="2"/>
  <c r="AV489" i="2"/>
  <c r="AU489" i="2"/>
  <c r="AT489" i="2"/>
  <c r="AS489" i="2"/>
  <c r="AR489" i="2"/>
  <c r="AQ489" i="2"/>
  <c r="AH489" i="2"/>
  <c r="AB489" i="2"/>
  <c r="AD489" i="2" s="1"/>
  <c r="Q489" i="2"/>
  <c r="R489" i="2" s="1"/>
  <c r="BA488" i="2"/>
  <c r="AZ488" i="2"/>
  <c r="AW488" i="2"/>
  <c r="AV488" i="2"/>
  <c r="AU488" i="2"/>
  <c r="AT488" i="2"/>
  <c r="AS488" i="2"/>
  <c r="AR488" i="2"/>
  <c r="AQ488" i="2"/>
  <c r="AH488" i="2"/>
  <c r="AB488" i="2"/>
  <c r="AD488" i="2" s="1"/>
  <c r="Q488" i="2"/>
  <c r="R488" i="2" s="1"/>
  <c r="BA487" i="2"/>
  <c r="AZ487" i="2"/>
  <c r="AW487" i="2"/>
  <c r="AV487" i="2"/>
  <c r="AU487" i="2"/>
  <c r="AT487" i="2"/>
  <c r="AS487" i="2"/>
  <c r="AR487" i="2"/>
  <c r="AQ487" i="2"/>
  <c r="AH487" i="2"/>
  <c r="AB487" i="2"/>
  <c r="AD487" i="2" s="1"/>
  <c r="Q487" i="2"/>
  <c r="R487" i="2" s="1"/>
  <c r="BA486" i="2"/>
  <c r="AZ486" i="2"/>
  <c r="AW486" i="2"/>
  <c r="AV486" i="2"/>
  <c r="AU486" i="2"/>
  <c r="AT486" i="2"/>
  <c r="AS486" i="2"/>
  <c r="AR486" i="2"/>
  <c r="AQ486" i="2"/>
  <c r="AH486" i="2"/>
  <c r="AB486" i="2"/>
  <c r="AD486" i="2" s="1"/>
  <c r="Q486" i="2"/>
  <c r="R486" i="2" s="1"/>
  <c r="BA485" i="2"/>
  <c r="AZ485" i="2"/>
  <c r="AW485" i="2"/>
  <c r="AV485" i="2"/>
  <c r="AU485" i="2"/>
  <c r="AT485" i="2"/>
  <c r="AS485" i="2"/>
  <c r="AR485" i="2"/>
  <c r="AQ485" i="2"/>
  <c r="AH485" i="2"/>
  <c r="AB485" i="2"/>
  <c r="AD485" i="2" s="1"/>
  <c r="Q485" i="2"/>
  <c r="R485" i="2" s="1"/>
  <c r="BA484" i="2"/>
  <c r="AZ484" i="2"/>
  <c r="AW484" i="2"/>
  <c r="AV484" i="2"/>
  <c r="AU484" i="2"/>
  <c r="AT484" i="2"/>
  <c r="AS484" i="2"/>
  <c r="AR484" i="2"/>
  <c r="AQ484" i="2"/>
  <c r="AH484" i="2"/>
  <c r="AB484" i="2"/>
  <c r="AD484" i="2" s="1"/>
  <c r="Q484" i="2"/>
  <c r="R484" i="2" s="1"/>
  <c r="BA483" i="2"/>
  <c r="AZ483" i="2"/>
  <c r="AW483" i="2"/>
  <c r="AV483" i="2"/>
  <c r="AU483" i="2"/>
  <c r="AT483" i="2"/>
  <c r="AS483" i="2"/>
  <c r="AR483" i="2"/>
  <c r="AQ483" i="2"/>
  <c r="AH483" i="2"/>
  <c r="AB483" i="2"/>
  <c r="AD483" i="2" s="1"/>
  <c r="Q483" i="2"/>
  <c r="R483" i="2" s="1"/>
  <c r="BA482" i="2"/>
  <c r="AZ482" i="2"/>
  <c r="AW482" i="2"/>
  <c r="AV482" i="2"/>
  <c r="AU482" i="2"/>
  <c r="AT482" i="2"/>
  <c r="AS482" i="2"/>
  <c r="AR482" i="2"/>
  <c r="AQ482" i="2"/>
  <c r="AH482" i="2"/>
  <c r="AB482" i="2"/>
  <c r="AD482" i="2" s="1"/>
  <c r="Q482" i="2"/>
  <c r="R482" i="2" s="1"/>
  <c r="BA481" i="2"/>
  <c r="AZ481" i="2"/>
  <c r="AW481" i="2"/>
  <c r="AV481" i="2"/>
  <c r="AU481" i="2"/>
  <c r="AT481" i="2"/>
  <c r="AS481" i="2"/>
  <c r="AR481" i="2"/>
  <c r="AQ481" i="2"/>
  <c r="AH481" i="2"/>
  <c r="AB481" i="2"/>
  <c r="AD481" i="2" s="1"/>
  <c r="Q481" i="2"/>
  <c r="R481" i="2" s="1"/>
  <c r="BA480" i="2"/>
  <c r="AZ480" i="2"/>
  <c r="AW480" i="2"/>
  <c r="AV480" i="2"/>
  <c r="AU480" i="2"/>
  <c r="AT480" i="2"/>
  <c r="AS480" i="2"/>
  <c r="AR480" i="2"/>
  <c r="AQ480" i="2"/>
  <c r="AH480" i="2"/>
  <c r="AB480" i="2"/>
  <c r="AD480" i="2" s="1"/>
  <c r="Q480" i="2"/>
  <c r="R480" i="2" s="1"/>
  <c r="BA479" i="2"/>
  <c r="AZ479" i="2"/>
  <c r="AW479" i="2"/>
  <c r="AV479" i="2"/>
  <c r="AU479" i="2"/>
  <c r="AT479" i="2"/>
  <c r="AS479" i="2"/>
  <c r="AR479" i="2"/>
  <c r="AQ479" i="2"/>
  <c r="AH479" i="2"/>
  <c r="AB479" i="2"/>
  <c r="AD479" i="2" s="1"/>
  <c r="Q479" i="2"/>
  <c r="R479" i="2" s="1"/>
  <c r="BA478" i="2"/>
  <c r="AZ478" i="2"/>
  <c r="AW478" i="2"/>
  <c r="AV478" i="2"/>
  <c r="AU478" i="2"/>
  <c r="AT478" i="2"/>
  <c r="AS478" i="2"/>
  <c r="AR478" i="2"/>
  <c r="AQ478" i="2"/>
  <c r="AH478" i="2"/>
  <c r="AB478" i="2"/>
  <c r="AD478" i="2" s="1"/>
  <c r="Q478" i="2"/>
  <c r="R478" i="2" s="1"/>
  <c r="BA477" i="2"/>
  <c r="AZ477" i="2"/>
  <c r="AW477" i="2"/>
  <c r="AV477" i="2"/>
  <c r="AU477" i="2"/>
  <c r="AT477" i="2"/>
  <c r="AS477" i="2"/>
  <c r="AR477" i="2"/>
  <c r="AQ477" i="2"/>
  <c r="AH477" i="2"/>
  <c r="AB477" i="2"/>
  <c r="AD477" i="2" s="1"/>
  <c r="Q477" i="2"/>
  <c r="R477" i="2" s="1"/>
  <c r="BA476" i="2"/>
  <c r="AZ476" i="2"/>
  <c r="AW476" i="2"/>
  <c r="AV476" i="2"/>
  <c r="AU476" i="2"/>
  <c r="AT476" i="2"/>
  <c r="AS476" i="2"/>
  <c r="AR476" i="2"/>
  <c r="AQ476" i="2"/>
  <c r="AH476" i="2"/>
  <c r="AB476" i="2"/>
  <c r="AD476" i="2" s="1"/>
  <c r="Q476" i="2"/>
  <c r="R476" i="2" s="1"/>
  <c r="BA475" i="2"/>
  <c r="AZ475" i="2"/>
  <c r="AW475" i="2"/>
  <c r="AV475" i="2"/>
  <c r="AU475" i="2"/>
  <c r="AT475" i="2"/>
  <c r="AS475" i="2"/>
  <c r="AR475" i="2"/>
  <c r="AQ475" i="2"/>
  <c r="AH475" i="2"/>
  <c r="AB475" i="2"/>
  <c r="AD475" i="2" s="1"/>
  <c r="Q475" i="2"/>
  <c r="R475" i="2" s="1"/>
  <c r="BA474" i="2"/>
  <c r="AZ474" i="2"/>
  <c r="AW474" i="2"/>
  <c r="AV474" i="2"/>
  <c r="AU474" i="2"/>
  <c r="AT474" i="2"/>
  <c r="AS474" i="2"/>
  <c r="AR474" i="2"/>
  <c r="AQ474" i="2"/>
  <c r="AH474" i="2"/>
  <c r="AB474" i="2"/>
  <c r="AD474" i="2" s="1"/>
  <c r="Q474" i="2"/>
  <c r="R474" i="2" s="1"/>
  <c r="BA473" i="2"/>
  <c r="AZ473" i="2"/>
  <c r="AW473" i="2"/>
  <c r="AV473" i="2"/>
  <c r="AU473" i="2"/>
  <c r="AT473" i="2"/>
  <c r="AS473" i="2"/>
  <c r="AR473" i="2"/>
  <c r="AQ473" i="2"/>
  <c r="AH473" i="2"/>
  <c r="AB473" i="2"/>
  <c r="AD473" i="2" s="1"/>
  <c r="Q473" i="2"/>
  <c r="R473" i="2" s="1"/>
  <c r="BA472" i="2"/>
  <c r="AZ472" i="2"/>
  <c r="AW472" i="2"/>
  <c r="AV472" i="2"/>
  <c r="AU472" i="2"/>
  <c r="AT472" i="2"/>
  <c r="AS472" i="2"/>
  <c r="AR472" i="2"/>
  <c r="AQ472" i="2"/>
  <c r="AH472" i="2"/>
  <c r="AB472" i="2"/>
  <c r="AD472" i="2" s="1"/>
  <c r="Q472" i="2"/>
  <c r="R472" i="2" s="1"/>
  <c r="BA471" i="2"/>
  <c r="AZ471" i="2"/>
  <c r="AW471" i="2"/>
  <c r="AV471" i="2"/>
  <c r="AU471" i="2"/>
  <c r="AT471" i="2"/>
  <c r="AS471" i="2"/>
  <c r="AR471" i="2"/>
  <c r="AQ471" i="2"/>
  <c r="AH471" i="2"/>
  <c r="AB471" i="2"/>
  <c r="AD471" i="2" s="1"/>
  <c r="Q471" i="2"/>
  <c r="R471" i="2" s="1"/>
  <c r="BA470" i="2"/>
  <c r="AZ470" i="2"/>
  <c r="AW470" i="2"/>
  <c r="AV470" i="2"/>
  <c r="AU470" i="2"/>
  <c r="AT470" i="2"/>
  <c r="AS470" i="2"/>
  <c r="AR470" i="2"/>
  <c r="AQ470" i="2"/>
  <c r="AH470" i="2"/>
  <c r="AB470" i="2"/>
  <c r="AD470" i="2" s="1"/>
  <c r="Q470" i="2"/>
  <c r="R470" i="2" s="1"/>
  <c r="BA469" i="2"/>
  <c r="AZ469" i="2"/>
  <c r="AW469" i="2"/>
  <c r="AV469" i="2"/>
  <c r="AU469" i="2"/>
  <c r="AT469" i="2"/>
  <c r="AS469" i="2"/>
  <c r="AR469" i="2"/>
  <c r="AQ469" i="2"/>
  <c r="AH469" i="2"/>
  <c r="AB469" i="2"/>
  <c r="AD469" i="2" s="1"/>
  <c r="Q469" i="2"/>
  <c r="R469" i="2" s="1"/>
  <c r="BA468" i="2"/>
  <c r="AZ468" i="2"/>
  <c r="AW468" i="2"/>
  <c r="AV468" i="2"/>
  <c r="AU468" i="2"/>
  <c r="AT468" i="2"/>
  <c r="AS468" i="2"/>
  <c r="AR468" i="2"/>
  <c r="AQ468" i="2"/>
  <c r="AH468" i="2"/>
  <c r="AB468" i="2"/>
  <c r="AD468" i="2" s="1"/>
  <c r="Q468" i="2"/>
  <c r="R468" i="2" s="1"/>
  <c r="BA467" i="2"/>
  <c r="AZ467" i="2"/>
  <c r="AW467" i="2"/>
  <c r="AV467" i="2"/>
  <c r="AU467" i="2"/>
  <c r="AT467" i="2"/>
  <c r="AS467" i="2"/>
  <c r="AR467" i="2"/>
  <c r="AQ467" i="2"/>
  <c r="AH467" i="2"/>
  <c r="AB467" i="2"/>
  <c r="AD467" i="2" s="1"/>
  <c r="Q467" i="2"/>
  <c r="R467" i="2" s="1"/>
  <c r="BA466" i="2"/>
  <c r="AZ466" i="2"/>
  <c r="AW466" i="2"/>
  <c r="AV466" i="2"/>
  <c r="AU466" i="2"/>
  <c r="AT466" i="2"/>
  <c r="AS466" i="2"/>
  <c r="AR466" i="2"/>
  <c r="AQ466" i="2"/>
  <c r="AH466" i="2"/>
  <c r="AB466" i="2"/>
  <c r="AD466" i="2" s="1"/>
  <c r="Q466" i="2"/>
  <c r="R466" i="2" s="1"/>
  <c r="BA465" i="2"/>
  <c r="AZ465" i="2"/>
  <c r="AW465" i="2"/>
  <c r="AV465" i="2"/>
  <c r="AU465" i="2"/>
  <c r="AT465" i="2"/>
  <c r="AS465" i="2"/>
  <c r="AR465" i="2"/>
  <c r="AQ465" i="2"/>
  <c r="AH465" i="2"/>
  <c r="AB465" i="2"/>
  <c r="AD465" i="2" s="1"/>
  <c r="Q465" i="2"/>
  <c r="R465" i="2" s="1"/>
  <c r="BA464" i="2"/>
  <c r="AZ464" i="2"/>
  <c r="AW464" i="2"/>
  <c r="AV464" i="2"/>
  <c r="AU464" i="2"/>
  <c r="AT464" i="2"/>
  <c r="AS464" i="2"/>
  <c r="AR464" i="2"/>
  <c r="AQ464" i="2"/>
  <c r="AH464" i="2"/>
  <c r="AB464" i="2"/>
  <c r="AD464" i="2" s="1"/>
  <c r="Q464" i="2"/>
  <c r="R464" i="2" s="1"/>
  <c r="BA463" i="2"/>
  <c r="AZ463" i="2"/>
  <c r="AW463" i="2"/>
  <c r="AV463" i="2"/>
  <c r="AU463" i="2"/>
  <c r="AT463" i="2"/>
  <c r="AS463" i="2"/>
  <c r="AR463" i="2"/>
  <c r="AQ463" i="2"/>
  <c r="AH463" i="2"/>
  <c r="AB463" i="2"/>
  <c r="AD463" i="2" s="1"/>
  <c r="Q463" i="2"/>
  <c r="R463" i="2" s="1"/>
  <c r="BA462" i="2"/>
  <c r="AZ462" i="2"/>
  <c r="AW462" i="2"/>
  <c r="AV462" i="2"/>
  <c r="AU462" i="2"/>
  <c r="AT462" i="2"/>
  <c r="AS462" i="2"/>
  <c r="AR462" i="2"/>
  <c r="AQ462" i="2"/>
  <c r="AH462" i="2"/>
  <c r="AB462" i="2"/>
  <c r="AD462" i="2" s="1"/>
  <c r="Q462" i="2"/>
  <c r="R462" i="2" s="1"/>
  <c r="BA461" i="2"/>
  <c r="AZ461" i="2"/>
  <c r="AW461" i="2"/>
  <c r="AV461" i="2"/>
  <c r="AU461" i="2"/>
  <c r="AT461" i="2"/>
  <c r="AS461" i="2"/>
  <c r="AR461" i="2"/>
  <c r="AQ461" i="2"/>
  <c r="AH461" i="2"/>
  <c r="AB461" i="2"/>
  <c r="AD461" i="2" s="1"/>
  <c r="Q461" i="2"/>
  <c r="R461" i="2" s="1"/>
  <c r="BA460" i="2"/>
  <c r="AZ460" i="2"/>
  <c r="AW460" i="2"/>
  <c r="AV460" i="2"/>
  <c r="AU460" i="2"/>
  <c r="AT460" i="2"/>
  <c r="AS460" i="2"/>
  <c r="AR460" i="2"/>
  <c r="AQ460" i="2"/>
  <c r="AH460" i="2"/>
  <c r="AB460" i="2"/>
  <c r="AD460" i="2" s="1"/>
  <c r="Q460" i="2"/>
  <c r="R460" i="2" s="1"/>
  <c r="BA459" i="2"/>
  <c r="AZ459" i="2"/>
  <c r="AW459" i="2"/>
  <c r="AV459" i="2"/>
  <c r="AU459" i="2"/>
  <c r="AT459" i="2"/>
  <c r="AS459" i="2"/>
  <c r="AR459" i="2"/>
  <c r="AQ459" i="2"/>
  <c r="AH459" i="2"/>
  <c r="AB459" i="2"/>
  <c r="AD459" i="2" s="1"/>
  <c r="Q459" i="2"/>
  <c r="R459" i="2" s="1"/>
  <c r="BA458" i="2"/>
  <c r="AZ458" i="2"/>
  <c r="AW458" i="2"/>
  <c r="AV458" i="2"/>
  <c r="AU458" i="2"/>
  <c r="AT458" i="2"/>
  <c r="AS458" i="2"/>
  <c r="AR458" i="2"/>
  <c r="AQ458" i="2"/>
  <c r="AH458" i="2"/>
  <c r="AB458" i="2"/>
  <c r="AD458" i="2" s="1"/>
  <c r="Q458" i="2"/>
  <c r="R458" i="2" s="1"/>
  <c r="BA457" i="2"/>
  <c r="AZ457" i="2"/>
  <c r="AW457" i="2"/>
  <c r="AV457" i="2"/>
  <c r="AU457" i="2"/>
  <c r="AT457" i="2"/>
  <c r="AS457" i="2"/>
  <c r="AR457" i="2"/>
  <c r="AQ457" i="2"/>
  <c r="AH457" i="2"/>
  <c r="AB457" i="2"/>
  <c r="AD457" i="2" s="1"/>
  <c r="Q457" i="2"/>
  <c r="R457" i="2" s="1"/>
  <c r="BA456" i="2"/>
  <c r="AZ456" i="2"/>
  <c r="AW456" i="2"/>
  <c r="AV456" i="2"/>
  <c r="AU456" i="2"/>
  <c r="AT456" i="2"/>
  <c r="AS456" i="2"/>
  <c r="AR456" i="2"/>
  <c r="AQ456" i="2"/>
  <c r="AH456" i="2"/>
  <c r="AB456" i="2"/>
  <c r="AD456" i="2" s="1"/>
  <c r="Q456" i="2"/>
  <c r="R456" i="2" s="1"/>
  <c r="BA455" i="2"/>
  <c r="AZ455" i="2"/>
  <c r="AW455" i="2"/>
  <c r="AV455" i="2"/>
  <c r="AU455" i="2"/>
  <c r="AT455" i="2"/>
  <c r="AS455" i="2"/>
  <c r="AR455" i="2"/>
  <c r="AQ455" i="2"/>
  <c r="AH455" i="2"/>
  <c r="AB455" i="2"/>
  <c r="AD455" i="2" s="1"/>
  <c r="Q455" i="2"/>
  <c r="R455" i="2" s="1"/>
  <c r="BA454" i="2"/>
  <c r="AZ454" i="2"/>
  <c r="AW454" i="2"/>
  <c r="AV454" i="2"/>
  <c r="AU454" i="2"/>
  <c r="AT454" i="2"/>
  <c r="AS454" i="2"/>
  <c r="AR454" i="2"/>
  <c r="AQ454" i="2"/>
  <c r="AH454" i="2"/>
  <c r="AB454" i="2"/>
  <c r="AD454" i="2" s="1"/>
  <c r="Q454" i="2"/>
  <c r="R454" i="2" s="1"/>
  <c r="BA453" i="2"/>
  <c r="AZ453" i="2"/>
  <c r="AW453" i="2"/>
  <c r="AV453" i="2"/>
  <c r="AU453" i="2"/>
  <c r="AT453" i="2"/>
  <c r="AS453" i="2"/>
  <c r="AR453" i="2"/>
  <c r="AQ453" i="2"/>
  <c r="AH453" i="2"/>
  <c r="AB453" i="2"/>
  <c r="AD453" i="2" s="1"/>
  <c r="Q453" i="2"/>
  <c r="R453" i="2" s="1"/>
  <c r="BA452" i="2"/>
  <c r="AZ452" i="2"/>
  <c r="AW452" i="2"/>
  <c r="AV452" i="2"/>
  <c r="AU452" i="2"/>
  <c r="AT452" i="2"/>
  <c r="AS452" i="2"/>
  <c r="AR452" i="2"/>
  <c r="AQ452" i="2"/>
  <c r="AH452" i="2"/>
  <c r="AB452" i="2"/>
  <c r="AD452" i="2" s="1"/>
  <c r="Q452" i="2"/>
  <c r="R452" i="2" s="1"/>
  <c r="BA451" i="2"/>
  <c r="AZ451" i="2"/>
  <c r="AW451" i="2"/>
  <c r="AV451" i="2"/>
  <c r="AU451" i="2"/>
  <c r="AT451" i="2"/>
  <c r="AS451" i="2"/>
  <c r="AR451" i="2"/>
  <c r="AQ451" i="2"/>
  <c r="AH451" i="2"/>
  <c r="AB451" i="2"/>
  <c r="AD451" i="2" s="1"/>
  <c r="Q451" i="2"/>
  <c r="R451" i="2" s="1"/>
  <c r="BA450" i="2"/>
  <c r="AZ450" i="2"/>
  <c r="AW450" i="2"/>
  <c r="AV450" i="2"/>
  <c r="AU450" i="2"/>
  <c r="AT450" i="2"/>
  <c r="AS450" i="2"/>
  <c r="AR450" i="2"/>
  <c r="AQ450" i="2"/>
  <c r="AH450" i="2"/>
  <c r="AB450" i="2"/>
  <c r="AD450" i="2" s="1"/>
  <c r="Q450" i="2"/>
  <c r="R450" i="2" s="1"/>
  <c r="BA449" i="2"/>
  <c r="AZ449" i="2"/>
  <c r="AW449" i="2"/>
  <c r="AV449" i="2"/>
  <c r="AU449" i="2"/>
  <c r="AT449" i="2"/>
  <c r="AS449" i="2"/>
  <c r="AR449" i="2"/>
  <c r="AQ449" i="2"/>
  <c r="AH449" i="2"/>
  <c r="AB449" i="2"/>
  <c r="AD449" i="2" s="1"/>
  <c r="Q449" i="2"/>
  <c r="R449" i="2" s="1"/>
  <c r="BA448" i="2"/>
  <c r="AZ448" i="2"/>
  <c r="AW448" i="2"/>
  <c r="AV448" i="2"/>
  <c r="AU448" i="2"/>
  <c r="AT448" i="2"/>
  <c r="AS448" i="2"/>
  <c r="AR448" i="2"/>
  <c r="AQ448" i="2"/>
  <c r="AH448" i="2"/>
  <c r="AB448" i="2"/>
  <c r="AD448" i="2" s="1"/>
  <c r="Q448" i="2"/>
  <c r="R448" i="2" s="1"/>
  <c r="BA447" i="2"/>
  <c r="AZ447" i="2"/>
  <c r="AW447" i="2"/>
  <c r="AV447" i="2"/>
  <c r="AU447" i="2"/>
  <c r="AT447" i="2"/>
  <c r="AS447" i="2"/>
  <c r="AR447" i="2"/>
  <c r="AQ447" i="2"/>
  <c r="AH447" i="2"/>
  <c r="AB447" i="2"/>
  <c r="AD447" i="2" s="1"/>
  <c r="Q447" i="2"/>
  <c r="R447" i="2" s="1"/>
  <c r="BA446" i="2"/>
  <c r="AZ446" i="2"/>
  <c r="AW446" i="2"/>
  <c r="AV446" i="2"/>
  <c r="AU446" i="2"/>
  <c r="AT446" i="2"/>
  <c r="AS446" i="2"/>
  <c r="AR446" i="2"/>
  <c r="AQ446" i="2"/>
  <c r="AH446" i="2"/>
  <c r="AB446" i="2"/>
  <c r="AD446" i="2" s="1"/>
  <c r="Q446" i="2"/>
  <c r="R446" i="2" s="1"/>
  <c r="BA445" i="2"/>
  <c r="AZ445" i="2"/>
  <c r="AW445" i="2"/>
  <c r="AV445" i="2"/>
  <c r="AU445" i="2"/>
  <c r="AT445" i="2"/>
  <c r="AS445" i="2"/>
  <c r="AR445" i="2"/>
  <c r="AQ445" i="2"/>
  <c r="AH445" i="2"/>
  <c r="AB445" i="2"/>
  <c r="AD445" i="2" s="1"/>
  <c r="Q445" i="2"/>
  <c r="R445" i="2" s="1"/>
  <c r="BA444" i="2"/>
  <c r="AZ444" i="2"/>
  <c r="AW444" i="2"/>
  <c r="AV444" i="2"/>
  <c r="AU444" i="2"/>
  <c r="AT444" i="2"/>
  <c r="AS444" i="2"/>
  <c r="AR444" i="2"/>
  <c r="AQ444" i="2"/>
  <c r="AH444" i="2"/>
  <c r="AB444" i="2"/>
  <c r="AD444" i="2" s="1"/>
  <c r="Q444" i="2"/>
  <c r="R444" i="2" s="1"/>
  <c r="BA443" i="2"/>
  <c r="AZ443" i="2"/>
  <c r="AW443" i="2"/>
  <c r="AV443" i="2"/>
  <c r="AU443" i="2"/>
  <c r="AT443" i="2"/>
  <c r="AS443" i="2"/>
  <c r="AR443" i="2"/>
  <c r="AQ443" i="2"/>
  <c r="AH443" i="2"/>
  <c r="AB443" i="2"/>
  <c r="AD443" i="2" s="1"/>
  <c r="Q443" i="2"/>
  <c r="R443" i="2" s="1"/>
  <c r="BA442" i="2"/>
  <c r="AZ442" i="2"/>
  <c r="AW442" i="2"/>
  <c r="AV442" i="2"/>
  <c r="AU442" i="2"/>
  <c r="AT442" i="2"/>
  <c r="AS442" i="2"/>
  <c r="AR442" i="2"/>
  <c r="AQ442" i="2"/>
  <c r="AH442" i="2"/>
  <c r="AB442" i="2"/>
  <c r="AD442" i="2" s="1"/>
  <c r="Q442" i="2"/>
  <c r="R442" i="2" s="1"/>
  <c r="BA441" i="2"/>
  <c r="AZ441" i="2"/>
  <c r="AW441" i="2"/>
  <c r="AV441" i="2"/>
  <c r="AU441" i="2"/>
  <c r="AT441" i="2"/>
  <c r="AS441" i="2"/>
  <c r="AR441" i="2"/>
  <c r="AQ441" i="2"/>
  <c r="AH441" i="2"/>
  <c r="AB441" i="2"/>
  <c r="AD441" i="2" s="1"/>
  <c r="Q441" i="2"/>
  <c r="R441" i="2" s="1"/>
  <c r="BA440" i="2"/>
  <c r="AZ440" i="2"/>
  <c r="AW440" i="2"/>
  <c r="AV440" i="2"/>
  <c r="AU440" i="2"/>
  <c r="AT440" i="2"/>
  <c r="AS440" i="2"/>
  <c r="AR440" i="2"/>
  <c r="AQ440" i="2"/>
  <c r="AH440" i="2"/>
  <c r="AB440" i="2"/>
  <c r="AD440" i="2" s="1"/>
  <c r="Q440" i="2"/>
  <c r="R440" i="2" s="1"/>
  <c r="BA439" i="2"/>
  <c r="AZ439" i="2"/>
  <c r="AW439" i="2"/>
  <c r="AV439" i="2"/>
  <c r="AU439" i="2"/>
  <c r="AT439" i="2"/>
  <c r="AS439" i="2"/>
  <c r="AR439" i="2"/>
  <c r="AQ439" i="2"/>
  <c r="AH439" i="2"/>
  <c r="AB439" i="2"/>
  <c r="AD439" i="2" s="1"/>
  <c r="Q439" i="2"/>
  <c r="R439" i="2" s="1"/>
  <c r="BA438" i="2"/>
  <c r="AZ438" i="2"/>
  <c r="AW438" i="2"/>
  <c r="AV438" i="2"/>
  <c r="AU438" i="2"/>
  <c r="AT438" i="2"/>
  <c r="AS438" i="2"/>
  <c r="AR438" i="2"/>
  <c r="AQ438" i="2"/>
  <c r="AH438" i="2"/>
  <c r="AB438" i="2"/>
  <c r="AD438" i="2" s="1"/>
  <c r="Q438" i="2"/>
  <c r="R438" i="2" s="1"/>
  <c r="BA437" i="2"/>
  <c r="AZ437" i="2"/>
  <c r="AW437" i="2"/>
  <c r="AV437" i="2"/>
  <c r="AU437" i="2"/>
  <c r="AT437" i="2"/>
  <c r="AS437" i="2"/>
  <c r="AR437" i="2"/>
  <c r="AQ437" i="2"/>
  <c r="AH437" i="2"/>
  <c r="AB437" i="2"/>
  <c r="AD437" i="2" s="1"/>
  <c r="Q437" i="2"/>
  <c r="R437" i="2" s="1"/>
  <c r="BA436" i="2"/>
  <c r="AZ436" i="2"/>
  <c r="AW436" i="2"/>
  <c r="AV436" i="2"/>
  <c r="AU436" i="2"/>
  <c r="AT436" i="2"/>
  <c r="AS436" i="2"/>
  <c r="AR436" i="2"/>
  <c r="AQ436" i="2"/>
  <c r="AH436" i="2"/>
  <c r="AB436" i="2"/>
  <c r="AD436" i="2" s="1"/>
  <c r="Q436" i="2"/>
  <c r="R436" i="2" s="1"/>
  <c r="BA435" i="2"/>
  <c r="AZ435" i="2"/>
  <c r="AW435" i="2"/>
  <c r="AV435" i="2"/>
  <c r="AU435" i="2"/>
  <c r="AT435" i="2"/>
  <c r="AS435" i="2"/>
  <c r="AR435" i="2"/>
  <c r="AQ435" i="2"/>
  <c r="AH435" i="2"/>
  <c r="AB435" i="2"/>
  <c r="AD435" i="2" s="1"/>
  <c r="Q435" i="2"/>
  <c r="R435" i="2" s="1"/>
  <c r="BA434" i="2"/>
  <c r="AZ434" i="2"/>
  <c r="AW434" i="2"/>
  <c r="AV434" i="2"/>
  <c r="AU434" i="2"/>
  <c r="AT434" i="2"/>
  <c r="AS434" i="2"/>
  <c r="AR434" i="2"/>
  <c r="AQ434" i="2"/>
  <c r="AH434" i="2"/>
  <c r="AB434" i="2"/>
  <c r="AD434" i="2" s="1"/>
  <c r="Q434" i="2"/>
  <c r="R434" i="2" s="1"/>
  <c r="BA433" i="2"/>
  <c r="AZ433" i="2"/>
  <c r="AW433" i="2"/>
  <c r="AV433" i="2"/>
  <c r="AU433" i="2"/>
  <c r="AT433" i="2"/>
  <c r="AS433" i="2"/>
  <c r="AR433" i="2"/>
  <c r="AQ433" i="2"/>
  <c r="AH433" i="2"/>
  <c r="AB433" i="2"/>
  <c r="AD433" i="2" s="1"/>
  <c r="Q433" i="2"/>
  <c r="R433" i="2" s="1"/>
  <c r="BA432" i="2"/>
  <c r="AZ432" i="2"/>
  <c r="AW432" i="2"/>
  <c r="AV432" i="2"/>
  <c r="AU432" i="2"/>
  <c r="AT432" i="2"/>
  <c r="AS432" i="2"/>
  <c r="AR432" i="2"/>
  <c r="AQ432" i="2"/>
  <c r="AH432" i="2"/>
  <c r="AB432" i="2"/>
  <c r="AD432" i="2" s="1"/>
  <c r="Q432" i="2"/>
  <c r="R432" i="2" s="1"/>
  <c r="BA431" i="2"/>
  <c r="AZ431" i="2"/>
  <c r="AW431" i="2"/>
  <c r="AV431" i="2"/>
  <c r="AU431" i="2"/>
  <c r="AT431" i="2"/>
  <c r="AS431" i="2"/>
  <c r="AR431" i="2"/>
  <c r="AQ431" i="2"/>
  <c r="AH431" i="2"/>
  <c r="AB431" i="2"/>
  <c r="AD431" i="2" s="1"/>
  <c r="Q431" i="2"/>
  <c r="R431" i="2" s="1"/>
  <c r="BA430" i="2"/>
  <c r="AZ430" i="2"/>
  <c r="AW430" i="2"/>
  <c r="AV430" i="2"/>
  <c r="AU430" i="2"/>
  <c r="AT430" i="2"/>
  <c r="AS430" i="2"/>
  <c r="AR430" i="2"/>
  <c r="AQ430" i="2"/>
  <c r="AH430" i="2"/>
  <c r="AB430" i="2"/>
  <c r="AD430" i="2" s="1"/>
  <c r="Q430" i="2"/>
  <c r="R430" i="2" s="1"/>
  <c r="BA429" i="2"/>
  <c r="AZ429" i="2"/>
  <c r="AW429" i="2"/>
  <c r="AV429" i="2"/>
  <c r="AU429" i="2"/>
  <c r="AT429" i="2"/>
  <c r="AS429" i="2"/>
  <c r="AR429" i="2"/>
  <c r="AQ429" i="2"/>
  <c r="AH429" i="2"/>
  <c r="AB429" i="2"/>
  <c r="AD429" i="2" s="1"/>
  <c r="Q429" i="2"/>
  <c r="R429" i="2" s="1"/>
  <c r="BA428" i="2"/>
  <c r="AZ428" i="2"/>
  <c r="AW428" i="2"/>
  <c r="AV428" i="2"/>
  <c r="AU428" i="2"/>
  <c r="AT428" i="2"/>
  <c r="AS428" i="2"/>
  <c r="AR428" i="2"/>
  <c r="AQ428" i="2"/>
  <c r="AH428" i="2"/>
  <c r="AB428" i="2"/>
  <c r="AD428" i="2" s="1"/>
  <c r="Q428" i="2"/>
  <c r="R428" i="2" s="1"/>
  <c r="BA427" i="2"/>
  <c r="AZ427" i="2"/>
  <c r="AW427" i="2"/>
  <c r="AV427" i="2"/>
  <c r="AU427" i="2"/>
  <c r="AT427" i="2"/>
  <c r="AS427" i="2"/>
  <c r="AR427" i="2"/>
  <c r="AQ427" i="2"/>
  <c r="AH427" i="2"/>
  <c r="AB427" i="2"/>
  <c r="AD427" i="2" s="1"/>
  <c r="Q427" i="2"/>
  <c r="R427" i="2" s="1"/>
  <c r="BA426" i="2"/>
  <c r="AZ426" i="2"/>
  <c r="AW426" i="2"/>
  <c r="AV426" i="2"/>
  <c r="AU426" i="2"/>
  <c r="AT426" i="2"/>
  <c r="AS426" i="2"/>
  <c r="AR426" i="2"/>
  <c r="AQ426" i="2"/>
  <c r="AH426" i="2"/>
  <c r="AB426" i="2"/>
  <c r="AD426" i="2" s="1"/>
  <c r="Q426" i="2"/>
  <c r="R426" i="2" s="1"/>
  <c r="BA425" i="2"/>
  <c r="AZ425" i="2"/>
  <c r="AW425" i="2"/>
  <c r="AV425" i="2"/>
  <c r="AU425" i="2"/>
  <c r="AT425" i="2"/>
  <c r="AS425" i="2"/>
  <c r="AR425" i="2"/>
  <c r="AQ425" i="2"/>
  <c r="AH425" i="2"/>
  <c r="AB425" i="2"/>
  <c r="AD425" i="2" s="1"/>
  <c r="Q425" i="2"/>
  <c r="R425" i="2" s="1"/>
  <c r="BA424" i="2"/>
  <c r="AZ424" i="2"/>
  <c r="AW424" i="2"/>
  <c r="AV424" i="2"/>
  <c r="AU424" i="2"/>
  <c r="AT424" i="2"/>
  <c r="AS424" i="2"/>
  <c r="AR424" i="2"/>
  <c r="AQ424" i="2"/>
  <c r="AH424" i="2"/>
  <c r="AB424" i="2"/>
  <c r="AD424" i="2" s="1"/>
  <c r="Q424" i="2"/>
  <c r="R424" i="2" s="1"/>
  <c r="BA423" i="2"/>
  <c r="AZ423" i="2"/>
  <c r="AW423" i="2"/>
  <c r="AV423" i="2"/>
  <c r="AU423" i="2"/>
  <c r="AT423" i="2"/>
  <c r="AS423" i="2"/>
  <c r="AR423" i="2"/>
  <c r="AQ423" i="2"/>
  <c r="AH423" i="2"/>
  <c r="AB423" i="2"/>
  <c r="AD423" i="2" s="1"/>
  <c r="Q423" i="2"/>
  <c r="R423" i="2" s="1"/>
  <c r="BA422" i="2"/>
  <c r="AZ422" i="2"/>
  <c r="AW422" i="2"/>
  <c r="AV422" i="2"/>
  <c r="AU422" i="2"/>
  <c r="AT422" i="2"/>
  <c r="AS422" i="2"/>
  <c r="AR422" i="2"/>
  <c r="AQ422" i="2"/>
  <c r="AH422" i="2"/>
  <c r="AB422" i="2"/>
  <c r="AD422" i="2" s="1"/>
  <c r="Q422" i="2"/>
  <c r="R422" i="2" s="1"/>
  <c r="BA421" i="2"/>
  <c r="AZ421" i="2"/>
  <c r="AW421" i="2"/>
  <c r="AV421" i="2"/>
  <c r="AU421" i="2"/>
  <c r="AT421" i="2"/>
  <c r="AS421" i="2"/>
  <c r="AR421" i="2"/>
  <c r="AQ421" i="2"/>
  <c r="AH421" i="2"/>
  <c r="AB421" i="2"/>
  <c r="AD421" i="2" s="1"/>
  <c r="Q421" i="2"/>
  <c r="R421" i="2" s="1"/>
  <c r="BA420" i="2"/>
  <c r="AZ420" i="2"/>
  <c r="AW420" i="2"/>
  <c r="AV420" i="2"/>
  <c r="AU420" i="2"/>
  <c r="AT420" i="2"/>
  <c r="AS420" i="2"/>
  <c r="AR420" i="2"/>
  <c r="AQ420" i="2"/>
  <c r="AH420" i="2"/>
  <c r="AB420" i="2"/>
  <c r="AD420" i="2" s="1"/>
  <c r="Q420" i="2"/>
  <c r="R420" i="2" s="1"/>
  <c r="BA419" i="2"/>
  <c r="AZ419" i="2"/>
  <c r="AW419" i="2"/>
  <c r="AV419" i="2"/>
  <c r="AU419" i="2"/>
  <c r="AT419" i="2"/>
  <c r="AS419" i="2"/>
  <c r="AR419" i="2"/>
  <c r="AQ419" i="2"/>
  <c r="AH419" i="2"/>
  <c r="AB419" i="2"/>
  <c r="AD419" i="2" s="1"/>
  <c r="Q419" i="2"/>
  <c r="R419" i="2" s="1"/>
  <c r="BA418" i="2"/>
  <c r="AZ418" i="2"/>
  <c r="AW418" i="2"/>
  <c r="AV418" i="2"/>
  <c r="AU418" i="2"/>
  <c r="AT418" i="2"/>
  <c r="AS418" i="2"/>
  <c r="AR418" i="2"/>
  <c r="AQ418" i="2"/>
  <c r="AH418" i="2"/>
  <c r="AB418" i="2"/>
  <c r="AD418" i="2" s="1"/>
  <c r="Q418" i="2"/>
  <c r="R418" i="2" s="1"/>
  <c r="BA417" i="2"/>
  <c r="AZ417" i="2"/>
  <c r="AW417" i="2"/>
  <c r="AV417" i="2"/>
  <c r="AU417" i="2"/>
  <c r="AT417" i="2"/>
  <c r="AS417" i="2"/>
  <c r="AR417" i="2"/>
  <c r="AQ417" i="2"/>
  <c r="AH417" i="2"/>
  <c r="AB417" i="2"/>
  <c r="AD417" i="2" s="1"/>
  <c r="Q417" i="2"/>
  <c r="R417" i="2" s="1"/>
  <c r="BA416" i="2"/>
  <c r="AZ416" i="2"/>
  <c r="AW416" i="2"/>
  <c r="AV416" i="2"/>
  <c r="AU416" i="2"/>
  <c r="AT416" i="2"/>
  <c r="AS416" i="2"/>
  <c r="AR416" i="2"/>
  <c r="AQ416" i="2"/>
  <c r="AH416" i="2"/>
  <c r="AB416" i="2"/>
  <c r="AD416" i="2" s="1"/>
  <c r="Q416" i="2"/>
  <c r="R416" i="2" s="1"/>
  <c r="BA415" i="2"/>
  <c r="AZ415" i="2"/>
  <c r="AW415" i="2"/>
  <c r="AV415" i="2"/>
  <c r="AU415" i="2"/>
  <c r="AT415" i="2"/>
  <c r="AS415" i="2"/>
  <c r="AR415" i="2"/>
  <c r="AQ415" i="2"/>
  <c r="AH415" i="2"/>
  <c r="AB415" i="2"/>
  <c r="AD415" i="2" s="1"/>
  <c r="Q415" i="2"/>
  <c r="R415" i="2" s="1"/>
  <c r="BA414" i="2"/>
  <c r="AZ414" i="2"/>
  <c r="AW414" i="2"/>
  <c r="AV414" i="2"/>
  <c r="AU414" i="2"/>
  <c r="AT414" i="2"/>
  <c r="AS414" i="2"/>
  <c r="AR414" i="2"/>
  <c r="AQ414" i="2"/>
  <c r="AH414" i="2"/>
  <c r="AB414" i="2"/>
  <c r="AD414" i="2" s="1"/>
  <c r="Q414" i="2"/>
  <c r="R414" i="2" s="1"/>
  <c r="BA413" i="2"/>
  <c r="AZ413" i="2"/>
  <c r="AW413" i="2"/>
  <c r="AV413" i="2"/>
  <c r="AU413" i="2"/>
  <c r="AT413" i="2"/>
  <c r="AS413" i="2"/>
  <c r="AR413" i="2"/>
  <c r="AQ413" i="2"/>
  <c r="AH413" i="2"/>
  <c r="AB413" i="2"/>
  <c r="AD413" i="2" s="1"/>
  <c r="Q413" i="2"/>
  <c r="R413" i="2" s="1"/>
  <c r="BA412" i="2"/>
  <c r="AZ412" i="2"/>
  <c r="AW412" i="2"/>
  <c r="AV412" i="2"/>
  <c r="AU412" i="2"/>
  <c r="AT412" i="2"/>
  <c r="AS412" i="2"/>
  <c r="AR412" i="2"/>
  <c r="AQ412" i="2"/>
  <c r="AH412" i="2"/>
  <c r="AB412" i="2"/>
  <c r="AD412" i="2" s="1"/>
  <c r="Q412" i="2"/>
  <c r="R412" i="2" s="1"/>
  <c r="BA411" i="2"/>
  <c r="AZ411" i="2"/>
  <c r="AW411" i="2"/>
  <c r="AV411" i="2"/>
  <c r="AU411" i="2"/>
  <c r="AT411" i="2"/>
  <c r="AS411" i="2"/>
  <c r="AR411" i="2"/>
  <c r="AQ411" i="2"/>
  <c r="AH411" i="2"/>
  <c r="AB411" i="2"/>
  <c r="AD411" i="2" s="1"/>
  <c r="Q411" i="2"/>
  <c r="R411" i="2" s="1"/>
  <c r="BA410" i="2"/>
  <c r="AZ410" i="2"/>
  <c r="AW410" i="2"/>
  <c r="AV410" i="2"/>
  <c r="AU410" i="2"/>
  <c r="AT410" i="2"/>
  <c r="AS410" i="2"/>
  <c r="AR410" i="2"/>
  <c r="AQ410" i="2"/>
  <c r="AH410" i="2"/>
  <c r="AB410" i="2"/>
  <c r="AD410" i="2" s="1"/>
  <c r="Q410" i="2"/>
  <c r="R410" i="2" s="1"/>
  <c r="BA409" i="2"/>
  <c r="AZ409" i="2"/>
  <c r="AW409" i="2"/>
  <c r="AV409" i="2"/>
  <c r="AU409" i="2"/>
  <c r="AT409" i="2"/>
  <c r="AS409" i="2"/>
  <c r="AR409" i="2"/>
  <c r="AQ409" i="2"/>
  <c r="AH409" i="2"/>
  <c r="AB409" i="2"/>
  <c r="AD409" i="2" s="1"/>
  <c r="Q409" i="2"/>
  <c r="R409" i="2" s="1"/>
  <c r="BA408" i="2"/>
  <c r="AZ408" i="2"/>
  <c r="AW408" i="2"/>
  <c r="AV408" i="2"/>
  <c r="AU408" i="2"/>
  <c r="AT408" i="2"/>
  <c r="AS408" i="2"/>
  <c r="AR408" i="2"/>
  <c r="AQ408" i="2"/>
  <c r="AH408" i="2"/>
  <c r="AB408" i="2"/>
  <c r="AD408" i="2" s="1"/>
  <c r="Q408" i="2"/>
  <c r="R408" i="2" s="1"/>
  <c r="BA407" i="2"/>
  <c r="AZ407" i="2"/>
  <c r="AW407" i="2"/>
  <c r="AV407" i="2"/>
  <c r="AU407" i="2"/>
  <c r="AT407" i="2"/>
  <c r="AS407" i="2"/>
  <c r="AR407" i="2"/>
  <c r="AQ407" i="2"/>
  <c r="AH407" i="2"/>
  <c r="AB407" i="2"/>
  <c r="AD407" i="2" s="1"/>
  <c r="Q407" i="2"/>
  <c r="R407" i="2" s="1"/>
  <c r="BA406" i="2"/>
  <c r="AZ406" i="2"/>
  <c r="AW406" i="2"/>
  <c r="AV406" i="2"/>
  <c r="AU406" i="2"/>
  <c r="AT406" i="2"/>
  <c r="AS406" i="2"/>
  <c r="AR406" i="2"/>
  <c r="AQ406" i="2"/>
  <c r="AH406" i="2"/>
  <c r="AB406" i="2"/>
  <c r="AD406" i="2" s="1"/>
  <c r="Q406" i="2"/>
  <c r="R406" i="2" s="1"/>
  <c r="BA405" i="2"/>
  <c r="AZ405" i="2"/>
  <c r="AW405" i="2"/>
  <c r="AV405" i="2"/>
  <c r="AU405" i="2"/>
  <c r="AT405" i="2"/>
  <c r="AS405" i="2"/>
  <c r="AR405" i="2"/>
  <c r="AQ405" i="2"/>
  <c r="AH405" i="2"/>
  <c r="AB405" i="2"/>
  <c r="AD405" i="2" s="1"/>
  <c r="Q405" i="2"/>
  <c r="R405" i="2" s="1"/>
  <c r="BA404" i="2"/>
  <c r="AZ404" i="2"/>
  <c r="AW404" i="2"/>
  <c r="AV404" i="2"/>
  <c r="AU404" i="2"/>
  <c r="AT404" i="2"/>
  <c r="AS404" i="2"/>
  <c r="AR404" i="2"/>
  <c r="AQ404" i="2"/>
  <c r="AH404" i="2"/>
  <c r="AB404" i="2"/>
  <c r="AD404" i="2" s="1"/>
  <c r="Q404" i="2"/>
  <c r="R404" i="2" s="1"/>
  <c r="D41" i="9"/>
  <c r="D47" i="9"/>
  <c r="AX497" i="2" l="1"/>
  <c r="AX441" i="2"/>
  <c r="I27" i="9"/>
  <c r="F28" i="9"/>
  <c r="I28" i="9"/>
  <c r="AX430" i="2"/>
  <c r="AK430" i="2" s="1"/>
  <c r="AX414" i="2"/>
  <c r="AK414" i="2" s="1"/>
  <c r="AX451" i="2"/>
  <c r="AK451" i="2" s="1"/>
  <c r="AX509" i="2"/>
  <c r="AK509" i="2" s="1"/>
  <c r="AX479" i="2"/>
  <c r="AK479" i="2" s="1"/>
  <c r="AM409" i="6"/>
  <c r="AE409" i="6" s="1"/>
  <c r="AM417" i="6"/>
  <c r="AE417" i="6" s="1"/>
  <c r="AM425" i="6"/>
  <c r="AE425" i="6" s="1"/>
  <c r="AM433" i="6"/>
  <c r="AE433" i="6" s="1"/>
  <c r="AM441" i="6"/>
  <c r="AE441" i="6" s="1"/>
  <c r="AM449" i="6"/>
  <c r="AE449" i="6" s="1"/>
  <c r="AM457" i="6"/>
  <c r="AE457" i="6" s="1"/>
  <c r="AM479" i="6"/>
  <c r="AE479" i="6" s="1"/>
  <c r="AM495" i="6"/>
  <c r="AE495" i="6" s="1"/>
  <c r="AM468" i="6"/>
  <c r="AE468" i="6" s="1"/>
  <c r="AM484" i="6"/>
  <c r="AE484" i="6" s="1"/>
  <c r="AM500" i="6"/>
  <c r="AE500" i="6" s="1"/>
  <c r="AM509" i="6"/>
  <c r="AE509" i="6" s="1"/>
  <c r="AM511" i="6"/>
  <c r="AE511" i="6" s="1"/>
  <c r="AM513" i="6"/>
  <c r="AE513" i="6" s="1"/>
  <c r="AM515" i="6"/>
  <c r="AE515" i="6" s="1"/>
  <c r="AM517" i="6"/>
  <c r="AE517" i="6" s="1"/>
  <c r="AM519" i="6"/>
  <c r="AE519" i="6" s="1"/>
  <c r="AM521" i="6"/>
  <c r="AE521" i="6" s="1"/>
  <c r="AM523" i="6"/>
  <c r="AE523" i="6" s="1"/>
  <c r="AM525" i="6"/>
  <c r="AE525" i="6" s="1"/>
  <c r="AM407" i="6"/>
  <c r="AE407" i="6" s="1"/>
  <c r="AM415" i="6"/>
  <c r="AE415" i="6" s="1"/>
  <c r="AM423" i="6"/>
  <c r="AE423" i="6" s="1"/>
  <c r="AM431" i="6"/>
  <c r="AE431" i="6" s="1"/>
  <c r="AM439" i="6"/>
  <c r="AE439" i="6" s="1"/>
  <c r="AM447" i="6"/>
  <c r="AE447" i="6" s="1"/>
  <c r="AM455" i="6"/>
  <c r="AE455" i="6" s="1"/>
  <c r="AM466" i="6"/>
  <c r="AE466" i="6" s="1"/>
  <c r="AM498" i="6"/>
  <c r="AE498" i="6" s="1"/>
  <c r="AM405" i="6"/>
  <c r="AE405" i="6" s="1"/>
  <c r="AM413" i="6"/>
  <c r="AE413" i="6" s="1"/>
  <c r="AM421" i="6"/>
  <c r="AE421" i="6" s="1"/>
  <c r="AM429" i="6"/>
  <c r="AE429" i="6" s="1"/>
  <c r="AM437" i="6"/>
  <c r="AE437" i="6" s="1"/>
  <c r="AM445" i="6"/>
  <c r="AE445" i="6" s="1"/>
  <c r="AM453" i="6"/>
  <c r="AE453" i="6" s="1"/>
  <c r="AM461" i="6"/>
  <c r="AE461" i="6" s="1"/>
  <c r="AM471" i="6"/>
  <c r="AE471" i="6" s="1"/>
  <c r="AM487" i="6"/>
  <c r="AE487" i="6" s="1"/>
  <c r="AM503" i="6"/>
  <c r="AE503" i="6" s="1"/>
  <c r="AM464" i="6"/>
  <c r="AE464" i="6" s="1"/>
  <c r="AM476" i="6"/>
  <c r="AE476" i="6" s="1"/>
  <c r="AM492" i="6"/>
  <c r="AE492" i="6" s="1"/>
  <c r="AM508" i="6"/>
  <c r="AE508" i="6" s="1"/>
  <c r="AM510" i="6"/>
  <c r="AE510" i="6" s="1"/>
  <c r="AM512" i="6"/>
  <c r="AE512" i="6" s="1"/>
  <c r="AM514" i="6"/>
  <c r="AE514" i="6" s="1"/>
  <c r="AM516" i="6"/>
  <c r="AE516" i="6" s="1"/>
  <c r="AM518" i="6"/>
  <c r="AE518" i="6" s="1"/>
  <c r="AM520" i="6"/>
  <c r="AE520" i="6" s="1"/>
  <c r="AM522" i="6"/>
  <c r="AE522" i="6" s="1"/>
  <c r="AM524" i="6"/>
  <c r="AE524" i="6" s="1"/>
  <c r="AM526" i="6"/>
  <c r="AE526" i="6" s="1"/>
  <c r="AM411" i="6"/>
  <c r="AE411" i="6" s="1"/>
  <c r="AM419" i="6"/>
  <c r="AE419" i="6" s="1"/>
  <c r="AM427" i="6"/>
  <c r="AE427" i="6" s="1"/>
  <c r="AM435" i="6"/>
  <c r="AE435" i="6" s="1"/>
  <c r="AM443" i="6"/>
  <c r="AE443" i="6" s="1"/>
  <c r="AM451" i="6"/>
  <c r="AE451" i="6" s="1"/>
  <c r="AM459" i="6"/>
  <c r="AE459" i="6" s="1"/>
  <c r="AM404" i="6"/>
  <c r="AE404" i="6" s="1"/>
  <c r="AM406" i="6"/>
  <c r="AE406" i="6" s="1"/>
  <c r="AM408" i="6"/>
  <c r="AE408" i="6" s="1"/>
  <c r="AM410" i="6"/>
  <c r="AE410" i="6" s="1"/>
  <c r="AM412" i="6"/>
  <c r="AE412" i="6" s="1"/>
  <c r="AM414" i="6"/>
  <c r="AE414" i="6" s="1"/>
  <c r="AM416" i="6"/>
  <c r="AE416" i="6" s="1"/>
  <c r="AM418" i="6"/>
  <c r="AE418" i="6" s="1"/>
  <c r="AM420" i="6"/>
  <c r="AE420" i="6" s="1"/>
  <c r="AM422" i="6"/>
  <c r="AE422" i="6" s="1"/>
  <c r="AM424" i="6"/>
  <c r="AE424" i="6" s="1"/>
  <c r="AM426" i="6"/>
  <c r="AE426" i="6" s="1"/>
  <c r="AM428" i="6"/>
  <c r="AE428" i="6" s="1"/>
  <c r="AM430" i="6"/>
  <c r="AE430" i="6" s="1"/>
  <c r="AM432" i="6"/>
  <c r="AE432" i="6" s="1"/>
  <c r="AM434" i="6"/>
  <c r="AE434" i="6" s="1"/>
  <c r="AM436" i="6"/>
  <c r="AE436" i="6" s="1"/>
  <c r="AM438" i="6"/>
  <c r="AE438" i="6" s="1"/>
  <c r="AM440" i="6"/>
  <c r="AE440" i="6" s="1"/>
  <c r="AM442" i="6"/>
  <c r="AE442" i="6" s="1"/>
  <c r="AM444" i="6"/>
  <c r="AE444" i="6" s="1"/>
  <c r="AM446" i="6"/>
  <c r="AE446" i="6" s="1"/>
  <c r="AM448" i="6"/>
  <c r="AE448" i="6" s="1"/>
  <c r="AM450" i="6"/>
  <c r="AE450" i="6" s="1"/>
  <c r="AM452" i="6"/>
  <c r="AE452" i="6" s="1"/>
  <c r="AM454" i="6"/>
  <c r="AE454" i="6" s="1"/>
  <c r="AM456" i="6"/>
  <c r="AE456" i="6" s="1"/>
  <c r="AM458" i="6"/>
  <c r="AE458" i="6" s="1"/>
  <c r="AM460" i="6"/>
  <c r="AE460" i="6" s="1"/>
  <c r="AM462" i="6"/>
  <c r="AE462" i="6" s="1"/>
  <c r="AM465" i="6"/>
  <c r="AE465" i="6" s="1"/>
  <c r="AM463" i="6"/>
  <c r="AE463" i="6" s="1"/>
  <c r="AM473" i="6"/>
  <c r="AE473" i="6" s="1"/>
  <c r="AM481" i="6"/>
  <c r="AE481" i="6" s="1"/>
  <c r="AM489" i="6"/>
  <c r="AE489" i="6" s="1"/>
  <c r="AM505" i="6"/>
  <c r="AE505" i="6" s="1"/>
  <c r="AM470" i="6"/>
  <c r="AE470" i="6" s="1"/>
  <c r="AM478" i="6"/>
  <c r="AE478" i="6" s="1"/>
  <c r="AM486" i="6"/>
  <c r="AE486" i="6" s="1"/>
  <c r="AM494" i="6"/>
  <c r="AE494" i="6" s="1"/>
  <c r="AM497" i="6"/>
  <c r="AE497" i="6" s="1"/>
  <c r="AM502" i="6"/>
  <c r="AE502" i="6" s="1"/>
  <c r="AM467" i="6"/>
  <c r="AE467" i="6" s="1"/>
  <c r="AM483" i="6"/>
  <c r="AE483" i="6" s="1"/>
  <c r="AM491" i="6"/>
  <c r="AE491" i="6" s="1"/>
  <c r="AM499" i="6"/>
  <c r="AE499" i="6" s="1"/>
  <c r="AM507" i="6"/>
  <c r="AE507" i="6" s="1"/>
  <c r="AM472" i="6"/>
  <c r="AE472" i="6" s="1"/>
  <c r="AM475" i="6"/>
  <c r="AE475" i="6" s="1"/>
  <c r="AM480" i="6"/>
  <c r="AE480" i="6" s="1"/>
  <c r="AM488" i="6"/>
  <c r="AE488" i="6" s="1"/>
  <c r="AM496" i="6"/>
  <c r="AE496" i="6" s="1"/>
  <c r="AM504" i="6"/>
  <c r="AE504" i="6" s="1"/>
  <c r="AM469" i="6"/>
  <c r="AE469" i="6" s="1"/>
  <c r="AM477" i="6"/>
  <c r="AE477" i="6" s="1"/>
  <c r="AM485" i="6"/>
  <c r="AE485" i="6" s="1"/>
  <c r="AM493" i="6"/>
  <c r="AE493" i="6" s="1"/>
  <c r="AM501" i="6"/>
  <c r="AE501" i="6" s="1"/>
  <c r="AM474" i="6"/>
  <c r="AE474" i="6" s="1"/>
  <c r="AM482" i="6"/>
  <c r="AE482" i="6" s="1"/>
  <c r="AM490" i="6"/>
  <c r="AE490" i="6" s="1"/>
  <c r="AM506" i="6"/>
  <c r="AE506" i="6" s="1"/>
  <c r="AK497" i="2"/>
  <c r="AX490" i="2"/>
  <c r="AK490" i="2" s="1"/>
  <c r="AX489" i="2"/>
  <c r="AK489" i="2" s="1"/>
  <c r="AX438" i="2"/>
  <c r="AK438" i="2" s="1"/>
  <c r="AX446" i="2"/>
  <c r="AK446" i="2" s="1"/>
  <c r="AX454" i="2"/>
  <c r="AK454" i="2" s="1"/>
  <c r="AX519" i="2"/>
  <c r="AK519" i="2" s="1"/>
  <c r="AX406" i="2"/>
  <c r="AK406" i="2" s="1"/>
  <c r="AX444" i="2"/>
  <c r="AK444" i="2" s="1"/>
  <c r="AX462" i="2"/>
  <c r="AK462" i="2" s="1"/>
  <c r="AX492" i="2"/>
  <c r="AK492" i="2" s="1"/>
  <c r="AX474" i="2"/>
  <c r="AK474" i="2" s="1"/>
  <c r="AX465" i="2"/>
  <c r="AK465" i="2" s="1"/>
  <c r="AX470" i="2"/>
  <c r="AK470" i="2" s="1"/>
  <c r="AX478" i="2"/>
  <c r="AK478" i="2" s="1"/>
  <c r="AX505" i="2"/>
  <c r="AK505" i="2" s="1"/>
  <c r="AK441" i="2"/>
  <c r="AX515" i="2"/>
  <c r="AK515" i="2" s="1"/>
  <c r="AX521" i="2"/>
  <c r="AK521" i="2" s="1"/>
  <c r="AX439" i="2"/>
  <c r="AK439" i="2" s="1"/>
  <c r="AX422" i="2"/>
  <c r="AK422" i="2" s="1"/>
  <c r="AX513" i="2"/>
  <c r="AK513" i="2" s="1"/>
  <c r="AX405" i="2"/>
  <c r="AK405" i="2" s="1"/>
  <c r="AX411" i="2"/>
  <c r="AK411" i="2" s="1"/>
  <c r="AX412" i="2"/>
  <c r="AK412" i="2" s="1"/>
  <c r="AX418" i="2"/>
  <c r="AK418" i="2" s="1"/>
  <c r="AX421" i="2"/>
  <c r="AK421" i="2" s="1"/>
  <c r="AX427" i="2"/>
  <c r="AK427" i="2" s="1"/>
  <c r="AX428" i="2"/>
  <c r="AK428" i="2" s="1"/>
  <c r="AX458" i="2"/>
  <c r="AK458" i="2" s="1"/>
  <c r="AX461" i="2"/>
  <c r="AK461" i="2" s="1"/>
  <c r="AX472" i="2"/>
  <c r="AK472" i="2" s="1"/>
  <c r="AX481" i="2"/>
  <c r="AK481" i="2" s="1"/>
  <c r="AX498" i="2"/>
  <c r="AK498" i="2" s="1"/>
  <c r="AX500" i="2"/>
  <c r="AK500" i="2" s="1"/>
  <c r="AX517" i="2"/>
  <c r="AK517" i="2" s="1"/>
  <c r="AX523" i="2"/>
  <c r="AK523" i="2" s="1"/>
  <c r="AX407" i="2"/>
  <c r="AK407" i="2" s="1"/>
  <c r="AX416" i="2"/>
  <c r="AK416" i="2" s="1"/>
  <c r="AX423" i="2"/>
  <c r="AK423" i="2" s="1"/>
  <c r="AX432" i="2"/>
  <c r="AK432" i="2" s="1"/>
  <c r="AX442" i="2"/>
  <c r="AK442" i="2" s="1"/>
  <c r="AX445" i="2"/>
  <c r="AK445" i="2" s="1"/>
  <c r="AX456" i="2"/>
  <c r="AK456" i="2" s="1"/>
  <c r="AX463" i="2"/>
  <c r="AK463" i="2" s="1"/>
  <c r="AX467" i="2"/>
  <c r="AK467" i="2" s="1"/>
  <c r="AX468" i="2"/>
  <c r="AK468" i="2" s="1"/>
  <c r="AX482" i="2"/>
  <c r="AK482" i="2" s="1"/>
  <c r="AX484" i="2"/>
  <c r="AK484" i="2" s="1"/>
  <c r="AX501" i="2"/>
  <c r="AK501" i="2" s="1"/>
  <c r="AX507" i="2"/>
  <c r="AK507" i="2" s="1"/>
  <c r="AX511" i="2"/>
  <c r="AK511" i="2" s="1"/>
  <c r="AX526" i="2"/>
  <c r="AK526" i="2" s="1"/>
  <c r="AX409" i="2"/>
  <c r="AK409" i="2" s="1"/>
  <c r="AX425" i="2"/>
  <c r="AK425" i="2" s="1"/>
  <c r="AX435" i="2"/>
  <c r="AK435" i="2" s="1"/>
  <c r="AX436" i="2"/>
  <c r="AK436" i="2" s="1"/>
  <c r="AX449" i="2"/>
  <c r="AK449" i="2" s="1"/>
  <c r="AX469" i="2"/>
  <c r="AK469" i="2" s="1"/>
  <c r="AX493" i="2"/>
  <c r="AK493" i="2" s="1"/>
  <c r="AX499" i="2"/>
  <c r="AK499" i="2" s="1"/>
  <c r="AX503" i="2"/>
  <c r="AK503" i="2" s="1"/>
  <c r="AX518" i="2"/>
  <c r="AK518" i="2" s="1"/>
  <c r="AX520" i="2"/>
  <c r="AK520" i="2" s="1"/>
  <c r="AX404" i="2"/>
  <c r="AK404" i="2" s="1"/>
  <c r="AX410" i="2"/>
  <c r="AK410" i="2" s="1"/>
  <c r="AX413" i="2"/>
  <c r="AK413" i="2" s="1"/>
  <c r="AX419" i="2"/>
  <c r="AK419" i="2" s="1"/>
  <c r="AX420" i="2"/>
  <c r="AK420" i="2" s="1"/>
  <c r="AX426" i="2"/>
  <c r="AK426" i="2" s="1"/>
  <c r="AX429" i="2"/>
  <c r="AK429" i="2" s="1"/>
  <c r="AX433" i="2"/>
  <c r="AK433" i="2" s="1"/>
  <c r="AX447" i="2"/>
  <c r="AK447" i="2" s="1"/>
  <c r="AX460" i="2"/>
  <c r="AK460" i="2" s="1"/>
  <c r="AX473" i="2"/>
  <c r="AK473" i="2" s="1"/>
  <c r="AX480" i="2"/>
  <c r="AK480" i="2" s="1"/>
  <c r="AX485" i="2"/>
  <c r="AK485" i="2" s="1"/>
  <c r="AX491" i="2"/>
  <c r="AK491" i="2" s="1"/>
  <c r="AX495" i="2"/>
  <c r="AK495" i="2" s="1"/>
  <c r="AX510" i="2"/>
  <c r="AK510" i="2" s="1"/>
  <c r="AX512" i="2"/>
  <c r="AK512" i="2" s="1"/>
  <c r="AX524" i="2"/>
  <c r="AK524" i="2" s="1"/>
  <c r="AX440" i="2"/>
  <c r="AK440" i="2" s="1"/>
  <c r="AX450" i="2"/>
  <c r="AK450" i="2" s="1"/>
  <c r="AX453" i="2"/>
  <c r="AK453" i="2" s="1"/>
  <c r="AX464" i="2"/>
  <c r="AK464" i="2" s="1"/>
  <c r="AX466" i="2"/>
  <c r="AK466" i="2" s="1"/>
  <c r="AX471" i="2"/>
  <c r="AK471" i="2" s="1"/>
  <c r="AX475" i="2"/>
  <c r="AK475" i="2" s="1"/>
  <c r="AX476" i="2"/>
  <c r="AK476" i="2" s="1"/>
  <c r="AX483" i="2"/>
  <c r="AK483" i="2" s="1"/>
  <c r="AX487" i="2"/>
  <c r="AK487" i="2" s="1"/>
  <c r="AX502" i="2"/>
  <c r="AK502" i="2" s="1"/>
  <c r="AX504" i="2"/>
  <c r="AK504" i="2" s="1"/>
  <c r="AX516" i="2"/>
  <c r="AK516" i="2" s="1"/>
  <c r="AX522" i="2"/>
  <c r="AK522" i="2" s="1"/>
  <c r="AX408" i="2"/>
  <c r="AK408" i="2" s="1"/>
  <c r="AX415" i="2"/>
  <c r="AK415" i="2" s="1"/>
  <c r="AX424" i="2"/>
  <c r="AK424" i="2" s="1"/>
  <c r="AX431" i="2"/>
  <c r="AK431" i="2" s="1"/>
  <c r="AX443" i="2"/>
  <c r="AK443" i="2" s="1"/>
  <c r="AX452" i="2"/>
  <c r="AK452" i="2" s="1"/>
  <c r="AX457" i="2"/>
  <c r="AK457" i="2" s="1"/>
  <c r="AX477" i="2"/>
  <c r="AK477" i="2" s="1"/>
  <c r="AX494" i="2"/>
  <c r="AK494" i="2" s="1"/>
  <c r="AX496" i="2"/>
  <c r="AK496" i="2" s="1"/>
  <c r="AX514" i="2"/>
  <c r="AK514" i="2" s="1"/>
  <c r="AX417" i="2"/>
  <c r="AK417" i="2" s="1"/>
  <c r="AX434" i="2"/>
  <c r="AK434" i="2" s="1"/>
  <c r="AX437" i="2"/>
  <c r="AK437" i="2" s="1"/>
  <c r="AX448" i="2"/>
  <c r="AK448" i="2" s="1"/>
  <c r="AX455" i="2"/>
  <c r="AK455" i="2" s="1"/>
  <c r="AX459" i="2"/>
  <c r="AK459" i="2" s="1"/>
  <c r="AX486" i="2"/>
  <c r="AK486" i="2" s="1"/>
  <c r="AX488" i="2"/>
  <c r="AK488" i="2" s="1"/>
  <c r="AX506" i="2"/>
  <c r="AK506" i="2" s="1"/>
  <c r="AX508" i="2"/>
  <c r="AK508" i="2" s="1"/>
  <c r="AX525" i="2"/>
  <c r="AK525" i="2" s="1"/>
  <c r="G16" i="9"/>
  <c r="R39" i="7" l="1"/>
  <c r="R46" i="7"/>
  <c r="R45" i="7"/>
  <c r="H45" i="7"/>
  <c r="R47" i="7"/>
  <c r="H47" i="7"/>
  <c r="H46" i="7"/>
  <c r="R44" i="7"/>
  <c r="H44" i="7"/>
  <c r="R43" i="7"/>
  <c r="H43" i="7"/>
  <c r="R42" i="7"/>
  <c r="H42" i="7"/>
  <c r="R38" i="7"/>
  <c r="R19" i="7"/>
  <c r="R16" i="7"/>
  <c r="H25" i="7"/>
  <c r="R25" i="7"/>
  <c r="R24" i="7"/>
  <c r="H24" i="7"/>
  <c r="R20" i="7"/>
  <c r="H20" i="7"/>
  <c r="R23" i="7"/>
  <c r="H23" i="7"/>
  <c r="R22" i="7"/>
  <c r="H22" i="7"/>
  <c r="R21" i="7"/>
  <c r="H21" i="7"/>
  <c r="R41" i="7"/>
  <c r="H39" i="7"/>
  <c r="H38" i="7"/>
  <c r="J16" i="9"/>
  <c r="B20" i="9" l="1"/>
  <c r="B21" i="9"/>
  <c r="B22" i="9"/>
  <c r="B23" i="9"/>
  <c r="B24" i="9"/>
  <c r="B25" i="9"/>
  <c r="B19" i="9"/>
  <c r="C19" i="9" s="1"/>
  <c r="B12" i="9"/>
  <c r="B14" i="9"/>
  <c r="D24" i="9" l="1"/>
  <c r="G24" i="9" s="1"/>
  <c r="C24" i="9"/>
  <c r="F24" i="9" s="1"/>
  <c r="D25" i="9"/>
  <c r="G25" i="9" s="1"/>
  <c r="C25" i="9"/>
  <c r="F25" i="9" s="1"/>
  <c r="C22" i="9"/>
  <c r="D22" i="9"/>
  <c r="I19" i="9"/>
  <c r="D23" i="9"/>
  <c r="C23" i="9"/>
  <c r="C21" i="9"/>
  <c r="D21" i="9"/>
  <c r="C20" i="9"/>
  <c r="D35" i="9" s="1"/>
  <c r="C51" i="9" l="1"/>
  <c r="F21" i="9"/>
  <c r="G21" i="9"/>
  <c r="F23" i="9"/>
  <c r="G23" i="9"/>
  <c r="D51" i="9"/>
  <c r="G22" i="9"/>
  <c r="I20" i="9"/>
  <c r="F22" i="9"/>
  <c r="C18" i="9"/>
  <c r="G19" i="9"/>
  <c r="K29" i="9"/>
  <c r="L26" i="9"/>
  <c r="M28" i="9"/>
  <c r="M26" i="9"/>
  <c r="K30" i="9"/>
  <c r="K27" i="9"/>
  <c r="L29" i="9"/>
  <c r="L27" i="9"/>
  <c r="M29" i="9"/>
  <c r="K28" i="9"/>
  <c r="L30" i="9"/>
  <c r="M27" i="9"/>
  <c r="K26" i="9"/>
  <c r="L28" i="9"/>
  <c r="M30" i="9"/>
  <c r="F19" i="9"/>
  <c r="F20" i="9"/>
  <c r="I21" i="9"/>
  <c r="M16" i="9"/>
  <c r="M25" i="9"/>
  <c r="M20" i="9"/>
  <c r="L23" i="9"/>
  <c r="M24" i="9"/>
  <c r="M23" i="9"/>
  <c r="K24" i="9"/>
  <c r="K20" i="9"/>
  <c r="K22" i="9"/>
  <c r="L21" i="9"/>
  <c r="K23" i="9"/>
  <c r="L19" i="9"/>
  <c r="L25" i="9"/>
  <c r="M21" i="9"/>
  <c r="L24" i="9"/>
  <c r="M19" i="9"/>
  <c r="L20" i="9"/>
  <c r="M22" i="9"/>
  <c r="K21" i="9"/>
  <c r="L22" i="9"/>
  <c r="K19" i="9"/>
  <c r="K25" i="9"/>
  <c r="I22" i="9"/>
  <c r="I23" i="9"/>
  <c r="I24" i="9"/>
  <c r="I25" i="9"/>
  <c r="R40" i="7"/>
  <c r="H16" i="7"/>
  <c r="D34" i="9" l="1"/>
  <c r="H40" i="7"/>
  <c r="H41" i="7"/>
  <c r="H17" i="7"/>
  <c r="R17" i="7"/>
  <c r="R18" i="7"/>
  <c r="H18" i="7"/>
  <c r="H19" i="7"/>
  <c r="H15" i="7" l="1"/>
  <c r="H37" i="7"/>
  <c r="B35" i="9"/>
  <c r="C70" i="1"/>
  <c r="B39" i="9" s="1"/>
  <c r="C69" i="1"/>
  <c r="B38" i="9" s="1"/>
  <c r="C68" i="1"/>
  <c r="B37" i="9" s="1"/>
  <c r="C67" i="1"/>
  <c r="B36" i="9" s="1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P403" i="6" l="1"/>
  <c r="AO403" i="6"/>
  <c r="AL403" i="6"/>
  <c r="AK403" i="6"/>
  <c r="AJ403" i="6"/>
  <c r="AI403" i="6"/>
  <c r="AH403" i="6"/>
  <c r="AG403" i="6"/>
  <c r="AF403" i="6"/>
  <c r="N403" i="6"/>
  <c r="O403" i="6" s="1"/>
  <c r="AP402" i="6"/>
  <c r="AO402" i="6"/>
  <c r="AL402" i="6"/>
  <c r="AK402" i="6"/>
  <c r="AJ402" i="6"/>
  <c r="AI402" i="6"/>
  <c r="AH402" i="6"/>
  <c r="AG402" i="6"/>
  <c r="AF402" i="6"/>
  <c r="N402" i="6"/>
  <c r="O402" i="6" s="1"/>
  <c r="AP401" i="6"/>
  <c r="AO401" i="6"/>
  <c r="AL401" i="6"/>
  <c r="AK401" i="6"/>
  <c r="AJ401" i="6"/>
  <c r="AI401" i="6"/>
  <c r="AH401" i="6"/>
  <c r="AG401" i="6"/>
  <c r="AF401" i="6"/>
  <c r="N401" i="6"/>
  <c r="O401" i="6" s="1"/>
  <c r="AP400" i="6"/>
  <c r="AO400" i="6"/>
  <c r="AL400" i="6"/>
  <c r="AK400" i="6"/>
  <c r="AJ400" i="6"/>
  <c r="AI400" i="6"/>
  <c r="AH400" i="6"/>
  <c r="AG400" i="6"/>
  <c r="AF400" i="6"/>
  <c r="N400" i="6"/>
  <c r="O400" i="6" s="1"/>
  <c r="AP399" i="6"/>
  <c r="AO399" i="6"/>
  <c r="AL399" i="6"/>
  <c r="AK399" i="6"/>
  <c r="AJ399" i="6"/>
  <c r="AI399" i="6"/>
  <c r="AH399" i="6"/>
  <c r="AG399" i="6"/>
  <c r="AF399" i="6"/>
  <c r="N399" i="6"/>
  <c r="O399" i="6" s="1"/>
  <c r="AP398" i="6"/>
  <c r="AO398" i="6"/>
  <c r="AL398" i="6"/>
  <c r="AK398" i="6"/>
  <c r="AJ398" i="6"/>
  <c r="AI398" i="6"/>
  <c r="AH398" i="6"/>
  <c r="AG398" i="6"/>
  <c r="AF398" i="6"/>
  <c r="N398" i="6"/>
  <c r="O398" i="6" s="1"/>
  <c r="AP397" i="6"/>
  <c r="AO397" i="6"/>
  <c r="AL397" i="6"/>
  <c r="AK397" i="6"/>
  <c r="AJ397" i="6"/>
  <c r="AI397" i="6"/>
  <c r="AH397" i="6"/>
  <c r="AG397" i="6"/>
  <c r="AF397" i="6"/>
  <c r="N397" i="6"/>
  <c r="O397" i="6" s="1"/>
  <c r="AP396" i="6"/>
  <c r="AO396" i="6"/>
  <c r="AL396" i="6"/>
  <c r="AK396" i="6"/>
  <c r="AJ396" i="6"/>
  <c r="AI396" i="6"/>
  <c r="AH396" i="6"/>
  <c r="AG396" i="6"/>
  <c r="AF396" i="6"/>
  <c r="N396" i="6"/>
  <c r="O396" i="6" s="1"/>
  <c r="AP395" i="6"/>
  <c r="AO395" i="6"/>
  <c r="AL395" i="6"/>
  <c r="AK395" i="6"/>
  <c r="AJ395" i="6"/>
  <c r="AI395" i="6"/>
  <c r="AH395" i="6"/>
  <c r="AG395" i="6"/>
  <c r="AF395" i="6"/>
  <c r="N395" i="6"/>
  <c r="O395" i="6" s="1"/>
  <c r="AP394" i="6"/>
  <c r="AO394" i="6"/>
  <c r="AL394" i="6"/>
  <c r="AK394" i="6"/>
  <c r="AJ394" i="6"/>
  <c r="AI394" i="6"/>
  <c r="AH394" i="6"/>
  <c r="AG394" i="6"/>
  <c r="AF394" i="6"/>
  <c r="N394" i="6"/>
  <c r="O394" i="6" s="1"/>
  <c r="AP393" i="6"/>
  <c r="AO393" i="6"/>
  <c r="AL393" i="6"/>
  <c r="AK393" i="6"/>
  <c r="AJ393" i="6"/>
  <c r="AI393" i="6"/>
  <c r="AH393" i="6"/>
  <c r="AG393" i="6"/>
  <c r="AF393" i="6"/>
  <c r="N393" i="6"/>
  <c r="O393" i="6" s="1"/>
  <c r="AP392" i="6"/>
  <c r="AO392" i="6"/>
  <c r="AL392" i="6"/>
  <c r="AK392" i="6"/>
  <c r="AJ392" i="6"/>
  <c r="AI392" i="6"/>
  <c r="AH392" i="6"/>
  <c r="AG392" i="6"/>
  <c r="AF392" i="6"/>
  <c r="N392" i="6"/>
  <c r="O392" i="6" s="1"/>
  <c r="AP391" i="6"/>
  <c r="AO391" i="6"/>
  <c r="AL391" i="6"/>
  <c r="AK391" i="6"/>
  <c r="AJ391" i="6"/>
  <c r="AI391" i="6"/>
  <c r="AH391" i="6"/>
  <c r="AG391" i="6"/>
  <c r="AF391" i="6"/>
  <c r="N391" i="6"/>
  <c r="O391" i="6" s="1"/>
  <c r="AP390" i="6"/>
  <c r="AO390" i="6"/>
  <c r="AL390" i="6"/>
  <c r="AK390" i="6"/>
  <c r="AJ390" i="6"/>
  <c r="AI390" i="6"/>
  <c r="AH390" i="6"/>
  <c r="AG390" i="6"/>
  <c r="AF390" i="6"/>
  <c r="N390" i="6"/>
  <c r="O390" i="6" s="1"/>
  <c r="AP389" i="6"/>
  <c r="AO389" i="6"/>
  <c r="AL389" i="6"/>
  <c r="AK389" i="6"/>
  <c r="AJ389" i="6"/>
  <c r="AI389" i="6"/>
  <c r="AH389" i="6"/>
  <c r="AG389" i="6"/>
  <c r="AF389" i="6"/>
  <c r="N389" i="6"/>
  <c r="O389" i="6" s="1"/>
  <c r="AP388" i="6"/>
  <c r="AO388" i="6"/>
  <c r="AL388" i="6"/>
  <c r="AK388" i="6"/>
  <c r="AJ388" i="6"/>
  <c r="AI388" i="6"/>
  <c r="AH388" i="6"/>
  <c r="AG388" i="6"/>
  <c r="AF388" i="6"/>
  <c r="N388" i="6"/>
  <c r="O388" i="6" s="1"/>
  <c r="AP387" i="6"/>
  <c r="AO387" i="6"/>
  <c r="AL387" i="6"/>
  <c r="AK387" i="6"/>
  <c r="AJ387" i="6"/>
  <c r="AI387" i="6"/>
  <c r="AH387" i="6"/>
  <c r="AG387" i="6"/>
  <c r="AF387" i="6"/>
  <c r="N387" i="6"/>
  <c r="O387" i="6" s="1"/>
  <c r="AP386" i="6"/>
  <c r="AO386" i="6"/>
  <c r="AL386" i="6"/>
  <c r="AK386" i="6"/>
  <c r="AJ386" i="6"/>
  <c r="AI386" i="6"/>
  <c r="AH386" i="6"/>
  <c r="AG386" i="6"/>
  <c r="AF386" i="6"/>
  <c r="N386" i="6"/>
  <c r="O386" i="6" s="1"/>
  <c r="AP385" i="6"/>
  <c r="AO385" i="6"/>
  <c r="AL385" i="6"/>
  <c r="AK385" i="6"/>
  <c r="AJ385" i="6"/>
  <c r="AI385" i="6"/>
  <c r="AH385" i="6"/>
  <c r="AG385" i="6"/>
  <c r="AF385" i="6"/>
  <c r="N385" i="6"/>
  <c r="O385" i="6" s="1"/>
  <c r="AP384" i="6"/>
  <c r="AO384" i="6"/>
  <c r="AL384" i="6"/>
  <c r="AK384" i="6"/>
  <c r="AJ384" i="6"/>
  <c r="AI384" i="6"/>
  <c r="AH384" i="6"/>
  <c r="AG384" i="6"/>
  <c r="AF384" i="6"/>
  <c r="N384" i="6"/>
  <c r="O384" i="6" s="1"/>
  <c r="AP383" i="6"/>
  <c r="AO383" i="6"/>
  <c r="AL383" i="6"/>
  <c r="AK383" i="6"/>
  <c r="AJ383" i="6"/>
  <c r="AI383" i="6"/>
  <c r="AH383" i="6"/>
  <c r="AG383" i="6"/>
  <c r="AF383" i="6"/>
  <c r="N383" i="6"/>
  <c r="O383" i="6" s="1"/>
  <c r="AP382" i="6"/>
  <c r="AO382" i="6"/>
  <c r="AL382" i="6"/>
  <c r="AK382" i="6"/>
  <c r="AJ382" i="6"/>
  <c r="AI382" i="6"/>
  <c r="AH382" i="6"/>
  <c r="AG382" i="6"/>
  <c r="AF382" i="6"/>
  <c r="N382" i="6"/>
  <c r="O382" i="6" s="1"/>
  <c r="AP381" i="6"/>
  <c r="AO381" i="6"/>
  <c r="AL381" i="6"/>
  <c r="AK381" i="6"/>
  <c r="AJ381" i="6"/>
  <c r="AI381" i="6"/>
  <c r="AH381" i="6"/>
  <c r="AG381" i="6"/>
  <c r="AF381" i="6"/>
  <c r="N381" i="6"/>
  <c r="O381" i="6" s="1"/>
  <c r="AP380" i="6"/>
  <c r="AO380" i="6"/>
  <c r="AL380" i="6"/>
  <c r="AK380" i="6"/>
  <c r="AJ380" i="6"/>
  <c r="AI380" i="6"/>
  <c r="AH380" i="6"/>
  <c r="AG380" i="6"/>
  <c r="AF380" i="6"/>
  <c r="N380" i="6"/>
  <c r="O380" i="6" s="1"/>
  <c r="AP379" i="6"/>
  <c r="AO379" i="6"/>
  <c r="AL379" i="6"/>
  <c r="AK379" i="6"/>
  <c r="AJ379" i="6"/>
  <c r="AI379" i="6"/>
  <c r="AH379" i="6"/>
  <c r="AG379" i="6"/>
  <c r="AF379" i="6"/>
  <c r="N379" i="6"/>
  <c r="O379" i="6" s="1"/>
  <c r="AP378" i="6"/>
  <c r="AO378" i="6"/>
  <c r="AL378" i="6"/>
  <c r="AK378" i="6"/>
  <c r="AJ378" i="6"/>
  <c r="AI378" i="6"/>
  <c r="AH378" i="6"/>
  <c r="AG378" i="6"/>
  <c r="AF378" i="6"/>
  <c r="N378" i="6"/>
  <c r="O378" i="6" s="1"/>
  <c r="AP377" i="6"/>
  <c r="AO377" i="6"/>
  <c r="AL377" i="6"/>
  <c r="AK377" i="6"/>
  <c r="AJ377" i="6"/>
  <c r="AI377" i="6"/>
  <c r="AH377" i="6"/>
  <c r="AG377" i="6"/>
  <c r="AF377" i="6"/>
  <c r="N377" i="6"/>
  <c r="O377" i="6" s="1"/>
  <c r="AP376" i="6"/>
  <c r="AO376" i="6"/>
  <c r="AL376" i="6"/>
  <c r="AK376" i="6"/>
  <c r="AJ376" i="6"/>
  <c r="AI376" i="6"/>
  <c r="AH376" i="6"/>
  <c r="AG376" i="6"/>
  <c r="AF376" i="6"/>
  <c r="N376" i="6"/>
  <c r="O376" i="6" s="1"/>
  <c r="AP375" i="6"/>
  <c r="AO375" i="6"/>
  <c r="AL375" i="6"/>
  <c r="AK375" i="6"/>
  <c r="AJ375" i="6"/>
  <c r="AI375" i="6"/>
  <c r="AH375" i="6"/>
  <c r="AG375" i="6"/>
  <c r="AF375" i="6"/>
  <c r="N375" i="6"/>
  <c r="O375" i="6" s="1"/>
  <c r="AP374" i="6"/>
  <c r="AO374" i="6"/>
  <c r="AL374" i="6"/>
  <c r="AK374" i="6"/>
  <c r="AJ374" i="6"/>
  <c r="AI374" i="6"/>
  <c r="AH374" i="6"/>
  <c r="AG374" i="6"/>
  <c r="AF374" i="6"/>
  <c r="N374" i="6"/>
  <c r="O374" i="6" s="1"/>
  <c r="AP373" i="6"/>
  <c r="AO373" i="6"/>
  <c r="AL373" i="6"/>
  <c r="AK373" i="6"/>
  <c r="AJ373" i="6"/>
  <c r="AI373" i="6"/>
  <c r="AH373" i="6"/>
  <c r="AG373" i="6"/>
  <c r="AF373" i="6"/>
  <c r="N373" i="6"/>
  <c r="O373" i="6" s="1"/>
  <c r="AP372" i="6"/>
  <c r="AO372" i="6"/>
  <c r="AL372" i="6"/>
  <c r="AK372" i="6"/>
  <c r="AJ372" i="6"/>
  <c r="AI372" i="6"/>
  <c r="AH372" i="6"/>
  <c r="AG372" i="6"/>
  <c r="AF372" i="6"/>
  <c r="N372" i="6"/>
  <c r="O372" i="6" s="1"/>
  <c r="AP371" i="6"/>
  <c r="AO371" i="6"/>
  <c r="AL371" i="6"/>
  <c r="AK371" i="6"/>
  <c r="AJ371" i="6"/>
  <c r="AI371" i="6"/>
  <c r="AH371" i="6"/>
  <c r="AG371" i="6"/>
  <c r="AF371" i="6"/>
  <c r="N371" i="6"/>
  <c r="O371" i="6" s="1"/>
  <c r="AP370" i="6"/>
  <c r="AO370" i="6"/>
  <c r="AL370" i="6"/>
  <c r="AK370" i="6"/>
  <c r="AJ370" i="6"/>
  <c r="AI370" i="6"/>
  <c r="AH370" i="6"/>
  <c r="AG370" i="6"/>
  <c r="AF370" i="6"/>
  <c r="N370" i="6"/>
  <c r="O370" i="6" s="1"/>
  <c r="AP369" i="6"/>
  <c r="AO369" i="6"/>
  <c r="AL369" i="6"/>
  <c r="AK369" i="6"/>
  <c r="AJ369" i="6"/>
  <c r="AI369" i="6"/>
  <c r="AH369" i="6"/>
  <c r="AG369" i="6"/>
  <c r="AF369" i="6"/>
  <c r="N369" i="6"/>
  <c r="O369" i="6" s="1"/>
  <c r="AP368" i="6"/>
  <c r="AO368" i="6"/>
  <c r="AL368" i="6"/>
  <c r="AK368" i="6"/>
  <c r="AJ368" i="6"/>
  <c r="AI368" i="6"/>
  <c r="AH368" i="6"/>
  <c r="AG368" i="6"/>
  <c r="AF368" i="6"/>
  <c r="N368" i="6"/>
  <c r="O368" i="6" s="1"/>
  <c r="AP367" i="6"/>
  <c r="AO367" i="6"/>
  <c r="AL367" i="6"/>
  <c r="AK367" i="6"/>
  <c r="AJ367" i="6"/>
  <c r="AI367" i="6"/>
  <c r="AH367" i="6"/>
  <c r="AG367" i="6"/>
  <c r="AF367" i="6"/>
  <c r="N367" i="6"/>
  <c r="O367" i="6" s="1"/>
  <c r="AP366" i="6"/>
  <c r="AO366" i="6"/>
  <c r="AL366" i="6"/>
  <c r="AK366" i="6"/>
  <c r="AJ366" i="6"/>
  <c r="AI366" i="6"/>
  <c r="AH366" i="6"/>
  <c r="AG366" i="6"/>
  <c r="AF366" i="6"/>
  <c r="N366" i="6"/>
  <c r="O366" i="6" s="1"/>
  <c r="AP365" i="6"/>
  <c r="AO365" i="6"/>
  <c r="AL365" i="6"/>
  <c r="AK365" i="6"/>
  <c r="AJ365" i="6"/>
  <c r="AI365" i="6"/>
  <c r="AH365" i="6"/>
  <c r="AG365" i="6"/>
  <c r="AF365" i="6"/>
  <c r="N365" i="6"/>
  <c r="O365" i="6" s="1"/>
  <c r="AP364" i="6"/>
  <c r="AO364" i="6"/>
  <c r="AL364" i="6"/>
  <c r="AK364" i="6"/>
  <c r="AJ364" i="6"/>
  <c r="AI364" i="6"/>
  <c r="AH364" i="6"/>
  <c r="AG364" i="6"/>
  <c r="AF364" i="6"/>
  <c r="N364" i="6"/>
  <c r="O364" i="6" s="1"/>
  <c r="AP363" i="6"/>
  <c r="AO363" i="6"/>
  <c r="AL363" i="6"/>
  <c r="AK363" i="6"/>
  <c r="AJ363" i="6"/>
  <c r="AI363" i="6"/>
  <c r="AH363" i="6"/>
  <c r="AG363" i="6"/>
  <c r="AF363" i="6"/>
  <c r="N363" i="6"/>
  <c r="O363" i="6" s="1"/>
  <c r="AP362" i="6"/>
  <c r="AO362" i="6"/>
  <c r="AL362" i="6"/>
  <c r="AK362" i="6"/>
  <c r="AJ362" i="6"/>
  <c r="AI362" i="6"/>
  <c r="AH362" i="6"/>
  <c r="AG362" i="6"/>
  <c r="AF362" i="6"/>
  <c r="N362" i="6"/>
  <c r="O362" i="6" s="1"/>
  <c r="AP361" i="6"/>
  <c r="AO361" i="6"/>
  <c r="AL361" i="6"/>
  <c r="AK361" i="6"/>
  <c r="AJ361" i="6"/>
  <c r="AI361" i="6"/>
  <c r="AH361" i="6"/>
  <c r="AG361" i="6"/>
  <c r="AF361" i="6"/>
  <c r="N361" i="6"/>
  <c r="O361" i="6" s="1"/>
  <c r="AP360" i="6"/>
  <c r="AO360" i="6"/>
  <c r="AL360" i="6"/>
  <c r="AK360" i="6"/>
  <c r="AJ360" i="6"/>
  <c r="AI360" i="6"/>
  <c r="AH360" i="6"/>
  <c r="AG360" i="6"/>
  <c r="AF360" i="6"/>
  <c r="N360" i="6"/>
  <c r="O360" i="6" s="1"/>
  <c r="AP359" i="6"/>
  <c r="AO359" i="6"/>
  <c r="AL359" i="6"/>
  <c r="AK359" i="6"/>
  <c r="AJ359" i="6"/>
  <c r="AI359" i="6"/>
  <c r="AH359" i="6"/>
  <c r="AG359" i="6"/>
  <c r="AF359" i="6"/>
  <c r="N359" i="6"/>
  <c r="O359" i="6" s="1"/>
  <c r="AP358" i="6"/>
  <c r="AO358" i="6"/>
  <c r="AL358" i="6"/>
  <c r="AK358" i="6"/>
  <c r="AJ358" i="6"/>
  <c r="AI358" i="6"/>
  <c r="AH358" i="6"/>
  <c r="AG358" i="6"/>
  <c r="AF358" i="6"/>
  <c r="N358" i="6"/>
  <c r="O358" i="6" s="1"/>
  <c r="AP357" i="6"/>
  <c r="AO357" i="6"/>
  <c r="AL357" i="6"/>
  <c r="AK357" i="6"/>
  <c r="AJ357" i="6"/>
  <c r="AI357" i="6"/>
  <c r="AH357" i="6"/>
  <c r="AG357" i="6"/>
  <c r="AF357" i="6"/>
  <c r="N357" i="6"/>
  <c r="O357" i="6" s="1"/>
  <c r="AP356" i="6"/>
  <c r="AO356" i="6"/>
  <c r="AL356" i="6"/>
  <c r="AK356" i="6"/>
  <c r="AJ356" i="6"/>
  <c r="AI356" i="6"/>
  <c r="AH356" i="6"/>
  <c r="AG356" i="6"/>
  <c r="AF356" i="6"/>
  <c r="N356" i="6"/>
  <c r="O356" i="6" s="1"/>
  <c r="AP355" i="6"/>
  <c r="AO355" i="6"/>
  <c r="AL355" i="6"/>
  <c r="AK355" i="6"/>
  <c r="AJ355" i="6"/>
  <c r="AI355" i="6"/>
  <c r="AH355" i="6"/>
  <c r="AG355" i="6"/>
  <c r="AF355" i="6"/>
  <c r="N355" i="6"/>
  <c r="O355" i="6" s="1"/>
  <c r="AP354" i="6"/>
  <c r="AO354" i="6"/>
  <c r="AL354" i="6"/>
  <c r="AK354" i="6"/>
  <c r="AJ354" i="6"/>
  <c r="AI354" i="6"/>
  <c r="AH354" i="6"/>
  <c r="AG354" i="6"/>
  <c r="AF354" i="6"/>
  <c r="N354" i="6"/>
  <c r="O354" i="6" s="1"/>
  <c r="AP353" i="6"/>
  <c r="AO353" i="6"/>
  <c r="AL353" i="6"/>
  <c r="AK353" i="6"/>
  <c r="AJ353" i="6"/>
  <c r="AI353" i="6"/>
  <c r="AH353" i="6"/>
  <c r="AG353" i="6"/>
  <c r="AF353" i="6"/>
  <c r="N353" i="6"/>
  <c r="O353" i="6" s="1"/>
  <c r="AP352" i="6"/>
  <c r="AO352" i="6"/>
  <c r="AL352" i="6"/>
  <c r="AK352" i="6"/>
  <c r="AJ352" i="6"/>
  <c r="AI352" i="6"/>
  <c r="AH352" i="6"/>
  <c r="AG352" i="6"/>
  <c r="AF352" i="6"/>
  <c r="N352" i="6"/>
  <c r="O352" i="6" s="1"/>
  <c r="AP351" i="6"/>
  <c r="AO351" i="6"/>
  <c r="AL351" i="6"/>
  <c r="AK351" i="6"/>
  <c r="AJ351" i="6"/>
  <c r="AI351" i="6"/>
  <c r="AH351" i="6"/>
  <c r="AG351" i="6"/>
  <c r="AF351" i="6"/>
  <c r="N351" i="6"/>
  <c r="O351" i="6" s="1"/>
  <c r="AP350" i="6"/>
  <c r="AO350" i="6"/>
  <c r="AL350" i="6"/>
  <c r="AK350" i="6"/>
  <c r="AJ350" i="6"/>
  <c r="AI350" i="6"/>
  <c r="AH350" i="6"/>
  <c r="AG350" i="6"/>
  <c r="AF350" i="6"/>
  <c r="N350" i="6"/>
  <c r="O350" i="6" s="1"/>
  <c r="AP349" i="6"/>
  <c r="AO349" i="6"/>
  <c r="AL349" i="6"/>
  <c r="AK349" i="6"/>
  <c r="AJ349" i="6"/>
  <c r="AI349" i="6"/>
  <c r="AH349" i="6"/>
  <c r="AG349" i="6"/>
  <c r="AF349" i="6"/>
  <c r="N349" i="6"/>
  <c r="O349" i="6" s="1"/>
  <c r="AP348" i="6"/>
  <c r="AO348" i="6"/>
  <c r="AL348" i="6"/>
  <c r="AK348" i="6"/>
  <c r="AJ348" i="6"/>
  <c r="AI348" i="6"/>
  <c r="AH348" i="6"/>
  <c r="AG348" i="6"/>
  <c r="AF348" i="6"/>
  <c r="N348" i="6"/>
  <c r="O348" i="6" s="1"/>
  <c r="AP347" i="6"/>
  <c r="AO347" i="6"/>
  <c r="AL347" i="6"/>
  <c r="AK347" i="6"/>
  <c r="AJ347" i="6"/>
  <c r="AI347" i="6"/>
  <c r="AH347" i="6"/>
  <c r="AG347" i="6"/>
  <c r="AF347" i="6"/>
  <c r="N347" i="6"/>
  <c r="O347" i="6" s="1"/>
  <c r="AP346" i="6"/>
  <c r="AO346" i="6"/>
  <c r="AL346" i="6"/>
  <c r="AK346" i="6"/>
  <c r="AJ346" i="6"/>
  <c r="AI346" i="6"/>
  <c r="AH346" i="6"/>
  <c r="AG346" i="6"/>
  <c r="AF346" i="6"/>
  <c r="N346" i="6"/>
  <c r="O346" i="6" s="1"/>
  <c r="AP345" i="6"/>
  <c r="AO345" i="6"/>
  <c r="AL345" i="6"/>
  <c r="AK345" i="6"/>
  <c r="AJ345" i="6"/>
  <c r="AI345" i="6"/>
  <c r="AH345" i="6"/>
  <c r="AG345" i="6"/>
  <c r="AF345" i="6"/>
  <c r="N345" i="6"/>
  <c r="O345" i="6" s="1"/>
  <c r="AP344" i="6"/>
  <c r="AO344" i="6"/>
  <c r="AL344" i="6"/>
  <c r="AK344" i="6"/>
  <c r="AJ344" i="6"/>
  <c r="AI344" i="6"/>
  <c r="AH344" i="6"/>
  <c r="AG344" i="6"/>
  <c r="AF344" i="6"/>
  <c r="N344" i="6"/>
  <c r="O344" i="6" s="1"/>
  <c r="AP343" i="6"/>
  <c r="AO343" i="6"/>
  <c r="AL343" i="6"/>
  <c r="AK343" i="6"/>
  <c r="AJ343" i="6"/>
  <c r="AI343" i="6"/>
  <c r="AH343" i="6"/>
  <c r="AG343" i="6"/>
  <c r="AF343" i="6"/>
  <c r="N343" i="6"/>
  <c r="O343" i="6" s="1"/>
  <c r="AP342" i="6"/>
  <c r="AO342" i="6"/>
  <c r="AL342" i="6"/>
  <c r="AK342" i="6"/>
  <c r="AJ342" i="6"/>
  <c r="AI342" i="6"/>
  <c r="AH342" i="6"/>
  <c r="AG342" i="6"/>
  <c r="AF342" i="6"/>
  <c r="N342" i="6"/>
  <c r="O342" i="6" s="1"/>
  <c r="AP341" i="6"/>
  <c r="AO341" i="6"/>
  <c r="AL341" i="6"/>
  <c r="AK341" i="6"/>
  <c r="AJ341" i="6"/>
  <c r="AI341" i="6"/>
  <c r="AH341" i="6"/>
  <c r="AG341" i="6"/>
  <c r="AF341" i="6"/>
  <c r="N341" i="6"/>
  <c r="O341" i="6" s="1"/>
  <c r="AP340" i="6"/>
  <c r="AO340" i="6"/>
  <c r="AL340" i="6"/>
  <c r="AK340" i="6"/>
  <c r="AJ340" i="6"/>
  <c r="AI340" i="6"/>
  <c r="AH340" i="6"/>
  <c r="AG340" i="6"/>
  <c r="AF340" i="6"/>
  <c r="N340" i="6"/>
  <c r="O340" i="6" s="1"/>
  <c r="AP339" i="6"/>
  <c r="AO339" i="6"/>
  <c r="AL339" i="6"/>
  <c r="AK339" i="6"/>
  <c r="AJ339" i="6"/>
  <c r="AI339" i="6"/>
  <c r="AH339" i="6"/>
  <c r="AG339" i="6"/>
  <c r="AF339" i="6"/>
  <c r="N339" i="6"/>
  <c r="O339" i="6" s="1"/>
  <c r="AP338" i="6"/>
  <c r="AO338" i="6"/>
  <c r="AL338" i="6"/>
  <c r="AK338" i="6"/>
  <c r="AJ338" i="6"/>
  <c r="AI338" i="6"/>
  <c r="AH338" i="6"/>
  <c r="AG338" i="6"/>
  <c r="AF338" i="6"/>
  <c r="N338" i="6"/>
  <c r="O338" i="6" s="1"/>
  <c r="AP337" i="6"/>
  <c r="AO337" i="6"/>
  <c r="AL337" i="6"/>
  <c r="AK337" i="6"/>
  <c r="AJ337" i="6"/>
  <c r="AI337" i="6"/>
  <c r="AH337" i="6"/>
  <c r="AG337" i="6"/>
  <c r="AF337" i="6"/>
  <c r="N337" i="6"/>
  <c r="O337" i="6" s="1"/>
  <c r="AP336" i="6"/>
  <c r="AO336" i="6"/>
  <c r="AL336" i="6"/>
  <c r="AK336" i="6"/>
  <c r="AJ336" i="6"/>
  <c r="AI336" i="6"/>
  <c r="AH336" i="6"/>
  <c r="AG336" i="6"/>
  <c r="AF336" i="6"/>
  <c r="N336" i="6"/>
  <c r="O336" i="6" s="1"/>
  <c r="AP335" i="6"/>
  <c r="AO335" i="6"/>
  <c r="AL335" i="6"/>
  <c r="AK335" i="6"/>
  <c r="AJ335" i="6"/>
  <c r="AI335" i="6"/>
  <c r="AH335" i="6"/>
  <c r="AG335" i="6"/>
  <c r="AF335" i="6"/>
  <c r="N335" i="6"/>
  <c r="O335" i="6" s="1"/>
  <c r="AP334" i="6"/>
  <c r="AO334" i="6"/>
  <c r="AL334" i="6"/>
  <c r="AK334" i="6"/>
  <c r="AJ334" i="6"/>
  <c r="AI334" i="6"/>
  <c r="AH334" i="6"/>
  <c r="AG334" i="6"/>
  <c r="AF334" i="6"/>
  <c r="N334" i="6"/>
  <c r="O334" i="6" s="1"/>
  <c r="AP333" i="6"/>
  <c r="AO333" i="6"/>
  <c r="AL333" i="6"/>
  <c r="AK333" i="6"/>
  <c r="AJ333" i="6"/>
  <c r="AI333" i="6"/>
  <c r="AH333" i="6"/>
  <c r="AG333" i="6"/>
  <c r="AF333" i="6"/>
  <c r="N333" i="6"/>
  <c r="O333" i="6" s="1"/>
  <c r="AP332" i="6"/>
  <c r="AO332" i="6"/>
  <c r="AL332" i="6"/>
  <c r="AK332" i="6"/>
  <c r="AJ332" i="6"/>
  <c r="AI332" i="6"/>
  <c r="AH332" i="6"/>
  <c r="AG332" i="6"/>
  <c r="AF332" i="6"/>
  <c r="N332" i="6"/>
  <c r="O332" i="6" s="1"/>
  <c r="AP331" i="6"/>
  <c r="AO331" i="6"/>
  <c r="AL331" i="6"/>
  <c r="AK331" i="6"/>
  <c r="AJ331" i="6"/>
  <c r="AI331" i="6"/>
  <c r="AH331" i="6"/>
  <c r="AG331" i="6"/>
  <c r="AF331" i="6"/>
  <c r="N331" i="6"/>
  <c r="O331" i="6" s="1"/>
  <c r="AP330" i="6"/>
  <c r="AO330" i="6"/>
  <c r="AL330" i="6"/>
  <c r="AK330" i="6"/>
  <c r="AJ330" i="6"/>
  <c r="AI330" i="6"/>
  <c r="AH330" i="6"/>
  <c r="AG330" i="6"/>
  <c r="AF330" i="6"/>
  <c r="N330" i="6"/>
  <c r="O330" i="6" s="1"/>
  <c r="AP329" i="6"/>
  <c r="AO329" i="6"/>
  <c r="AL329" i="6"/>
  <c r="AK329" i="6"/>
  <c r="AJ329" i="6"/>
  <c r="AI329" i="6"/>
  <c r="AH329" i="6"/>
  <c r="AG329" i="6"/>
  <c r="AF329" i="6"/>
  <c r="N329" i="6"/>
  <c r="O329" i="6" s="1"/>
  <c r="AP328" i="6"/>
  <c r="AO328" i="6"/>
  <c r="AL328" i="6"/>
  <c r="AK328" i="6"/>
  <c r="AJ328" i="6"/>
  <c r="AI328" i="6"/>
  <c r="AH328" i="6"/>
  <c r="AG328" i="6"/>
  <c r="AF328" i="6"/>
  <c r="N328" i="6"/>
  <c r="O328" i="6" s="1"/>
  <c r="AP327" i="6"/>
  <c r="AO327" i="6"/>
  <c r="AL327" i="6"/>
  <c r="AK327" i="6"/>
  <c r="AJ327" i="6"/>
  <c r="AI327" i="6"/>
  <c r="AH327" i="6"/>
  <c r="AG327" i="6"/>
  <c r="AF327" i="6"/>
  <c r="N327" i="6"/>
  <c r="O327" i="6" s="1"/>
  <c r="AP326" i="6"/>
  <c r="AO326" i="6"/>
  <c r="AL326" i="6"/>
  <c r="AK326" i="6"/>
  <c r="AJ326" i="6"/>
  <c r="AI326" i="6"/>
  <c r="AH326" i="6"/>
  <c r="AG326" i="6"/>
  <c r="AF326" i="6"/>
  <c r="N326" i="6"/>
  <c r="O326" i="6" s="1"/>
  <c r="AP325" i="6"/>
  <c r="AO325" i="6"/>
  <c r="AL325" i="6"/>
  <c r="AK325" i="6"/>
  <c r="AJ325" i="6"/>
  <c r="AI325" i="6"/>
  <c r="AH325" i="6"/>
  <c r="AG325" i="6"/>
  <c r="AF325" i="6"/>
  <c r="N325" i="6"/>
  <c r="O325" i="6" s="1"/>
  <c r="AP324" i="6"/>
  <c r="AO324" i="6"/>
  <c r="AL324" i="6"/>
  <c r="AK324" i="6"/>
  <c r="AJ324" i="6"/>
  <c r="AI324" i="6"/>
  <c r="AH324" i="6"/>
  <c r="AG324" i="6"/>
  <c r="AF324" i="6"/>
  <c r="N324" i="6"/>
  <c r="O324" i="6" s="1"/>
  <c r="AP323" i="6"/>
  <c r="AO323" i="6"/>
  <c r="AL323" i="6"/>
  <c r="AK323" i="6"/>
  <c r="AJ323" i="6"/>
  <c r="AI323" i="6"/>
  <c r="AH323" i="6"/>
  <c r="AG323" i="6"/>
  <c r="AF323" i="6"/>
  <c r="N323" i="6"/>
  <c r="O323" i="6" s="1"/>
  <c r="AP322" i="6"/>
  <c r="AO322" i="6"/>
  <c r="AL322" i="6"/>
  <c r="AK322" i="6"/>
  <c r="AJ322" i="6"/>
  <c r="AI322" i="6"/>
  <c r="AH322" i="6"/>
  <c r="AG322" i="6"/>
  <c r="AF322" i="6"/>
  <c r="N322" i="6"/>
  <c r="O322" i="6" s="1"/>
  <c r="AP321" i="6"/>
  <c r="AO321" i="6"/>
  <c r="AL321" i="6"/>
  <c r="AK321" i="6"/>
  <c r="AJ321" i="6"/>
  <c r="AI321" i="6"/>
  <c r="AH321" i="6"/>
  <c r="AG321" i="6"/>
  <c r="AF321" i="6"/>
  <c r="N321" i="6"/>
  <c r="O321" i="6" s="1"/>
  <c r="AP320" i="6"/>
  <c r="AO320" i="6"/>
  <c r="AL320" i="6"/>
  <c r="AK320" i="6"/>
  <c r="AJ320" i="6"/>
  <c r="AI320" i="6"/>
  <c r="AH320" i="6"/>
  <c r="AG320" i="6"/>
  <c r="AF320" i="6"/>
  <c r="N320" i="6"/>
  <c r="O320" i="6" s="1"/>
  <c r="AP319" i="6"/>
  <c r="AO319" i="6"/>
  <c r="AL319" i="6"/>
  <c r="AK319" i="6"/>
  <c r="AJ319" i="6"/>
  <c r="AI319" i="6"/>
  <c r="AH319" i="6"/>
  <c r="AG319" i="6"/>
  <c r="AF319" i="6"/>
  <c r="N319" i="6"/>
  <c r="O319" i="6" s="1"/>
  <c r="AP318" i="6"/>
  <c r="AO318" i="6"/>
  <c r="AL318" i="6"/>
  <c r="AK318" i="6"/>
  <c r="AJ318" i="6"/>
  <c r="AI318" i="6"/>
  <c r="AH318" i="6"/>
  <c r="AG318" i="6"/>
  <c r="AF318" i="6"/>
  <c r="N318" i="6"/>
  <c r="O318" i="6" s="1"/>
  <c r="AP317" i="6"/>
  <c r="AO317" i="6"/>
  <c r="AL317" i="6"/>
  <c r="AK317" i="6"/>
  <c r="AJ317" i="6"/>
  <c r="AI317" i="6"/>
  <c r="AH317" i="6"/>
  <c r="AG317" i="6"/>
  <c r="AF317" i="6"/>
  <c r="N317" i="6"/>
  <c r="O317" i="6" s="1"/>
  <c r="AP316" i="6"/>
  <c r="AO316" i="6"/>
  <c r="AL316" i="6"/>
  <c r="AK316" i="6"/>
  <c r="AJ316" i="6"/>
  <c r="AI316" i="6"/>
  <c r="AH316" i="6"/>
  <c r="AG316" i="6"/>
  <c r="AF316" i="6"/>
  <c r="N316" i="6"/>
  <c r="O316" i="6" s="1"/>
  <c r="AP315" i="6"/>
  <c r="AO315" i="6"/>
  <c r="AL315" i="6"/>
  <c r="AK315" i="6"/>
  <c r="AJ315" i="6"/>
  <c r="AI315" i="6"/>
  <c r="AH315" i="6"/>
  <c r="AG315" i="6"/>
  <c r="AF315" i="6"/>
  <c r="N315" i="6"/>
  <c r="O315" i="6" s="1"/>
  <c r="AP314" i="6"/>
  <c r="AO314" i="6"/>
  <c r="AL314" i="6"/>
  <c r="AK314" i="6"/>
  <c r="AJ314" i="6"/>
  <c r="AI314" i="6"/>
  <c r="AH314" i="6"/>
  <c r="AG314" i="6"/>
  <c r="AF314" i="6"/>
  <c r="N314" i="6"/>
  <c r="O314" i="6" s="1"/>
  <c r="AP313" i="6"/>
  <c r="AO313" i="6"/>
  <c r="AL313" i="6"/>
  <c r="AK313" i="6"/>
  <c r="AJ313" i="6"/>
  <c r="AI313" i="6"/>
  <c r="AH313" i="6"/>
  <c r="AG313" i="6"/>
  <c r="AF313" i="6"/>
  <c r="N313" i="6"/>
  <c r="O313" i="6" s="1"/>
  <c r="AP312" i="6"/>
  <c r="AO312" i="6"/>
  <c r="AL312" i="6"/>
  <c r="AK312" i="6"/>
  <c r="AJ312" i="6"/>
  <c r="AI312" i="6"/>
  <c r="AH312" i="6"/>
  <c r="AG312" i="6"/>
  <c r="AF312" i="6"/>
  <c r="N312" i="6"/>
  <c r="O312" i="6" s="1"/>
  <c r="AP311" i="6"/>
  <c r="AO311" i="6"/>
  <c r="AL311" i="6"/>
  <c r="AK311" i="6"/>
  <c r="AJ311" i="6"/>
  <c r="AI311" i="6"/>
  <c r="AH311" i="6"/>
  <c r="AG311" i="6"/>
  <c r="AF311" i="6"/>
  <c r="N311" i="6"/>
  <c r="O311" i="6" s="1"/>
  <c r="AP310" i="6"/>
  <c r="AO310" i="6"/>
  <c r="AL310" i="6"/>
  <c r="AK310" i="6"/>
  <c r="AJ310" i="6"/>
  <c r="AI310" i="6"/>
  <c r="AH310" i="6"/>
  <c r="AG310" i="6"/>
  <c r="AF310" i="6"/>
  <c r="N310" i="6"/>
  <c r="O310" i="6" s="1"/>
  <c r="AP309" i="6"/>
  <c r="AO309" i="6"/>
  <c r="AL309" i="6"/>
  <c r="AK309" i="6"/>
  <c r="AJ309" i="6"/>
  <c r="AI309" i="6"/>
  <c r="AH309" i="6"/>
  <c r="AG309" i="6"/>
  <c r="AF309" i="6"/>
  <c r="N309" i="6"/>
  <c r="O309" i="6" s="1"/>
  <c r="AP308" i="6"/>
  <c r="AO308" i="6"/>
  <c r="AL308" i="6"/>
  <c r="AK308" i="6"/>
  <c r="AJ308" i="6"/>
  <c r="AI308" i="6"/>
  <c r="AH308" i="6"/>
  <c r="AG308" i="6"/>
  <c r="AF308" i="6"/>
  <c r="N308" i="6"/>
  <c r="O308" i="6" s="1"/>
  <c r="AP307" i="6"/>
  <c r="AO307" i="6"/>
  <c r="AL307" i="6"/>
  <c r="AK307" i="6"/>
  <c r="AJ307" i="6"/>
  <c r="AI307" i="6"/>
  <c r="AH307" i="6"/>
  <c r="AG307" i="6"/>
  <c r="AF307" i="6"/>
  <c r="N307" i="6"/>
  <c r="O307" i="6" s="1"/>
  <c r="AP306" i="6"/>
  <c r="AO306" i="6"/>
  <c r="AL306" i="6"/>
  <c r="AK306" i="6"/>
  <c r="AJ306" i="6"/>
  <c r="AI306" i="6"/>
  <c r="AH306" i="6"/>
  <c r="AG306" i="6"/>
  <c r="AF306" i="6"/>
  <c r="N306" i="6"/>
  <c r="O306" i="6" s="1"/>
  <c r="AP305" i="6"/>
  <c r="AO305" i="6"/>
  <c r="AL305" i="6"/>
  <c r="AK305" i="6"/>
  <c r="AJ305" i="6"/>
  <c r="AI305" i="6"/>
  <c r="AH305" i="6"/>
  <c r="AG305" i="6"/>
  <c r="AF305" i="6"/>
  <c r="N305" i="6"/>
  <c r="O305" i="6" s="1"/>
  <c r="AP304" i="6"/>
  <c r="AO304" i="6"/>
  <c r="AL304" i="6"/>
  <c r="AK304" i="6"/>
  <c r="AJ304" i="6"/>
  <c r="AI304" i="6"/>
  <c r="AH304" i="6"/>
  <c r="AG304" i="6"/>
  <c r="AF304" i="6"/>
  <c r="N304" i="6"/>
  <c r="O304" i="6" s="1"/>
  <c r="AP303" i="6"/>
  <c r="AO303" i="6"/>
  <c r="AL303" i="6"/>
  <c r="AK303" i="6"/>
  <c r="AJ303" i="6"/>
  <c r="AI303" i="6"/>
  <c r="AH303" i="6"/>
  <c r="AG303" i="6"/>
  <c r="AF303" i="6"/>
  <c r="N303" i="6"/>
  <c r="O303" i="6" s="1"/>
  <c r="AP302" i="6"/>
  <c r="AO302" i="6"/>
  <c r="AL302" i="6"/>
  <c r="AK302" i="6"/>
  <c r="AJ302" i="6"/>
  <c r="AI302" i="6"/>
  <c r="AH302" i="6"/>
  <c r="AG302" i="6"/>
  <c r="AF302" i="6"/>
  <c r="N302" i="6"/>
  <c r="O302" i="6" s="1"/>
  <c r="AP301" i="6"/>
  <c r="AO301" i="6"/>
  <c r="AL301" i="6"/>
  <c r="AK301" i="6"/>
  <c r="AJ301" i="6"/>
  <c r="AI301" i="6"/>
  <c r="AH301" i="6"/>
  <c r="AG301" i="6"/>
  <c r="AF301" i="6"/>
  <c r="N301" i="6"/>
  <c r="O301" i="6" s="1"/>
  <c r="AP300" i="6"/>
  <c r="AO300" i="6"/>
  <c r="AL300" i="6"/>
  <c r="AK300" i="6"/>
  <c r="AJ300" i="6"/>
  <c r="AI300" i="6"/>
  <c r="AH300" i="6"/>
  <c r="AG300" i="6"/>
  <c r="AF300" i="6"/>
  <c r="N300" i="6"/>
  <c r="O300" i="6" s="1"/>
  <c r="AP299" i="6"/>
  <c r="AO299" i="6"/>
  <c r="AL299" i="6"/>
  <c r="AK299" i="6"/>
  <c r="AJ299" i="6"/>
  <c r="AI299" i="6"/>
  <c r="AH299" i="6"/>
  <c r="AG299" i="6"/>
  <c r="AF299" i="6"/>
  <c r="N299" i="6"/>
  <c r="O299" i="6" s="1"/>
  <c r="AP298" i="6"/>
  <c r="AO298" i="6"/>
  <c r="AL298" i="6"/>
  <c r="AK298" i="6"/>
  <c r="AJ298" i="6"/>
  <c r="AI298" i="6"/>
  <c r="AH298" i="6"/>
  <c r="AG298" i="6"/>
  <c r="AF298" i="6"/>
  <c r="N298" i="6"/>
  <c r="O298" i="6" s="1"/>
  <c r="AP297" i="6"/>
  <c r="AO297" i="6"/>
  <c r="AL297" i="6"/>
  <c r="AK297" i="6"/>
  <c r="AJ297" i="6"/>
  <c r="AI297" i="6"/>
  <c r="AH297" i="6"/>
  <c r="AG297" i="6"/>
  <c r="AF297" i="6"/>
  <c r="N297" i="6"/>
  <c r="O297" i="6" s="1"/>
  <c r="AP296" i="6"/>
  <c r="AO296" i="6"/>
  <c r="AL296" i="6"/>
  <c r="AK296" i="6"/>
  <c r="AJ296" i="6"/>
  <c r="AI296" i="6"/>
  <c r="AH296" i="6"/>
  <c r="AG296" i="6"/>
  <c r="AF296" i="6"/>
  <c r="N296" i="6"/>
  <c r="O296" i="6" s="1"/>
  <c r="AP295" i="6"/>
  <c r="AO295" i="6"/>
  <c r="AL295" i="6"/>
  <c r="AK295" i="6"/>
  <c r="AJ295" i="6"/>
  <c r="AI295" i="6"/>
  <c r="AH295" i="6"/>
  <c r="AG295" i="6"/>
  <c r="AF295" i="6"/>
  <c r="N295" i="6"/>
  <c r="O295" i="6" s="1"/>
  <c r="AP294" i="6"/>
  <c r="AO294" i="6"/>
  <c r="AL294" i="6"/>
  <c r="AK294" i="6"/>
  <c r="AJ294" i="6"/>
  <c r="AI294" i="6"/>
  <c r="AH294" i="6"/>
  <c r="AG294" i="6"/>
  <c r="AF294" i="6"/>
  <c r="N294" i="6"/>
  <c r="O294" i="6" s="1"/>
  <c r="AP293" i="6"/>
  <c r="AO293" i="6"/>
  <c r="AL293" i="6"/>
  <c r="AK293" i="6"/>
  <c r="AJ293" i="6"/>
  <c r="AI293" i="6"/>
  <c r="AH293" i="6"/>
  <c r="AG293" i="6"/>
  <c r="AF293" i="6"/>
  <c r="N293" i="6"/>
  <c r="O293" i="6" s="1"/>
  <c r="AP292" i="6"/>
  <c r="AO292" i="6"/>
  <c r="AL292" i="6"/>
  <c r="AK292" i="6"/>
  <c r="AJ292" i="6"/>
  <c r="AI292" i="6"/>
  <c r="AH292" i="6"/>
  <c r="AG292" i="6"/>
  <c r="AF292" i="6"/>
  <c r="N292" i="6"/>
  <c r="O292" i="6" s="1"/>
  <c r="AP291" i="6"/>
  <c r="AO291" i="6"/>
  <c r="AL291" i="6"/>
  <c r="AK291" i="6"/>
  <c r="AJ291" i="6"/>
  <c r="AI291" i="6"/>
  <c r="AH291" i="6"/>
  <c r="AG291" i="6"/>
  <c r="AF291" i="6"/>
  <c r="N291" i="6"/>
  <c r="O291" i="6" s="1"/>
  <c r="AP290" i="6"/>
  <c r="AO290" i="6"/>
  <c r="AL290" i="6"/>
  <c r="AK290" i="6"/>
  <c r="AJ290" i="6"/>
  <c r="AI290" i="6"/>
  <c r="AH290" i="6"/>
  <c r="AG290" i="6"/>
  <c r="AF290" i="6"/>
  <c r="N290" i="6"/>
  <c r="O290" i="6" s="1"/>
  <c r="AP289" i="6"/>
  <c r="AO289" i="6"/>
  <c r="AL289" i="6"/>
  <c r="AK289" i="6"/>
  <c r="AJ289" i="6"/>
  <c r="AI289" i="6"/>
  <c r="AH289" i="6"/>
  <c r="AG289" i="6"/>
  <c r="AF289" i="6"/>
  <c r="N289" i="6"/>
  <c r="O289" i="6" s="1"/>
  <c r="AP288" i="6"/>
  <c r="AO288" i="6"/>
  <c r="AL288" i="6"/>
  <c r="AK288" i="6"/>
  <c r="AJ288" i="6"/>
  <c r="AI288" i="6"/>
  <c r="AH288" i="6"/>
  <c r="AG288" i="6"/>
  <c r="AF288" i="6"/>
  <c r="N288" i="6"/>
  <c r="O288" i="6" s="1"/>
  <c r="AP287" i="6"/>
  <c r="AO287" i="6"/>
  <c r="AL287" i="6"/>
  <c r="AK287" i="6"/>
  <c r="AJ287" i="6"/>
  <c r="AI287" i="6"/>
  <c r="AH287" i="6"/>
  <c r="AG287" i="6"/>
  <c r="AF287" i="6"/>
  <c r="N287" i="6"/>
  <c r="O287" i="6" s="1"/>
  <c r="AP286" i="6"/>
  <c r="AO286" i="6"/>
  <c r="AL286" i="6"/>
  <c r="AK286" i="6"/>
  <c r="AJ286" i="6"/>
  <c r="AI286" i="6"/>
  <c r="AH286" i="6"/>
  <c r="AG286" i="6"/>
  <c r="AF286" i="6"/>
  <c r="N286" i="6"/>
  <c r="O286" i="6" s="1"/>
  <c r="AP285" i="6"/>
  <c r="AO285" i="6"/>
  <c r="AL285" i="6"/>
  <c r="AK285" i="6"/>
  <c r="AJ285" i="6"/>
  <c r="AI285" i="6"/>
  <c r="AH285" i="6"/>
  <c r="AG285" i="6"/>
  <c r="AF285" i="6"/>
  <c r="N285" i="6"/>
  <c r="O285" i="6" s="1"/>
  <c r="AP284" i="6"/>
  <c r="AO284" i="6"/>
  <c r="AL284" i="6"/>
  <c r="AK284" i="6"/>
  <c r="AJ284" i="6"/>
  <c r="AI284" i="6"/>
  <c r="AH284" i="6"/>
  <c r="AG284" i="6"/>
  <c r="AF284" i="6"/>
  <c r="N284" i="6"/>
  <c r="O284" i="6" s="1"/>
  <c r="AP283" i="6"/>
  <c r="AO283" i="6"/>
  <c r="AL283" i="6"/>
  <c r="AK283" i="6"/>
  <c r="AJ283" i="6"/>
  <c r="AI283" i="6"/>
  <c r="AH283" i="6"/>
  <c r="AG283" i="6"/>
  <c r="AF283" i="6"/>
  <c r="N283" i="6"/>
  <c r="O283" i="6" s="1"/>
  <c r="AP282" i="6"/>
  <c r="AO282" i="6"/>
  <c r="AL282" i="6"/>
  <c r="AK282" i="6"/>
  <c r="AJ282" i="6"/>
  <c r="AI282" i="6"/>
  <c r="AH282" i="6"/>
  <c r="AG282" i="6"/>
  <c r="AF282" i="6"/>
  <c r="N282" i="6"/>
  <c r="O282" i="6" s="1"/>
  <c r="AP281" i="6"/>
  <c r="AO281" i="6"/>
  <c r="AL281" i="6"/>
  <c r="AK281" i="6"/>
  <c r="AJ281" i="6"/>
  <c r="AI281" i="6"/>
  <c r="AH281" i="6"/>
  <c r="AG281" i="6"/>
  <c r="AF281" i="6"/>
  <c r="N281" i="6"/>
  <c r="O281" i="6" s="1"/>
  <c r="AP280" i="6"/>
  <c r="AO280" i="6"/>
  <c r="AL280" i="6"/>
  <c r="AK280" i="6"/>
  <c r="AJ280" i="6"/>
  <c r="AI280" i="6"/>
  <c r="AH280" i="6"/>
  <c r="AG280" i="6"/>
  <c r="AF280" i="6"/>
  <c r="N280" i="6"/>
  <c r="O280" i="6" s="1"/>
  <c r="AP279" i="6"/>
  <c r="AO279" i="6"/>
  <c r="AL279" i="6"/>
  <c r="AK279" i="6"/>
  <c r="AJ279" i="6"/>
  <c r="AI279" i="6"/>
  <c r="AH279" i="6"/>
  <c r="AG279" i="6"/>
  <c r="AF279" i="6"/>
  <c r="N279" i="6"/>
  <c r="O279" i="6" s="1"/>
  <c r="AP278" i="6"/>
  <c r="AO278" i="6"/>
  <c r="AL278" i="6"/>
  <c r="AK278" i="6"/>
  <c r="AJ278" i="6"/>
  <c r="AI278" i="6"/>
  <c r="AH278" i="6"/>
  <c r="AG278" i="6"/>
  <c r="AF278" i="6"/>
  <c r="N278" i="6"/>
  <c r="O278" i="6" s="1"/>
  <c r="AP277" i="6"/>
  <c r="AO277" i="6"/>
  <c r="AL277" i="6"/>
  <c r="AK277" i="6"/>
  <c r="AJ277" i="6"/>
  <c r="AI277" i="6"/>
  <c r="AH277" i="6"/>
  <c r="AG277" i="6"/>
  <c r="AF277" i="6"/>
  <c r="N277" i="6"/>
  <c r="O277" i="6" s="1"/>
  <c r="AP276" i="6"/>
  <c r="AO276" i="6"/>
  <c r="AL276" i="6"/>
  <c r="AK276" i="6"/>
  <c r="AJ276" i="6"/>
  <c r="AI276" i="6"/>
  <c r="AH276" i="6"/>
  <c r="AG276" i="6"/>
  <c r="AF276" i="6"/>
  <c r="N276" i="6"/>
  <c r="O276" i="6" s="1"/>
  <c r="AP275" i="6"/>
  <c r="AO275" i="6"/>
  <c r="AL275" i="6"/>
  <c r="AK275" i="6"/>
  <c r="AJ275" i="6"/>
  <c r="AI275" i="6"/>
  <c r="AH275" i="6"/>
  <c r="AG275" i="6"/>
  <c r="AF275" i="6"/>
  <c r="N275" i="6"/>
  <c r="O275" i="6" s="1"/>
  <c r="AP274" i="6"/>
  <c r="AO274" i="6"/>
  <c r="AL274" i="6"/>
  <c r="AK274" i="6"/>
  <c r="AJ274" i="6"/>
  <c r="AI274" i="6"/>
  <c r="AH274" i="6"/>
  <c r="AG274" i="6"/>
  <c r="AF274" i="6"/>
  <c r="N274" i="6"/>
  <c r="O274" i="6" s="1"/>
  <c r="AP273" i="6"/>
  <c r="AO273" i="6"/>
  <c r="AL273" i="6"/>
  <c r="AK273" i="6"/>
  <c r="AJ273" i="6"/>
  <c r="AI273" i="6"/>
  <c r="AH273" i="6"/>
  <c r="AG273" i="6"/>
  <c r="AF273" i="6"/>
  <c r="N273" i="6"/>
  <c r="O273" i="6" s="1"/>
  <c r="AP272" i="6"/>
  <c r="AO272" i="6"/>
  <c r="AL272" i="6"/>
  <c r="AK272" i="6"/>
  <c r="AJ272" i="6"/>
  <c r="AI272" i="6"/>
  <c r="AH272" i="6"/>
  <c r="AG272" i="6"/>
  <c r="AF272" i="6"/>
  <c r="N272" i="6"/>
  <c r="O272" i="6" s="1"/>
  <c r="AP271" i="6"/>
  <c r="AO271" i="6"/>
  <c r="AL271" i="6"/>
  <c r="AK271" i="6"/>
  <c r="AJ271" i="6"/>
  <c r="AI271" i="6"/>
  <c r="AH271" i="6"/>
  <c r="AG271" i="6"/>
  <c r="AF271" i="6"/>
  <c r="N271" i="6"/>
  <c r="O271" i="6" s="1"/>
  <c r="AP270" i="6"/>
  <c r="AO270" i="6"/>
  <c r="AL270" i="6"/>
  <c r="AK270" i="6"/>
  <c r="AJ270" i="6"/>
  <c r="AI270" i="6"/>
  <c r="AH270" i="6"/>
  <c r="AG270" i="6"/>
  <c r="AF270" i="6"/>
  <c r="N270" i="6"/>
  <c r="O270" i="6" s="1"/>
  <c r="AP269" i="6"/>
  <c r="AO269" i="6"/>
  <c r="AL269" i="6"/>
  <c r="AK269" i="6"/>
  <c r="AJ269" i="6"/>
  <c r="AI269" i="6"/>
  <c r="AH269" i="6"/>
  <c r="AG269" i="6"/>
  <c r="AF269" i="6"/>
  <c r="N269" i="6"/>
  <c r="O269" i="6" s="1"/>
  <c r="AP268" i="6"/>
  <c r="AO268" i="6"/>
  <c r="AL268" i="6"/>
  <c r="AK268" i="6"/>
  <c r="AJ268" i="6"/>
  <c r="AI268" i="6"/>
  <c r="AH268" i="6"/>
  <c r="AG268" i="6"/>
  <c r="AF268" i="6"/>
  <c r="N268" i="6"/>
  <c r="O268" i="6" s="1"/>
  <c r="AP267" i="6"/>
  <c r="AO267" i="6"/>
  <c r="AL267" i="6"/>
  <c r="AK267" i="6"/>
  <c r="AJ267" i="6"/>
  <c r="AI267" i="6"/>
  <c r="AH267" i="6"/>
  <c r="AG267" i="6"/>
  <c r="AF267" i="6"/>
  <c r="N267" i="6"/>
  <c r="O267" i="6" s="1"/>
  <c r="AP266" i="6"/>
  <c r="AO266" i="6"/>
  <c r="AL266" i="6"/>
  <c r="AK266" i="6"/>
  <c r="AJ266" i="6"/>
  <c r="AI266" i="6"/>
  <c r="AH266" i="6"/>
  <c r="AG266" i="6"/>
  <c r="AF266" i="6"/>
  <c r="N266" i="6"/>
  <c r="O266" i="6" s="1"/>
  <c r="AP265" i="6"/>
  <c r="AO265" i="6"/>
  <c r="AL265" i="6"/>
  <c r="AK265" i="6"/>
  <c r="AJ265" i="6"/>
  <c r="AI265" i="6"/>
  <c r="AH265" i="6"/>
  <c r="AG265" i="6"/>
  <c r="AF265" i="6"/>
  <c r="N265" i="6"/>
  <c r="O265" i="6" s="1"/>
  <c r="AP264" i="6"/>
  <c r="AO264" i="6"/>
  <c r="AL264" i="6"/>
  <c r="AK264" i="6"/>
  <c r="AJ264" i="6"/>
  <c r="AI264" i="6"/>
  <c r="AH264" i="6"/>
  <c r="AG264" i="6"/>
  <c r="AF264" i="6"/>
  <c r="N264" i="6"/>
  <c r="O264" i="6" s="1"/>
  <c r="AP263" i="6"/>
  <c r="AO263" i="6"/>
  <c r="AL263" i="6"/>
  <c r="AK263" i="6"/>
  <c r="AJ263" i="6"/>
  <c r="AI263" i="6"/>
  <c r="AH263" i="6"/>
  <c r="AG263" i="6"/>
  <c r="AF263" i="6"/>
  <c r="N263" i="6"/>
  <c r="O263" i="6" s="1"/>
  <c r="AP262" i="6"/>
  <c r="AO262" i="6"/>
  <c r="AL262" i="6"/>
  <c r="AK262" i="6"/>
  <c r="AJ262" i="6"/>
  <c r="AI262" i="6"/>
  <c r="AH262" i="6"/>
  <c r="AG262" i="6"/>
  <c r="AF262" i="6"/>
  <c r="N262" i="6"/>
  <c r="O262" i="6" s="1"/>
  <c r="AP261" i="6"/>
  <c r="AO261" i="6"/>
  <c r="AL261" i="6"/>
  <c r="AK261" i="6"/>
  <c r="AJ261" i="6"/>
  <c r="AI261" i="6"/>
  <c r="AH261" i="6"/>
  <c r="AG261" i="6"/>
  <c r="AF261" i="6"/>
  <c r="N261" i="6"/>
  <c r="O261" i="6" s="1"/>
  <c r="AP260" i="6"/>
  <c r="AO260" i="6"/>
  <c r="AL260" i="6"/>
  <c r="AK260" i="6"/>
  <c r="AJ260" i="6"/>
  <c r="AI260" i="6"/>
  <c r="AH260" i="6"/>
  <c r="AG260" i="6"/>
  <c r="AF260" i="6"/>
  <c r="N260" i="6"/>
  <c r="O260" i="6" s="1"/>
  <c r="AP259" i="6"/>
  <c r="AO259" i="6"/>
  <c r="AL259" i="6"/>
  <c r="AK259" i="6"/>
  <c r="AJ259" i="6"/>
  <c r="AI259" i="6"/>
  <c r="AH259" i="6"/>
  <c r="AG259" i="6"/>
  <c r="AF259" i="6"/>
  <c r="N259" i="6"/>
  <c r="O259" i="6" s="1"/>
  <c r="AP258" i="6"/>
  <c r="AO258" i="6"/>
  <c r="AL258" i="6"/>
  <c r="AK258" i="6"/>
  <c r="AJ258" i="6"/>
  <c r="AI258" i="6"/>
  <c r="AH258" i="6"/>
  <c r="AG258" i="6"/>
  <c r="AF258" i="6"/>
  <c r="N258" i="6"/>
  <c r="O258" i="6" s="1"/>
  <c r="AP257" i="6"/>
  <c r="AO257" i="6"/>
  <c r="AL257" i="6"/>
  <c r="AK257" i="6"/>
  <c r="AJ257" i="6"/>
  <c r="AI257" i="6"/>
  <c r="AH257" i="6"/>
  <c r="AG257" i="6"/>
  <c r="AF257" i="6"/>
  <c r="N257" i="6"/>
  <c r="O257" i="6" s="1"/>
  <c r="AP256" i="6"/>
  <c r="AO256" i="6"/>
  <c r="AL256" i="6"/>
  <c r="AK256" i="6"/>
  <c r="AJ256" i="6"/>
  <c r="AI256" i="6"/>
  <c r="AH256" i="6"/>
  <c r="AG256" i="6"/>
  <c r="AF256" i="6"/>
  <c r="N256" i="6"/>
  <c r="O256" i="6" s="1"/>
  <c r="AP255" i="6"/>
  <c r="AO255" i="6"/>
  <c r="AL255" i="6"/>
  <c r="AK255" i="6"/>
  <c r="AJ255" i="6"/>
  <c r="AI255" i="6"/>
  <c r="AH255" i="6"/>
  <c r="AG255" i="6"/>
  <c r="AF255" i="6"/>
  <c r="N255" i="6"/>
  <c r="O255" i="6" s="1"/>
  <c r="AP254" i="6"/>
  <c r="AO254" i="6"/>
  <c r="AL254" i="6"/>
  <c r="AK254" i="6"/>
  <c r="AJ254" i="6"/>
  <c r="AI254" i="6"/>
  <c r="AH254" i="6"/>
  <c r="AG254" i="6"/>
  <c r="AF254" i="6"/>
  <c r="N254" i="6"/>
  <c r="O254" i="6" s="1"/>
  <c r="AP253" i="6"/>
  <c r="AO253" i="6"/>
  <c r="AL253" i="6"/>
  <c r="AK253" i="6"/>
  <c r="AJ253" i="6"/>
  <c r="AI253" i="6"/>
  <c r="AH253" i="6"/>
  <c r="AG253" i="6"/>
  <c r="AF253" i="6"/>
  <c r="N253" i="6"/>
  <c r="O253" i="6" s="1"/>
  <c r="AP252" i="6"/>
  <c r="AO252" i="6"/>
  <c r="AL252" i="6"/>
  <c r="AK252" i="6"/>
  <c r="AJ252" i="6"/>
  <c r="AI252" i="6"/>
  <c r="AH252" i="6"/>
  <c r="AG252" i="6"/>
  <c r="AF252" i="6"/>
  <c r="N252" i="6"/>
  <c r="O252" i="6" s="1"/>
  <c r="AP251" i="6"/>
  <c r="AO251" i="6"/>
  <c r="AL251" i="6"/>
  <c r="AK251" i="6"/>
  <c r="AJ251" i="6"/>
  <c r="AI251" i="6"/>
  <c r="AH251" i="6"/>
  <c r="AG251" i="6"/>
  <c r="AF251" i="6"/>
  <c r="N251" i="6"/>
  <c r="O251" i="6" s="1"/>
  <c r="AP250" i="6"/>
  <c r="AO250" i="6"/>
  <c r="AL250" i="6"/>
  <c r="AK250" i="6"/>
  <c r="AJ250" i="6"/>
  <c r="AI250" i="6"/>
  <c r="AH250" i="6"/>
  <c r="AG250" i="6"/>
  <c r="AF250" i="6"/>
  <c r="N250" i="6"/>
  <c r="O250" i="6" s="1"/>
  <c r="AP249" i="6"/>
  <c r="AO249" i="6"/>
  <c r="AL249" i="6"/>
  <c r="AK249" i="6"/>
  <c r="AJ249" i="6"/>
  <c r="AI249" i="6"/>
  <c r="AH249" i="6"/>
  <c r="AG249" i="6"/>
  <c r="AF249" i="6"/>
  <c r="N249" i="6"/>
  <c r="O249" i="6" s="1"/>
  <c r="AP248" i="6"/>
  <c r="AO248" i="6"/>
  <c r="AL248" i="6"/>
  <c r="AK248" i="6"/>
  <c r="AJ248" i="6"/>
  <c r="AI248" i="6"/>
  <c r="AH248" i="6"/>
  <c r="AG248" i="6"/>
  <c r="AF248" i="6"/>
  <c r="N248" i="6"/>
  <c r="O248" i="6" s="1"/>
  <c r="AP247" i="6"/>
  <c r="AO247" i="6"/>
  <c r="AL247" i="6"/>
  <c r="AK247" i="6"/>
  <c r="AJ247" i="6"/>
  <c r="AI247" i="6"/>
  <c r="AH247" i="6"/>
  <c r="AG247" i="6"/>
  <c r="AF247" i="6"/>
  <c r="N247" i="6"/>
  <c r="O247" i="6" s="1"/>
  <c r="AP246" i="6"/>
  <c r="AO246" i="6"/>
  <c r="AL246" i="6"/>
  <c r="AK246" i="6"/>
  <c r="AJ246" i="6"/>
  <c r="AI246" i="6"/>
  <c r="AH246" i="6"/>
  <c r="AG246" i="6"/>
  <c r="AF246" i="6"/>
  <c r="N246" i="6"/>
  <c r="O246" i="6" s="1"/>
  <c r="AP245" i="6"/>
  <c r="AO245" i="6"/>
  <c r="AL245" i="6"/>
  <c r="AK245" i="6"/>
  <c r="AJ245" i="6"/>
  <c r="AI245" i="6"/>
  <c r="AH245" i="6"/>
  <c r="AG245" i="6"/>
  <c r="AF245" i="6"/>
  <c r="N245" i="6"/>
  <c r="O245" i="6" s="1"/>
  <c r="AP244" i="6"/>
  <c r="AO244" i="6"/>
  <c r="AL244" i="6"/>
  <c r="AK244" i="6"/>
  <c r="AJ244" i="6"/>
  <c r="AI244" i="6"/>
  <c r="AH244" i="6"/>
  <c r="AG244" i="6"/>
  <c r="AF244" i="6"/>
  <c r="N244" i="6"/>
  <c r="O244" i="6" s="1"/>
  <c r="AP243" i="6"/>
  <c r="AO243" i="6"/>
  <c r="AL243" i="6"/>
  <c r="AK243" i="6"/>
  <c r="AJ243" i="6"/>
  <c r="AI243" i="6"/>
  <c r="AH243" i="6"/>
  <c r="AG243" i="6"/>
  <c r="AF243" i="6"/>
  <c r="N243" i="6"/>
  <c r="O243" i="6" s="1"/>
  <c r="AP242" i="6"/>
  <c r="AO242" i="6"/>
  <c r="AL242" i="6"/>
  <c r="AK242" i="6"/>
  <c r="AJ242" i="6"/>
  <c r="AI242" i="6"/>
  <c r="AH242" i="6"/>
  <c r="AG242" i="6"/>
  <c r="AF242" i="6"/>
  <c r="N242" i="6"/>
  <c r="O242" i="6" s="1"/>
  <c r="AP241" i="6"/>
  <c r="AO241" i="6"/>
  <c r="AL241" i="6"/>
  <c r="AK241" i="6"/>
  <c r="AJ241" i="6"/>
  <c r="AI241" i="6"/>
  <c r="AH241" i="6"/>
  <c r="AG241" i="6"/>
  <c r="AF241" i="6"/>
  <c r="N241" i="6"/>
  <c r="O241" i="6" s="1"/>
  <c r="AP240" i="6"/>
  <c r="AO240" i="6"/>
  <c r="AL240" i="6"/>
  <c r="AK240" i="6"/>
  <c r="AJ240" i="6"/>
  <c r="AI240" i="6"/>
  <c r="AH240" i="6"/>
  <c r="AG240" i="6"/>
  <c r="AF240" i="6"/>
  <c r="N240" i="6"/>
  <c r="O240" i="6" s="1"/>
  <c r="AP239" i="6"/>
  <c r="AO239" i="6"/>
  <c r="AL239" i="6"/>
  <c r="AK239" i="6"/>
  <c r="AJ239" i="6"/>
  <c r="AI239" i="6"/>
  <c r="AH239" i="6"/>
  <c r="AG239" i="6"/>
  <c r="AF239" i="6"/>
  <c r="N239" i="6"/>
  <c r="O239" i="6" s="1"/>
  <c r="AP238" i="6"/>
  <c r="AO238" i="6"/>
  <c r="AL238" i="6"/>
  <c r="AK238" i="6"/>
  <c r="AJ238" i="6"/>
  <c r="AI238" i="6"/>
  <c r="AH238" i="6"/>
  <c r="AG238" i="6"/>
  <c r="AF238" i="6"/>
  <c r="N238" i="6"/>
  <c r="O238" i="6" s="1"/>
  <c r="AP237" i="6"/>
  <c r="AO237" i="6"/>
  <c r="AL237" i="6"/>
  <c r="AK237" i="6"/>
  <c r="AJ237" i="6"/>
  <c r="AI237" i="6"/>
  <c r="AH237" i="6"/>
  <c r="AG237" i="6"/>
  <c r="AF237" i="6"/>
  <c r="N237" i="6"/>
  <c r="O237" i="6" s="1"/>
  <c r="AP236" i="6"/>
  <c r="AO236" i="6"/>
  <c r="AL236" i="6"/>
  <c r="AK236" i="6"/>
  <c r="AJ236" i="6"/>
  <c r="AI236" i="6"/>
  <c r="AH236" i="6"/>
  <c r="AG236" i="6"/>
  <c r="AF236" i="6"/>
  <c r="N236" i="6"/>
  <c r="O236" i="6" s="1"/>
  <c r="AP235" i="6"/>
  <c r="AO235" i="6"/>
  <c r="AL235" i="6"/>
  <c r="AK235" i="6"/>
  <c r="AJ235" i="6"/>
  <c r="AI235" i="6"/>
  <c r="AH235" i="6"/>
  <c r="AG235" i="6"/>
  <c r="AF235" i="6"/>
  <c r="N235" i="6"/>
  <c r="O235" i="6" s="1"/>
  <c r="AP234" i="6"/>
  <c r="AO234" i="6"/>
  <c r="AL234" i="6"/>
  <c r="AK234" i="6"/>
  <c r="AJ234" i="6"/>
  <c r="AI234" i="6"/>
  <c r="AH234" i="6"/>
  <c r="AG234" i="6"/>
  <c r="AF234" i="6"/>
  <c r="N234" i="6"/>
  <c r="O234" i="6" s="1"/>
  <c r="AP233" i="6"/>
  <c r="AO233" i="6"/>
  <c r="AL233" i="6"/>
  <c r="AK233" i="6"/>
  <c r="AJ233" i="6"/>
  <c r="AI233" i="6"/>
  <c r="AH233" i="6"/>
  <c r="AG233" i="6"/>
  <c r="AF233" i="6"/>
  <c r="N233" i="6"/>
  <c r="O233" i="6" s="1"/>
  <c r="AP232" i="6"/>
  <c r="AO232" i="6"/>
  <c r="AL232" i="6"/>
  <c r="AK232" i="6"/>
  <c r="AJ232" i="6"/>
  <c r="AI232" i="6"/>
  <c r="AH232" i="6"/>
  <c r="AG232" i="6"/>
  <c r="AF232" i="6"/>
  <c r="N232" i="6"/>
  <c r="O232" i="6" s="1"/>
  <c r="AP231" i="6"/>
  <c r="AO231" i="6"/>
  <c r="AL231" i="6"/>
  <c r="AK231" i="6"/>
  <c r="AJ231" i="6"/>
  <c r="AI231" i="6"/>
  <c r="AH231" i="6"/>
  <c r="AG231" i="6"/>
  <c r="AF231" i="6"/>
  <c r="N231" i="6"/>
  <c r="O231" i="6" s="1"/>
  <c r="AP230" i="6"/>
  <c r="AO230" i="6"/>
  <c r="AL230" i="6"/>
  <c r="AK230" i="6"/>
  <c r="AJ230" i="6"/>
  <c r="AI230" i="6"/>
  <c r="AH230" i="6"/>
  <c r="AG230" i="6"/>
  <c r="AF230" i="6"/>
  <c r="N230" i="6"/>
  <c r="O230" i="6" s="1"/>
  <c r="AP229" i="6"/>
  <c r="AO229" i="6"/>
  <c r="AL229" i="6"/>
  <c r="AK229" i="6"/>
  <c r="AJ229" i="6"/>
  <c r="AI229" i="6"/>
  <c r="AH229" i="6"/>
  <c r="AG229" i="6"/>
  <c r="AF229" i="6"/>
  <c r="N229" i="6"/>
  <c r="O229" i="6" s="1"/>
  <c r="AP228" i="6"/>
  <c r="AO228" i="6"/>
  <c r="AL228" i="6"/>
  <c r="AK228" i="6"/>
  <c r="AJ228" i="6"/>
  <c r="AI228" i="6"/>
  <c r="AH228" i="6"/>
  <c r="AG228" i="6"/>
  <c r="AF228" i="6"/>
  <c r="N228" i="6"/>
  <c r="O228" i="6" s="1"/>
  <c r="AP227" i="6"/>
  <c r="AO227" i="6"/>
  <c r="AL227" i="6"/>
  <c r="AK227" i="6"/>
  <c r="AJ227" i="6"/>
  <c r="AI227" i="6"/>
  <c r="AH227" i="6"/>
  <c r="AG227" i="6"/>
  <c r="AF227" i="6"/>
  <c r="N227" i="6"/>
  <c r="O227" i="6" s="1"/>
  <c r="AP226" i="6"/>
  <c r="AO226" i="6"/>
  <c r="AL226" i="6"/>
  <c r="AK226" i="6"/>
  <c r="AJ226" i="6"/>
  <c r="AI226" i="6"/>
  <c r="AH226" i="6"/>
  <c r="AG226" i="6"/>
  <c r="AF226" i="6"/>
  <c r="N226" i="6"/>
  <c r="O226" i="6" s="1"/>
  <c r="AP225" i="6"/>
  <c r="AO225" i="6"/>
  <c r="AL225" i="6"/>
  <c r="AK225" i="6"/>
  <c r="AJ225" i="6"/>
  <c r="AI225" i="6"/>
  <c r="AH225" i="6"/>
  <c r="AG225" i="6"/>
  <c r="AF225" i="6"/>
  <c r="N225" i="6"/>
  <c r="O225" i="6" s="1"/>
  <c r="AP224" i="6"/>
  <c r="AO224" i="6"/>
  <c r="AL224" i="6"/>
  <c r="AK224" i="6"/>
  <c r="AJ224" i="6"/>
  <c r="AI224" i="6"/>
  <c r="AH224" i="6"/>
  <c r="AG224" i="6"/>
  <c r="AF224" i="6"/>
  <c r="N224" i="6"/>
  <c r="O224" i="6" s="1"/>
  <c r="AP223" i="6"/>
  <c r="AO223" i="6"/>
  <c r="AL223" i="6"/>
  <c r="AK223" i="6"/>
  <c r="AJ223" i="6"/>
  <c r="AI223" i="6"/>
  <c r="AH223" i="6"/>
  <c r="AG223" i="6"/>
  <c r="AF223" i="6"/>
  <c r="N223" i="6"/>
  <c r="O223" i="6" s="1"/>
  <c r="AP222" i="6"/>
  <c r="AO222" i="6"/>
  <c r="AL222" i="6"/>
  <c r="AK222" i="6"/>
  <c r="AJ222" i="6"/>
  <c r="AI222" i="6"/>
  <c r="AH222" i="6"/>
  <c r="AG222" i="6"/>
  <c r="AF222" i="6"/>
  <c r="N222" i="6"/>
  <c r="O222" i="6" s="1"/>
  <c r="AP221" i="6"/>
  <c r="AO221" i="6"/>
  <c r="AL221" i="6"/>
  <c r="AK221" i="6"/>
  <c r="AJ221" i="6"/>
  <c r="AI221" i="6"/>
  <c r="AH221" i="6"/>
  <c r="AG221" i="6"/>
  <c r="AF221" i="6"/>
  <c r="N221" i="6"/>
  <c r="O221" i="6" s="1"/>
  <c r="AP220" i="6"/>
  <c r="AO220" i="6"/>
  <c r="AL220" i="6"/>
  <c r="AK220" i="6"/>
  <c r="AJ220" i="6"/>
  <c r="AI220" i="6"/>
  <c r="AH220" i="6"/>
  <c r="AG220" i="6"/>
  <c r="AF220" i="6"/>
  <c r="N220" i="6"/>
  <c r="O220" i="6" s="1"/>
  <c r="AP219" i="6"/>
  <c r="AO219" i="6"/>
  <c r="AL219" i="6"/>
  <c r="AK219" i="6"/>
  <c r="AJ219" i="6"/>
  <c r="AI219" i="6"/>
  <c r="AH219" i="6"/>
  <c r="AG219" i="6"/>
  <c r="AF219" i="6"/>
  <c r="N219" i="6"/>
  <c r="O219" i="6" s="1"/>
  <c r="AP218" i="6"/>
  <c r="AO218" i="6"/>
  <c r="AL218" i="6"/>
  <c r="AK218" i="6"/>
  <c r="AJ218" i="6"/>
  <c r="AI218" i="6"/>
  <c r="AH218" i="6"/>
  <c r="AG218" i="6"/>
  <c r="AF218" i="6"/>
  <c r="N218" i="6"/>
  <c r="O218" i="6" s="1"/>
  <c r="AP217" i="6"/>
  <c r="AO217" i="6"/>
  <c r="AL217" i="6"/>
  <c r="AK217" i="6"/>
  <c r="AJ217" i="6"/>
  <c r="AI217" i="6"/>
  <c r="AH217" i="6"/>
  <c r="AG217" i="6"/>
  <c r="AF217" i="6"/>
  <c r="N217" i="6"/>
  <c r="O217" i="6" s="1"/>
  <c r="AP216" i="6"/>
  <c r="AO216" i="6"/>
  <c r="AL216" i="6"/>
  <c r="AK216" i="6"/>
  <c r="AJ216" i="6"/>
  <c r="AI216" i="6"/>
  <c r="AH216" i="6"/>
  <c r="AG216" i="6"/>
  <c r="AF216" i="6"/>
  <c r="N216" i="6"/>
  <c r="O216" i="6" s="1"/>
  <c r="AP215" i="6"/>
  <c r="AO215" i="6"/>
  <c r="AL215" i="6"/>
  <c r="AK215" i="6"/>
  <c r="AJ215" i="6"/>
  <c r="AI215" i="6"/>
  <c r="AH215" i="6"/>
  <c r="AG215" i="6"/>
  <c r="AF215" i="6"/>
  <c r="N215" i="6"/>
  <c r="O215" i="6" s="1"/>
  <c r="AP214" i="6"/>
  <c r="AO214" i="6"/>
  <c r="AL214" i="6"/>
  <c r="AK214" i="6"/>
  <c r="AJ214" i="6"/>
  <c r="AI214" i="6"/>
  <c r="AH214" i="6"/>
  <c r="AG214" i="6"/>
  <c r="AF214" i="6"/>
  <c r="N214" i="6"/>
  <c r="O214" i="6" s="1"/>
  <c r="AP213" i="6"/>
  <c r="AO213" i="6"/>
  <c r="AL213" i="6"/>
  <c r="AK213" i="6"/>
  <c r="AJ213" i="6"/>
  <c r="AI213" i="6"/>
  <c r="AH213" i="6"/>
  <c r="AG213" i="6"/>
  <c r="AF213" i="6"/>
  <c r="N213" i="6"/>
  <c r="O213" i="6" s="1"/>
  <c r="AP212" i="6"/>
  <c r="AO212" i="6"/>
  <c r="AL212" i="6"/>
  <c r="AK212" i="6"/>
  <c r="AJ212" i="6"/>
  <c r="AI212" i="6"/>
  <c r="AH212" i="6"/>
  <c r="AG212" i="6"/>
  <c r="AF212" i="6"/>
  <c r="N212" i="6"/>
  <c r="O212" i="6" s="1"/>
  <c r="AP211" i="6"/>
  <c r="AO211" i="6"/>
  <c r="AL211" i="6"/>
  <c r="AK211" i="6"/>
  <c r="AJ211" i="6"/>
  <c r="AI211" i="6"/>
  <c r="AH211" i="6"/>
  <c r="AG211" i="6"/>
  <c r="AF211" i="6"/>
  <c r="N211" i="6"/>
  <c r="O211" i="6" s="1"/>
  <c r="AP210" i="6"/>
  <c r="AO210" i="6"/>
  <c r="AL210" i="6"/>
  <c r="AK210" i="6"/>
  <c r="AJ210" i="6"/>
  <c r="AI210" i="6"/>
  <c r="AH210" i="6"/>
  <c r="AG210" i="6"/>
  <c r="AF210" i="6"/>
  <c r="N210" i="6"/>
  <c r="O210" i="6" s="1"/>
  <c r="AP209" i="6"/>
  <c r="AO209" i="6"/>
  <c r="AL209" i="6"/>
  <c r="AK209" i="6"/>
  <c r="AJ209" i="6"/>
  <c r="AI209" i="6"/>
  <c r="AH209" i="6"/>
  <c r="AG209" i="6"/>
  <c r="AF209" i="6"/>
  <c r="N209" i="6"/>
  <c r="O209" i="6" s="1"/>
  <c r="AP208" i="6"/>
  <c r="AO208" i="6"/>
  <c r="AL208" i="6"/>
  <c r="AK208" i="6"/>
  <c r="AJ208" i="6"/>
  <c r="AI208" i="6"/>
  <c r="AH208" i="6"/>
  <c r="AG208" i="6"/>
  <c r="AF208" i="6"/>
  <c r="N208" i="6"/>
  <c r="O208" i="6" s="1"/>
  <c r="AP207" i="6"/>
  <c r="AO207" i="6"/>
  <c r="AL207" i="6"/>
  <c r="AK207" i="6"/>
  <c r="AJ207" i="6"/>
  <c r="AI207" i="6"/>
  <c r="AH207" i="6"/>
  <c r="AG207" i="6"/>
  <c r="AF207" i="6"/>
  <c r="N207" i="6"/>
  <c r="O207" i="6" s="1"/>
  <c r="AP206" i="6"/>
  <c r="AO206" i="6"/>
  <c r="AL206" i="6"/>
  <c r="AK206" i="6"/>
  <c r="AJ206" i="6"/>
  <c r="AI206" i="6"/>
  <c r="AH206" i="6"/>
  <c r="AG206" i="6"/>
  <c r="AF206" i="6"/>
  <c r="N206" i="6"/>
  <c r="O206" i="6" s="1"/>
  <c r="AP205" i="6"/>
  <c r="AO205" i="6"/>
  <c r="AL205" i="6"/>
  <c r="AK205" i="6"/>
  <c r="AJ205" i="6"/>
  <c r="AI205" i="6"/>
  <c r="AH205" i="6"/>
  <c r="AG205" i="6"/>
  <c r="AF205" i="6"/>
  <c r="N205" i="6"/>
  <c r="O205" i="6" s="1"/>
  <c r="AP204" i="6"/>
  <c r="AO204" i="6"/>
  <c r="AL204" i="6"/>
  <c r="AK204" i="6"/>
  <c r="AJ204" i="6"/>
  <c r="AI204" i="6"/>
  <c r="AH204" i="6"/>
  <c r="AG204" i="6"/>
  <c r="AF204" i="6"/>
  <c r="N204" i="6"/>
  <c r="O204" i="6" s="1"/>
  <c r="AP203" i="6"/>
  <c r="AO203" i="6"/>
  <c r="AL203" i="6"/>
  <c r="AK203" i="6"/>
  <c r="AJ203" i="6"/>
  <c r="AI203" i="6"/>
  <c r="AH203" i="6"/>
  <c r="AG203" i="6"/>
  <c r="AF203" i="6"/>
  <c r="N203" i="6"/>
  <c r="O203" i="6" s="1"/>
  <c r="AP202" i="6"/>
  <c r="AO202" i="6"/>
  <c r="AL202" i="6"/>
  <c r="AK202" i="6"/>
  <c r="AJ202" i="6"/>
  <c r="AI202" i="6"/>
  <c r="AH202" i="6"/>
  <c r="AG202" i="6"/>
  <c r="AF202" i="6"/>
  <c r="N202" i="6"/>
  <c r="O202" i="6" s="1"/>
  <c r="AP201" i="6"/>
  <c r="AO201" i="6"/>
  <c r="AL201" i="6"/>
  <c r="AK201" i="6"/>
  <c r="AJ201" i="6"/>
  <c r="AI201" i="6"/>
  <c r="AH201" i="6"/>
  <c r="AG201" i="6"/>
  <c r="AF201" i="6"/>
  <c r="N201" i="6"/>
  <c r="O201" i="6" s="1"/>
  <c r="AP200" i="6"/>
  <c r="AO200" i="6"/>
  <c r="AL200" i="6"/>
  <c r="AK200" i="6"/>
  <c r="AJ200" i="6"/>
  <c r="AI200" i="6"/>
  <c r="AH200" i="6"/>
  <c r="AG200" i="6"/>
  <c r="AF200" i="6"/>
  <c r="N200" i="6"/>
  <c r="O200" i="6" s="1"/>
  <c r="AP199" i="6"/>
  <c r="AO199" i="6"/>
  <c r="AL199" i="6"/>
  <c r="AK199" i="6"/>
  <c r="AJ199" i="6"/>
  <c r="AI199" i="6"/>
  <c r="AH199" i="6"/>
  <c r="AG199" i="6"/>
  <c r="AF199" i="6"/>
  <c r="N199" i="6"/>
  <c r="O199" i="6" s="1"/>
  <c r="AP198" i="6"/>
  <c r="AO198" i="6"/>
  <c r="AL198" i="6"/>
  <c r="AK198" i="6"/>
  <c r="AJ198" i="6"/>
  <c r="AI198" i="6"/>
  <c r="AH198" i="6"/>
  <c r="AG198" i="6"/>
  <c r="AF198" i="6"/>
  <c r="N198" i="6"/>
  <c r="O198" i="6" s="1"/>
  <c r="AP197" i="6"/>
  <c r="AO197" i="6"/>
  <c r="AL197" i="6"/>
  <c r="AK197" i="6"/>
  <c r="AJ197" i="6"/>
  <c r="AI197" i="6"/>
  <c r="AH197" i="6"/>
  <c r="AG197" i="6"/>
  <c r="AF197" i="6"/>
  <c r="N197" i="6"/>
  <c r="O197" i="6" s="1"/>
  <c r="AP196" i="6"/>
  <c r="AO196" i="6"/>
  <c r="AL196" i="6"/>
  <c r="AK196" i="6"/>
  <c r="AJ196" i="6"/>
  <c r="AI196" i="6"/>
  <c r="AH196" i="6"/>
  <c r="AG196" i="6"/>
  <c r="AF196" i="6"/>
  <c r="N196" i="6"/>
  <c r="O196" i="6" s="1"/>
  <c r="AP195" i="6"/>
  <c r="AO195" i="6"/>
  <c r="AL195" i="6"/>
  <c r="AK195" i="6"/>
  <c r="AJ195" i="6"/>
  <c r="AI195" i="6"/>
  <c r="AH195" i="6"/>
  <c r="AG195" i="6"/>
  <c r="AF195" i="6"/>
  <c r="N195" i="6"/>
  <c r="O195" i="6" s="1"/>
  <c r="AP194" i="6"/>
  <c r="AO194" i="6"/>
  <c r="AL194" i="6"/>
  <c r="AK194" i="6"/>
  <c r="AJ194" i="6"/>
  <c r="AI194" i="6"/>
  <c r="AH194" i="6"/>
  <c r="AG194" i="6"/>
  <c r="AF194" i="6"/>
  <c r="N194" i="6"/>
  <c r="O194" i="6" s="1"/>
  <c r="AP193" i="6"/>
  <c r="AO193" i="6"/>
  <c r="AL193" i="6"/>
  <c r="AK193" i="6"/>
  <c r="AJ193" i="6"/>
  <c r="AI193" i="6"/>
  <c r="AH193" i="6"/>
  <c r="AG193" i="6"/>
  <c r="AF193" i="6"/>
  <c r="N193" i="6"/>
  <c r="O193" i="6" s="1"/>
  <c r="AP192" i="6"/>
  <c r="AO192" i="6"/>
  <c r="AL192" i="6"/>
  <c r="AK192" i="6"/>
  <c r="AJ192" i="6"/>
  <c r="AI192" i="6"/>
  <c r="AH192" i="6"/>
  <c r="AG192" i="6"/>
  <c r="AF192" i="6"/>
  <c r="N192" i="6"/>
  <c r="O192" i="6" s="1"/>
  <c r="AP191" i="6"/>
  <c r="AO191" i="6"/>
  <c r="AL191" i="6"/>
  <c r="AK191" i="6"/>
  <c r="AJ191" i="6"/>
  <c r="AI191" i="6"/>
  <c r="AH191" i="6"/>
  <c r="AG191" i="6"/>
  <c r="AF191" i="6"/>
  <c r="N191" i="6"/>
  <c r="O191" i="6" s="1"/>
  <c r="AP190" i="6"/>
  <c r="AO190" i="6"/>
  <c r="AL190" i="6"/>
  <c r="AK190" i="6"/>
  <c r="AJ190" i="6"/>
  <c r="AI190" i="6"/>
  <c r="AH190" i="6"/>
  <c r="AG190" i="6"/>
  <c r="AF190" i="6"/>
  <c r="N190" i="6"/>
  <c r="O190" i="6" s="1"/>
  <c r="AP189" i="6"/>
  <c r="AO189" i="6"/>
  <c r="AL189" i="6"/>
  <c r="AK189" i="6"/>
  <c r="AJ189" i="6"/>
  <c r="AI189" i="6"/>
  <c r="AH189" i="6"/>
  <c r="AG189" i="6"/>
  <c r="AF189" i="6"/>
  <c r="N189" i="6"/>
  <c r="O189" i="6" s="1"/>
  <c r="AP188" i="6"/>
  <c r="AO188" i="6"/>
  <c r="AL188" i="6"/>
  <c r="AK188" i="6"/>
  <c r="AJ188" i="6"/>
  <c r="AI188" i="6"/>
  <c r="AH188" i="6"/>
  <c r="AG188" i="6"/>
  <c r="AF188" i="6"/>
  <c r="N188" i="6"/>
  <c r="O188" i="6" s="1"/>
  <c r="AP187" i="6"/>
  <c r="AO187" i="6"/>
  <c r="AL187" i="6"/>
  <c r="AK187" i="6"/>
  <c r="AJ187" i="6"/>
  <c r="AI187" i="6"/>
  <c r="AH187" i="6"/>
  <c r="AG187" i="6"/>
  <c r="AF187" i="6"/>
  <c r="N187" i="6"/>
  <c r="O187" i="6" s="1"/>
  <c r="AP186" i="6"/>
  <c r="AO186" i="6"/>
  <c r="AL186" i="6"/>
  <c r="AK186" i="6"/>
  <c r="AJ186" i="6"/>
  <c r="AI186" i="6"/>
  <c r="AH186" i="6"/>
  <c r="AG186" i="6"/>
  <c r="AF186" i="6"/>
  <c r="N186" i="6"/>
  <c r="O186" i="6" s="1"/>
  <c r="AP185" i="6"/>
  <c r="AO185" i="6"/>
  <c r="AL185" i="6"/>
  <c r="AK185" i="6"/>
  <c r="AJ185" i="6"/>
  <c r="AI185" i="6"/>
  <c r="AH185" i="6"/>
  <c r="AG185" i="6"/>
  <c r="AF185" i="6"/>
  <c r="N185" i="6"/>
  <c r="O185" i="6" s="1"/>
  <c r="AP184" i="6"/>
  <c r="AO184" i="6"/>
  <c r="AL184" i="6"/>
  <c r="AK184" i="6"/>
  <c r="AJ184" i="6"/>
  <c r="AI184" i="6"/>
  <c r="AH184" i="6"/>
  <c r="AG184" i="6"/>
  <c r="AF184" i="6"/>
  <c r="N184" i="6"/>
  <c r="O184" i="6" s="1"/>
  <c r="AP183" i="6"/>
  <c r="AO183" i="6"/>
  <c r="AL183" i="6"/>
  <c r="AK183" i="6"/>
  <c r="AJ183" i="6"/>
  <c r="AI183" i="6"/>
  <c r="AH183" i="6"/>
  <c r="AG183" i="6"/>
  <c r="AF183" i="6"/>
  <c r="N183" i="6"/>
  <c r="O183" i="6" s="1"/>
  <c r="AP182" i="6"/>
  <c r="AO182" i="6"/>
  <c r="AL182" i="6"/>
  <c r="AK182" i="6"/>
  <c r="AJ182" i="6"/>
  <c r="AI182" i="6"/>
  <c r="AH182" i="6"/>
  <c r="AG182" i="6"/>
  <c r="AF182" i="6"/>
  <c r="N182" i="6"/>
  <c r="O182" i="6" s="1"/>
  <c r="AP181" i="6"/>
  <c r="AO181" i="6"/>
  <c r="AL181" i="6"/>
  <c r="AK181" i="6"/>
  <c r="AJ181" i="6"/>
  <c r="AI181" i="6"/>
  <c r="AH181" i="6"/>
  <c r="AG181" i="6"/>
  <c r="AF181" i="6"/>
  <c r="N181" i="6"/>
  <c r="O181" i="6" s="1"/>
  <c r="AP180" i="6"/>
  <c r="AO180" i="6"/>
  <c r="AL180" i="6"/>
  <c r="AK180" i="6"/>
  <c r="AJ180" i="6"/>
  <c r="AI180" i="6"/>
  <c r="AH180" i="6"/>
  <c r="AG180" i="6"/>
  <c r="AF180" i="6"/>
  <c r="N180" i="6"/>
  <c r="O180" i="6" s="1"/>
  <c r="AP179" i="6"/>
  <c r="AO179" i="6"/>
  <c r="AL179" i="6"/>
  <c r="AK179" i="6"/>
  <c r="AJ179" i="6"/>
  <c r="AI179" i="6"/>
  <c r="AH179" i="6"/>
  <c r="AG179" i="6"/>
  <c r="AF179" i="6"/>
  <c r="N179" i="6"/>
  <c r="O179" i="6" s="1"/>
  <c r="AP178" i="6"/>
  <c r="AO178" i="6"/>
  <c r="AL178" i="6"/>
  <c r="AK178" i="6"/>
  <c r="AJ178" i="6"/>
  <c r="AI178" i="6"/>
  <c r="AH178" i="6"/>
  <c r="AG178" i="6"/>
  <c r="AF178" i="6"/>
  <c r="N178" i="6"/>
  <c r="O178" i="6" s="1"/>
  <c r="AP177" i="6"/>
  <c r="AO177" i="6"/>
  <c r="AL177" i="6"/>
  <c r="AK177" i="6"/>
  <c r="AJ177" i="6"/>
  <c r="AI177" i="6"/>
  <c r="AH177" i="6"/>
  <c r="AG177" i="6"/>
  <c r="AF177" i="6"/>
  <c r="N177" i="6"/>
  <c r="O177" i="6" s="1"/>
  <c r="AP176" i="6"/>
  <c r="AO176" i="6"/>
  <c r="AL176" i="6"/>
  <c r="AK176" i="6"/>
  <c r="AJ176" i="6"/>
  <c r="AI176" i="6"/>
  <c r="AH176" i="6"/>
  <c r="AG176" i="6"/>
  <c r="AF176" i="6"/>
  <c r="N176" i="6"/>
  <c r="O176" i="6" s="1"/>
  <c r="AP175" i="6"/>
  <c r="AO175" i="6"/>
  <c r="AL175" i="6"/>
  <c r="AK175" i="6"/>
  <c r="AJ175" i="6"/>
  <c r="AI175" i="6"/>
  <c r="AH175" i="6"/>
  <c r="AG175" i="6"/>
  <c r="AF175" i="6"/>
  <c r="N175" i="6"/>
  <c r="O175" i="6" s="1"/>
  <c r="AP174" i="6"/>
  <c r="AO174" i="6"/>
  <c r="AL174" i="6"/>
  <c r="AK174" i="6"/>
  <c r="AJ174" i="6"/>
  <c r="AI174" i="6"/>
  <c r="AH174" i="6"/>
  <c r="AG174" i="6"/>
  <c r="AF174" i="6"/>
  <c r="N174" i="6"/>
  <c r="O174" i="6" s="1"/>
  <c r="AP173" i="6"/>
  <c r="AO173" i="6"/>
  <c r="AL173" i="6"/>
  <c r="AK173" i="6"/>
  <c r="AJ173" i="6"/>
  <c r="AI173" i="6"/>
  <c r="AH173" i="6"/>
  <c r="AG173" i="6"/>
  <c r="AF173" i="6"/>
  <c r="N173" i="6"/>
  <c r="O173" i="6" s="1"/>
  <c r="AP172" i="6"/>
  <c r="AO172" i="6"/>
  <c r="AL172" i="6"/>
  <c r="AK172" i="6"/>
  <c r="AJ172" i="6"/>
  <c r="AI172" i="6"/>
  <c r="AH172" i="6"/>
  <c r="AG172" i="6"/>
  <c r="AF172" i="6"/>
  <c r="N172" i="6"/>
  <c r="O172" i="6" s="1"/>
  <c r="AP171" i="6"/>
  <c r="AO171" i="6"/>
  <c r="AL171" i="6"/>
  <c r="AK171" i="6"/>
  <c r="AJ171" i="6"/>
  <c r="AI171" i="6"/>
  <c r="AH171" i="6"/>
  <c r="AG171" i="6"/>
  <c r="AF171" i="6"/>
  <c r="N171" i="6"/>
  <c r="O171" i="6" s="1"/>
  <c r="AP170" i="6"/>
  <c r="AO170" i="6"/>
  <c r="AL170" i="6"/>
  <c r="AK170" i="6"/>
  <c r="AJ170" i="6"/>
  <c r="AI170" i="6"/>
  <c r="AH170" i="6"/>
  <c r="AG170" i="6"/>
  <c r="AF170" i="6"/>
  <c r="N170" i="6"/>
  <c r="O170" i="6" s="1"/>
  <c r="AP169" i="6"/>
  <c r="AO169" i="6"/>
  <c r="AL169" i="6"/>
  <c r="AK169" i="6"/>
  <c r="AJ169" i="6"/>
  <c r="AI169" i="6"/>
  <c r="AH169" i="6"/>
  <c r="AG169" i="6"/>
  <c r="AF169" i="6"/>
  <c r="N169" i="6"/>
  <c r="O169" i="6" s="1"/>
  <c r="AP168" i="6"/>
  <c r="AO168" i="6"/>
  <c r="AL168" i="6"/>
  <c r="AK168" i="6"/>
  <c r="AJ168" i="6"/>
  <c r="AI168" i="6"/>
  <c r="AH168" i="6"/>
  <c r="AG168" i="6"/>
  <c r="AF168" i="6"/>
  <c r="N168" i="6"/>
  <c r="O168" i="6" s="1"/>
  <c r="AP167" i="6"/>
  <c r="AO167" i="6"/>
  <c r="AL167" i="6"/>
  <c r="AK167" i="6"/>
  <c r="AJ167" i="6"/>
  <c r="AI167" i="6"/>
  <c r="AH167" i="6"/>
  <c r="AG167" i="6"/>
  <c r="AF167" i="6"/>
  <c r="N167" i="6"/>
  <c r="O167" i="6" s="1"/>
  <c r="AP166" i="6"/>
  <c r="AO166" i="6"/>
  <c r="AL166" i="6"/>
  <c r="AK166" i="6"/>
  <c r="AJ166" i="6"/>
  <c r="AI166" i="6"/>
  <c r="AH166" i="6"/>
  <c r="AG166" i="6"/>
  <c r="AF166" i="6"/>
  <c r="N166" i="6"/>
  <c r="O166" i="6" s="1"/>
  <c r="AP165" i="6"/>
  <c r="AO165" i="6"/>
  <c r="AL165" i="6"/>
  <c r="AK165" i="6"/>
  <c r="AJ165" i="6"/>
  <c r="AI165" i="6"/>
  <c r="AH165" i="6"/>
  <c r="AG165" i="6"/>
  <c r="AF165" i="6"/>
  <c r="N165" i="6"/>
  <c r="O165" i="6" s="1"/>
  <c r="AP164" i="6"/>
  <c r="AO164" i="6"/>
  <c r="AL164" i="6"/>
  <c r="AK164" i="6"/>
  <c r="AJ164" i="6"/>
  <c r="AI164" i="6"/>
  <c r="AH164" i="6"/>
  <c r="AG164" i="6"/>
  <c r="AF164" i="6"/>
  <c r="N164" i="6"/>
  <c r="O164" i="6" s="1"/>
  <c r="AP163" i="6"/>
  <c r="AO163" i="6"/>
  <c r="AL163" i="6"/>
  <c r="AK163" i="6"/>
  <c r="AJ163" i="6"/>
  <c r="AI163" i="6"/>
  <c r="AH163" i="6"/>
  <c r="AG163" i="6"/>
  <c r="AF163" i="6"/>
  <c r="N163" i="6"/>
  <c r="O163" i="6" s="1"/>
  <c r="AP162" i="6"/>
  <c r="AO162" i="6"/>
  <c r="AL162" i="6"/>
  <c r="AK162" i="6"/>
  <c r="AJ162" i="6"/>
  <c r="AI162" i="6"/>
  <c r="AH162" i="6"/>
  <c r="AG162" i="6"/>
  <c r="AF162" i="6"/>
  <c r="N162" i="6"/>
  <c r="O162" i="6" s="1"/>
  <c r="AP161" i="6"/>
  <c r="AO161" i="6"/>
  <c r="AL161" i="6"/>
  <c r="AK161" i="6"/>
  <c r="AJ161" i="6"/>
  <c r="AI161" i="6"/>
  <c r="AH161" i="6"/>
  <c r="AG161" i="6"/>
  <c r="AF161" i="6"/>
  <c r="N161" i="6"/>
  <c r="O161" i="6" s="1"/>
  <c r="AP160" i="6"/>
  <c r="AO160" i="6"/>
  <c r="AL160" i="6"/>
  <c r="AK160" i="6"/>
  <c r="AJ160" i="6"/>
  <c r="AI160" i="6"/>
  <c r="AH160" i="6"/>
  <c r="AG160" i="6"/>
  <c r="AF160" i="6"/>
  <c r="N160" i="6"/>
  <c r="O160" i="6" s="1"/>
  <c r="AP159" i="6"/>
  <c r="AO159" i="6"/>
  <c r="AL159" i="6"/>
  <c r="AK159" i="6"/>
  <c r="AJ159" i="6"/>
  <c r="AI159" i="6"/>
  <c r="AH159" i="6"/>
  <c r="AG159" i="6"/>
  <c r="AF159" i="6"/>
  <c r="N159" i="6"/>
  <c r="O159" i="6" s="1"/>
  <c r="AP158" i="6"/>
  <c r="AO158" i="6"/>
  <c r="AL158" i="6"/>
  <c r="AK158" i="6"/>
  <c r="AJ158" i="6"/>
  <c r="AI158" i="6"/>
  <c r="AH158" i="6"/>
  <c r="AG158" i="6"/>
  <c r="AF158" i="6"/>
  <c r="N158" i="6"/>
  <c r="O158" i="6" s="1"/>
  <c r="AP157" i="6"/>
  <c r="AO157" i="6"/>
  <c r="AL157" i="6"/>
  <c r="AK157" i="6"/>
  <c r="AJ157" i="6"/>
  <c r="AI157" i="6"/>
  <c r="AH157" i="6"/>
  <c r="AG157" i="6"/>
  <c r="AF157" i="6"/>
  <c r="N157" i="6"/>
  <c r="O157" i="6" s="1"/>
  <c r="AP156" i="6"/>
  <c r="AO156" i="6"/>
  <c r="AL156" i="6"/>
  <c r="AK156" i="6"/>
  <c r="AJ156" i="6"/>
  <c r="AI156" i="6"/>
  <c r="AH156" i="6"/>
  <c r="AG156" i="6"/>
  <c r="AF156" i="6"/>
  <c r="N156" i="6"/>
  <c r="O156" i="6" s="1"/>
  <c r="AP155" i="6"/>
  <c r="AO155" i="6"/>
  <c r="AL155" i="6"/>
  <c r="AK155" i="6"/>
  <c r="AJ155" i="6"/>
  <c r="AI155" i="6"/>
  <c r="AH155" i="6"/>
  <c r="AG155" i="6"/>
  <c r="AF155" i="6"/>
  <c r="N155" i="6"/>
  <c r="O155" i="6" s="1"/>
  <c r="AP154" i="6"/>
  <c r="AO154" i="6"/>
  <c r="AL154" i="6"/>
  <c r="AK154" i="6"/>
  <c r="AJ154" i="6"/>
  <c r="AI154" i="6"/>
  <c r="AH154" i="6"/>
  <c r="AG154" i="6"/>
  <c r="AF154" i="6"/>
  <c r="N154" i="6"/>
  <c r="O154" i="6" s="1"/>
  <c r="AP153" i="6"/>
  <c r="AO153" i="6"/>
  <c r="AL153" i="6"/>
  <c r="AK153" i="6"/>
  <c r="AJ153" i="6"/>
  <c r="AI153" i="6"/>
  <c r="AH153" i="6"/>
  <c r="AG153" i="6"/>
  <c r="AF153" i="6"/>
  <c r="N153" i="6"/>
  <c r="O153" i="6" s="1"/>
  <c r="AP152" i="6"/>
  <c r="AO152" i="6"/>
  <c r="AL152" i="6"/>
  <c r="AK152" i="6"/>
  <c r="AJ152" i="6"/>
  <c r="AI152" i="6"/>
  <c r="AH152" i="6"/>
  <c r="AG152" i="6"/>
  <c r="AF152" i="6"/>
  <c r="N152" i="6"/>
  <c r="O152" i="6" s="1"/>
  <c r="AP151" i="6"/>
  <c r="AO151" i="6"/>
  <c r="AL151" i="6"/>
  <c r="AK151" i="6"/>
  <c r="AJ151" i="6"/>
  <c r="AI151" i="6"/>
  <c r="AH151" i="6"/>
  <c r="AG151" i="6"/>
  <c r="AF151" i="6"/>
  <c r="N151" i="6"/>
  <c r="O151" i="6" s="1"/>
  <c r="AP150" i="6"/>
  <c r="AO150" i="6"/>
  <c r="AL150" i="6"/>
  <c r="AK150" i="6"/>
  <c r="AJ150" i="6"/>
  <c r="AI150" i="6"/>
  <c r="AH150" i="6"/>
  <c r="AG150" i="6"/>
  <c r="AF150" i="6"/>
  <c r="N150" i="6"/>
  <c r="O150" i="6" s="1"/>
  <c r="AP149" i="6"/>
  <c r="AO149" i="6"/>
  <c r="AL149" i="6"/>
  <c r="AK149" i="6"/>
  <c r="AJ149" i="6"/>
  <c r="AI149" i="6"/>
  <c r="AH149" i="6"/>
  <c r="AG149" i="6"/>
  <c r="AF149" i="6"/>
  <c r="N149" i="6"/>
  <c r="O149" i="6" s="1"/>
  <c r="AP148" i="6"/>
  <c r="AO148" i="6"/>
  <c r="AL148" i="6"/>
  <c r="AK148" i="6"/>
  <c r="AJ148" i="6"/>
  <c r="AI148" i="6"/>
  <c r="AH148" i="6"/>
  <c r="AG148" i="6"/>
  <c r="AF148" i="6"/>
  <c r="N148" i="6"/>
  <c r="O148" i="6" s="1"/>
  <c r="AP147" i="6"/>
  <c r="AO147" i="6"/>
  <c r="AL147" i="6"/>
  <c r="AK147" i="6"/>
  <c r="AJ147" i="6"/>
  <c r="AI147" i="6"/>
  <c r="AH147" i="6"/>
  <c r="AG147" i="6"/>
  <c r="AF147" i="6"/>
  <c r="N147" i="6"/>
  <c r="O147" i="6" s="1"/>
  <c r="AP146" i="6"/>
  <c r="AO146" i="6"/>
  <c r="AL146" i="6"/>
  <c r="AK146" i="6"/>
  <c r="AJ146" i="6"/>
  <c r="AI146" i="6"/>
  <c r="AH146" i="6"/>
  <c r="AG146" i="6"/>
  <c r="AF146" i="6"/>
  <c r="N146" i="6"/>
  <c r="O146" i="6" s="1"/>
  <c r="AP145" i="6"/>
  <c r="AO145" i="6"/>
  <c r="AL145" i="6"/>
  <c r="AK145" i="6"/>
  <c r="AJ145" i="6"/>
  <c r="AI145" i="6"/>
  <c r="AH145" i="6"/>
  <c r="AG145" i="6"/>
  <c r="AF145" i="6"/>
  <c r="N145" i="6"/>
  <c r="O145" i="6" s="1"/>
  <c r="AP144" i="6"/>
  <c r="AO144" i="6"/>
  <c r="AL144" i="6"/>
  <c r="AK144" i="6"/>
  <c r="AJ144" i="6"/>
  <c r="AI144" i="6"/>
  <c r="AH144" i="6"/>
  <c r="AG144" i="6"/>
  <c r="AF144" i="6"/>
  <c r="N144" i="6"/>
  <c r="O144" i="6" s="1"/>
  <c r="AP143" i="6"/>
  <c r="AO143" i="6"/>
  <c r="AL143" i="6"/>
  <c r="AK143" i="6"/>
  <c r="AJ143" i="6"/>
  <c r="AI143" i="6"/>
  <c r="AH143" i="6"/>
  <c r="AG143" i="6"/>
  <c r="AF143" i="6"/>
  <c r="N143" i="6"/>
  <c r="O143" i="6" s="1"/>
  <c r="AP142" i="6"/>
  <c r="AO142" i="6"/>
  <c r="AL142" i="6"/>
  <c r="AK142" i="6"/>
  <c r="AJ142" i="6"/>
  <c r="AI142" i="6"/>
  <c r="AH142" i="6"/>
  <c r="AG142" i="6"/>
  <c r="AF142" i="6"/>
  <c r="N142" i="6"/>
  <c r="O142" i="6" s="1"/>
  <c r="AP141" i="6"/>
  <c r="AO141" i="6"/>
  <c r="AL141" i="6"/>
  <c r="AK141" i="6"/>
  <c r="AJ141" i="6"/>
  <c r="AI141" i="6"/>
  <c r="AH141" i="6"/>
  <c r="AG141" i="6"/>
  <c r="AF141" i="6"/>
  <c r="N141" i="6"/>
  <c r="O141" i="6" s="1"/>
  <c r="AP140" i="6"/>
  <c r="AO140" i="6"/>
  <c r="AL140" i="6"/>
  <c r="AK140" i="6"/>
  <c r="AJ140" i="6"/>
  <c r="AI140" i="6"/>
  <c r="AH140" i="6"/>
  <c r="AG140" i="6"/>
  <c r="AF140" i="6"/>
  <c r="N140" i="6"/>
  <c r="O140" i="6" s="1"/>
  <c r="AP139" i="6"/>
  <c r="AO139" i="6"/>
  <c r="AL139" i="6"/>
  <c r="AK139" i="6"/>
  <c r="AJ139" i="6"/>
  <c r="AI139" i="6"/>
  <c r="AH139" i="6"/>
  <c r="AG139" i="6"/>
  <c r="AF139" i="6"/>
  <c r="N139" i="6"/>
  <c r="O139" i="6" s="1"/>
  <c r="AP138" i="6"/>
  <c r="AO138" i="6"/>
  <c r="AL138" i="6"/>
  <c r="AK138" i="6"/>
  <c r="AJ138" i="6"/>
  <c r="AI138" i="6"/>
  <c r="AH138" i="6"/>
  <c r="AG138" i="6"/>
  <c r="AF138" i="6"/>
  <c r="N138" i="6"/>
  <c r="O138" i="6" s="1"/>
  <c r="AP137" i="6"/>
  <c r="AO137" i="6"/>
  <c r="AL137" i="6"/>
  <c r="AK137" i="6"/>
  <c r="AJ137" i="6"/>
  <c r="AI137" i="6"/>
  <c r="AH137" i="6"/>
  <c r="AG137" i="6"/>
  <c r="AF137" i="6"/>
  <c r="N137" i="6"/>
  <c r="O137" i="6" s="1"/>
  <c r="AP136" i="6"/>
  <c r="AO136" i="6"/>
  <c r="AL136" i="6"/>
  <c r="AK136" i="6"/>
  <c r="AJ136" i="6"/>
  <c r="AI136" i="6"/>
  <c r="AH136" i="6"/>
  <c r="AG136" i="6"/>
  <c r="AF136" i="6"/>
  <c r="N136" i="6"/>
  <c r="O136" i="6" s="1"/>
  <c r="AP135" i="6"/>
  <c r="AO135" i="6"/>
  <c r="AL135" i="6"/>
  <c r="AK135" i="6"/>
  <c r="AJ135" i="6"/>
  <c r="AI135" i="6"/>
  <c r="AH135" i="6"/>
  <c r="AG135" i="6"/>
  <c r="AF135" i="6"/>
  <c r="N135" i="6"/>
  <c r="O135" i="6" s="1"/>
  <c r="AP134" i="6"/>
  <c r="AO134" i="6"/>
  <c r="AL134" i="6"/>
  <c r="AK134" i="6"/>
  <c r="AJ134" i="6"/>
  <c r="AI134" i="6"/>
  <c r="AH134" i="6"/>
  <c r="AG134" i="6"/>
  <c r="AF134" i="6"/>
  <c r="N134" i="6"/>
  <c r="O134" i="6" s="1"/>
  <c r="AP133" i="6"/>
  <c r="AO133" i="6"/>
  <c r="AL133" i="6"/>
  <c r="AK133" i="6"/>
  <c r="AJ133" i="6"/>
  <c r="AI133" i="6"/>
  <c r="AH133" i="6"/>
  <c r="AG133" i="6"/>
  <c r="AF133" i="6"/>
  <c r="N133" i="6"/>
  <c r="O133" i="6" s="1"/>
  <c r="AP132" i="6"/>
  <c r="AO132" i="6"/>
  <c r="AL132" i="6"/>
  <c r="AK132" i="6"/>
  <c r="AJ132" i="6"/>
  <c r="AI132" i="6"/>
  <c r="AH132" i="6"/>
  <c r="AG132" i="6"/>
  <c r="AF132" i="6"/>
  <c r="N132" i="6"/>
  <c r="O132" i="6" s="1"/>
  <c r="AP131" i="6"/>
  <c r="AO131" i="6"/>
  <c r="AL131" i="6"/>
  <c r="AK131" i="6"/>
  <c r="AJ131" i="6"/>
  <c r="AI131" i="6"/>
  <c r="AH131" i="6"/>
  <c r="AG131" i="6"/>
  <c r="AF131" i="6"/>
  <c r="N131" i="6"/>
  <c r="O131" i="6" s="1"/>
  <c r="AP130" i="6"/>
  <c r="AO130" i="6"/>
  <c r="AL130" i="6"/>
  <c r="AK130" i="6"/>
  <c r="AJ130" i="6"/>
  <c r="AI130" i="6"/>
  <c r="AH130" i="6"/>
  <c r="AG130" i="6"/>
  <c r="AF130" i="6"/>
  <c r="N130" i="6"/>
  <c r="O130" i="6" s="1"/>
  <c r="AP129" i="6"/>
  <c r="AO129" i="6"/>
  <c r="AL129" i="6"/>
  <c r="AK129" i="6"/>
  <c r="AJ129" i="6"/>
  <c r="AI129" i="6"/>
  <c r="AH129" i="6"/>
  <c r="AG129" i="6"/>
  <c r="AF129" i="6"/>
  <c r="N129" i="6"/>
  <c r="O129" i="6" s="1"/>
  <c r="AP128" i="6"/>
  <c r="AO128" i="6"/>
  <c r="AL128" i="6"/>
  <c r="AK128" i="6"/>
  <c r="AJ128" i="6"/>
  <c r="AI128" i="6"/>
  <c r="AH128" i="6"/>
  <c r="AG128" i="6"/>
  <c r="AF128" i="6"/>
  <c r="N128" i="6"/>
  <c r="O128" i="6" s="1"/>
  <c r="AP127" i="6"/>
  <c r="AO127" i="6"/>
  <c r="AL127" i="6"/>
  <c r="AK127" i="6"/>
  <c r="AJ127" i="6"/>
  <c r="AI127" i="6"/>
  <c r="AH127" i="6"/>
  <c r="AG127" i="6"/>
  <c r="AF127" i="6"/>
  <c r="N127" i="6"/>
  <c r="O127" i="6" s="1"/>
  <c r="AP126" i="6"/>
  <c r="AO126" i="6"/>
  <c r="AL126" i="6"/>
  <c r="AK126" i="6"/>
  <c r="AJ126" i="6"/>
  <c r="AI126" i="6"/>
  <c r="AH126" i="6"/>
  <c r="AG126" i="6"/>
  <c r="AF126" i="6"/>
  <c r="N126" i="6"/>
  <c r="O126" i="6" s="1"/>
  <c r="AP125" i="6"/>
  <c r="AO125" i="6"/>
  <c r="AL125" i="6"/>
  <c r="AK125" i="6"/>
  <c r="AJ125" i="6"/>
  <c r="AI125" i="6"/>
  <c r="AH125" i="6"/>
  <c r="AG125" i="6"/>
  <c r="AF125" i="6"/>
  <c r="N125" i="6"/>
  <c r="O125" i="6" s="1"/>
  <c r="AP124" i="6"/>
  <c r="AO124" i="6"/>
  <c r="AL124" i="6"/>
  <c r="AK124" i="6"/>
  <c r="AJ124" i="6"/>
  <c r="AI124" i="6"/>
  <c r="AH124" i="6"/>
  <c r="AG124" i="6"/>
  <c r="AF124" i="6"/>
  <c r="N124" i="6"/>
  <c r="O124" i="6" s="1"/>
  <c r="AP123" i="6"/>
  <c r="AO123" i="6"/>
  <c r="AL123" i="6"/>
  <c r="AK123" i="6"/>
  <c r="AJ123" i="6"/>
  <c r="AI123" i="6"/>
  <c r="AH123" i="6"/>
  <c r="AG123" i="6"/>
  <c r="AF123" i="6"/>
  <c r="N123" i="6"/>
  <c r="O123" i="6" s="1"/>
  <c r="AP122" i="6"/>
  <c r="AO122" i="6"/>
  <c r="AL122" i="6"/>
  <c r="AK122" i="6"/>
  <c r="AJ122" i="6"/>
  <c r="AI122" i="6"/>
  <c r="AH122" i="6"/>
  <c r="AG122" i="6"/>
  <c r="AF122" i="6"/>
  <c r="N122" i="6"/>
  <c r="O122" i="6" s="1"/>
  <c r="AP121" i="6"/>
  <c r="AO121" i="6"/>
  <c r="AL121" i="6"/>
  <c r="AK121" i="6"/>
  <c r="AJ121" i="6"/>
  <c r="AI121" i="6"/>
  <c r="AH121" i="6"/>
  <c r="AG121" i="6"/>
  <c r="AF121" i="6"/>
  <c r="N121" i="6"/>
  <c r="O121" i="6" s="1"/>
  <c r="AP120" i="6"/>
  <c r="AO120" i="6"/>
  <c r="AL120" i="6"/>
  <c r="AK120" i="6"/>
  <c r="AJ120" i="6"/>
  <c r="AI120" i="6"/>
  <c r="AH120" i="6"/>
  <c r="AG120" i="6"/>
  <c r="AF120" i="6"/>
  <c r="N120" i="6"/>
  <c r="O120" i="6" s="1"/>
  <c r="AP119" i="6"/>
  <c r="AO119" i="6"/>
  <c r="AL119" i="6"/>
  <c r="AK119" i="6"/>
  <c r="AJ119" i="6"/>
  <c r="AI119" i="6"/>
  <c r="AH119" i="6"/>
  <c r="AG119" i="6"/>
  <c r="AF119" i="6"/>
  <c r="N119" i="6"/>
  <c r="O119" i="6" s="1"/>
  <c r="AP118" i="6"/>
  <c r="AO118" i="6"/>
  <c r="AL118" i="6"/>
  <c r="AK118" i="6"/>
  <c r="AJ118" i="6"/>
  <c r="AI118" i="6"/>
  <c r="AH118" i="6"/>
  <c r="AG118" i="6"/>
  <c r="AF118" i="6"/>
  <c r="N118" i="6"/>
  <c r="O118" i="6" s="1"/>
  <c r="AP117" i="6"/>
  <c r="AO117" i="6"/>
  <c r="AL117" i="6"/>
  <c r="AK117" i="6"/>
  <c r="AJ117" i="6"/>
  <c r="AI117" i="6"/>
  <c r="AH117" i="6"/>
  <c r="AG117" i="6"/>
  <c r="AF117" i="6"/>
  <c r="N117" i="6"/>
  <c r="O117" i="6" s="1"/>
  <c r="AP116" i="6"/>
  <c r="AO116" i="6"/>
  <c r="AL116" i="6"/>
  <c r="AK116" i="6"/>
  <c r="AJ116" i="6"/>
  <c r="AI116" i="6"/>
  <c r="AH116" i="6"/>
  <c r="AG116" i="6"/>
  <c r="AF116" i="6"/>
  <c r="N116" i="6"/>
  <c r="O116" i="6" s="1"/>
  <c r="AP115" i="6"/>
  <c r="AO115" i="6"/>
  <c r="AL115" i="6"/>
  <c r="AK115" i="6"/>
  <c r="AJ115" i="6"/>
  <c r="AI115" i="6"/>
  <c r="AH115" i="6"/>
  <c r="AG115" i="6"/>
  <c r="AF115" i="6"/>
  <c r="N115" i="6"/>
  <c r="O115" i="6" s="1"/>
  <c r="AP114" i="6"/>
  <c r="AO114" i="6"/>
  <c r="AL114" i="6"/>
  <c r="AK114" i="6"/>
  <c r="AJ114" i="6"/>
  <c r="AI114" i="6"/>
  <c r="AH114" i="6"/>
  <c r="AG114" i="6"/>
  <c r="AF114" i="6"/>
  <c r="N114" i="6"/>
  <c r="O114" i="6" s="1"/>
  <c r="AP113" i="6"/>
  <c r="AO113" i="6"/>
  <c r="AL113" i="6"/>
  <c r="AK113" i="6"/>
  <c r="AJ113" i="6"/>
  <c r="AI113" i="6"/>
  <c r="AH113" i="6"/>
  <c r="AG113" i="6"/>
  <c r="AF113" i="6"/>
  <c r="N113" i="6"/>
  <c r="O113" i="6" s="1"/>
  <c r="AP112" i="6"/>
  <c r="AO112" i="6"/>
  <c r="AL112" i="6"/>
  <c r="AK112" i="6"/>
  <c r="AJ112" i="6"/>
  <c r="AI112" i="6"/>
  <c r="AH112" i="6"/>
  <c r="AG112" i="6"/>
  <c r="AF112" i="6"/>
  <c r="N112" i="6"/>
  <c r="O112" i="6" s="1"/>
  <c r="AP111" i="6"/>
  <c r="AO111" i="6"/>
  <c r="AL111" i="6"/>
  <c r="AK111" i="6"/>
  <c r="AJ111" i="6"/>
  <c r="AI111" i="6"/>
  <c r="AH111" i="6"/>
  <c r="AG111" i="6"/>
  <c r="AF111" i="6"/>
  <c r="N111" i="6"/>
  <c r="O111" i="6" s="1"/>
  <c r="AP110" i="6"/>
  <c r="AO110" i="6"/>
  <c r="AL110" i="6"/>
  <c r="AK110" i="6"/>
  <c r="AJ110" i="6"/>
  <c r="AI110" i="6"/>
  <c r="AH110" i="6"/>
  <c r="AG110" i="6"/>
  <c r="AF110" i="6"/>
  <c r="N110" i="6"/>
  <c r="O110" i="6" s="1"/>
  <c r="AP109" i="6"/>
  <c r="AO109" i="6"/>
  <c r="AL109" i="6"/>
  <c r="AK109" i="6"/>
  <c r="AJ109" i="6"/>
  <c r="AI109" i="6"/>
  <c r="AH109" i="6"/>
  <c r="AG109" i="6"/>
  <c r="AF109" i="6"/>
  <c r="N109" i="6"/>
  <c r="O109" i="6" s="1"/>
  <c r="AP108" i="6"/>
  <c r="AO108" i="6"/>
  <c r="AL108" i="6"/>
  <c r="AK108" i="6"/>
  <c r="AJ108" i="6"/>
  <c r="AI108" i="6"/>
  <c r="AH108" i="6"/>
  <c r="AG108" i="6"/>
  <c r="AF108" i="6"/>
  <c r="N108" i="6"/>
  <c r="O108" i="6" s="1"/>
  <c r="AP107" i="6"/>
  <c r="AO107" i="6"/>
  <c r="AL107" i="6"/>
  <c r="AK107" i="6"/>
  <c r="AJ107" i="6"/>
  <c r="AI107" i="6"/>
  <c r="AH107" i="6"/>
  <c r="AG107" i="6"/>
  <c r="AF107" i="6"/>
  <c r="N107" i="6"/>
  <c r="O107" i="6" s="1"/>
  <c r="AP106" i="6"/>
  <c r="AO106" i="6"/>
  <c r="AL106" i="6"/>
  <c r="AK106" i="6"/>
  <c r="AJ106" i="6"/>
  <c r="AI106" i="6"/>
  <c r="AH106" i="6"/>
  <c r="AG106" i="6"/>
  <c r="AF106" i="6"/>
  <c r="N106" i="6"/>
  <c r="O106" i="6" s="1"/>
  <c r="AP105" i="6"/>
  <c r="AO105" i="6"/>
  <c r="AL105" i="6"/>
  <c r="AK105" i="6"/>
  <c r="AJ105" i="6"/>
  <c r="AI105" i="6"/>
  <c r="AH105" i="6"/>
  <c r="AG105" i="6"/>
  <c r="AF105" i="6"/>
  <c r="N105" i="6"/>
  <c r="O105" i="6" s="1"/>
  <c r="AP104" i="6"/>
  <c r="AO104" i="6"/>
  <c r="AL104" i="6"/>
  <c r="AK104" i="6"/>
  <c r="AJ104" i="6"/>
  <c r="AI104" i="6"/>
  <c r="AH104" i="6"/>
  <c r="AG104" i="6"/>
  <c r="AF104" i="6"/>
  <c r="N104" i="6"/>
  <c r="O104" i="6" s="1"/>
  <c r="AP103" i="6"/>
  <c r="AO103" i="6"/>
  <c r="AL103" i="6"/>
  <c r="AK103" i="6"/>
  <c r="AJ103" i="6"/>
  <c r="AI103" i="6"/>
  <c r="AH103" i="6"/>
  <c r="AG103" i="6"/>
  <c r="AF103" i="6"/>
  <c r="N103" i="6"/>
  <c r="O103" i="6" s="1"/>
  <c r="AP102" i="6"/>
  <c r="AO102" i="6"/>
  <c r="AL102" i="6"/>
  <c r="AK102" i="6"/>
  <c r="AJ102" i="6"/>
  <c r="AI102" i="6"/>
  <c r="AH102" i="6"/>
  <c r="AG102" i="6"/>
  <c r="AF102" i="6"/>
  <c r="N102" i="6"/>
  <c r="O102" i="6" s="1"/>
  <c r="AP101" i="6"/>
  <c r="AO101" i="6"/>
  <c r="AL101" i="6"/>
  <c r="AK101" i="6"/>
  <c r="AJ101" i="6"/>
  <c r="AI101" i="6"/>
  <c r="AH101" i="6"/>
  <c r="AG101" i="6"/>
  <c r="AF101" i="6"/>
  <c r="N101" i="6"/>
  <c r="O101" i="6" s="1"/>
  <c r="AP100" i="6"/>
  <c r="AO100" i="6"/>
  <c r="AL100" i="6"/>
  <c r="AK100" i="6"/>
  <c r="AJ100" i="6"/>
  <c r="AI100" i="6"/>
  <c r="AH100" i="6"/>
  <c r="AG100" i="6"/>
  <c r="AF100" i="6"/>
  <c r="N100" i="6"/>
  <c r="O100" i="6" s="1"/>
  <c r="AP99" i="6"/>
  <c r="AO99" i="6"/>
  <c r="AL99" i="6"/>
  <c r="AK99" i="6"/>
  <c r="AJ99" i="6"/>
  <c r="AI99" i="6"/>
  <c r="AH99" i="6"/>
  <c r="AG99" i="6"/>
  <c r="AF99" i="6"/>
  <c r="N99" i="6"/>
  <c r="O99" i="6" s="1"/>
  <c r="AP98" i="6"/>
  <c r="AO98" i="6"/>
  <c r="AL98" i="6"/>
  <c r="AK98" i="6"/>
  <c r="AJ98" i="6"/>
  <c r="AI98" i="6"/>
  <c r="AH98" i="6"/>
  <c r="AG98" i="6"/>
  <c r="AF98" i="6"/>
  <c r="N98" i="6"/>
  <c r="O98" i="6" s="1"/>
  <c r="AP97" i="6"/>
  <c r="AO97" i="6"/>
  <c r="AL97" i="6"/>
  <c r="AK97" i="6"/>
  <c r="AJ97" i="6"/>
  <c r="AI97" i="6"/>
  <c r="AH97" i="6"/>
  <c r="AG97" i="6"/>
  <c r="AF97" i="6"/>
  <c r="N97" i="6"/>
  <c r="O97" i="6" s="1"/>
  <c r="AP96" i="6"/>
  <c r="AO96" i="6"/>
  <c r="AL96" i="6"/>
  <c r="AK96" i="6"/>
  <c r="AJ96" i="6"/>
  <c r="AI96" i="6"/>
  <c r="AH96" i="6"/>
  <c r="AG96" i="6"/>
  <c r="AF96" i="6"/>
  <c r="N96" i="6"/>
  <c r="O96" i="6" s="1"/>
  <c r="AP95" i="6"/>
  <c r="AO95" i="6"/>
  <c r="AL95" i="6"/>
  <c r="AK95" i="6"/>
  <c r="AJ95" i="6"/>
  <c r="AI95" i="6"/>
  <c r="AH95" i="6"/>
  <c r="AG95" i="6"/>
  <c r="AF95" i="6"/>
  <c r="N95" i="6"/>
  <c r="O95" i="6" s="1"/>
  <c r="AP94" i="6"/>
  <c r="AO94" i="6"/>
  <c r="AL94" i="6"/>
  <c r="AK94" i="6"/>
  <c r="AJ94" i="6"/>
  <c r="AI94" i="6"/>
  <c r="AH94" i="6"/>
  <c r="AG94" i="6"/>
  <c r="AF94" i="6"/>
  <c r="N94" i="6"/>
  <c r="O94" i="6" s="1"/>
  <c r="AP93" i="6"/>
  <c r="AO93" i="6"/>
  <c r="AL93" i="6"/>
  <c r="AK93" i="6"/>
  <c r="AJ93" i="6"/>
  <c r="AI93" i="6"/>
  <c r="AH93" i="6"/>
  <c r="AG93" i="6"/>
  <c r="AF93" i="6"/>
  <c r="N93" i="6"/>
  <c r="O93" i="6" s="1"/>
  <c r="AP92" i="6"/>
  <c r="AO92" i="6"/>
  <c r="AL92" i="6"/>
  <c r="AK92" i="6"/>
  <c r="AJ92" i="6"/>
  <c r="AI92" i="6"/>
  <c r="AH92" i="6"/>
  <c r="AG92" i="6"/>
  <c r="AF92" i="6"/>
  <c r="N92" i="6"/>
  <c r="O92" i="6" s="1"/>
  <c r="AP91" i="6"/>
  <c r="AO91" i="6"/>
  <c r="AL91" i="6"/>
  <c r="AK91" i="6"/>
  <c r="AJ91" i="6"/>
  <c r="AI91" i="6"/>
  <c r="AH91" i="6"/>
  <c r="AG91" i="6"/>
  <c r="AF91" i="6"/>
  <c r="N91" i="6"/>
  <c r="O91" i="6" s="1"/>
  <c r="AP90" i="6"/>
  <c r="AO90" i="6"/>
  <c r="AL90" i="6"/>
  <c r="AK90" i="6"/>
  <c r="AJ90" i="6"/>
  <c r="AI90" i="6"/>
  <c r="AH90" i="6"/>
  <c r="AG90" i="6"/>
  <c r="AF90" i="6"/>
  <c r="N90" i="6"/>
  <c r="O90" i="6" s="1"/>
  <c r="AP89" i="6"/>
  <c r="AO89" i="6"/>
  <c r="AL89" i="6"/>
  <c r="AK89" i="6"/>
  <c r="AJ89" i="6"/>
  <c r="AI89" i="6"/>
  <c r="AH89" i="6"/>
  <c r="AG89" i="6"/>
  <c r="AF89" i="6"/>
  <c r="N89" i="6"/>
  <c r="O89" i="6" s="1"/>
  <c r="AP88" i="6"/>
  <c r="AO88" i="6"/>
  <c r="AL88" i="6"/>
  <c r="AK88" i="6"/>
  <c r="AJ88" i="6"/>
  <c r="AI88" i="6"/>
  <c r="AH88" i="6"/>
  <c r="AG88" i="6"/>
  <c r="AF88" i="6"/>
  <c r="N88" i="6"/>
  <c r="O88" i="6" s="1"/>
  <c r="AP87" i="6"/>
  <c r="AO87" i="6"/>
  <c r="AL87" i="6"/>
  <c r="AK87" i="6"/>
  <c r="AJ87" i="6"/>
  <c r="AI87" i="6"/>
  <c r="AH87" i="6"/>
  <c r="AG87" i="6"/>
  <c r="AF87" i="6"/>
  <c r="N87" i="6"/>
  <c r="O87" i="6" s="1"/>
  <c r="AP86" i="6"/>
  <c r="AO86" i="6"/>
  <c r="AL86" i="6"/>
  <c r="AK86" i="6"/>
  <c r="AJ86" i="6"/>
  <c r="AI86" i="6"/>
  <c r="AH86" i="6"/>
  <c r="AG86" i="6"/>
  <c r="AF86" i="6"/>
  <c r="N86" i="6"/>
  <c r="O86" i="6" s="1"/>
  <c r="AP85" i="6"/>
  <c r="AO85" i="6"/>
  <c r="AL85" i="6"/>
  <c r="AK85" i="6"/>
  <c r="AJ85" i="6"/>
  <c r="AI85" i="6"/>
  <c r="AH85" i="6"/>
  <c r="AG85" i="6"/>
  <c r="AF85" i="6"/>
  <c r="N85" i="6"/>
  <c r="O85" i="6" s="1"/>
  <c r="AP84" i="6"/>
  <c r="AO84" i="6"/>
  <c r="AL84" i="6"/>
  <c r="AK84" i="6"/>
  <c r="AJ84" i="6"/>
  <c r="AI84" i="6"/>
  <c r="AH84" i="6"/>
  <c r="AG84" i="6"/>
  <c r="AF84" i="6"/>
  <c r="N84" i="6"/>
  <c r="O84" i="6" s="1"/>
  <c r="AP83" i="6"/>
  <c r="AO83" i="6"/>
  <c r="AL83" i="6"/>
  <c r="AK83" i="6"/>
  <c r="AJ83" i="6"/>
  <c r="AI83" i="6"/>
  <c r="AH83" i="6"/>
  <c r="AG83" i="6"/>
  <c r="AF83" i="6"/>
  <c r="N83" i="6"/>
  <c r="O83" i="6" s="1"/>
  <c r="AP82" i="6"/>
  <c r="AO82" i="6"/>
  <c r="AL82" i="6"/>
  <c r="AK82" i="6"/>
  <c r="AJ82" i="6"/>
  <c r="AI82" i="6"/>
  <c r="AH82" i="6"/>
  <c r="AG82" i="6"/>
  <c r="AF82" i="6"/>
  <c r="N82" i="6"/>
  <c r="O82" i="6" s="1"/>
  <c r="AP81" i="6"/>
  <c r="AO81" i="6"/>
  <c r="AL81" i="6"/>
  <c r="AK81" i="6"/>
  <c r="AJ81" i="6"/>
  <c r="AI81" i="6"/>
  <c r="AH81" i="6"/>
  <c r="AG81" i="6"/>
  <c r="AF81" i="6"/>
  <c r="N81" i="6"/>
  <c r="O81" i="6" s="1"/>
  <c r="AP80" i="6"/>
  <c r="AO80" i="6"/>
  <c r="AL80" i="6"/>
  <c r="AK80" i="6"/>
  <c r="AJ80" i="6"/>
  <c r="AI80" i="6"/>
  <c r="AH80" i="6"/>
  <c r="AG80" i="6"/>
  <c r="AF80" i="6"/>
  <c r="N80" i="6"/>
  <c r="O80" i="6" s="1"/>
  <c r="AP79" i="6"/>
  <c r="AO79" i="6"/>
  <c r="AL79" i="6"/>
  <c r="AK79" i="6"/>
  <c r="AJ79" i="6"/>
  <c r="AI79" i="6"/>
  <c r="AH79" i="6"/>
  <c r="AG79" i="6"/>
  <c r="AF79" i="6"/>
  <c r="N79" i="6"/>
  <c r="O79" i="6" s="1"/>
  <c r="AP78" i="6"/>
  <c r="AO78" i="6"/>
  <c r="AL78" i="6"/>
  <c r="AK78" i="6"/>
  <c r="AJ78" i="6"/>
  <c r="AI78" i="6"/>
  <c r="AH78" i="6"/>
  <c r="AG78" i="6"/>
  <c r="AF78" i="6"/>
  <c r="N78" i="6"/>
  <c r="O78" i="6" s="1"/>
  <c r="AP77" i="6"/>
  <c r="AO77" i="6"/>
  <c r="AL77" i="6"/>
  <c r="AK77" i="6"/>
  <c r="AJ77" i="6"/>
  <c r="AI77" i="6"/>
  <c r="AH77" i="6"/>
  <c r="AG77" i="6"/>
  <c r="AF77" i="6"/>
  <c r="N77" i="6"/>
  <c r="O77" i="6" s="1"/>
  <c r="AP76" i="6"/>
  <c r="AO76" i="6"/>
  <c r="AL76" i="6"/>
  <c r="AK76" i="6"/>
  <c r="AJ76" i="6"/>
  <c r="AI76" i="6"/>
  <c r="AH76" i="6"/>
  <c r="AG76" i="6"/>
  <c r="AF76" i="6"/>
  <c r="N76" i="6"/>
  <c r="O76" i="6" s="1"/>
  <c r="AP75" i="6"/>
  <c r="AO75" i="6"/>
  <c r="AL75" i="6"/>
  <c r="AK75" i="6"/>
  <c r="AJ75" i="6"/>
  <c r="AI75" i="6"/>
  <c r="AH75" i="6"/>
  <c r="AG75" i="6"/>
  <c r="AF75" i="6"/>
  <c r="N75" i="6"/>
  <c r="O75" i="6" s="1"/>
  <c r="AP74" i="6"/>
  <c r="AO74" i="6"/>
  <c r="AL74" i="6"/>
  <c r="AK74" i="6"/>
  <c r="AJ74" i="6"/>
  <c r="AI74" i="6"/>
  <c r="AH74" i="6"/>
  <c r="AG74" i="6"/>
  <c r="AF74" i="6"/>
  <c r="N74" i="6"/>
  <c r="O74" i="6" s="1"/>
  <c r="AP73" i="6"/>
  <c r="AO73" i="6"/>
  <c r="AL73" i="6"/>
  <c r="AK73" i="6"/>
  <c r="AJ73" i="6"/>
  <c r="AI73" i="6"/>
  <c r="AH73" i="6"/>
  <c r="AG73" i="6"/>
  <c r="AF73" i="6"/>
  <c r="N73" i="6"/>
  <c r="O73" i="6" s="1"/>
  <c r="AP72" i="6"/>
  <c r="AO72" i="6"/>
  <c r="AL72" i="6"/>
  <c r="AK72" i="6"/>
  <c r="AJ72" i="6"/>
  <c r="AI72" i="6"/>
  <c r="AH72" i="6"/>
  <c r="AG72" i="6"/>
  <c r="AF72" i="6"/>
  <c r="N72" i="6"/>
  <c r="O72" i="6" s="1"/>
  <c r="AP71" i="6"/>
  <c r="AO71" i="6"/>
  <c r="AL71" i="6"/>
  <c r="AK71" i="6"/>
  <c r="AJ71" i="6"/>
  <c r="AI71" i="6"/>
  <c r="AH71" i="6"/>
  <c r="AG71" i="6"/>
  <c r="AF71" i="6"/>
  <c r="N71" i="6"/>
  <c r="O71" i="6" s="1"/>
  <c r="AP70" i="6"/>
  <c r="AO70" i="6"/>
  <c r="AL70" i="6"/>
  <c r="AK70" i="6"/>
  <c r="AJ70" i="6"/>
  <c r="AI70" i="6"/>
  <c r="AH70" i="6"/>
  <c r="AG70" i="6"/>
  <c r="AF70" i="6"/>
  <c r="N70" i="6"/>
  <c r="O70" i="6" s="1"/>
  <c r="AP69" i="6"/>
  <c r="AO69" i="6"/>
  <c r="AL69" i="6"/>
  <c r="AK69" i="6"/>
  <c r="AJ69" i="6"/>
  <c r="AI69" i="6"/>
  <c r="AH69" i="6"/>
  <c r="AG69" i="6"/>
  <c r="AF69" i="6"/>
  <c r="N69" i="6"/>
  <c r="O69" i="6" s="1"/>
  <c r="AP68" i="6"/>
  <c r="AO68" i="6"/>
  <c r="AL68" i="6"/>
  <c r="AK68" i="6"/>
  <c r="AJ68" i="6"/>
  <c r="AI68" i="6"/>
  <c r="AH68" i="6"/>
  <c r="AG68" i="6"/>
  <c r="AF68" i="6"/>
  <c r="N68" i="6"/>
  <c r="O68" i="6" s="1"/>
  <c r="AP67" i="6"/>
  <c r="AO67" i="6"/>
  <c r="AL67" i="6"/>
  <c r="AK67" i="6"/>
  <c r="AJ67" i="6"/>
  <c r="AI67" i="6"/>
  <c r="AH67" i="6"/>
  <c r="AG67" i="6"/>
  <c r="AF67" i="6"/>
  <c r="N67" i="6"/>
  <c r="O67" i="6" s="1"/>
  <c r="AP66" i="6"/>
  <c r="AO66" i="6"/>
  <c r="AL66" i="6"/>
  <c r="AK66" i="6"/>
  <c r="AJ66" i="6"/>
  <c r="AI66" i="6"/>
  <c r="AH66" i="6"/>
  <c r="AG66" i="6"/>
  <c r="AF66" i="6"/>
  <c r="N66" i="6"/>
  <c r="O66" i="6" s="1"/>
  <c r="AP65" i="6"/>
  <c r="AO65" i="6"/>
  <c r="AL65" i="6"/>
  <c r="AK65" i="6"/>
  <c r="AJ65" i="6"/>
  <c r="AI65" i="6"/>
  <c r="AH65" i="6"/>
  <c r="AG65" i="6"/>
  <c r="AF65" i="6"/>
  <c r="N65" i="6"/>
  <c r="O65" i="6" s="1"/>
  <c r="AP64" i="6"/>
  <c r="AO64" i="6"/>
  <c r="AL64" i="6"/>
  <c r="AK64" i="6"/>
  <c r="AJ64" i="6"/>
  <c r="AI64" i="6"/>
  <c r="AH64" i="6"/>
  <c r="AG64" i="6"/>
  <c r="AF64" i="6"/>
  <c r="N64" i="6"/>
  <c r="O64" i="6" s="1"/>
  <c r="AP63" i="6"/>
  <c r="AO63" i="6"/>
  <c r="AL63" i="6"/>
  <c r="AK63" i="6"/>
  <c r="AJ63" i="6"/>
  <c r="AI63" i="6"/>
  <c r="AH63" i="6"/>
  <c r="AG63" i="6"/>
  <c r="AF63" i="6"/>
  <c r="N63" i="6"/>
  <c r="O63" i="6" s="1"/>
  <c r="AP62" i="6"/>
  <c r="AO62" i="6"/>
  <c r="AL62" i="6"/>
  <c r="AK62" i="6"/>
  <c r="AJ62" i="6"/>
  <c r="AI62" i="6"/>
  <c r="AH62" i="6"/>
  <c r="AG62" i="6"/>
  <c r="AF62" i="6"/>
  <c r="N62" i="6"/>
  <c r="O62" i="6" s="1"/>
  <c r="AP61" i="6"/>
  <c r="AO61" i="6"/>
  <c r="AL61" i="6"/>
  <c r="AK61" i="6"/>
  <c r="AJ61" i="6"/>
  <c r="AI61" i="6"/>
  <c r="AH61" i="6"/>
  <c r="AG61" i="6"/>
  <c r="AF61" i="6"/>
  <c r="N61" i="6"/>
  <c r="O61" i="6" s="1"/>
  <c r="AP60" i="6"/>
  <c r="AO60" i="6"/>
  <c r="AL60" i="6"/>
  <c r="AK60" i="6"/>
  <c r="AJ60" i="6"/>
  <c r="AI60" i="6"/>
  <c r="AH60" i="6"/>
  <c r="AG60" i="6"/>
  <c r="AF60" i="6"/>
  <c r="N60" i="6"/>
  <c r="O60" i="6" s="1"/>
  <c r="AP59" i="6"/>
  <c r="AO59" i="6"/>
  <c r="AL59" i="6"/>
  <c r="AK59" i="6"/>
  <c r="AJ59" i="6"/>
  <c r="AI59" i="6"/>
  <c r="AH59" i="6"/>
  <c r="AG59" i="6"/>
  <c r="AF59" i="6"/>
  <c r="N59" i="6"/>
  <c r="O59" i="6" s="1"/>
  <c r="AP58" i="6"/>
  <c r="AO58" i="6"/>
  <c r="AL58" i="6"/>
  <c r="AK58" i="6"/>
  <c r="AJ58" i="6"/>
  <c r="AI58" i="6"/>
  <c r="AH58" i="6"/>
  <c r="AG58" i="6"/>
  <c r="AF58" i="6"/>
  <c r="N58" i="6"/>
  <c r="O58" i="6" s="1"/>
  <c r="AP57" i="6"/>
  <c r="AO57" i="6"/>
  <c r="AL57" i="6"/>
  <c r="AK57" i="6"/>
  <c r="AJ57" i="6"/>
  <c r="AI57" i="6"/>
  <c r="AH57" i="6"/>
  <c r="AG57" i="6"/>
  <c r="AF57" i="6"/>
  <c r="N57" i="6"/>
  <c r="O57" i="6" s="1"/>
  <c r="AP56" i="6"/>
  <c r="AO56" i="6"/>
  <c r="AL56" i="6"/>
  <c r="AK56" i="6"/>
  <c r="AJ56" i="6"/>
  <c r="AI56" i="6"/>
  <c r="AH56" i="6"/>
  <c r="AG56" i="6"/>
  <c r="AF56" i="6"/>
  <c r="N56" i="6"/>
  <c r="O56" i="6" s="1"/>
  <c r="AP55" i="6"/>
  <c r="AO55" i="6"/>
  <c r="AL55" i="6"/>
  <c r="AK55" i="6"/>
  <c r="AJ55" i="6"/>
  <c r="AI55" i="6"/>
  <c r="AH55" i="6"/>
  <c r="AG55" i="6"/>
  <c r="AF55" i="6"/>
  <c r="N55" i="6"/>
  <c r="O55" i="6" s="1"/>
  <c r="AP54" i="6"/>
  <c r="AO54" i="6"/>
  <c r="AL54" i="6"/>
  <c r="AK54" i="6"/>
  <c r="AJ54" i="6"/>
  <c r="AI54" i="6"/>
  <c r="AH54" i="6"/>
  <c r="AG54" i="6"/>
  <c r="AF54" i="6"/>
  <c r="N54" i="6"/>
  <c r="O54" i="6" s="1"/>
  <c r="AP53" i="6"/>
  <c r="AO53" i="6"/>
  <c r="AL53" i="6"/>
  <c r="AK53" i="6"/>
  <c r="AJ53" i="6"/>
  <c r="AI53" i="6"/>
  <c r="AH53" i="6"/>
  <c r="AG53" i="6"/>
  <c r="AF53" i="6"/>
  <c r="N53" i="6"/>
  <c r="O53" i="6" s="1"/>
  <c r="AP52" i="6"/>
  <c r="AO52" i="6"/>
  <c r="AL52" i="6"/>
  <c r="AK52" i="6"/>
  <c r="AJ52" i="6"/>
  <c r="AI52" i="6"/>
  <c r="AH52" i="6"/>
  <c r="AG52" i="6"/>
  <c r="AF52" i="6"/>
  <c r="N52" i="6"/>
  <c r="O52" i="6" s="1"/>
  <c r="AP51" i="6"/>
  <c r="AO51" i="6"/>
  <c r="AL51" i="6"/>
  <c r="AK51" i="6"/>
  <c r="AJ51" i="6"/>
  <c r="AI51" i="6"/>
  <c r="AH51" i="6"/>
  <c r="AG51" i="6"/>
  <c r="AF51" i="6"/>
  <c r="N51" i="6"/>
  <c r="O51" i="6" s="1"/>
  <c r="AP50" i="6"/>
  <c r="AO50" i="6"/>
  <c r="AL50" i="6"/>
  <c r="AK50" i="6"/>
  <c r="AJ50" i="6"/>
  <c r="AI50" i="6"/>
  <c r="AH50" i="6"/>
  <c r="AG50" i="6"/>
  <c r="AF50" i="6"/>
  <c r="N50" i="6"/>
  <c r="O50" i="6" s="1"/>
  <c r="AP49" i="6"/>
  <c r="AO49" i="6"/>
  <c r="AL49" i="6"/>
  <c r="AK49" i="6"/>
  <c r="AJ49" i="6"/>
  <c r="AI49" i="6"/>
  <c r="AH49" i="6"/>
  <c r="AG49" i="6"/>
  <c r="AF49" i="6"/>
  <c r="N49" i="6"/>
  <c r="O49" i="6" s="1"/>
  <c r="AP48" i="6"/>
  <c r="AO48" i="6"/>
  <c r="AL48" i="6"/>
  <c r="AK48" i="6"/>
  <c r="AJ48" i="6"/>
  <c r="AI48" i="6"/>
  <c r="AH48" i="6"/>
  <c r="AG48" i="6"/>
  <c r="AF48" i="6"/>
  <c r="N48" i="6"/>
  <c r="O48" i="6" s="1"/>
  <c r="AP47" i="6"/>
  <c r="AO47" i="6"/>
  <c r="AL47" i="6"/>
  <c r="AK47" i="6"/>
  <c r="AJ47" i="6"/>
  <c r="AI47" i="6"/>
  <c r="AH47" i="6"/>
  <c r="AG47" i="6"/>
  <c r="AF47" i="6"/>
  <c r="N47" i="6"/>
  <c r="O47" i="6" s="1"/>
  <c r="AP46" i="6"/>
  <c r="AO46" i="6"/>
  <c r="AL46" i="6"/>
  <c r="AK46" i="6"/>
  <c r="AJ46" i="6"/>
  <c r="AI46" i="6"/>
  <c r="AH46" i="6"/>
  <c r="AG46" i="6"/>
  <c r="AF46" i="6"/>
  <c r="N46" i="6"/>
  <c r="O46" i="6" s="1"/>
  <c r="AP45" i="6"/>
  <c r="AO45" i="6"/>
  <c r="AL45" i="6"/>
  <c r="AK45" i="6"/>
  <c r="AJ45" i="6"/>
  <c r="AI45" i="6"/>
  <c r="AH45" i="6"/>
  <c r="AG45" i="6"/>
  <c r="AF45" i="6"/>
  <c r="N45" i="6"/>
  <c r="O45" i="6" s="1"/>
  <c r="AP44" i="6"/>
  <c r="AO44" i="6"/>
  <c r="AL44" i="6"/>
  <c r="AK44" i="6"/>
  <c r="AJ44" i="6"/>
  <c r="AI44" i="6"/>
  <c r="AH44" i="6"/>
  <c r="AG44" i="6"/>
  <c r="AF44" i="6"/>
  <c r="N44" i="6"/>
  <c r="O44" i="6" s="1"/>
  <c r="AP43" i="6"/>
  <c r="AO43" i="6"/>
  <c r="AL43" i="6"/>
  <c r="AK43" i="6"/>
  <c r="AJ43" i="6"/>
  <c r="AI43" i="6"/>
  <c r="AH43" i="6"/>
  <c r="AG43" i="6"/>
  <c r="AF43" i="6"/>
  <c r="N43" i="6"/>
  <c r="O43" i="6" s="1"/>
  <c r="AP42" i="6"/>
  <c r="AO42" i="6"/>
  <c r="AL42" i="6"/>
  <c r="AK42" i="6"/>
  <c r="AJ42" i="6"/>
  <c r="AI42" i="6"/>
  <c r="AH42" i="6"/>
  <c r="AG42" i="6"/>
  <c r="AF42" i="6"/>
  <c r="N42" i="6"/>
  <c r="O42" i="6" s="1"/>
  <c r="AP41" i="6"/>
  <c r="AO41" i="6"/>
  <c r="AL41" i="6"/>
  <c r="AK41" i="6"/>
  <c r="AJ41" i="6"/>
  <c r="AI41" i="6"/>
  <c r="AH41" i="6"/>
  <c r="AG41" i="6"/>
  <c r="AF41" i="6"/>
  <c r="N41" i="6"/>
  <c r="O41" i="6" s="1"/>
  <c r="AP40" i="6"/>
  <c r="AO40" i="6"/>
  <c r="AL40" i="6"/>
  <c r="AK40" i="6"/>
  <c r="AJ40" i="6"/>
  <c r="AI40" i="6"/>
  <c r="AH40" i="6"/>
  <c r="AG40" i="6"/>
  <c r="AF40" i="6"/>
  <c r="N40" i="6"/>
  <c r="O40" i="6" s="1"/>
  <c r="AP39" i="6"/>
  <c r="AO39" i="6"/>
  <c r="AL39" i="6"/>
  <c r="AK39" i="6"/>
  <c r="AJ39" i="6"/>
  <c r="AI39" i="6"/>
  <c r="AH39" i="6"/>
  <c r="AG39" i="6"/>
  <c r="AF39" i="6"/>
  <c r="N39" i="6"/>
  <c r="O39" i="6" s="1"/>
  <c r="AP38" i="6"/>
  <c r="AO38" i="6"/>
  <c r="AL38" i="6"/>
  <c r="AK38" i="6"/>
  <c r="AJ38" i="6"/>
  <c r="AI38" i="6"/>
  <c r="AH38" i="6"/>
  <c r="AG38" i="6"/>
  <c r="AF38" i="6"/>
  <c r="N38" i="6"/>
  <c r="O38" i="6" s="1"/>
  <c r="AP37" i="6"/>
  <c r="AO37" i="6"/>
  <c r="AL37" i="6"/>
  <c r="AK37" i="6"/>
  <c r="AJ37" i="6"/>
  <c r="AI37" i="6"/>
  <c r="AH37" i="6"/>
  <c r="AG37" i="6"/>
  <c r="AF37" i="6"/>
  <c r="N37" i="6"/>
  <c r="O37" i="6" s="1"/>
  <c r="AP36" i="6"/>
  <c r="AO36" i="6"/>
  <c r="AL36" i="6"/>
  <c r="AK36" i="6"/>
  <c r="AJ36" i="6"/>
  <c r="AI36" i="6"/>
  <c r="AH36" i="6"/>
  <c r="AG36" i="6"/>
  <c r="AF36" i="6"/>
  <c r="N36" i="6"/>
  <c r="O36" i="6" s="1"/>
  <c r="AP35" i="6"/>
  <c r="AO35" i="6"/>
  <c r="AL35" i="6"/>
  <c r="AK35" i="6"/>
  <c r="AJ35" i="6"/>
  <c r="AI35" i="6"/>
  <c r="AH35" i="6"/>
  <c r="AG35" i="6"/>
  <c r="AF35" i="6"/>
  <c r="N35" i="6"/>
  <c r="O35" i="6" s="1"/>
  <c r="AP34" i="6"/>
  <c r="AO34" i="6"/>
  <c r="AL34" i="6"/>
  <c r="AK34" i="6"/>
  <c r="AJ34" i="6"/>
  <c r="AI34" i="6"/>
  <c r="AH34" i="6"/>
  <c r="AG34" i="6"/>
  <c r="AF34" i="6"/>
  <c r="N34" i="6"/>
  <c r="O34" i="6" s="1"/>
  <c r="AP33" i="6"/>
  <c r="AO33" i="6"/>
  <c r="AL33" i="6"/>
  <c r="AK33" i="6"/>
  <c r="AJ33" i="6"/>
  <c r="AI33" i="6"/>
  <c r="AH33" i="6"/>
  <c r="AG33" i="6"/>
  <c r="AF33" i="6"/>
  <c r="N33" i="6"/>
  <c r="O33" i="6" s="1"/>
  <c r="AP32" i="6"/>
  <c r="AO32" i="6"/>
  <c r="AL32" i="6"/>
  <c r="AK32" i="6"/>
  <c r="AJ32" i="6"/>
  <c r="AI32" i="6"/>
  <c r="AH32" i="6"/>
  <c r="AG32" i="6"/>
  <c r="AF32" i="6"/>
  <c r="N32" i="6"/>
  <c r="O32" i="6" s="1"/>
  <c r="AP31" i="6"/>
  <c r="AO31" i="6"/>
  <c r="AL31" i="6"/>
  <c r="AK31" i="6"/>
  <c r="AJ31" i="6"/>
  <c r="AI31" i="6"/>
  <c r="AH31" i="6"/>
  <c r="AG31" i="6"/>
  <c r="AF31" i="6"/>
  <c r="N31" i="6"/>
  <c r="O31" i="6" s="1"/>
  <c r="AP30" i="6"/>
  <c r="AO30" i="6"/>
  <c r="AL30" i="6"/>
  <c r="AK30" i="6"/>
  <c r="AJ30" i="6"/>
  <c r="AI30" i="6"/>
  <c r="AH30" i="6"/>
  <c r="AG30" i="6"/>
  <c r="AF30" i="6"/>
  <c r="N30" i="6"/>
  <c r="O30" i="6" s="1"/>
  <c r="AP29" i="6"/>
  <c r="AO29" i="6"/>
  <c r="AL29" i="6"/>
  <c r="AK29" i="6"/>
  <c r="AJ29" i="6"/>
  <c r="AI29" i="6"/>
  <c r="AH29" i="6"/>
  <c r="AG29" i="6"/>
  <c r="AF29" i="6"/>
  <c r="N29" i="6"/>
  <c r="O29" i="6" s="1"/>
  <c r="AP28" i="6"/>
  <c r="AO28" i="6"/>
  <c r="AL28" i="6"/>
  <c r="AK28" i="6"/>
  <c r="AJ28" i="6"/>
  <c r="AI28" i="6"/>
  <c r="AH28" i="6"/>
  <c r="AG28" i="6"/>
  <c r="AF28" i="6"/>
  <c r="N28" i="6"/>
  <c r="O28" i="6" s="1"/>
  <c r="AP27" i="6"/>
  <c r="AO27" i="6"/>
  <c r="AL27" i="6"/>
  <c r="AK27" i="6"/>
  <c r="AJ27" i="6"/>
  <c r="AI27" i="6"/>
  <c r="AH27" i="6"/>
  <c r="AG27" i="6"/>
  <c r="AF27" i="6"/>
  <c r="N27" i="6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77" i="2"/>
  <c r="AH278" i="2"/>
  <c r="AH279" i="2"/>
  <c r="AH280" i="2"/>
  <c r="AH281" i="2"/>
  <c r="AH282" i="2"/>
  <c r="AH283" i="2"/>
  <c r="AH284" i="2"/>
  <c r="AH285" i="2"/>
  <c r="AH286" i="2"/>
  <c r="AH287" i="2"/>
  <c r="AH288" i="2"/>
  <c r="AH289" i="2"/>
  <c r="AH290" i="2"/>
  <c r="AH291" i="2"/>
  <c r="AH292" i="2"/>
  <c r="AH293" i="2"/>
  <c r="AH294" i="2"/>
  <c r="AH295" i="2"/>
  <c r="AH296" i="2"/>
  <c r="AH297" i="2"/>
  <c r="AH298" i="2"/>
  <c r="AH299" i="2"/>
  <c r="AH300" i="2"/>
  <c r="AH301" i="2"/>
  <c r="AH302" i="2"/>
  <c r="AH303" i="2"/>
  <c r="AH304" i="2"/>
  <c r="AH305" i="2"/>
  <c r="AH306" i="2"/>
  <c r="AH307" i="2"/>
  <c r="AH308" i="2"/>
  <c r="AH309" i="2"/>
  <c r="AH310" i="2"/>
  <c r="AH311" i="2"/>
  <c r="AH312" i="2"/>
  <c r="AH313" i="2"/>
  <c r="AH314" i="2"/>
  <c r="AH315" i="2"/>
  <c r="AH316" i="2"/>
  <c r="AH317" i="2"/>
  <c r="AH318" i="2"/>
  <c r="AH319" i="2"/>
  <c r="AH320" i="2"/>
  <c r="AH321" i="2"/>
  <c r="AH322" i="2"/>
  <c r="AH323" i="2"/>
  <c r="AH324" i="2"/>
  <c r="AH325" i="2"/>
  <c r="AH326" i="2"/>
  <c r="AH327" i="2"/>
  <c r="AH328" i="2"/>
  <c r="AH329" i="2"/>
  <c r="AH330" i="2"/>
  <c r="AH331" i="2"/>
  <c r="AH332" i="2"/>
  <c r="AH333" i="2"/>
  <c r="AH334" i="2"/>
  <c r="AH335" i="2"/>
  <c r="AH336" i="2"/>
  <c r="AH337" i="2"/>
  <c r="AH338" i="2"/>
  <c r="AH339" i="2"/>
  <c r="AH340" i="2"/>
  <c r="AH341" i="2"/>
  <c r="AH342" i="2"/>
  <c r="AH343" i="2"/>
  <c r="AH344" i="2"/>
  <c r="AH345" i="2"/>
  <c r="AH346" i="2"/>
  <c r="AH347" i="2"/>
  <c r="AH348" i="2"/>
  <c r="AH349" i="2"/>
  <c r="AH350" i="2"/>
  <c r="AH351" i="2"/>
  <c r="AH352" i="2"/>
  <c r="AH353" i="2"/>
  <c r="AH354" i="2"/>
  <c r="AH355" i="2"/>
  <c r="AH356" i="2"/>
  <c r="AH357" i="2"/>
  <c r="AH358" i="2"/>
  <c r="AH359" i="2"/>
  <c r="AH360" i="2"/>
  <c r="AH361" i="2"/>
  <c r="AH362" i="2"/>
  <c r="AH363" i="2"/>
  <c r="AH364" i="2"/>
  <c r="AH365" i="2"/>
  <c r="AH366" i="2"/>
  <c r="AH367" i="2"/>
  <c r="AH368" i="2"/>
  <c r="AH369" i="2"/>
  <c r="AH370" i="2"/>
  <c r="AH371" i="2"/>
  <c r="AH372" i="2"/>
  <c r="AH373" i="2"/>
  <c r="AH374" i="2"/>
  <c r="AH375" i="2"/>
  <c r="AH376" i="2"/>
  <c r="AH377" i="2"/>
  <c r="AH378" i="2"/>
  <c r="AH379" i="2"/>
  <c r="AH380" i="2"/>
  <c r="AH381" i="2"/>
  <c r="AH382" i="2"/>
  <c r="AH383" i="2"/>
  <c r="AH384" i="2"/>
  <c r="AH385" i="2"/>
  <c r="AH386" i="2"/>
  <c r="AH387" i="2"/>
  <c r="AH388" i="2"/>
  <c r="AH389" i="2"/>
  <c r="AH390" i="2"/>
  <c r="AH391" i="2"/>
  <c r="AH392" i="2"/>
  <c r="AH393" i="2"/>
  <c r="AH394" i="2"/>
  <c r="AH395" i="2"/>
  <c r="AH396" i="2"/>
  <c r="AH397" i="2"/>
  <c r="AH398" i="2"/>
  <c r="AH399" i="2"/>
  <c r="AH400" i="2"/>
  <c r="AH401" i="2"/>
  <c r="AH402" i="2"/>
  <c r="AH403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N26" i="6" l="1"/>
  <c r="AM27" i="6"/>
  <c r="AE27" i="6" s="1"/>
  <c r="AM106" i="6"/>
  <c r="AE106" i="6" s="1"/>
  <c r="AM185" i="6"/>
  <c r="AM271" i="6"/>
  <c r="AE271" i="6" s="1"/>
  <c r="AM324" i="6"/>
  <c r="AE324" i="6" s="1"/>
  <c r="AM101" i="6"/>
  <c r="AE101" i="6" s="1"/>
  <c r="AM168" i="6"/>
  <c r="AE168" i="6" s="1"/>
  <c r="AM373" i="6"/>
  <c r="AE373" i="6" s="1"/>
  <c r="AM385" i="6"/>
  <c r="AE385" i="6" s="1"/>
  <c r="AM105" i="6"/>
  <c r="AM90" i="6"/>
  <c r="AE90" i="6" s="1"/>
  <c r="AM171" i="6"/>
  <c r="AM361" i="6"/>
  <c r="AE361" i="6" s="1"/>
  <c r="AM73" i="6"/>
  <c r="AE73" i="6" s="1"/>
  <c r="AM245" i="6"/>
  <c r="AE245" i="6" s="1"/>
  <c r="AM319" i="6"/>
  <c r="AE319" i="6" s="1"/>
  <c r="AM339" i="6"/>
  <c r="AE339" i="6" s="1"/>
  <c r="AM400" i="6"/>
  <c r="AE400" i="6" s="1"/>
  <c r="AM240" i="6"/>
  <c r="AE240" i="6" s="1"/>
  <c r="AM310" i="6"/>
  <c r="AM237" i="6"/>
  <c r="AE237" i="6" s="1"/>
  <c r="AM293" i="6"/>
  <c r="AE293" i="6" s="1"/>
  <c r="AM276" i="6"/>
  <c r="AE276" i="6" s="1"/>
  <c r="AM126" i="6"/>
  <c r="AE126" i="6" s="1"/>
  <c r="AM186" i="6"/>
  <c r="AE186" i="6" s="1"/>
  <c r="AM393" i="6"/>
  <c r="AE393" i="6" s="1"/>
  <c r="AM75" i="6"/>
  <c r="AE75" i="6" s="1"/>
  <c r="AM85" i="6"/>
  <c r="AE85" i="6" s="1"/>
  <c r="AM91" i="6"/>
  <c r="AE91" i="6" s="1"/>
  <c r="AM167" i="6"/>
  <c r="AE167" i="6" s="1"/>
  <c r="AM184" i="6"/>
  <c r="AE184" i="6" s="1"/>
  <c r="AM230" i="6"/>
  <c r="AE230" i="6" s="1"/>
  <c r="AM232" i="6"/>
  <c r="AE232" i="6" s="1"/>
  <c r="AM258" i="6"/>
  <c r="AE258" i="6" s="1"/>
  <c r="AM262" i="6"/>
  <c r="AE262" i="6" s="1"/>
  <c r="AM305" i="6"/>
  <c r="AE305" i="6" s="1"/>
  <c r="AM309" i="6"/>
  <c r="AE309" i="6" s="1"/>
  <c r="AM357" i="6"/>
  <c r="AE357" i="6" s="1"/>
  <c r="AM366" i="6"/>
  <c r="AE366" i="6" s="1"/>
  <c r="AM401" i="6"/>
  <c r="AE401" i="6" s="1"/>
  <c r="AM353" i="6"/>
  <c r="AE353" i="6" s="1"/>
  <c r="AM122" i="6"/>
  <c r="AE122" i="6" s="1"/>
  <c r="AM187" i="6"/>
  <c r="AE187" i="6" s="1"/>
  <c r="AM200" i="6"/>
  <c r="AE200" i="6" s="1"/>
  <c r="AM209" i="6"/>
  <c r="AE209" i="6" s="1"/>
  <c r="AM221" i="6"/>
  <c r="AE221" i="6" s="1"/>
  <c r="AM248" i="6"/>
  <c r="AE248" i="6" s="1"/>
  <c r="AM292" i="6"/>
  <c r="AE292" i="6" s="1"/>
  <c r="AM88" i="6"/>
  <c r="AE88" i="6" s="1"/>
  <c r="AM183" i="6"/>
  <c r="AM220" i="6"/>
  <c r="AE220" i="6" s="1"/>
  <c r="AM281" i="6"/>
  <c r="AE281" i="6" s="1"/>
  <c r="AM283" i="6"/>
  <c r="AE283" i="6" s="1"/>
  <c r="AM298" i="6"/>
  <c r="AE298" i="6" s="1"/>
  <c r="AM69" i="6"/>
  <c r="AE69" i="6" s="1"/>
  <c r="AM107" i="6"/>
  <c r="AE107" i="6" s="1"/>
  <c r="AM151" i="6"/>
  <c r="AM201" i="6"/>
  <c r="AE201" i="6" s="1"/>
  <c r="AM203" i="6"/>
  <c r="AE203" i="6" s="1"/>
  <c r="AM211" i="6"/>
  <c r="AE211" i="6" s="1"/>
  <c r="AM225" i="6"/>
  <c r="AE225" i="6" s="1"/>
  <c r="AM278" i="6"/>
  <c r="AE278" i="6" s="1"/>
  <c r="AM303" i="6"/>
  <c r="AE303" i="6" s="1"/>
  <c r="AM347" i="6"/>
  <c r="AE347" i="6" s="1"/>
  <c r="AM377" i="6"/>
  <c r="AE377" i="6" s="1"/>
  <c r="AM382" i="6"/>
  <c r="AE382" i="6" s="1"/>
  <c r="AM86" i="6"/>
  <c r="AE86" i="6" s="1"/>
  <c r="AM74" i="6"/>
  <c r="AE74" i="6" s="1"/>
  <c r="AM287" i="6"/>
  <c r="AE287" i="6" s="1"/>
  <c r="AM89" i="6"/>
  <c r="AE89" i="6" s="1"/>
  <c r="AM169" i="6"/>
  <c r="AE169" i="6" s="1"/>
  <c r="AM199" i="6"/>
  <c r="AE199" i="6" s="1"/>
  <c r="AM242" i="6"/>
  <c r="AM255" i="6"/>
  <c r="AE255" i="6" s="1"/>
  <c r="AM260" i="6"/>
  <c r="AE260" i="6" s="1"/>
  <c r="AM323" i="6"/>
  <c r="AE323" i="6" s="1"/>
  <c r="AM325" i="6"/>
  <c r="AE325" i="6" s="1"/>
  <c r="AM381" i="6"/>
  <c r="AE381" i="6" s="1"/>
  <c r="AM397" i="6"/>
  <c r="AE397" i="6" s="1"/>
  <c r="AM261" i="6"/>
  <c r="AE261" i="6" s="1"/>
  <c r="AM270" i="6"/>
  <c r="AE270" i="6" s="1"/>
  <c r="AM308" i="6"/>
  <c r="AE308" i="6" s="1"/>
  <c r="AM30" i="6"/>
  <c r="AE30" i="6" s="1"/>
  <c r="AM118" i="6"/>
  <c r="AE118" i="6" s="1"/>
  <c r="AM170" i="6"/>
  <c r="AE170" i="6" s="1"/>
  <c r="AM202" i="6"/>
  <c r="AE202" i="6" s="1"/>
  <c r="AM277" i="6"/>
  <c r="AE277" i="6" s="1"/>
  <c r="AM294" i="6"/>
  <c r="AE294" i="6" s="1"/>
  <c r="AM312" i="6"/>
  <c r="AE312" i="6" s="1"/>
  <c r="AM316" i="6"/>
  <c r="AE316" i="6" s="1"/>
  <c r="AM337" i="6"/>
  <c r="AE337" i="6" s="1"/>
  <c r="AM389" i="6"/>
  <c r="AE389" i="6" s="1"/>
  <c r="AM345" i="6"/>
  <c r="AE345" i="6" s="1"/>
  <c r="AM28" i="6"/>
  <c r="AE28" i="6" s="1"/>
  <c r="AM31" i="6"/>
  <c r="AE31" i="6" s="1"/>
  <c r="AM35" i="6"/>
  <c r="AE35" i="6" s="1"/>
  <c r="AM39" i="6"/>
  <c r="AM43" i="6"/>
  <c r="AE43" i="6" s="1"/>
  <c r="AM47" i="6"/>
  <c r="AE47" i="6" s="1"/>
  <c r="AM51" i="6"/>
  <c r="AE51" i="6" s="1"/>
  <c r="AM55" i="6"/>
  <c r="AE55" i="6" s="1"/>
  <c r="AM59" i="6"/>
  <c r="AE59" i="6" s="1"/>
  <c r="AM62" i="6"/>
  <c r="AE62" i="6" s="1"/>
  <c r="AM63" i="6"/>
  <c r="AE63" i="6" s="1"/>
  <c r="AM66" i="6"/>
  <c r="AE66" i="6" s="1"/>
  <c r="AM67" i="6"/>
  <c r="AE67" i="6" s="1"/>
  <c r="AM94" i="6"/>
  <c r="AE94" i="6" s="1"/>
  <c r="AM95" i="6"/>
  <c r="AE95" i="6" s="1"/>
  <c r="AM98" i="6"/>
  <c r="AE98" i="6" s="1"/>
  <c r="AM99" i="6"/>
  <c r="AE99" i="6" s="1"/>
  <c r="AM121" i="6"/>
  <c r="AE121" i="6" s="1"/>
  <c r="AM132" i="6"/>
  <c r="AE132" i="6" s="1"/>
  <c r="AM141" i="6"/>
  <c r="AE141" i="6" s="1"/>
  <c r="AM144" i="6"/>
  <c r="AE144" i="6" s="1"/>
  <c r="AM157" i="6"/>
  <c r="AE157" i="6" s="1"/>
  <c r="AM160" i="6"/>
  <c r="AE160" i="6" s="1"/>
  <c r="AM216" i="6"/>
  <c r="AE216" i="6" s="1"/>
  <c r="AM228" i="6"/>
  <c r="AE228" i="6" s="1"/>
  <c r="AM231" i="6"/>
  <c r="AE231" i="6" s="1"/>
  <c r="AM247" i="6"/>
  <c r="AE247" i="6" s="1"/>
  <c r="AM253" i="6"/>
  <c r="AE253" i="6" s="1"/>
  <c r="AM263" i="6"/>
  <c r="AE263" i="6" s="1"/>
  <c r="AM272" i="6"/>
  <c r="AE272" i="6" s="1"/>
  <c r="AM280" i="6"/>
  <c r="AE280" i="6" s="1"/>
  <c r="AM284" i="6"/>
  <c r="AE284" i="6" s="1"/>
  <c r="AM289" i="6"/>
  <c r="AE289" i="6" s="1"/>
  <c r="AM291" i="6"/>
  <c r="AE291" i="6" s="1"/>
  <c r="AM306" i="6"/>
  <c r="AE306" i="6" s="1"/>
  <c r="AM313" i="6"/>
  <c r="AE313" i="6" s="1"/>
  <c r="AM314" i="6"/>
  <c r="AE314" i="6" s="1"/>
  <c r="AM321" i="6"/>
  <c r="AE321" i="6" s="1"/>
  <c r="AM340" i="6"/>
  <c r="AE340" i="6" s="1"/>
  <c r="AM344" i="6"/>
  <c r="AE344" i="6" s="1"/>
  <c r="AM358" i="6"/>
  <c r="AE358" i="6" s="1"/>
  <c r="AM378" i="6"/>
  <c r="AE378" i="6" s="1"/>
  <c r="AM34" i="6"/>
  <c r="AE34" i="6" s="1"/>
  <c r="AM38" i="6"/>
  <c r="AE38" i="6" s="1"/>
  <c r="AM42" i="6"/>
  <c r="AE42" i="6" s="1"/>
  <c r="AM46" i="6"/>
  <c r="AE46" i="6" s="1"/>
  <c r="AM50" i="6"/>
  <c r="AE50" i="6" s="1"/>
  <c r="AM54" i="6"/>
  <c r="AE54" i="6" s="1"/>
  <c r="AM58" i="6"/>
  <c r="AE58" i="6" s="1"/>
  <c r="AM61" i="6"/>
  <c r="AE61" i="6" s="1"/>
  <c r="AM65" i="6"/>
  <c r="AE65" i="6" s="1"/>
  <c r="AM93" i="6"/>
  <c r="AE93" i="6" s="1"/>
  <c r="AM97" i="6"/>
  <c r="AE97" i="6" s="1"/>
  <c r="AM120" i="6"/>
  <c r="AE120" i="6" s="1"/>
  <c r="AM125" i="6"/>
  <c r="AE125" i="6" s="1"/>
  <c r="AM128" i="6"/>
  <c r="AE128" i="6" s="1"/>
  <c r="AM131" i="6"/>
  <c r="AE131" i="6" s="1"/>
  <c r="AM135" i="6"/>
  <c r="AE135" i="6" s="1"/>
  <c r="AM145" i="6"/>
  <c r="AE145" i="6" s="1"/>
  <c r="AM161" i="6"/>
  <c r="AE161" i="6" s="1"/>
  <c r="AM178" i="6"/>
  <c r="AE178" i="6" s="1"/>
  <c r="AM194" i="6"/>
  <c r="AE194" i="6" s="1"/>
  <c r="AM207" i="6"/>
  <c r="AE207" i="6" s="1"/>
  <c r="AM212" i="6"/>
  <c r="AE212" i="6" s="1"/>
  <c r="AM259" i="6"/>
  <c r="AE259" i="6" s="1"/>
  <c r="AM269" i="6"/>
  <c r="AE269" i="6" s="1"/>
  <c r="AM288" i="6"/>
  <c r="AE288" i="6" s="1"/>
  <c r="AM296" i="6"/>
  <c r="AE296" i="6" s="1"/>
  <c r="AM300" i="6"/>
  <c r="AM307" i="6"/>
  <c r="AE307" i="6" s="1"/>
  <c r="AM315" i="6"/>
  <c r="AE315" i="6" s="1"/>
  <c r="AM330" i="6"/>
  <c r="AE330" i="6" s="1"/>
  <c r="AM334" i="6"/>
  <c r="AE334" i="6" s="1"/>
  <c r="AM348" i="6"/>
  <c r="AE348" i="6" s="1"/>
  <c r="AM352" i="6"/>
  <c r="AE352" i="6" s="1"/>
  <c r="AM363" i="6"/>
  <c r="AE363" i="6" s="1"/>
  <c r="AM376" i="6"/>
  <c r="AE376" i="6" s="1"/>
  <c r="AM392" i="6"/>
  <c r="AE392" i="6" s="1"/>
  <c r="AM71" i="6"/>
  <c r="AE71" i="6" s="1"/>
  <c r="AM129" i="6"/>
  <c r="AE129" i="6" s="1"/>
  <c r="AM140" i="6"/>
  <c r="AE140" i="6" s="1"/>
  <c r="AM146" i="6"/>
  <c r="AE146" i="6" s="1"/>
  <c r="AM150" i="6"/>
  <c r="AE150" i="6" s="1"/>
  <c r="AM156" i="6"/>
  <c r="AE156" i="6" s="1"/>
  <c r="AM162" i="6"/>
  <c r="AE162" i="6" s="1"/>
  <c r="AM166" i="6"/>
  <c r="AE166" i="6" s="1"/>
  <c r="AM174" i="6"/>
  <c r="AE174" i="6" s="1"/>
  <c r="AM175" i="6"/>
  <c r="AE175" i="6" s="1"/>
  <c r="AM182" i="6"/>
  <c r="AE182" i="6" s="1"/>
  <c r="AM190" i="6"/>
  <c r="AE190" i="6" s="1"/>
  <c r="AM191" i="6"/>
  <c r="AE191" i="6" s="1"/>
  <c r="AM198" i="6"/>
  <c r="AE198" i="6" s="1"/>
  <c r="AM204" i="6"/>
  <c r="AE204" i="6" s="1"/>
  <c r="AM217" i="6"/>
  <c r="AE217" i="6" s="1"/>
  <c r="AM234" i="6"/>
  <c r="AE234" i="6" s="1"/>
  <c r="AM239" i="6"/>
  <c r="AE239" i="6" s="1"/>
  <c r="AM246" i="6"/>
  <c r="AE246" i="6" s="1"/>
  <c r="AM252" i="6"/>
  <c r="AE252" i="6" s="1"/>
  <c r="AM257" i="6"/>
  <c r="AE257" i="6" s="1"/>
  <c r="AM279" i="6"/>
  <c r="AE279" i="6" s="1"/>
  <c r="AM297" i="6"/>
  <c r="AE297" i="6" s="1"/>
  <c r="AM299" i="6"/>
  <c r="AE299" i="6" s="1"/>
  <c r="AE310" i="6"/>
  <c r="AM320" i="6"/>
  <c r="AE320" i="6" s="1"/>
  <c r="AM329" i="6"/>
  <c r="AE329" i="6" s="1"/>
  <c r="AM333" i="6"/>
  <c r="AE333" i="6" s="1"/>
  <c r="AM375" i="6"/>
  <c r="AE375" i="6" s="1"/>
  <c r="AM33" i="6"/>
  <c r="AE33" i="6" s="1"/>
  <c r="AM37" i="6"/>
  <c r="AE37" i="6" s="1"/>
  <c r="AM41" i="6"/>
  <c r="AE41" i="6" s="1"/>
  <c r="AM45" i="6"/>
  <c r="AE45" i="6" s="1"/>
  <c r="AM49" i="6"/>
  <c r="AE49" i="6" s="1"/>
  <c r="AM53" i="6"/>
  <c r="AE53" i="6" s="1"/>
  <c r="AM57" i="6"/>
  <c r="AE57" i="6" s="1"/>
  <c r="AM78" i="6"/>
  <c r="AE78" i="6" s="1"/>
  <c r="AM79" i="6"/>
  <c r="AE79" i="6" s="1"/>
  <c r="AM82" i="6"/>
  <c r="AM83" i="6"/>
  <c r="AE83" i="6" s="1"/>
  <c r="AM103" i="6"/>
  <c r="AE103" i="6" s="1"/>
  <c r="AM134" i="6"/>
  <c r="AE134" i="6" s="1"/>
  <c r="AM149" i="6"/>
  <c r="AE149" i="6" s="1"/>
  <c r="AM152" i="6"/>
  <c r="AE152" i="6" s="1"/>
  <c r="AM165" i="6"/>
  <c r="AE165" i="6" s="1"/>
  <c r="AM172" i="6"/>
  <c r="AE172" i="6" s="1"/>
  <c r="AM188" i="6"/>
  <c r="AE188" i="6" s="1"/>
  <c r="AM205" i="6"/>
  <c r="AE205" i="6" s="1"/>
  <c r="AM218" i="6"/>
  <c r="AE218" i="6" s="1"/>
  <c r="AM251" i="6"/>
  <c r="AE251" i="6" s="1"/>
  <c r="AM266" i="6"/>
  <c r="AE266" i="6" s="1"/>
  <c r="AM274" i="6"/>
  <c r="AE274" i="6" s="1"/>
  <c r="AM286" i="6"/>
  <c r="AE286" i="6" s="1"/>
  <c r="AM304" i="6"/>
  <c r="AE304" i="6" s="1"/>
  <c r="AM311" i="6"/>
  <c r="AE311" i="6" s="1"/>
  <c r="AM342" i="6"/>
  <c r="AE342" i="6" s="1"/>
  <c r="AM356" i="6"/>
  <c r="AE356" i="6" s="1"/>
  <c r="AM360" i="6"/>
  <c r="AE360" i="6" s="1"/>
  <c r="AM365" i="6"/>
  <c r="AE365" i="6" s="1"/>
  <c r="AM369" i="6"/>
  <c r="AE369" i="6" s="1"/>
  <c r="AM380" i="6"/>
  <c r="AE380" i="6" s="1"/>
  <c r="AM384" i="6"/>
  <c r="AE384" i="6" s="1"/>
  <c r="AM70" i="6"/>
  <c r="AE70" i="6" s="1"/>
  <c r="AM72" i="6"/>
  <c r="AE72" i="6" s="1"/>
  <c r="AM110" i="6"/>
  <c r="AE110" i="6" s="1"/>
  <c r="AM111" i="6"/>
  <c r="AE111" i="6" s="1"/>
  <c r="AM114" i="6"/>
  <c r="AE114" i="6" s="1"/>
  <c r="AM115" i="6"/>
  <c r="AE115" i="6" s="1"/>
  <c r="AM124" i="6"/>
  <c r="AE124" i="6" s="1"/>
  <c r="AM133" i="6"/>
  <c r="AE133" i="6" s="1"/>
  <c r="AM136" i="6"/>
  <c r="AE136" i="6" s="1"/>
  <c r="AM143" i="6"/>
  <c r="AE143" i="6" s="1"/>
  <c r="AM159" i="6"/>
  <c r="AE159" i="6" s="1"/>
  <c r="AE171" i="6"/>
  <c r="AM181" i="6"/>
  <c r="AE181" i="6" s="1"/>
  <c r="AM197" i="6"/>
  <c r="AE197" i="6" s="1"/>
  <c r="AM243" i="6"/>
  <c r="AE243" i="6" s="1"/>
  <c r="AM244" i="6"/>
  <c r="AE244" i="6" s="1"/>
  <c r="AM256" i="6"/>
  <c r="AE256" i="6" s="1"/>
  <c r="AM264" i="6"/>
  <c r="AE264" i="6" s="1"/>
  <c r="AM268" i="6"/>
  <c r="AE268" i="6" s="1"/>
  <c r="AM285" i="6"/>
  <c r="AE285" i="6" s="1"/>
  <c r="AM295" i="6"/>
  <c r="AE295" i="6" s="1"/>
  <c r="AM318" i="6"/>
  <c r="AE318" i="6" s="1"/>
  <c r="AM341" i="6"/>
  <c r="AE341" i="6" s="1"/>
  <c r="AM379" i="6"/>
  <c r="AE379" i="6" s="1"/>
  <c r="AM396" i="6"/>
  <c r="AE396" i="6" s="1"/>
  <c r="AM32" i="6"/>
  <c r="AE32" i="6" s="1"/>
  <c r="AM36" i="6"/>
  <c r="AE36" i="6" s="1"/>
  <c r="AM40" i="6"/>
  <c r="AE40" i="6" s="1"/>
  <c r="AM44" i="6"/>
  <c r="AE44" i="6" s="1"/>
  <c r="AM48" i="6"/>
  <c r="AE48" i="6" s="1"/>
  <c r="AM52" i="6"/>
  <c r="AE52" i="6" s="1"/>
  <c r="AM56" i="6"/>
  <c r="AE56" i="6" s="1"/>
  <c r="AM77" i="6"/>
  <c r="AE77" i="6" s="1"/>
  <c r="AM81" i="6"/>
  <c r="AE81" i="6" s="1"/>
  <c r="AM102" i="6"/>
  <c r="AE102" i="6" s="1"/>
  <c r="AM104" i="6"/>
  <c r="AE104" i="6" s="1"/>
  <c r="AM119" i="6"/>
  <c r="AE119" i="6" s="1"/>
  <c r="AM137" i="6"/>
  <c r="AE137" i="6" s="1"/>
  <c r="AM153" i="6"/>
  <c r="AE153" i="6" s="1"/>
  <c r="AM180" i="6"/>
  <c r="AE180" i="6" s="1"/>
  <c r="AM196" i="6"/>
  <c r="AE196" i="6" s="1"/>
  <c r="AM208" i="6"/>
  <c r="AE208" i="6" s="1"/>
  <c r="AM223" i="6"/>
  <c r="AE223" i="6" s="1"/>
  <c r="AM238" i="6"/>
  <c r="AE238" i="6" s="1"/>
  <c r="AM265" i="6"/>
  <c r="AE265" i="6" s="1"/>
  <c r="AM267" i="6"/>
  <c r="AE267" i="6" s="1"/>
  <c r="AM273" i="6"/>
  <c r="AE273" i="6" s="1"/>
  <c r="AM275" i="6"/>
  <c r="AE275" i="6" s="1"/>
  <c r="AM290" i="6"/>
  <c r="AE290" i="6" s="1"/>
  <c r="AM302" i="6"/>
  <c r="AE302" i="6" s="1"/>
  <c r="AM317" i="6"/>
  <c r="AE317" i="6" s="1"/>
  <c r="AM328" i="6"/>
  <c r="AE328" i="6" s="1"/>
  <c r="AM332" i="6"/>
  <c r="AE332" i="6" s="1"/>
  <c r="AM336" i="6"/>
  <c r="AE336" i="6" s="1"/>
  <c r="AM350" i="6"/>
  <c r="AE350" i="6" s="1"/>
  <c r="AM29" i="6"/>
  <c r="AE29" i="6" s="1"/>
  <c r="AM87" i="6"/>
  <c r="AE87" i="6" s="1"/>
  <c r="AM109" i="6"/>
  <c r="AE109" i="6" s="1"/>
  <c r="AM113" i="6"/>
  <c r="AE113" i="6" s="1"/>
  <c r="AM117" i="6"/>
  <c r="AE117" i="6" s="1"/>
  <c r="AM127" i="6"/>
  <c r="AE127" i="6" s="1"/>
  <c r="AM138" i="6"/>
  <c r="AE138" i="6" s="1"/>
  <c r="AM142" i="6"/>
  <c r="AE142" i="6" s="1"/>
  <c r="AM148" i="6"/>
  <c r="AE148" i="6" s="1"/>
  <c r="AM154" i="6"/>
  <c r="AE154" i="6" s="1"/>
  <c r="AM158" i="6"/>
  <c r="AE158" i="6" s="1"/>
  <c r="AM164" i="6"/>
  <c r="AE164" i="6" s="1"/>
  <c r="AM176" i="6"/>
  <c r="AE176" i="6" s="1"/>
  <c r="AE185" i="6"/>
  <c r="AM192" i="6"/>
  <c r="AE192" i="6" s="1"/>
  <c r="AM213" i="6"/>
  <c r="AM222" i="6"/>
  <c r="AE222" i="6" s="1"/>
  <c r="AM224" i="6"/>
  <c r="AE224" i="6" s="1"/>
  <c r="AM235" i="6"/>
  <c r="AE235" i="6" s="1"/>
  <c r="AM236" i="6"/>
  <c r="AE236" i="6" s="1"/>
  <c r="AM250" i="6"/>
  <c r="AE250" i="6" s="1"/>
  <c r="AM254" i="6"/>
  <c r="AE254" i="6" s="1"/>
  <c r="AM282" i="6"/>
  <c r="AE282" i="6" s="1"/>
  <c r="AM301" i="6"/>
  <c r="AE301" i="6" s="1"/>
  <c r="AM322" i="6"/>
  <c r="AE322" i="6" s="1"/>
  <c r="AM327" i="6"/>
  <c r="AE327" i="6" s="1"/>
  <c r="AM349" i="6"/>
  <c r="AE349" i="6" s="1"/>
  <c r="AM355" i="6"/>
  <c r="AE355" i="6" s="1"/>
  <c r="AM364" i="6"/>
  <c r="AE364" i="6" s="1"/>
  <c r="AM368" i="6"/>
  <c r="AE368" i="6" s="1"/>
  <c r="AM388" i="6"/>
  <c r="AE388" i="6" s="1"/>
  <c r="AE39" i="6"/>
  <c r="AE105" i="6"/>
  <c r="AE82" i="6"/>
  <c r="AE213" i="6"/>
  <c r="AE300" i="6"/>
  <c r="AM60" i="6"/>
  <c r="AE60" i="6" s="1"/>
  <c r="AM76" i="6"/>
  <c r="AE76" i="6" s="1"/>
  <c r="AM92" i="6"/>
  <c r="AE92" i="6" s="1"/>
  <c r="AM108" i="6"/>
  <c r="AE108" i="6" s="1"/>
  <c r="AM139" i="6"/>
  <c r="AE139" i="6" s="1"/>
  <c r="AM147" i="6"/>
  <c r="AE147" i="6" s="1"/>
  <c r="AM155" i="6"/>
  <c r="AE155" i="6" s="1"/>
  <c r="AM163" i="6"/>
  <c r="AE163" i="6" s="1"/>
  <c r="AM179" i="6"/>
  <c r="AE179" i="6" s="1"/>
  <c r="AM195" i="6"/>
  <c r="AE195" i="6" s="1"/>
  <c r="AM206" i="6"/>
  <c r="AE206" i="6" s="1"/>
  <c r="AE151" i="6"/>
  <c r="AE183" i="6"/>
  <c r="O27" i="6"/>
  <c r="AM68" i="6"/>
  <c r="AE68" i="6" s="1"/>
  <c r="AM84" i="6"/>
  <c r="AE84" i="6" s="1"/>
  <c r="AM100" i="6"/>
  <c r="AE100" i="6" s="1"/>
  <c r="AM116" i="6"/>
  <c r="AE116" i="6" s="1"/>
  <c r="AM123" i="6"/>
  <c r="AE123" i="6" s="1"/>
  <c r="AM130" i="6"/>
  <c r="AE130" i="6" s="1"/>
  <c r="AM173" i="6"/>
  <c r="AE173" i="6" s="1"/>
  <c r="AM177" i="6"/>
  <c r="AE177" i="6" s="1"/>
  <c r="AM189" i="6"/>
  <c r="AE189" i="6" s="1"/>
  <c r="AM193" i="6"/>
  <c r="AE193" i="6" s="1"/>
  <c r="AM64" i="6"/>
  <c r="AE64" i="6" s="1"/>
  <c r="AM80" i="6"/>
  <c r="AE80" i="6" s="1"/>
  <c r="AM96" i="6"/>
  <c r="AE96" i="6" s="1"/>
  <c r="AM112" i="6"/>
  <c r="AE112" i="6" s="1"/>
  <c r="AM219" i="6"/>
  <c r="AE219" i="6" s="1"/>
  <c r="AM215" i="6"/>
  <c r="AE215" i="6" s="1"/>
  <c r="AM227" i="6"/>
  <c r="AE227" i="6" s="1"/>
  <c r="AM233" i="6"/>
  <c r="AE233" i="6" s="1"/>
  <c r="AM210" i="6"/>
  <c r="AE210" i="6" s="1"/>
  <c r="AM214" i="6"/>
  <c r="AE214" i="6" s="1"/>
  <c r="AM226" i="6"/>
  <c r="AE226" i="6" s="1"/>
  <c r="AM229" i="6"/>
  <c r="AE229" i="6" s="1"/>
  <c r="AM241" i="6"/>
  <c r="AE241" i="6" s="1"/>
  <c r="AE242" i="6"/>
  <c r="AM249" i="6"/>
  <c r="AE249" i="6" s="1"/>
  <c r="AM331" i="6"/>
  <c r="AE331" i="6" s="1"/>
  <c r="AM351" i="6"/>
  <c r="AE351" i="6" s="1"/>
  <c r="AM359" i="6"/>
  <c r="AE359" i="6" s="1"/>
  <c r="AM326" i="6"/>
  <c r="AE326" i="6" s="1"/>
  <c r="AM338" i="6"/>
  <c r="AE338" i="6" s="1"/>
  <c r="AM346" i="6"/>
  <c r="AE346" i="6" s="1"/>
  <c r="AM354" i="6"/>
  <c r="AE354" i="6" s="1"/>
  <c r="AM362" i="6"/>
  <c r="AE362" i="6" s="1"/>
  <c r="AM371" i="6"/>
  <c r="AE371" i="6" s="1"/>
  <c r="AM372" i="6"/>
  <c r="AE372" i="6" s="1"/>
  <c r="AM374" i="6"/>
  <c r="AE374" i="6" s="1"/>
  <c r="AM367" i="6"/>
  <c r="AE367" i="6" s="1"/>
  <c r="AM370" i="6"/>
  <c r="AE370" i="6" s="1"/>
  <c r="AM383" i="6"/>
  <c r="AE383" i="6" s="1"/>
  <c r="AM387" i="6"/>
  <c r="AE387" i="6" s="1"/>
  <c r="AM391" i="6"/>
  <c r="AE391" i="6" s="1"/>
  <c r="AM395" i="6"/>
  <c r="AE395" i="6" s="1"/>
  <c r="AM399" i="6"/>
  <c r="AE399" i="6" s="1"/>
  <c r="AM402" i="6"/>
  <c r="AE402" i="6" s="1"/>
  <c r="AM403" i="6"/>
  <c r="AE403" i="6" s="1"/>
  <c r="AM335" i="6"/>
  <c r="AE335" i="6" s="1"/>
  <c r="AM343" i="6"/>
  <c r="AE343" i="6" s="1"/>
  <c r="AM386" i="6"/>
  <c r="AE386" i="6" s="1"/>
  <c r="AM390" i="6"/>
  <c r="AE390" i="6" s="1"/>
  <c r="AM394" i="6"/>
  <c r="AE394" i="6" s="1"/>
  <c r="AM398" i="6"/>
  <c r="AE398" i="6" s="1"/>
  <c r="Y28" i="6" l="1"/>
  <c r="AA28" i="6" s="1"/>
  <c r="Y27" i="6"/>
  <c r="AA27" i="6" s="1"/>
  <c r="Y36" i="6"/>
  <c r="Y32" i="6"/>
  <c r="Y33" i="6"/>
  <c r="Y38" i="6"/>
  <c r="AA38" i="6" s="1"/>
  <c r="Y29" i="6"/>
  <c r="AA29" i="6" s="1"/>
  <c r="Y34" i="6"/>
  <c r="AA34" i="6" s="1"/>
  <c r="Y39" i="6"/>
  <c r="AA39" i="6" s="1"/>
  <c r="Y41" i="6"/>
  <c r="AA41" i="6" s="1"/>
  <c r="Y35" i="6"/>
  <c r="Y37" i="6"/>
  <c r="Y31" i="6"/>
  <c r="AA31" i="6" s="1"/>
  <c r="Y30" i="6"/>
  <c r="AA30" i="6" s="1"/>
  <c r="Y489" i="6"/>
  <c r="AA489" i="6" s="1"/>
  <c r="Y438" i="6"/>
  <c r="AA438" i="6" s="1"/>
  <c r="Y513" i="6"/>
  <c r="AA513" i="6" s="1"/>
  <c r="Y473" i="6"/>
  <c r="AA473" i="6" s="1"/>
  <c r="Y498" i="6"/>
  <c r="AA498" i="6" s="1"/>
  <c r="Y472" i="6"/>
  <c r="AA472" i="6" s="1"/>
  <c r="Y508" i="6"/>
  <c r="AA508" i="6" s="1"/>
  <c r="Y423" i="6"/>
  <c r="AA423" i="6" s="1"/>
  <c r="Y451" i="6"/>
  <c r="AA451" i="6" s="1"/>
  <c r="Y506" i="6"/>
  <c r="AA506" i="6" s="1"/>
  <c r="Y443" i="6"/>
  <c r="AA443" i="6" s="1"/>
  <c r="Y467" i="6"/>
  <c r="AA467" i="6" s="1"/>
  <c r="Y444" i="6"/>
  <c r="AA444" i="6" s="1"/>
  <c r="Y519" i="6"/>
  <c r="AA519" i="6" s="1"/>
  <c r="Y442" i="6"/>
  <c r="AA442" i="6" s="1"/>
  <c r="Y517" i="6"/>
  <c r="AA517" i="6" s="1"/>
  <c r="Y404" i="6"/>
  <c r="AA404" i="6" s="1"/>
  <c r="Y432" i="6"/>
  <c r="AA432" i="6" s="1"/>
  <c r="Y430" i="6"/>
  <c r="AA430" i="6" s="1"/>
  <c r="Y429" i="6"/>
  <c r="AA429" i="6" s="1"/>
  <c r="Y419" i="6"/>
  <c r="AA419" i="6" s="1"/>
  <c r="Y422" i="6"/>
  <c r="AA422" i="6" s="1"/>
  <c r="Y457" i="6"/>
  <c r="AA457" i="6" s="1"/>
  <c r="Y452" i="6"/>
  <c r="AA452" i="6" s="1"/>
  <c r="Y407" i="6"/>
  <c r="AA407" i="6" s="1"/>
  <c r="Y494" i="6"/>
  <c r="AA494" i="6" s="1"/>
  <c r="Y453" i="6"/>
  <c r="AA453" i="6" s="1"/>
  <c r="Y477" i="6"/>
  <c r="AA477" i="6" s="1"/>
  <c r="Y522" i="6"/>
  <c r="AA522" i="6" s="1"/>
  <c r="Y469" i="6"/>
  <c r="AA469" i="6" s="1"/>
  <c r="Y520" i="6"/>
  <c r="AA520" i="6" s="1"/>
  <c r="Y424" i="6"/>
  <c r="AA424" i="6" s="1"/>
  <c r="Y428" i="6"/>
  <c r="AA428" i="6" s="1"/>
  <c r="Y468" i="6"/>
  <c r="AA468" i="6" s="1"/>
  <c r="Y426" i="6"/>
  <c r="AA426" i="6" s="1"/>
  <c r="Y495" i="6"/>
  <c r="AA495" i="6" s="1"/>
  <c r="Y480" i="6"/>
  <c r="AA480" i="6" s="1"/>
  <c r="Y488" i="6"/>
  <c r="AA488" i="6" s="1"/>
  <c r="Y509" i="6"/>
  <c r="AA509" i="6" s="1"/>
  <c r="Y455" i="6"/>
  <c r="AA455" i="6" s="1"/>
  <c r="Y462" i="6"/>
  <c r="AA462" i="6" s="1"/>
  <c r="Y518" i="6"/>
  <c r="AA518" i="6" s="1"/>
  <c r="Y421" i="6"/>
  <c r="AA421" i="6" s="1"/>
  <c r="Y415" i="6"/>
  <c r="AA415" i="6" s="1"/>
  <c r="Y440" i="6"/>
  <c r="AA440" i="6" s="1"/>
  <c r="Y433" i="6"/>
  <c r="AA433" i="6" s="1"/>
  <c r="Y425" i="6"/>
  <c r="AA425" i="6" s="1"/>
  <c r="Y439" i="6"/>
  <c r="AA439" i="6" s="1"/>
  <c r="Y431" i="6"/>
  <c r="AA431" i="6" s="1"/>
  <c r="Y413" i="6"/>
  <c r="AA413" i="6" s="1"/>
  <c r="Y406" i="6"/>
  <c r="AA406" i="6" s="1"/>
  <c r="Y456" i="6"/>
  <c r="AA456" i="6" s="1"/>
  <c r="Y436" i="6"/>
  <c r="AA436" i="6" s="1"/>
  <c r="Y511" i="6"/>
  <c r="AA511" i="6" s="1"/>
  <c r="Y463" i="6"/>
  <c r="AA463" i="6" s="1"/>
  <c r="Y466" i="6"/>
  <c r="AA466" i="6" s="1"/>
  <c r="Y507" i="6"/>
  <c r="AA507" i="6" s="1"/>
  <c r="Y492" i="6"/>
  <c r="AA492" i="6" s="1"/>
  <c r="Y499" i="6"/>
  <c r="AA499" i="6" s="1"/>
  <c r="Y476" i="6"/>
  <c r="AA476" i="6" s="1"/>
  <c r="Y515" i="6"/>
  <c r="AA515" i="6" s="1"/>
  <c r="Y412" i="6"/>
  <c r="AA412" i="6" s="1"/>
  <c r="Y417" i="6"/>
  <c r="AA417" i="6" s="1"/>
  <c r="Y410" i="6"/>
  <c r="AA410" i="6" s="1"/>
  <c r="Y409" i="6"/>
  <c r="AA409" i="6" s="1"/>
  <c r="Y512" i="6"/>
  <c r="AA512" i="6" s="1"/>
  <c r="Y434" i="6"/>
  <c r="AA434" i="6" s="1"/>
  <c r="Y465" i="6"/>
  <c r="AA465" i="6" s="1"/>
  <c r="Y504" i="6"/>
  <c r="AA504" i="6" s="1"/>
  <c r="Y496" i="6"/>
  <c r="AA496" i="6" s="1"/>
  <c r="Y470" i="6"/>
  <c r="AA470" i="6" s="1"/>
  <c r="Y501" i="6"/>
  <c r="AA501" i="6" s="1"/>
  <c r="Y411" i="6"/>
  <c r="AA411" i="6" s="1"/>
  <c r="Y514" i="6"/>
  <c r="AA514" i="6" s="1"/>
  <c r="Y420" i="6"/>
  <c r="AA420" i="6" s="1"/>
  <c r="Y449" i="6"/>
  <c r="AA449" i="6" s="1"/>
  <c r="Y450" i="6"/>
  <c r="AA450" i="6" s="1"/>
  <c r="Y525" i="6"/>
  <c r="AA525" i="6" s="1"/>
  <c r="Y486" i="6"/>
  <c r="AA486" i="6" s="1"/>
  <c r="Y445" i="6"/>
  <c r="AA445" i="6" s="1"/>
  <c r="Y478" i="6"/>
  <c r="AA478" i="6" s="1"/>
  <c r="Y437" i="6"/>
  <c r="AA437" i="6" s="1"/>
  <c r="Y490" i="6"/>
  <c r="AA490" i="6" s="1"/>
  <c r="Y435" i="6"/>
  <c r="AA435" i="6" s="1"/>
  <c r="Y482" i="6"/>
  <c r="AA482" i="6" s="1"/>
  <c r="Y427" i="6"/>
  <c r="AA427" i="6" s="1"/>
  <c r="Y487" i="6"/>
  <c r="AA487" i="6" s="1"/>
  <c r="Y447" i="6"/>
  <c r="AA447" i="6" s="1"/>
  <c r="Y516" i="6"/>
  <c r="AA516" i="6" s="1"/>
  <c r="Y474" i="6"/>
  <c r="AA474" i="6" s="1"/>
  <c r="Y500" i="6"/>
  <c r="AA500" i="6" s="1"/>
  <c r="Y484" i="6"/>
  <c r="AA484" i="6" s="1"/>
  <c r="Y505" i="6"/>
  <c r="AA505" i="6" s="1"/>
  <c r="Y454" i="6"/>
  <c r="AA454" i="6" s="1"/>
  <c r="Y497" i="6"/>
  <c r="AA497" i="6" s="1"/>
  <c r="Y461" i="6"/>
  <c r="AA461" i="6" s="1"/>
  <c r="Y485" i="6"/>
  <c r="AA485" i="6" s="1"/>
  <c r="Y524" i="6"/>
  <c r="AA524" i="6" s="1"/>
  <c r="Y416" i="6"/>
  <c r="AA416" i="6" s="1"/>
  <c r="Y414" i="6"/>
  <c r="AA414" i="6" s="1"/>
  <c r="Y460" i="6"/>
  <c r="AA460" i="6" s="1"/>
  <c r="Y458" i="6"/>
  <c r="AA458" i="6" s="1"/>
  <c r="Y502" i="6"/>
  <c r="AA502" i="6" s="1"/>
  <c r="Y471" i="6"/>
  <c r="AA471" i="6" s="1"/>
  <c r="Y493" i="6"/>
  <c r="AA493" i="6" s="1"/>
  <c r="Y526" i="6"/>
  <c r="AA526" i="6" s="1"/>
  <c r="Y408" i="6"/>
  <c r="AA408" i="6" s="1"/>
  <c r="Y418" i="6"/>
  <c r="AA418" i="6" s="1"/>
  <c r="Y441" i="6"/>
  <c r="AA441" i="6" s="1"/>
  <c r="Y448" i="6"/>
  <c r="AA448" i="6" s="1"/>
  <c r="Y523" i="6"/>
  <c r="AA523" i="6" s="1"/>
  <c r="Y446" i="6"/>
  <c r="AA446" i="6" s="1"/>
  <c r="Y521" i="6"/>
  <c r="AA521" i="6" s="1"/>
  <c r="Y491" i="6"/>
  <c r="AA491" i="6" s="1"/>
  <c r="Y464" i="6"/>
  <c r="AA464" i="6" s="1"/>
  <c r="Y483" i="6"/>
  <c r="AA483" i="6" s="1"/>
  <c r="Y503" i="6"/>
  <c r="AA503" i="6" s="1"/>
  <c r="Y481" i="6"/>
  <c r="AA481" i="6" s="1"/>
  <c r="Y405" i="6"/>
  <c r="AA405" i="6" s="1"/>
  <c r="Y475" i="6"/>
  <c r="AA475" i="6" s="1"/>
  <c r="Y510" i="6"/>
  <c r="AA510" i="6" s="1"/>
  <c r="Y479" i="6"/>
  <c r="AA479" i="6" s="1"/>
  <c r="Y459" i="6"/>
  <c r="AA459" i="6" s="1"/>
  <c r="AA36" i="6"/>
  <c r="Y44" i="6"/>
  <c r="AA44" i="6" s="1"/>
  <c r="Y52" i="6"/>
  <c r="AA52" i="6" s="1"/>
  <c r="Y60" i="6"/>
  <c r="AA60" i="6" s="1"/>
  <c r="Y68" i="6"/>
  <c r="AA68" i="6" s="1"/>
  <c r="Y76" i="6"/>
  <c r="AA76" i="6" s="1"/>
  <c r="Y84" i="6"/>
  <c r="AA84" i="6" s="1"/>
  <c r="Y92" i="6"/>
  <c r="AA92" i="6" s="1"/>
  <c r="Y100" i="6"/>
  <c r="AA100" i="6" s="1"/>
  <c r="Y108" i="6"/>
  <c r="AA108" i="6" s="1"/>
  <c r="Y116" i="6"/>
  <c r="AA116" i="6" s="1"/>
  <c r="Y124" i="6"/>
  <c r="AA124" i="6" s="1"/>
  <c r="Y132" i="6"/>
  <c r="AA132" i="6" s="1"/>
  <c r="Y140" i="6"/>
  <c r="AA140" i="6" s="1"/>
  <c r="Y148" i="6"/>
  <c r="AA148" i="6" s="1"/>
  <c r="Y156" i="6"/>
  <c r="AA156" i="6" s="1"/>
  <c r="Y164" i="6"/>
  <c r="AA164" i="6" s="1"/>
  <c r="Y172" i="6"/>
  <c r="AA172" i="6" s="1"/>
  <c r="Y180" i="6"/>
  <c r="AA180" i="6" s="1"/>
  <c r="Y188" i="6"/>
  <c r="AA188" i="6" s="1"/>
  <c r="Y196" i="6"/>
  <c r="AA196" i="6" s="1"/>
  <c r="Y204" i="6"/>
  <c r="AA204" i="6" s="1"/>
  <c r="Y212" i="6"/>
  <c r="AA212" i="6" s="1"/>
  <c r="Y220" i="6"/>
  <c r="AA220" i="6" s="1"/>
  <c r="Y228" i="6"/>
  <c r="AA228" i="6" s="1"/>
  <c r="Y236" i="6"/>
  <c r="AA236" i="6" s="1"/>
  <c r="Y244" i="6"/>
  <c r="AA244" i="6" s="1"/>
  <c r="Y252" i="6"/>
  <c r="AA252" i="6" s="1"/>
  <c r="Y260" i="6"/>
  <c r="AA260" i="6" s="1"/>
  <c r="Y268" i="6"/>
  <c r="AA268" i="6" s="1"/>
  <c r="Y276" i="6"/>
  <c r="AA276" i="6" s="1"/>
  <c r="Y284" i="6"/>
  <c r="AA284" i="6" s="1"/>
  <c r="Y292" i="6"/>
  <c r="AA292" i="6" s="1"/>
  <c r="Y300" i="6"/>
  <c r="AA300" i="6" s="1"/>
  <c r="Y308" i="6"/>
  <c r="AA308" i="6" s="1"/>
  <c r="Y316" i="6"/>
  <c r="AA316" i="6" s="1"/>
  <c r="Y324" i="6"/>
  <c r="AA324" i="6" s="1"/>
  <c r="Y332" i="6"/>
  <c r="AA332" i="6" s="1"/>
  <c r="Y340" i="6"/>
  <c r="AA340" i="6" s="1"/>
  <c r="Y348" i="6"/>
  <c r="AA348" i="6" s="1"/>
  <c r="Y356" i="6"/>
  <c r="AA356" i="6" s="1"/>
  <c r="Y364" i="6"/>
  <c r="AA364" i="6" s="1"/>
  <c r="Y372" i="6"/>
  <c r="AA372" i="6" s="1"/>
  <c r="Y380" i="6"/>
  <c r="AA380" i="6" s="1"/>
  <c r="Y388" i="6"/>
  <c r="AA388" i="6" s="1"/>
  <c r="Y396" i="6"/>
  <c r="AA396" i="6" s="1"/>
  <c r="Y296" i="6"/>
  <c r="AA296" i="6" s="1"/>
  <c r="Y328" i="6"/>
  <c r="AA328" i="6" s="1"/>
  <c r="Y360" i="6"/>
  <c r="AA360" i="6" s="1"/>
  <c r="AA33" i="6"/>
  <c r="Y97" i="6"/>
  <c r="AA97" i="6" s="1"/>
  <c r="Y145" i="6"/>
  <c r="AA145" i="6" s="1"/>
  <c r="Y177" i="6"/>
  <c r="AA177" i="6" s="1"/>
  <c r="Y217" i="6"/>
  <c r="AA217" i="6" s="1"/>
  <c r="Y257" i="6"/>
  <c r="AA257" i="6" s="1"/>
  <c r="Y297" i="6"/>
  <c r="AA297" i="6" s="1"/>
  <c r="Y345" i="6"/>
  <c r="AA345" i="6" s="1"/>
  <c r="Y377" i="6"/>
  <c r="AA377" i="6" s="1"/>
  <c r="Y42" i="6"/>
  <c r="AA42" i="6" s="1"/>
  <c r="Y106" i="6"/>
  <c r="AA106" i="6" s="1"/>
  <c r="Y138" i="6"/>
  <c r="AA138" i="6" s="1"/>
  <c r="Y178" i="6"/>
  <c r="AA178" i="6" s="1"/>
  <c r="Y218" i="6"/>
  <c r="AA218" i="6" s="1"/>
  <c r="Y258" i="6"/>
  <c r="AA258" i="6" s="1"/>
  <c r="Y298" i="6"/>
  <c r="AA298" i="6" s="1"/>
  <c r="Y338" i="6"/>
  <c r="AA338" i="6" s="1"/>
  <c r="Y386" i="6"/>
  <c r="AA386" i="6" s="1"/>
  <c r="Y51" i="6"/>
  <c r="AA51" i="6" s="1"/>
  <c r="Y75" i="6"/>
  <c r="AA75" i="6" s="1"/>
  <c r="Y123" i="6"/>
  <c r="AA123" i="6" s="1"/>
  <c r="Y163" i="6"/>
  <c r="AA163" i="6" s="1"/>
  <c r="Y187" i="6"/>
  <c r="AA187" i="6" s="1"/>
  <c r="Y227" i="6"/>
  <c r="AA227" i="6" s="1"/>
  <c r="Y259" i="6"/>
  <c r="AA259" i="6" s="1"/>
  <c r="Y307" i="6"/>
  <c r="AA307" i="6" s="1"/>
  <c r="Y347" i="6"/>
  <c r="AA347" i="6" s="1"/>
  <c r="Y387" i="6"/>
  <c r="AA387" i="6" s="1"/>
  <c r="AA37" i="6"/>
  <c r="Y45" i="6"/>
  <c r="AA45" i="6" s="1"/>
  <c r="Y53" i="6"/>
  <c r="AA53" i="6" s="1"/>
  <c r="Y61" i="6"/>
  <c r="AA61" i="6" s="1"/>
  <c r="Y69" i="6"/>
  <c r="AA69" i="6" s="1"/>
  <c r="Y77" i="6"/>
  <c r="AA77" i="6" s="1"/>
  <c r="Y85" i="6"/>
  <c r="AA85" i="6" s="1"/>
  <c r="Y93" i="6"/>
  <c r="AA93" i="6" s="1"/>
  <c r="Y101" i="6"/>
  <c r="AA101" i="6" s="1"/>
  <c r="Y109" i="6"/>
  <c r="AA109" i="6" s="1"/>
  <c r="Y117" i="6"/>
  <c r="AA117" i="6" s="1"/>
  <c r="Y125" i="6"/>
  <c r="AA125" i="6" s="1"/>
  <c r="Y133" i="6"/>
  <c r="AA133" i="6" s="1"/>
  <c r="Y141" i="6"/>
  <c r="AA141" i="6" s="1"/>
  <c r="Y149" i="6"/>
  <c r="AA149" i="6" s="1"/>
  <c r="Y157" i="6"/>
  <c r="AA157" i="6" s="1"/>
  <c r="Y165" i="6"/>
  <c r="AA165" i="6" s="1"/>
  <c r="Y173" i="6"/>
  <c r="AA173" i="6" s="1"/>
  <c r="Y181" i="6"/>
  <c r="AA181" i="6" s="1"/>
  <c r="Y189" i="6"/>
  <c r="AA189" i="6" s="1"/>
  <c r="Y197" i="6"/>
  <c r="AA197" i="6" s="1"/>
  <c r="Y205" i="6"/>
  <c r="AA205" i="6" s="1"/>
  <c r="Y213" i="6"/>
  <c r="AA213" i="6" s="1"/>
  <c r="Y221" i="6"/>
  <c r="AA221" i="6" s="1"/>
  <c r="Y229" i="6"/>
  <c r="AA229" i="6" s="1"/>
  <c r="Y237" i="6"/>
  <c r="AA237" i="6" s="1"/>
  <c r="Y245" i="6"/>
  <c r="AA245" i="6" s="1"/>
  <c r="Y253" i="6"/>
  <c r="AA253" i="6" s="1"/>
  <c r="Y261" i="6"/>
  <c r="AA261" i="6" s="1"/>
  <c r="Y269" i="6"/>
  <c r="AA269" i="6" s="1"/>
  <c r="Y277" i="6"/>
  <c r="AA277" i="6" s="1"/>
  <c r="Y285" i="6"/>
  <c r="AA285" i="6" s="1"/>
  <c r="Y293" i="6"/>
  <c r="AA293" i="6" s="1"/>
  <c r="Y301" i="6"/>
  <c r="AA301" i="6" s="1"/>
  <c r="Y309" i="6"/>
  <c r="AA309" i="6" s="1"/>
  <c r="Y317" i="6"/>
  <c r="AA317" i="6" s="1"/>
  <c r="Y325" i="6"/>
  <c r="AA325" i="6" s="1"/>
  <c r="Y333" i="6"/>
  <c r="AA333" i="6" s="1"/>
  <c r="Y341" i="6"/>
  <c r="AA341" i="6" s="1"/>
  <c r="Y349" i="6"/>
  <c r="AA349" i="6" s="1"/>
  <c r="Y357" i="6"/>
  <c r="AA357" i="6" s="1"/>
  <c r="Y365" i="6"/>
  <c r="AA365" i="6" s="1"/>
  <c r="Y373" i="6"/>
  <c r="AA373" i="6" s="1"/>
  <c r="Y381" i="6"/>
  <c r="AA381" i="6" s="1"/>
  <c r="Y389" i="6"/>
  <c r="AA389" i="6" s="1"/>
  <c r="Y397" i="6"/>
  <c r="AA397" i="6" s="1"/>
  <c r="Y280" i="6"/>
  <c r="AA280" i="6" s="1"/>
  <c r="Y320" i="6"/>
  <c r="AA320" i="6" s="1"/>
  <c r="Y352" i="6"/>
  <c r="AA352" i="6" s="1"/>
  <c r="Y392" i="6"/>
  <c r="AA392" i="6" s="1"/>
  <c r="Y49" i="6"/>
  <c r="AA49" i="6" s="1"/>
  <c r="Y81" i="6"/>
  <c r="AA81" i="6" s="1"/>
  <c r="Y113" i="6"/>
  <c r="AA113" i="6" s="1"/>
  <c r="Y161" i="6"/>
  <c r="AA161" i="6" s="1"/>
  <c r="Y201" i="6"/>
  <c r="AA201" i="6" s="1"/>
  <c r="Y233" i="6"/>
  <c r="AA233" i="6" s="1"/>
  <c r="Y289" i="6"/>
  <c r="AA289" i="6" s="1"/>
  <c r="Y337" i="6"/>
  <c r="AA337" i="6" s="1"/>
  <c r="Y401" i="6"/>
  <c r="AA401" i="6" s="1"/>
  <c r="Y58" i="6"/>
  <c r="AA58" i="6" s="1"/>
  <c r="Y130" i="6"/>
  <c r="AA130" i="6" s="1"/>
  <c r="Y194" i="6"/>
  <c r="AA194" i="6" s="1"/>
  <c r="Y234" i="6"/>
  <c r="AA234" i="6" s="1"/>
  <c r="Y274" i="6"/>
  <c r="AA274" i="6" s="1"/>
  <c r="Y322" i="6"/>
  <c r="AA322" i="6" s="1"/>
  <c r="Y354" i="6"/>
  <c r="AA354" i="6" s="1"/>
  <c r="Y394" i="6"/>
  <c r="AA394" i="6" s="1"/>
  <c r="Y59" i="6"/>
  <c r="AA59" i="6" s="1"/>
  <c r="Y107" i="6"/>
  <c r="AA107" i="6" s="1"/>
  <c r="Y147" i="6"/>
  <c r="AA147" i="6" s="1"/>
  <c r="Y203" i="6"/>
  <c r="AA203" i="6" s="1"/>
  <c r="Y243" i="6"/>
  <c r="AA243" i="6" s="1"/>
  <c r="Y299" i="6"/>
  <c r="AA299" i="6" s="1"/>
  <c r="Y363" i="6"/>
  <c r="AA363" i="6" s="1"/>
  <c r="Y46" i="6"/>
  <c r="AA46" i="6" s="1"/>
  <c r="Y54" i="6"/>
  <c r="AA54" i="6" s="1"/>
  <c r="Y62" i="6"/>
  <c r="AA62" i="6" s="1"/>
  <c r="Y70" i="6"/>
  <c r="AA70" i="6" s="1"/>
  <c r="Y78" i="6"/>
  <c r="AA78" i="6" s="1"/>
  <c r="Y86" i="6"/>
  <c r="AA86" i="6" s="1"/>
  <c r="Y94" i="6"/>
  <c r="AA94" i="6" s="1"/>
  <c r="Y102" i="6"/>
  <c r="AA102" i="6" s="1"/>
  <c r="Y110" i="6"/>
  <c r="AA110" i="6" s="1"/>
  <c r="Y118" i="6"/>
  <c r="AA118" i="6" s="1"/>
  <c r="Y126" i="6"/>
  <c r="AA126" i="6" s="1"/>
  <c r="Y134" i="6"/>
  <c r="AA134" i="6" s="1"/>
  <c r="Y142" i="6"/>
  <c r="AA142" i="6" s="1"/>
  <c r="Y150" i="6"/>
  <c r="AA150" i="6" s="1"/>
  <c r="Y158" i="6"/>
  <c r="AA158" i="6" s="1"/>
  <c r="Y166" i="6"/>
  <c r="AA166" i="6" s="1"/>
  <c r="Y174" i="6"/>
  <c r="AA174" i="6" s="1"/>
  <c r="Y182" i="6"/>
  <c r="AA182" i="6" s="1"/>
  <c r="Y190" i="6"/>
  <c r="AA190" i="6" s="1"/>
  <c r="Y198" i="6"/>
  <c r="AA198" i="6" s="1"/>
  <c r="Y206" i="6"/>
  <c r="AA206" i="6" s="1"/>
  <c r="Y214" i="6"/>
  <c r="AA214" i="6" s="1"/>
  <c r="Y222" i="6"/>
  <c r="AA222" i="6" s="1"/>
  <c r="Y230" i="6"/>
  <c r="AA230" i="6" s="1"/>
  <c r="Y238" i="6"/>
  <c r="AA238" i="6" s="1"/>
  <c r="Y246" i="6"/>
  <c r="AA246" i="6" s="1"/>
  <c r="Y254" i="6"/>
  <c r="AA254" i="6" s="1"/>
  <c r="Y262" i="6"/>
  <c r="AA262" i="6" s="1"/>
  <c r="Y270" i="6"/>
  <c r="AA270" i="6" s="1"/>
  <c r="Y278" i="6"/>
  <c r="AA278" i="6" s="1"/>
  <c r="Y286" i="6"/>
  <c r="AA286" i="6" s="1"/>
  <c r="Y294" i="6"/>
  <c r="AA294" i="6" s="1"/>
  <c r="Y302" i="6"/>
  <c r="AA302" i="6" s="1"/>
  <c r="Y310" i="6"/>
  <c r="AA310" i="6" s="1"/>
  <c r="Y318" i="6"/>
  <c r="AA318" i="6" s="1"/>
  <c r="Y326" i="6"/>
  <c r="AA326" i="6" s="1"/>
  <c r="Y334" i="6"/>
  <c r="AA334" i="6" s="1"/>
  <c r="Y342" i="6"/>
  <c r="AA342" i="6" s="1"/>
  <c r="Y350" i="6"/>
  <c r="AA350" i="6" s="1"/>
  <c r="Y358" i="6"/>
  <c r="AA358" i="6" s="1"/>
  <c r="Y366" i="6"/>
  <c r="AA366" i="6" s="1"/>
  <c r="Y374" i="6"/>
  <c r="AA374" i="6" s="1"/>
  <c r="Y382" i="6"/>
  <c r="AA382" i="6" s="1"/>
  <c r="Y390" i="6"/>
  <c r="AA390" i="6" s="1"/>
  <c r="Y398" i="6"/>
  <c r="AA398" i="6" s="1"/>
  <c r="Y288" i="6"/>
  <c r="AA288" i="6" s="1"/>
  <c r="Y312" i="6"/>
  <c r="AA312" i="6" s="1"/>
  <c r="Y344" i="6"/>
  <c r="AA344" i="6" s="1"/>
  <c r="Y376" i="6"/>
  <c r="AA376" i="6" s="1"/>
  <c r="Y73" i="6"/>
  <c r="AA73" i="6" s="1"/>
  <c r="Y105" i="6"/>
  <c r="AA105" i="6" s="1"/>
  <c r="Y129" i="6"/>
  <c r="AA129" i="6" s="1"/>
  <c r="Y153" i="6"/>
  <c r="AA153" i="6" s="1"/>
  <c r="Y185" i="6"/>
  <c r="AA185" i="6" s="1"/>
  <c r="Y209" i="6"/>
  <c r="AA209" i="6" s="1"/>
  <c r="Y249" i="6"/>
  <c r="AA249" i="6" s="1"/>
  <c r="Y273" i="6"/>
  <c r="AA273" i="6" s="1"/>
  <c r="Y305" i="6"/>
  <c r="AA305" i="6" s="1"/>
  <c r="Y329" i="6"/>
  <c r="AA329" i="6" s="1"/>
  <c r="Y361" i="6"/>
  <c r="AA361" i="6" s="1"/>
  <c r="Y393" i="6"/>
  <c r="AA393" i="6" s="1"/>
  <c r="Y66" i="6"/>
  <c r="AA66" i="6" s="1"/>
  <c r="Y122" i="6"/>
  <c r="AA122" i="6" s="1"/>
  <c r="Y162" i="6"/>
  <c r="AA162" i="6" s="1"/>
  <c r="Y210" i="6"/>
  <c r="AA210" i="6" s="1"/>
  <c r="Y250" i="6"/>
  <c r="AA250" i="6" s="1"/>
  <c r="Y290" i="6"/>
  <c r="AA290" i="6" s="1"/>
  <c r="Y314" i="6"/>
  <c r="AA314" i="6" s="1"/>
  <c r="Y362" i="6"/>
  <c r="AA362" i="6" s="1"/>
  <c r="Y402" i="6"/>
  <c r="AA402" i="6" s="1"/>
  <c r="Y67" i="6"/>
  <c r="AA67" i="6" s="1"/>
  <c r="Y99" i="6"/>
  <c r="AA99" i="6" s="1"/>
  <c r="Y139" i="6"/>
  <c r="AA139" i="6" s="1"/>
  <c r="Y179" i="6"/>
  <c r="AA179" i="6" s="1"/>
  <c r="Y219" i="6"/>
  <c r="AA219" i="6" s="1"/>
  <c r="Y267" i="6"/>
  <c r="AA267" i="6" s="1"/>
  <c r="Y283" i="6"/>
  <c r="AA283" i="6" s="1"/>
  <c r="Y331" i="6"/>
  <c r="AA331" i="6" s="1"/>
  <c r="Y371" i="6"/>
  <c r="AA371" i="6" s="1"/>
  <c r="Y403" i="6"/>
  <c r="AA403" i="6" s="1"/>
  <c r="Y47" i="6"/>
  <c r="AA47" i="6" s="1"/>
  <c r="Y55" i="6"/>
  <c r="AA55" i="6" s="1"/>
  <c r="Y63" i="6"/>
  <c r="AA63" i="6" s="1"/>
  <c r="Y71" i="6"/>
  <c r="AA71" i="6" s="1"/>
  <c r="Y79" i="6"/>
  <c r="AA79" i="6" s="1"/>
  <c r="Y87" i="6"/>
  <c r="AA87" i="6" s="1"/>
  <c r="Y95" i="6"/>
  <c r="AA95" i="6" s="1"/>
  <c r="Y103" i="6"/>
  <c r="AA103" i="6" s="1"/>
  <c r="Y111" i="6"/>
  <c r="AA111" i="6" s="1"/>
  <c r="Y119" i="6"/>
  <c r="AA119" i="6" s="1"/>
  <c r="Y127" i="6"/>
  <c r="AA127" i="6" s="1"/>
  <c r="Y135" i="6"/>
  <c r="AA135" i="6" s="1"/>
  <c r="Y143" i="6"/>
  <c r="AA143" i="6" s="1"/>
  <c r="Y151" i="6"/>
  <c r="AA151" i="6" s="1"/>
  <c r="Y159" i="6"/>
  <c r="AA159" i="6" s="1"/>
  <c r="Y167" i="6"/>
  <c r="AA167" i="6" s="1"/>
  <c r="Y175" i="6"/>
  <c r="AA175" i="6" s="1"/>
  <c r="Y183" i="6"/>
  <c r="AA183" i="6" s="1"/>
  <c r="Y191" i="6"/>
  <c r="AA191" i="6" s="1"/>
  <c r="Y199" i="6"/>
  <c r="AA199" i="6" s="1"/>
  <c r="Y207" i="6"/>
  <c r="AA207" i="6" s="1"/>
  <c r="Y215" i="6"/>
  <c r="AA215" i="6" s="1"/>
  <c r="Y223" i="6"/>
  <c r="AA223" i="6" s="1"/>
  <c r="Y231" i="6"/>
  <c r="AA231" i="6" s="1"/>
  <c r="Y239" i="6"/>
  <c r="AA239" i="6" s="1"/>
  <c r="Y247" i="6"/>
  <c r="AA247" i="6" s="1"/>
  <c r="Y255" i="6"/>
  <c r="AA255" i="6" s="1"/>
  <c r="Y263" i="6"/>
  <c r="AA263" i="6" s="1"/>
  <c r="Y271" i="6"/>
  <c r="AA271" i="6" s="1"/>
  <c r="Y279" i="6"/>
  <c r="AA279" i="6" s="1"/>
  <c r="Y287" i="6"/>
  <c r="AA287" i="6" s="1"/>
  <c r="Y295" i="6"/>
  <c r="AA295" i="6" s="1"/>
  <c r="Y303" i="6"/>
  <c r="AA303" i="6" s="1"/>
  <c r="Y311" i="6"/>
  <c r="AA311" i="6" s="1"/>
  <c r="Y319" i="6"/>
  <c r="AA319" i="6" s="1"/>
  <c r="Y327" i="6"/>
  <c r="AA327" i="6" s="1"/>
  <c r="Y335" i="6"/>
  <c r="AA335" i="6" s="1"/>
  <c r="Y343" i="6"/>
  <c r="AA343" i="6" s="1"/>
  <c r="Y351" i="6"/>
  <c r="AA351" i="6" s="1"/>
  <c r="Y359" i="6"/>
  <c r="AA359" i="6" s="1"/>
  <c r="Y367" i="6"/>
  <c r="AA367" i="6" s="1"/>
  <c r="Y375" i="6"/>
  <c r="AA375" i="6" s="1"/>
  <c r="Y383" i="6"/>
  <c r="AA383" i="6" s="1"/>
  <c r="Y391" i="6"/>
  <c r="AA391" i="6" s="1"/>
  <c r="Y399" i="6"/>
  <c r="AA399" i="6" s="1"/>
  <c r="Y272" i="6"/>
  <c r="AA272" i="6" s="1"/>
  <c r="Y304" i="6"/>
  <c r="AA304" i="6" s="1"/>
  <c r="Y336" i="6"/>
  <c r="AA336" i="6" s="1"/>
  <c r="Y368" i="6"/>
  <c r="AA368" i="6" s="1"/>
  <c r="Y400" i="6"/>
  <c r="AA400" i="6" s="1"/>
  <c r="Y57" i="6"/>
  <c r="AA57" i="6" s="1"/>
  <c r="Y89" i="6"/>
  <c r="AA89" i="6" s="1"/>
  <c r="Y121" i="6"/>
  <c r="AA121" i="6" s="1"/>
  <c r="Y169" i="6"/>
  <c r="AA169" i="6" s="1"/>
  <c r="Y225" i="6"/>
  <c r="AA225" i="6" s="1"/>
  <c r="Y265" i="6"/>
  <c r="AA265" i="6" s="1"/>
  <c r="Y313" i="6"/>
  <c r="AA313" i="6" s="1"/>
  <c r="Y353" i="6"/>
  <c r="AA353" i="6" s="1"/>
  <c r="Y385" i="6"/>
  <c r="AA385" i="6" s="1"/>
  <c r="Y50" i="6"/>
  <c r="AA50" i="6" s="1"/>
  <c r="Y98" i="6"/>
  <c r="AA98" i="6" s="1"/>
  <c r="Y146" i="6"/>
  <c r="AA146" i="6" s="1"/>
  <c r="Y170" i="6"/>
  <c r="AA170" i="6" s="1"/>
  <c r="Y202" i="6"/>
  <c r="AA202" i="6" s="1"/>
  <c r="Y242" i="6"/>
  <c r="AA242" i="6" s="1"/>
  <c r="Y282" i="6"/>
  <c r="AA282" i="6" s="1"/>
  <c r="Y330" i="6"/>
  <c r="AA330" i="6" s="1"/>
  <c r="Y370" i="6"/>
  <c r="AA370" i="6" s="1"/>
  <c r="Y43" i="6"/>
  <c r="AA43" i="6" s="1"/>
  <c r="Y83" i="6"/>
  <c r="AA83" i="6" s="1"/>
  <c r="Y131" i="6"/>
  <c r="AA131" i="6" s="1"/>
  <c r="Y171" i="6"/>
  <c r="AA171" i="6" s="1"/>
  <c r="Y211" i="6"/>
  <c r="AA211" i="6" s="1"/>
  <c r="Y251" i="6"/>
  <c r="AA251" i="6" s="1"/>
  <c r="Y315" i="6"/>
  <c r="AA315" i="6" s="1"/>
  <c r="Y355" i="6"/>
  <c r="AA355" i="6" s="1"/>
  <c r="Y395" i="6"/>
  <c r="AA395" i="6" s="1"/>
  <c r="AA32" i="6"/>
  <c r="Y40" i="6"/>
  <c r="AA40" i="6" s="1"/>
  <c r="Y48" i="6"/>
  <c r="AA48" i="6" s="1"/>
  <c r="Y56" i="6"/>
  <c r="AA56" i="6" s="1"/>
  <c r="Y64" i="6"/>
  <c r="AA64" i="6" s="1"/>
  <c r="Y72" i="6"/>
  <c r="AA72" i="6" s="1"/>
  <c r="Y80" i="6"/>
  <c r="AA80" i="6" s="1"/>
  <c r="Y88" i="6"/>
  <c r="AA88" i="6" s="1"/>
  <c r="Y96" i="6"/>
  <c r="AA96" i="6" s="1"/>
  <c r="Y104" i="6"/>
  <c r="AA104" i="6" s="1"/>
  <c r="Y112" i="6"/>
  <c r="AA112" i="6" s="1"/>
  <c r="Y120" i="6"/>
  <c r="AA120" i="6" s="1"/>
  <c r="Y128" i="6"/>
  <c r="AA128" i="6" s="1"/>
  <c r="Y136" i="6"/>
  <c r="AA136" i="6" s="1"/>
  <c r="Y144" i="6"/>
  <c r="AA144" i="6" s="1"/>
  <c r="Y152" i="6"/>
  <c r="AA152" i="6" s="1"/>
  <c r="Y160" i="6"/>
  <c r="AA160" i="6" s="1"/>
  <c r="Y168" i="6"/>
  <c r="AA168" i="6" s="1"/>
  <c r="Y176" i="6"/>
  <c r="AA176" i="6" s="1"/>
  <c r="Y184" i="6"/>
  <c r="AA184" i="6" s="1"/>
  <c r="Y192" i="6"/>
  <c r="AA192" i="6" s="1"/>
  <c r="Y200" i="6"/>
  <c r="AA200" i="6" s="1"/>
  <c r="Y208" i="6"/>
  <c r="AA208" i="6" s="1"/>
  <c r="Y216" i="6"/>
  <c r="AA216" i="6" s="1"/>
  <c r="Y224" i="6"/>
  <c r="AA224" i="6" s="1"/>
  <c r="Y232" i="6"/>
  <c r="AA232" i="6" s="1"/>
  <c r="Y240" i="6"/>
  <c r="AA240" i="6" s="1"/>
  <c r="Y248" i="6"/>
  <c r="AA248" i="6" s="1"/>
  <c r="Y256" i="6"/>
  <c r="AA256" i="6" s="1"/>
  <c r="Y264" i="6"/>
  <c r="AA264" i="6" s="1"/>
  <c r="Y384" i="6"/>
  <c r="AA384" i="6" s="1"/>
  <c r="Y65" i="6"/>
  <c r="AA65" i="6" s="1"/>
  <c r="Y137" i="6"/>
  <c r="AA137" i="6" s="1"/>
  <c r="Y193" i="6"/>
  <c r="AA193" i="6" s="1"/>
  <c r="Y241" i="6"/>
  <c r="AA241" i="6" s="1"/>
  <c r="Y281" i="6"/>
  <c r="AA281" i="6" s="1"/>
  <c r="Y321" i="6"/>
  <c r="AA321" i="6" s="1"/>
  <c r="Y369" i="6"/>
  <c r="AA369" i="6" s="1"/>
  <c r="Y74" i="6"/>
  <c r="AA74" i="6" s="1"/>
  <c r="Y82" i="6"/>
  <c r="AA82" i="6" s="1"/>
  <c r="Y90" i="6"/>
  <c r="AA90" i="6" s="1"/>
  <c r="Y114" i="6"/>
  <c r="AA114" i="6" s="1"/>
  <c r="Y154" i="6"/>
  <c r="AA154" i="6" s="1"/>
  <c r="Y186" i="6"/>
  <c r="AA186" i="6" s="1"/>
  <c r="Y226" i="6"/>
  <c r="AA226" i="6" s="1"/>
  <c r="Y266" i="6"/>
  <c r="AA266" i="6" s="1"/>
  <c r="Y306" i="6"/>
  <c r="AA306" i="6" s="1"/>
  <c r="Y346" i="6"/>
  <c r="AA346" i="6" s="1"/>
  <c r="Y378" i="6"/>
  <c r="AA378" i="6" s="1"/>
  <c r="AA35" i="6"/>
  <c r="Y91" i="6"/>
  <c r="AA91" i="6" s="1"/>
  <c r="Y115" i="6"/>
  <c r="AA115" i="6" s="1"/>
  <c r="Y155" i="6"/>
  <c r="AA155" i="6" s="1"/>
  <c r="Y195" i="6"/>
  <c r="AA195" i="6" s="1"/>
  <c r="Y235" i="6"/>
  <c r="AA235" i="6" s="1"/>
  <c r="Y275" i="6"/>
  <c r="AA275" i="6" s="1"/>
  <c r="Y291" i="6"/>
  <c r="AA291" i="6" s="1"/>
  <c r="Y323" i="6"/>
  <c r="AA323" i="6" s="1"/>
  <c r="Y339" i="6"/>
  <c r="AA339" i="6" s="1"/>
  <c r="Y379" i="6"/>
  <c r="AA379" i="6" s="1"/>
  <c r="AZ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104" i="2"/>
  <c r="BA105" i="2"/>
  <c r="BA106" i="2"/>
  <c r="BA107" i="2"/>
  <c r="BA108" i="2"/>
  <c r="BA109" i="2"/>
  <c r="BA110" i="2"/>
  <c r="BA111" i="2"/>
  <c r="BA112" i="2"/>
  <c r="BA113" i="2"/>
  <c r="BA114" i="2"/>
  <c r="BA115" i="2"/>
  <c r="BA116" i="2"/>
  <c r="BA117" i="2"/>
  <c r="BA118" i="2"/>
  <c r="BA119" i="2"/>
  <c r="BA120" i="2"/>
  <c r="BA121" i="2"/>
  <c r="BA122" i="2"/>
  <c r="BA123" i="2"/>
  <c r="BA124" i="2"/>
  <c r="BA125" i="2"/>
  <c r="BA126" i="2"/>
  <c r="BA127" i="2"/>
  <c r="BA128" i="2"/>
  <c r="BA129" i="2"/>
  <c r="BA130" i="2"/>
  <c r="BA131" i="2"/>
  <c r="BA132" i="2"/>
  <c r="BA133" i="2"/>
  <c r="BA134" i="2"/>
  <c r="BA135" i="2"/>
  <c r="BA136" i="2"/>
  <c r="BA137" i="2"/>
  <c r="BA138" i="2"/>
  <c r="BA139" i="2"/>
  <c r="BA140" i="2"/>
  <c r="BA141" i="2"/>
  <c r="BA142" i="2"/>
  <c r="BA143" i="2"/>
  <c r="BA144" i="2"/>
  <c r="BA145" i="2"/>
  <c r="BA146" i="2"/>
  <c r="BA147" i="2"/>
  <c r="BA148" i="2"/>
  <c r="BA149" i="2"/>
  <c r="BA150" i="2"/>
  <c r="BA151" i="2"/>
  <c r="BA152" i="2"/>
  <c r="BA153" i="2"/>
  <c r="BA154" i="2"/>
  <c r="BA155" i="2"/>
  <c r="BA156" i="2"/>
  <c r="BA157" i="2"/>
  <c r="BA158" i="2"/>
  <c r="BA159" i="2"/>
  <c r="BA160" i="2"/>
  <c r="BA161" i="2"/>
  <c r="BA162" i="2"/>
  <c r="BA163" i="2"/>
  <c r="BA164" i="2"/>
  <c r="BA165" i="2"/>
  <c r="BA166" i="2"/>
  <c r="BA167" i="2"/>
  <c r="BA168" i="2"/>
  <c r="BA169" i="2"/>
  <c r="BA170" i="2"/>
  <c r="BA171" i="2"/>
  <c r="BA172" i="2"/>
  <c r="BA173" i="2"/>
  <c r="BA174" i="2"/>
  <c r="BA175" i="2"/>
  <c r="BA176" i="2"/>
  <c r="BA177" i="2"/>
  <c r="BA178" i="2"/>
  <c r="BA179" i="2"/>
  <c r="BA180" i="2"/>
  <c r="BA181" i="2"/>
  <c r="BA182" i="2"/>
  <c r="BA183" i="2"/>
  <c r="BA184" i="2"/>
  <c r="BA185" i="2"/>
  <c r="BA186" i="2"/>
  <c r="BA187" i="2"/>
  <c r="BA188" i="2"/>
  <c r="BA189" i="2"/>
  <c r="BA190" i="2"/>
  <c r="BA191" i="2"/>
  <c r="BA192" i="2"/>
  <c r="BA193" i="2"/>
  <c r="BA194" i="2"/>
  <c r="BA195" i="2"/>
  <c r="BA196" i="2"/>
  <c r="BA197" i="2"/>
  <c r="BA198" i="2"/>
  <c r="BA199" i="2"/>
  <c r="BA200" i="2"/>
  <c r="BA201" i="2"/>
  <c r="BA202" i="2"/>
  <c r="BA203" i="2"/>
  <c r="BA204" i="2"/>
  <c r="BA205" i="2"/>
  <c r="BA206" i="2"/>
  <c r="BA207" i="2"/>
  <c r="BA208" i="2"/>
  <c r="BA209" i="2"/>
  <c r="BA210" i="2"/>
  <c r="BA211" i="2"/>
  <c r="BA212" i="2"/>
  <c r="BA213" i="2"/>
  <c r="BA214" i="2"/>
  <c r="BA215" i="2"/>
  <c r="BA216" i="2"/>
  <c r="BA217" i="2"/>
  <c r="BA218" i="2"/>
  <c r="BA219" i="2"/>
  <c r="BA220" i="2"/>
  <c r="BA221" i="2"/>
  <c r="BA222" i="2"/>
  <c r="BA223" i="2"/>
  <c r="BA224" i="2"/>
  <c r="BA225" i="2"/>
  <c r="BA226" i="2"/>
  <c r="BA227" i="2"/>
  <c r="BA228" i="2"/>
  <c r="BA229" i="2"/>
  <c r="BA230" i="2"/>
  <c r="BA231" i="2"/>
  <c r="BA232" i="2"/>
  <c r="BA233" i="2"/>
  <c r="BA234" i="2"/>
  <c r="BA235" i="2"/>
  <c r="BA236" i="2"/>
  <c r="BA237" i="2"/>
  <c r="BA238" i="2"/>
  <c r="BA239" i="2"/>
  <c r="BA240" i="2"/>
  <c r="BA241" i="2"/>
  <c r="BA242" i="2"/>
  <c r="BA243" i="2"/>
  <c r="BA244" i="2"/>
  <c r="BA245" i="2"/>
  <c r="BA246" i="2"/>
  <c r="BA247" i="2"/>
  <c r="BA248" i="2"/>
  <c r="BA249" i="2"/>
  <c r="BA250" i="2"/>
  <c r="BA251" i="2"/>
  <c r="BA252" i="2"/>
  <c r="BA253" i="2"/>
  <c r="BA254" i="2"/>
  <c r="BA255" i="2"/>
  <c r="BA256" i="2"/>
  <c r="BA257" i="2"/>
  <c r="BA258" i="2"/>
  <c r="BA259" i="2"/>
  <c r="BA260" i="2"/>
  <c r="BA261" i="2"/>
  <c r="BA262" i="2"/>
  <c r="BA263" i="2"/>
  <c r="BA264" i="2"/>
  <c r="BA265" i="2"/>
  <c r="BA266" i="2"/>
  <c r="BA267" i="2"/>
  <c r="BA268" i="2"/>
  <c r="BA269" i="2"/>
  <c r="BA270" i="2"/>
  <c r="BA271" i="2"/>
  <c r="BA272" i="2"/>
  <c r="BA273" i="2"/>
  <c r="BA274" i="2"/>
  <c r="BA275" i="2"/>
  <c r="BA276" i="2"/>
  <c r="BA277" i="2"/>
  <c r="BA278" i="2"/>
  <c r="BA279" i="2"/>
  <c r="BA280" i="2"/>
  <c r="BA281" i="2"/>
  <c r="BA282" i="2"/>
  <c r="BA283" i="2"/>
  <c r="BA284" i="2"/>
  <c r="BA285" i="2"/>
  <c r="BA286" i="2"/>
  <c r="BA287" i="2"/>
  <c r="BA288" i="2"/>
  <c r="BA289" i="2"/>
  <c r="BA290" i="2"/>
  <c r="BA291" i="2"/>
  <c r="BA292" i="2"/>
  <c r="BA293" i="2"/>
  <c r="BA294" i="2"/>
  <c r="BA295" i="2"/>
  <c r="BA296" i="2"/>
  <c r="BA297" i="2"/>
  <c r="BA298" i="2"/>
  <c r="BA299" i="2"/>
  <c r="BA300" i="2"/>
  <c r="BA301" i="2"/>
  <c r="BA302" i="2"/>
  <c r="BA303" i="2"/>
  <c r="BA304" i="2"/>
  <c r="BA305" i="2"/>
  <c r="BA306" i="2"/>
  <c r="BA307" i="2"/>
  <c r="BA308" i="2"/>
  <c r="BA309" i="2"/>
  <c r="BA310" i="2"/>
  <c r="BA311" i="2"/>
  <c r="BA312" i="2"/>
  <c r="BA313" i="2"/>
  <c r="BA314" i="2"/>
  <c r="BA315" i="2"/>
  <c r="BA316" i="2"/>
  <c r="BA317" i="2"/>
  <c r="BA318" i="2"/>
  <c r="BA319" i="2"/>
  <c r="BA320" i="2"/>
  <c r="BA321" i="2"/>
  <c r="BA322" i="2"/>
  <c r="BA323" i="2"/>
  <c r="BA324" i="2"/>
  <c r="BA325" i="2"/>
  <c r="BA326" i="2"/>
  <c r="BA327" i="2"/>
  <c r="BA328" i="2"/>
  <c r="BA329" i="2"/>
  <c r="BA330" i="2"/>
  <c r="BA331" i="2"/>
  <c r="BA332" i="2"/>
  <c r="BA333" i="2"/>
  <c r="BA334" i="2"/>
  <c r="BA335" i="2"/>
  <c r="BA336" i="2"/>
  <c r="BA337" i="2"/>
  <c r="BA338" i="2"/>
  <c r="BA339" i="2"/>
  <c r="BA340" i="2"/>
  <c r="BA341" i="2"/>
  <c r="BA342" i="2"/>
  <c r="BA343" i="2"/>
  <c r="BA344" i="2"/>
  <c r="BA345" i="2"/>
  <c r="BA346" i="2"/>
  <c r="BA347" i="2"/>
  <c r="BA348" i="2"/>
  <c r="BA349" i="2"/>
  <c r="BA350" i="2"/>
  <c r="BA351" i="2"/>
  <c r="BA352" i="2"/>
  <c r="BA353" i="2"/>
  <c r="BA354" i="2"/>
  <c r="BA355" i="2"/>
  <c r="BA356" i="2"/>
  <c r="BA357" i="2"/>
  <c r="BA358" i="2"/>
  <c r="BA359" i="2"/>
  <c r="BA360" i="2"/>
  <c r="BA361" i="2"/>
  <c r="BA362" i="2"/>
  <c r="BA363" i="2"/>
  <c r="BA364" i="2"/>
  <c r="BA365" i="2"/>
  <c r="BA366" i="2"/>
  <c r="BA367" i="2"/>
  <c r="BA368" i="2"/>
  <c r="BA369" i="2"/>
  <c r="BA370" i="2"/>
  <c r="BA371" i="2"/>
  <c r="BA372" i="2"/>
  <c r="BA373" i="2"/>
  <c r="BA374" i="2"/>
  <c r="BA375" i="2"/>
  <c r="BA376" i="2"/>
  <c r="BA377" i="2"/>
  <c r="BA378" i="2"/>
  <c r="BA379" i="2"/>
  <c r="BA380" i="2"/>
  <c r="BA381" i="2"/>
  <c r="BA382" i="2"/>
  <c r="BA383" i="2"/>
  <c r="BA384" i="2"/>
  <c r="BA385" i="2"/>
  <c r="BA386" i="2"/>
  <c r="BA387" i="2"/>
  <c r="BA388" i="2"/>
  <c r="BA389" i="2"/>
  <c r="BA390" i="2"/>
  <c r="BA391" i="2"/>
  <c r="BA392" i="2"/>
  <c r="BA393" i="2"/>
  <c r="BA394" i="2"/>
  <c r="BA395" i="2"/>
  <c r="BA396" i="2"/>
  <c r="BA397" i="2"/>
  <c r="BA398" i="2"/>
  <c r="BA399" i="2"/>
  <c r="BA400" i="2"/>
  <c r="BA401" i="2"/>
  <c r="BA402" i="2"/>
  <c r="BA403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88" i="2"/>
  <c r="AZ89" i="2"/>
  <c r="AZ90" i="2"/>
  <c r="AZ91" i="2"/>
  <c r="AZ92" i="2"/>
  <c r="AZ93" i="2"/>
  <c r="AZ94" i="2"/>
  <c r="AZ95" i="2"/>
  <c r="AZ96" i="2"/>
  <c r="AZ97" i="2"/>
  <c r="AZ98" i="2"/>
  <c r="AZ99" i="2"/>
  <c r="AZ100" i="2"/>
  <c r="AZ101" i="2"/>
  <c r="AZ102" i="2"/>
  <c r="AZ103" i="2"/>
  <c r="AZ104" i="2"/>
  <c r="AZ105" i="2"/>
  <c r="AZ106" i="2"/>
  <c r="AZ107" i="2"/>
  <c r="AZ108" i="2"/>
  <c r="AZ109" i="2"/>
  <c r="AZ110" i="2"/>
  <c r="AZ111" i="2"/>
  <c r="AZ112" i="2"/>
  <c r="AZ113" i="2"/>
  <c r="AZ114" i="2"/>
  <c r="AZ115" i="2"/>
  <c r="AZ116" i="2"/>
  <c r="AZ117" i="2"/>
  <c r="AZ118" i="2"/>
  <c r="AZ119" i="2"/>
  <c r="AZ120" i="2"/>
  <c r="AZ121" i="2"/>
  <c r="AZ122" i="2"/>
  <c r="AZ123" i="2"/>
  <c r="AZ124" i="2"/>
  <c r="AZ125" i="2"/>
  <c r="AZ126" i="2"/>
  <c r="AZ127" i="2"/>
  <c r="AZ128" i="2"/>
  <c r="AZ129" i="2"/>
  <c r="AZ130" i="2"/>
  <c r="AZ131" i="2"/>
  <c r="AZ132" i="2"/>
  <c r="AZ133" i="2"/>
  <c r="AZ134" i="2"/>
  <c r="AZ135" i="2"/>
  <c r="AZ136" i="2"/>
  <c r="AZ137" i="2"/>
  <c r="AZ138" i="2"/>
  <c r="AZ139" i="2"/>
  <c r="AZ140" i="2"/>
  <c r="AZ141" i="2"/>
  <c r="AZ142" i="2"/>
  <c r="AZ143" i="2"/>
  <c r="AZ144" i="2"/>
  <c r="AZ145" i="2"/>
  <c r="AZ146" i="2"/>
  <c r="AZ147" i="2"/>
  <c r="AZ148" i="2"/>
  <c r="AZ149" i="2"/>
  <c r="AZ150" i="2"/>
  <c r="AZ151" i="2"/>
  <c r="AZ152" i="2"/>
  <c r="AZ153" i="2"/>
  <c r="AZ154" i="2"/>
  <c r="AZ155" i="2"/>
  <c r="AZ156" i="2"/>
  <c r="AZ157" i="2"/>
  <c r="AZ158" i="2"/>
  <c r="AZ159" i="2"/>
  <c r="AZ160" i="2"/>
  <c r="AZ161" i="2"/>
  <c r="AZ162" i="2"/>
  <c r="AZ163" i="2"/>
  <c r="AZ164" i="2"/>
  <c r="AZ165" i="2"/>
  <c r="AZ166" i="2"/>
  <c r="AZ167" i="2"/>
  <c r="AZ168" i="2"/>
  <c r="AZ169" i="2"/>
  <c r="AZ170" i="2"/>
  <c r="AZ171" i="2"/>
  <c r="AZ172" i="2"/>
  <c r="AZ173" i="2"/>
  <c r="AZ174" i="2"/>
  <c r="AZ175" i="2"/>
  <c r="AZ176" i="2"/>
  <c r="AZ177" i="2"/>
  <c r="AZ178" i="2"/>
  <c r="AZ179" i="2"/>
  <c r="AZ180" i="2"/>
  <c r="AZ181" i="2"/>
  <c r="AZ182" i="2"/>
  <c r="AZ183" i="2"/>
  <c r="AZ184" i="2"/>
  <c r="AZ185" i="2"/>
  <c r="AZ186" i="2"/>
  <c r="AZ187" i="2"/>
  <c r="AZ188" i="2"/>
  <c r="AZ189" i="2"/>
  <c r="AZ190" i="2"/>
  <c r="AZ191" i="2"/>
  <c r="AZ192" i="2"/>
  <c r="AZ193" i="2"/>
  <c r="AZ194" i="2"/>
  <c r="AZ195" i="2"/>
  <c r="AZ196" i="2"/>
  <c r="AZ197" i="2"/>
  <c r="AZ198" i="2"/>
  <c r="AZ199" i="2"/>
  <c r="AZ200" i="2"/>
  <c r="AZ201" i="2"/>
  <c r="AZ202" i="2"/>
  <c r="AZ203" i="2"/>
  <c r="AZ204" i="2"/>
  <c r="AZ205" i="2"/>
  <c r="AZ206" i="2"/>
  <c r="AZ207" i="2"/>
  <c r="AZ208" i="2"/>
  <c r="AZ209" i="2"/>
  <c r="AZ210" i="2"/>
  <c r="AZ211" i="2"/>
  <c r="AZ212" i="2"/>
  <c r="AZ213" i="2"/>
  <c r="AZ214" i="2"/>
  <c r="AZ215" i="2"/>
  <c r="AZ216" i="2"/>
  <c r="AZ217" i="2"/>
  <c r="AZ218" i="2"/>
  <c r="AZ219" i="2"/>
  <c r="AZ220" i="2"/>
  <c r="AZ221" i="2"/>
  <c r="AZ222" i="2"/>
  <c r="AZ223" i="2"/>
  <c r="AZ224" i="2"/>
  <c r="AZ225" i="2"/>
  <c r="AZ226" i="2"/>
  <c r="AZ227" i="2"/>
  <c r="AZ228" i="2"/>
  <c r="AZ229" i="2"/>
  <c r="AZ230" i="2"/>
  <c r="AZ231" i="2"/>
  <c r="AZ232" i="2"/>
  <c r="AZ233" i="2"/>
  <c r="AZ234" i="2"/>
  <c r="AZ235" i="2"/>
  <c r="AZ236" i="2"/>
  <c r="AZ237" i="2"/>
  <c r="AZ238" i="2"/>
  <c r="AZ239" i="2"/>
  <c r="AZ240" i="2"/>
  <c r="AZ241" i="2"/>
  <c r="AZ242" i="2"/>
  <c r="AZ243" i="2"/>
  <c r="AZ244" i="2"/>
  <c r="AZ245" i="2"/>
  <c r="AZ246" i="2"/>
  <c r="AZ247" i="2"/>
  <c r="AZ248" i="2"/>
  <c r="AZ249" i="2"/>
  <c r="AZ250" i="2"/>
  <c r="AZ251" i="2"/>
  <c r="AZ252" i="2"/>
  <c r="AZ253" i="2"/>
  <c r="AZ254" i="2"/>
  <c r="AZ255" i="2"/>
  <c r="AZ256" i="2"/>
  <c r="AZ257" i="2"/>
  <c r="AZ258" i="2"/>
  <c r="AZ259" i="2"/>
  <c r="AZ260" i="2"/>
  <c r="AZ261" i="2"/>
  <c r="AZ262" i="2"/>
  <c r="AZ263" i="2"/>
  <c r="AZ264" i="2"/>
  <c r="AZ265" i="2"/>
  <c r="AZ266" i="2"/>
  <c r="AZ267" i="2"/>
  <c r="AZ268" i="2"/>
  <c r="AZ269" i="2"/>
  <c r="AZ270" i="2"/>
  <c r="AZ271" i="2"/>
  <c r="AZ272" i="2"/>
  <c r="AZ273" i="2"/>
  <c r="AZ274" i="2"/>
  <c r="AZ275" i="2"/>
  <c r="AZ276" i="2"/>
  <c r="AZ277" i="2"/>
  <c r="AZ278" i="2"/>
  <c r="AZ279" i="2"/>
  <c r="AZ280" i="2"/>
  <c r="AZ281" i="2"/>
  <c r="AZ282" i="2"/>
  <c r="AZ283" i="2"/>
  <c r="AZ284" i="2"/>
  <c r="AZ285" i="2"/>
  <c r="AZ286" i="2"/>
  <c r="AZ287" i="2"/>
  <c r="AZ288" i="2"/>
  <c r="AZ289" i="2"/>
  <c r="AZ290" i="2"/>
  <c r="AZ291" i="2"/>
  <c r="AZ292" i="2"/>
  <c r="AZ293" i="2"/>
  <c r="AZ294" i="2"/>
  <c r="AZ295" i="2"/>
  <c r="AZ296" i="2"/>
  <c r="AZ297" i="2"/>
  <c r="AZ298" i="2"/>
  <c r="AZ299" i="2"/>
  <c r="AZ300" i="2"/>
  <c r="AZ301" i="2"/>
  <c r="AZ302" i="2"/>
  <c r="AZ303" i="2"/>
  <c r="AZ304" i="2"/>
  <c r="AZ305" i="2"/>
  <c r="AZ306" i="2"/>
  <c r="AZ307" i="2"/>
  <c r="AZ308" i="2"/>
  <c r="AZ309" i="2"/>
  <c r="AZ310" i="2"/>
  <c r="AZ311" i="2"/>
  <c r="AZ312" i="2"/>
  <c r="AZ313" i="2"/>
  <c r="AZ314" i="2"/>
  <c r="AZ315" i="2"/>
  <c r="AZ316" i="2"/>
  <c r="AZ317" i="2"/>
  <c r="AZ318" i="2"/>
  <c r="AZ319" i="2"/>
  <c r="AZ320" i="2"/>
  <c r="AZ321" i="2"/>
  <c r="AZ322" i="2"/>
  <c r="AZ323" i="2"/>
  <c r="AZ324" i="2"/>
  <c r="AZ325" i="2"/>
  <c r="AZ326" i="2"/>
  <c r="AZ327" i="2"/>
  <c r="AZ328" i="2"/>
  <c r="AZ329" i="2"/>
  <c r="AZ330" i="2"/>
  <c r="AZ331" i="2"/>
  <c r="AZ332" i="2"/>
  <c r="AZ333" i="2"/>
  <c r="AZ334" i="2"/>
  <c r="AZ335" i="2"/>
  <c r="AZ336" i="2"/>
  <c r="AZ337" i="2"/>
  <c r="AZ338" i="2"/>
  <c r="AZ339" i="2"/>
  <c r="AZ340" i="2"/>
  <c r="AZ341" i="2"/>
  <c r="AZ342" i="2"/>
  <c r="AZ343" i="2"/>
  <c r="AZ344" i="2"/>
  <c r="AZ345" i="2"/>
  <c r="AZ346" i="2"/>
  <c r="AZ347" i="2"/>
  <c r="AZ348" i="2"/>
  <c r="AZ349" i="2"/>
  <c r="AZ350" i="2"/>
  <c r="AZ351" i="2"/>
  <c r="AZ352" i="2"/>
  <c r="AZ353" i="2"/>
  <c r="AZ354" i="2"/>
  <c r="AZ355" i="2"/>
  <c r="AZ356" i="2"/>
  <c r="AZ357" i="2"/>
  <c r="AZ358" i="2"/>
  <c r="AZ359" i="2"/>
  <c r="AZ360" i="2"/>
  <c r="AZ361" i="2"/>
  <c r="AZ362" i="2"/>
  <c r="AZ363" i="2"/>
  <c r="AZ364" i="2"/>
  <c r="AZ365" i="2"/>
  <c r="AZ366" i="2"/>
  <c r="AZ367" i="2"/>
  <c r="AZ368" i="2"/>
  <c r="AZ369" i="2"/>
  <c r="AZ370" i="2"/>
  <c r="AZ371" i="2"/>
  <c r="AZ372" i="2"/>
  <c r="AZ373" i="2"/>
  <c r="AZ374" i="2"/>
  <c r="AZ375" i="2"/>
  <c r="AZ376" i="2"/>
  <c r="AZ377" i="2"/>
  <c r="AZ378" i="2"/>
  <c r="AZ379" i="2"/>
  <c r="AZ380" i="2"/>
  <c r="AZ381" i="2"/>
  <c r="AZ382" i="2"/>
  <c r="AZ383" i="2"/>
  <c r="AZ384" i="2"/>
  <c r="AZ385" i="2"/>
  <c r="AZ386" i="2"/>
  <c r="AZ387" i="2"/>
  <c r="AZ388" i="2"/>
  <c r="AZ389" i="2"/>
  <c r="AZ390" i="2"/>
  <c r="AZ391" i="2"/>
  <c r="AZ392" i="2"/>
  <c r="AZ393" i="2"/>
  <c r="AZ394" i="2"/>
  <c r="AZ395" i="2"/>
  <c r="AZ396" i="2"/>
  <c r="AZ397" i="2"/>
  <c r="AZ398" i="2"/>
  <c r="AZ399" i="2"/>
  <c r="AZ400" i="2"/>
  <c r="AZ401" i="2"/>
  <c r="AZ402" i="2"/>
  <c r="AZ403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54" i="2"/>
  <c r="AW55" i="2"/>
  <c r="AW56" i="2"/>
  <c r="AW57" i="2"/>
  <c r="AW58" i="2"/>
  <c r="AW59" i="2"/>
  <c r="AW60" i="2"/>
  <c r="AW61" i="2"/>
  <c r="AW62" i="2"/>
  <c r="AW63" i="2"/>
  <c r="AW64" i="2"/>
  <c r="AW65" i="2"/>
  <c r="AW66" i="2"/>
  <c r="AW67" i="2"/>
  <c r="AW68" i="2"/>
  <c r="AW69" i="2"/>
  <c r="AW70" i="2"/>
  <c r="AW71" i="2"/>
  <c r="AW72" i="2"/>
  <c r="AW73" i="2"/>
  <c r="AW74" i="2"/>
  <c r="AW75" i="2"/>
  <c r="AW76" i="2"/>
  <c r="AW77" i="2"/>
  <c r="AW78" i="2"/>
  <c r="AW79" i="2"/>
  <c r="AW80" i="2"/>
  <c r="AW81" i="2"/>
  <c r="AW82" i="2"/>
  <c r="AW83" i="2"/>
  <c r="AW84" i="2"/>
  <c r="AW85" i="2"/>
  <c r="AW86" i="2"/>
  <c r="AW87" i="2"/>
  <c r="AW88" i="2"/>
  <c r="AW89" i="2"/>
  <c r="AW90" i="2"/>
  <c r="AW91" i="2"/>
  <c r="AW92" i="2"/>
  <c r="AW93" i="2"/>
  <c r="AW94" i="2"/>
  <c r="AW95" i="2"/>
  <c r="AW96" i="2"/>
  <c r="AW97" i="2"/>
  <c r="AW98" i="2"/>
  <c r="AW99" i="2"/>
  <c r="AW100" i="2"/>
  <c r="AW101" i="2"/>
  <c r="AW102" i="2"/>
  <c r="AW103" i="2"/>
  <c r="AW104" i="2"/>
  <c r="AW105" i="2"/>
  <c r="AW106" i="2"/>
  <c r="AW107" i="2"/>
  <c r="AW108" i="2"/>
  <c r="AW109" i="2"/>
  <c r="AW110" i="2"/>
  <c r="AW111" i="2"/>
  <c r="AW112" i="2"/>
  <c r="AW113" i="2"/>
  <c r="AW114" i="2"/>
  <c r="AW115" i="2"/>
  <c r="AW116" i="2"/>
  <c r="AW117" i="2"/>
  <c r="AW118" i="2"/>
  <c r="AW119" i="2"/>
  <c r="AW120" i="2"/>
  <c r="AW121" i="2"/>
  <c r="AW122" i="2"/>
  <c r="AW123" i="2"/>
  <c r="AW124" i="2"/>
  <c r="AW125" i="2"/>
  <c r="AW126" i="2"/>
  <c r="AW127" i="2"/>
  <c r="AW128" i="2"/>
  <c r="AW129" i="2"/>
  <c r="AW130" i="2"/>
  <c r="AW131" i="2"/>
  <c r="AW132" i="2"/>
  <c r="AW133" i="2"/>
  <c r="AW134" i="2"/>
  <c r="AW135" i="2"/>
  <c r="AW136" i="2"/>
  <c r="AW137" i="2"/>
  <c r="AW138" i="2"/>
  <c r="AW139" i="2"/>
  <c r="AW140" i="2"/>
  <c r="AW141" i="2"/>
  <c r="AW142" i="2"/>
  <c r="AW143" i="2"/>
  <c r="AW144" i="2"/>
  <c r="AW145" i="2"/>
  <c r="AW146" i="2"/>
  <c r="AW147" i="2"/>
  <c r="AW148" i="2"/>
  <c r="AW149" i="2"/>
  <c r="AW150" i="2"/>
  <c r="AW151" i="2"/>
  <c r="AW152" i="2"/>
  <c r="AW153" i="2"/>
  <c r="AW154" i="2"/>
  <c r="AW155" i="2"/>
  <c r="AW156" i="2"/>
  <c r="AW157" i="2"/>
  <c r="AW158" i="2"/>
  <c r="AW159" i="2"/>
  <c r="AW160" i="2"/>
  <c r="AW161" i="2"/>
  <c r="AW162" i="2"/>
  <c r="AW163" i="2"/>
  <c r="AW164" i="2"/>
  <c r="AW165" i="2"/>
  <c r="AW166" i="2"/>
  <c r="AW167" i="2"/>
  <c r="AW168" i="2"/>
  <c r="AW169" i="2"/>
  <c r="AW170" i="2"/>
  <c r="AW171" i="2"/>
  <c r="AW172" i="2"/>
  <c r="AW173" i="2"/>
  <c r="AW174" i="2"/>
  <c r="AW175" i="2"/>
  <c r="AW176" i="2"/>
  <c r="AW177" i="2"/>
  <c r="AW178" i="2"/>
  <c r="AW179" i="2"/>
  <c r="AW180" i="2"/>
  <c r="AW181" i="2"/>
  <c r="AW182" i="2"/>
  <c r="AW183" i="2"/>
  <c r="AW184" i="2"/>
  <c r="AW185" i="2"/>
  <c r="AW186" i="2"/>
  <c r="AW187" i="2"/>
  <c r="AW188" i="2"/>
  <c r="AW189" i="2"/>
  <c r="AW190" i="2"/>
  <c r="AW191" i="2"/>
  <c r="AW192" i="2"/>
  <c r="AW193" i="2"/>
  <c r="AW194" i="2"/>
  <c r="AW195" i="2"/>
  <c r="AW196" i="2"/>
  <c r="AW197" i="2"/>
  <c r="AW198" i="2"/>
  <c r="AW199" i="2"/>
  <c r="AW200" i="2"/>
  <c r="AW201" i="2"/>
  <c r="AW202" i="2"/>
  <c r="AW203" i="2"/>
  <c r="AW204" i="2"/>
  <c r="AW205" i="2"/>
  <c r="AW206" i="2"/>
  <c r="AW207" i="2"/>
  <c r="AW208" i="2"/>
  <c r="AW209" i="2"/>
  <c r="AW210" i="2"/>
  <c r="AW211" i="2"/>
  <c r="AW212" i="2"/>
  <c r="AW213" i="2"/>
  <c r="AW214" i="2"/>
  <c r="AW215" i="2"/>
  <c r="AW216" i="2"/>
  <c r="AW217" i="2"/>
  <c r="AW218" i="2"/>
  <c r="AW219" i="2"/>
  <c r="AW220" i="2"/>
  <c r="AW221" i="2"/>
  <c r="AW222" i="2"/>
  <c r="AW223" i="2"/>
  <c r="AW224" i="2"/>
  <c r="AW225" i="2"/>
  <c r="AW226" i="2"/>
  <c r="AW227" i="2"/>
  <c r="AW228" i="2"/>
  <c r="AW229" i="2"/>
  <c r="AW230" i="2"/>
  <c r="AW231" i="2"/>
  <c r="AW232" i="2"/>
  <c r="AW233" i="2"/>
  <c r="AW234" i="2"/>
  <c r="AW235" i="2"/>
  <c r="AW236" i="2"/>
  <c r="AW237" i="2"/>
  <c r="AW238" i="2"/>
  <c r="AW239" i="2"/>
  <c r="AW240" i="2"/>
  <c r="AW241" i="2"/>
  <c r="AW242" i="2"/>
  <c r="AW243" i="2"/>
  <c r="AW244" i="2"/>
  <c r="AW245" i="2"/>
  <c r="AW246" i="2"/>
  <c r="AW247" i="2"/>
  <c r="AW248" i="2"/>
  <c r="AW249" i="2"/>
  <c r="AW250" i="2"/>
  <c r="AW251" i="2"/>
  <c r="AW252" i="2"/>
  <c r="AW253" i="2"/>
  <c r="AW254" i="2"/>
  <c r="AW255" i="2"/>
  <c r="AW256" i="2"/>
  <c r="AW257" i="2"/>
  <c r="AW258" i="2"/>
  <c r="AW259" i="2"/>
  <c r="AW260" i="2"/>
  <c r="AW261" i="2"/>
  <c r="AW262" i="2"/>
  <c r="AW263" i="2"/>
  <c r="AW264" i="2"/>
  <c r="AW265" i="2"/>
  <c r="AW266" i="2"/>
  <c r="AW267" i="2"/>
  <c r="AW268" i="2"/>
  <c r="AW269" i="2"/>
  <c r="AW270" i="2"/>
  <c r="AW271" i="2"/>
  <c r="AW272" i="2"/>
  <c r="AW273" i="2"/>
  <c r="AW274" i="2"/>
  <c r="AW275" i="2"/>
  <c r="AW276" i="2"/>
  <c r="AW277" i="2"/>
  <c r="AW278" i="2"/>
  <c r="AW279" i="2"/>
  <c r="AW280" i="2"/>
  <c r="AW281" i="2"/>
  <c r="AW282" i="2"/>
  <c r="AW283" i="2"/>
  <c r="AW284" i="2"/>
  <c r="AW285" i="2"/>
  <c r="AW286" i="2"/>
  <c r="AW287" i="2"/>
  <c r="AW288" i="2"/>
  <c r="AW289" i="2"/>
  <c r="AW290" i="2"/>
  <c r="AW291" i="2"/>
  <c r="AW292" i="2"/>
  <c r="AW293" i="2"/>
  <c r="AW294" i="2"/>
  <c r="AW295" i="2"/>
  <c r="AW296" i="2"/>
  <c r="AW297" i="2"/>
  <c r="AW298" i="2"/>
  <c r="AW299" i="2"/>
  <c r="AW300" i="2"/>
  <c r="AW301" i="2"/>
  <c r="AW302" i="2"/>
  <c r="AW303" i="2"/>
  <c r="AW304" i="2"/>
  <c r="AW305" i="2"/>
  <c r="AW306" i="2"/>
  <c r="AW307" i="2"/>
  <c r="AW308" i="2"/>
  <c r="AW309" i="2"/>
  <c r="AW310" i="2"/>
  <c r="AW311" i="2"/>
  <c r="AW312" i="2"/>
  <c r="AW313" i="2"/>
  <c r="AW314" i="2"/>
  <c r="AW315" i="2"/>
  <c r="AW316" i="2"/>
  <c r="AW317" i="2"/>
  <c r="AW318" i="2"/>
  <c r="AW319" i="2"/>
  <c r="AW320" i="2"/>
  <c r="AW321" i="2"/>
  <c r="AW322" i="2"/>
  <c r="AW323" i="2"/>
  <c r="AW324" i="2"/>
  <c r="AW325" i="2"/>
  <c r="AW326" i="2"/>
  <c r="AW327" i="2"/>
  <c r="AW328" i="2"/>
  <c r="AW329" i="2"/>
  <c r="AW330" i="2"/>
  <c r="AW331" i="2"/>
  <c r="AW332" i="2"/>
  <c r="AW333" i="2"/>
  <c r="AW334" i="2"/>
  <c r="AW335" i="2"/>
  <c r="AW336" i="2"/>
  <c r="AW337" i="2"/>
  <c r="AW338" i="2"/>
  <c r="AW339" i="2"/>
  <c r="AW340" i="2"/>
  <c r="AW341" i="2"/>
  <c r="AW342" i="2"/>
  <c r="AW343" i="2"/>
  <c r="AW344" i="2"/>
  <c r="AW345" i="2"/>
  <c r="AW346" i="2"/>
  <c r="AW347" i="2"/>
  <c r="AW348" i="2"/>
  <c r="AW349" i="2"/>
  <c r="AW350" i="2"/>
  <c r="AW351" i="2"/>
  <c r="AW352" i="2"/>
  <c r="AW353" i="2"/>
  <c r="AW354" i="2"/>
  <c r="AW355" i="2"/>
  <c r="AW356" i="2"/>
  <c r="AW357" i="2"/>
  <c r="AW358" i="2"/>
  <c r="AW359" i="2"/>
  <c r="AW360" i="2"/>
  <c r="AW361" i="2"/>
  <c r="AW362" i="2"/>
  <c r="AW363" i="2"/>
  <c r="AW364" i="2"/>
  <c r="AW365" i="2"/>
  <c r="AW366" i="2"/>
  <c r="AW367" i="2"/>
  <c r="AW368" i="2"/>
  <c r="AW369" i="2"/>
  <c r="AW370" i="2"/>
  <c r="AW371" i="2"/>
  <c r="AW372" i="2"/>
  <c r="AW373" i="2"/>
  <c r="AW374" i="2"/>
  <c r="AW375" i="2"/>
  <c r="AW376" i="2"/>
  <c r="AW377" i="2"/>
  <c r="AW378" i="2"/>
  <c r="AW379" i="2"/>
  <c r="AW380" i="2"/>
  <c r="AW381" i="2"/>
  <c r="AW382" i="2"/>
  <c r="AW383" i="2"/>
  <c r="AW384" i="2"/>
  <c r="AW385" i="2"/>
  <c r="AW386" i="2"/>
  <c r="AW387" i="2"/>
  <c r="AW388" i="2"/>
  <c r="AW389" i="2"/>
  <c r="AW390" i="2"/>
  <c r="AW391" i="2"/>
  <c r="AW392" i="2"/>
  <c r="AW393" i="2"/>
  <c r="AW394" i="2"/>
  <c r="AW395" i="2"/>
  <c r="AW396" i="2"/>
  <c r="AW397" i="2"/>
  <c r="AW398" i="2"/>
  <c r="AW399" i="2"/>
  <c r="AW400" i="2"/>
  <c r="AW401" i="2"/>
  <c r="AW402" i="2"/>
  <c r="AW403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199" i="2"/>
  <c r="AU200" i="2"/>
  <c r="AU201" i="2"/>
  <c r="AU202" i="2"/>
  <c r="AU203" i="2"/>
  <c r="AU204" i="2"/>
  <c r="AU205" i="2"/>
  <c r="AU206" i="2"/>
  <c r="AU207" i="2"/>
  <c r="AU208" i="2"/>
  <c r="AU209" i="2"/>
  <c r="AU210" i="2"/>
  <c r="AU211" i="2"/>
  <c r="AU212" i="2"/>
  <c r="AU213" i="2"/>
  <c r="AU214" i="2"/>
  <c r="AU215" i="2"/>
  <c r="AU216" i="2"/>
  <c r="AU217" i="2"/>
  <c r="AU218" i="2"/>
  <c r="AU219" i="2"/>
  <c r="AU220" i="2"/>
  <c r="AU221" i="2"/>
  <c r="AU222" i="2"/>
  <c r="AU223" i="2"/>
  <c r="AU224" i="2"/>
  <c r="AU225" i="2"/>
  <c r="AU226" i="2"/>
  <c r="AU227" i="2"/>
  <c r="AU228" i="2"/>
  <c r="AU229" i="2"/>
  <c r="AU230" i="2"/>
  <c r="AU231" i="2"/>
  <c r="AU232" i="2"/>
  <c r="AU233" i="2"/>
  <c r="AU234" i="2"/>
  <c r="AU235" i="2"/>
  <c r="AU236" i="2"/>
  <c r="AU237" i="2"/>
  <c r="AU238" i="2"/>
  <c r="AU239" i="2"/>
  <c r="AU240" i="2"/>
  <c r="AU241" i="2"/>
  <c r="AU242" i="2"/>
  <c r="AU243" i="2"/>
  <c r="AU244" i="2"/>
  <c r="AU245" i="2"/>
  <c r="AU246" i="2"/>
  <c r="AU247" i="2"/>
  <c r="AU248" i="2"/>
  <c r="AU249" i="2"/>
  <c r="AU250" i="2"/>
  <c r="AU251" i="2"/>
  <c r="AU252" i="2"/>
  <c r="AU253" i="2"/>
  <c r="AU254" i="2"/>
  <c r="AU255" i="2"/>
  <c r="AU256" i="2"/>
  <c r="AU257" i="2"/>
  <c r="AU258" i="2"/>
  <c r="AU259" i="2"/>
  <c r="AU260" i="2"/>
  <c r="AU261" i="2"/>
  <c r="AU262" i="2"/>
  <c r="AU263" i="2"/>
  <c r="AU264" i="2"/>
  <c r="AU265" i="2"/>
  <c r="AU266" i="2"/>
  <c r="AU267" i="2"/>
  <c r="AU268" i="2"/>
  <c r="AU269" i="2"/>
  <c r="AU270" i="2"/>
  <c r="AU271" i="2"/>
  <c r="AU272" i="2"/>
  <c r="AU273" i="2"/>
  <c r="AU274" i="2"/>
  <c r="AU275" i="2"/>
  <c r="AU276" i="2"/>
  <c r="AU277" i="2"/>
  <c r="AU278" i="2"/>
  <c r="AU279" i="2"/>
  <c r="AU280" i="2"/>
  <c r="AU281" i="2"/>
  <c r="AU282" i="2"/>
  <c r="AU283" i="2"/>
  <c r="AU284" i="2"/>
  <c r="AU285" i="2"/>
  <c r="AU286" i="2"/>
  <c r="AU287" i="2"/>
  <c r="AU288" i="2"/>
  <c r="AU289" i="2"/>
  <c r="AU290" i="2"/>
  <c r="AU291" i="2"/>
  <c r="AU292" i="2"/>
  <c r="AU293" i="2"/>
  <c r="AU294" i="2"/>
  <c r="AU295" i="2"/>
  <c r="AU296" i="2"/>
  <c r="AU297" i="2"/>
  <c r="AU298" i="2"/>
  <c r="AU299" i="2"/>
  <c r="AU300" i="2"/>
  <c r="AU301" i="2"/>
  <c r="AU302" i="2"/>
  <c r="AU303" i="2"/>
  <c r="AU304" i="2"/>
  <c r="AU305" i="2"/>
  <c r="AU306" i="2"/>
  <c r="AU307" i="2"/>
  <c r="AU308" i="2"/>
  <c r="AU309" i="2"/>
  <c r="AU310" i="2"/>
  <c r="AU311" i="2"/>
  <c r="AU312" i="2"/>
  <c r="AU313" i="2"/>
  <c r="AU314" i="2"/>
  <c r="AU315" i="2"/>
  <c r="AU316" i="2"/>
  <c r="AU317" i="2"/>
  <c r="AU318" i="2"/>
  <c r="AU319" i="2"/>
  <c r="AU320" i="2"/>
  <c r="AU321" i="2"/>
  <c r="AU322" i="2"/>
  <c r="AU323" i="2"/>
  <c r="AU324" i="2"/>
  <c r="AU325" i="2"/>
  <c r="AU326" i="2"/>
  <c r="AU327" i="2"/>
  <c r="AU328" i="2"/>
  <c r="AU329" i="2"/>
  <c r="AU330" i="2"/>
  <c r="AU331" i="2"/>
  <c r="AU332" i="2"/>
  <c r="AU333" i="2"/>
  <c r="AU334" i="2"/>
  <c r="AU335" i="2"/>
  <c r="AU336" i="2"/>
  <c r="AU337" i="2"/>
  <c r="AU338" i="2"/>
  <c r="AU339" i="2"/>
  <c r="AU340" i="2"/>
  <c r="AU341" i="2"/>
  <c r="AU342" i="2"/>
  <c r="AU343" i="2"/>
  <c r="AU344" i="2"/>
  <c r="AU345" i="2"/>
  <c r="AU346" i="2"/>
  <c r="AU347" i="2"/>
  <c r="AU348" i="2"/>
  <c r="AU349" i="2"/>
  <c r="AU350" i="2"/>
  <c r="AU351" i="2"/>
  <c r="AU352" i="2"/>
  <c r="AU353" i="2"/>
  <c r="AU354" i="2"/>
  <c r="AU355" i="2"/>
  <c r="AU356" i="2"/>
  <c r="AU357" i="2"/>
  <c r="AU358" i="2"/>
  <c r="AU359" i="2"/>
  <c r="AU360" i="2"/>
  <c r="AU361" i="2"/>
  <c r="AU362" i="2"/>
  <c r="AU363" i="2"/>
  <c r="AU364" i="2"/>
  <c r="AU365" i="2"/>
  <c r="AU366" i="2"/>
  <c r="AU367" i="2"/>
  <c r="AU368" i="2"/>
  <c r="AU369" i="2"/>
  <c r="AU370" i="2"/>
  <c r="AU371" i="2"/>
  <c r="AU372" i="2"/>
  <c r="AU373" i="2"/>
  <c r="AU374" i="2"/>
  <c r="AU375" i="2"/>
  <c r="AU376" i="2"/>
  <c r="AU377" i="2"/>
  <c r="AU378" i="2"/>
  <c r="AU379" i="2"/>
  <c r="AU380" i="2"/>
  <c r="AU381" i="2"/>
  <c r="AU382" i="2"/>
  <c r="AU383" i="2"/>
  <c r="AU384" i="2"/>
  <c r="AU385" i="2"/>
  <c r="AU386" i="2"/>
  <c r="AU387" i="2"/>
  <c r="AU388" i="2"/>
  <c r="AU389" i="2"/>
  <c r="AU390" i="2"/>
  <c r="AU391" i="2"/>
  <c r="AU392" i="2"/>
  <c r="AU393" i="2"/>
  <c r="AU394" i="2"/>
  <c r="AU395" i="2"/>
  <c r="AU396" i="2"/>
  <c r="AU397" i="2"/>
  <c r="AU398" i="2"/>
  <c r="AU399" i="2"/>
  <c r="AU400" i="2"/>
  <c r="AU401" i="2"/>
  <c r="AU402" i="2"/>
  <c r="AU403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72" i="2"/>
  <c r="AT73" i="2"/>
  <c r="AT74" i="2"/>
  <c r="AT75" i="2"/>
  <c r="AT76" i="2"/>
  <c r="AT77" i="2"/>
  <c r="AT78" i="2"/>
  <c r="AT79" i="2"/>
  <c r="AT80" i="2"/>
  <c r="AT81" i="2"/>
  <c r="AT82" i="2"/>
  <c r="AT83" i="2"/>
  <c r="AT84" i="2"/>
  <c r="AT85" i="2"/>
  <c r="AT86" i="2"/>
  <c r="AT87" i="2"/>
  <c r="AT88" i="2"/>
  <c r="AT89" i="2"/>
  <c r="AT90" i="2"/>
  <c r="AT91" i="2"/>
  <c r="AT92" i="2"/>
  <c r="AT93" i="2"/>
  <c r="AT94" i="2"/>
  <c r="AT95" i="2"/>
  <c r="AT96" i="2"/>
  <c r="AT97" i="2"/>
  <c r="AT98" i="2"/>
  <c r="AT99" i="2"/>
  <c r="AT100" i="2"/>
  <c r="AT101" i="2"/>
  <c r="AT102" i="2"/>
  <c r="AT103" i="2"/>
  <c r="AT104" i="2"/>
  <c r="AT105" i="2"/>
  <c r="AT106" i="2"/>
  <c r="AT107" i="2"/>
  <c r="AT108" i="2"/>
  <c r="AT109" i="2"/>
  <c r="AT110" i="2"/>
  <c r="AT111" i="2"/>
  <c r="AT112" i="2"/>
  <c r="AT113" i="2"/>
  <c r="AT114" i="2"/>
  <c r="AT115" i="2"/>
  <c r="AT116" i="2"/>
  <c r="AT117" i="2"/>
  <c r="AT118" i="2"/>
  <c r="AT119" i="2"/>
  <c r="AT120" i="2"/>
  <c r="AT121" i="2"/>
  <c r="AT122" i="2"/>
  <c r="AT123" i="2"/>
  <c r="AT124" i="2"/>
  <c r="AT125" i="2"/>
  <c r="AT126" i="2"/>
  <c r="AT127" i="2"/>
  <c r="AT128" i="2"/>
  <c r="AT129" i="2"/>
  <c r="AT130" i="2"/>
  <c r="AT131" i="2"/>
  <c r="AT132" i="2"/>
  <c r="AT133" i="2"/>
  <c r="AT134" i="2"/>
  <c r="AT135" i="2"/>
  <c r="AT136" i="2"/>
  <c r="AT137" i="2"/>
  <c r="AT138" i="2"/>
  <c r="AT139" i="2"/>
  <c r="AT140" i="2"/>
  <c r="AT141" i="2"/>
  <c r="AT142" i="2"/>
  <c r="AT143" i="2"/>
  <c r="AT144" i="2"/>
  <c r="AT145" i="2"/>
  <c r="AT146" i="2"/>
  <c r="AT147" i="2"/>
  <c r="AT148" i="2"/>
  <c r="AT149" i="2"/>
  <c r="AT150" i="2"/>
  <c r="AT151" i="2"/>
  <c r="AT152" i="2"/>
  <c r="AT153" i="2"/>
  <c r="AT154" i="2"/>
  <c r="AT155" i="2"/>
  <c r="AT156" i="2"/>
  <c r="AT157" i="2"/>
  <c r="AT158" i="2"/>
  <c r="AT159" i="2"/>
  <c r="AT160" i="2"/>
  <c r="AT161" i="2"/>
  <c r="AT162" i="2"/>
  <c r="AT163" i="2"/>
  <c r="AT164" i="2"/>
  <c r="AT165" i="2"/>
  <c r="AT166" i="2"/>
  <c r="AT167" i="2"/>
  <c r="AT168" i="2"/>
  <c r="AT169" i="2"/>
  <c r="AT170" i="2"/>
  <c r="AT171" i="2"/>
  <c r="AT172" i="2"/>
  <c r="AT173" i="2"/>
  <c r="AT174" i="2"/>
  <c r="AT175" i="2"/>
  <c r="AT176" i="2"/>
  <c r="AT177" i="2"/>
  <c r="AT178" i="2"/>
  <c r="AT179" i="2"/>
  <c r="AT180" i="2"/>
  <c r="AT181" i="2"/>
  <c r="AT182" i="2"/>
  <c r="AT183" i="2"/>
  <c r="AT184" i="2"/>
  <c r="AT185" i="2"/>
  <c r="AT186" i="2"/>
  <c r="AT187" i="2"/>
  <c r="AT188" i="2"/>
  <c r="AT189" i="2"/>
  <c r="AT190" i="2"/>
  <c r="AT191" i="2"/>
  <c r="AT192" i="2"/>
  <c r="AT193" i="2"/>
  <c r="AT194" i="2"/>
  <c r="AT195" i="2"/>
  <c r="AT196" i="2"/>
  <c r="AT197" i="2"/>
  <c r="AT198" i="2"/>
  <c r="AT199" i="2"/>
  <c r="AT200" i="2"/>
  <c r="AT201" i="2"/>
  <c r="AT202" i="2"/>
  <c r="AT203" i="2"/>
  <c r="AT204" i="2"/>
  <c r="AT205" i="2"/>
  <c r="AT206" i="2"/>
  <c r="AT207" i="2"/>
  <c r="AT208" i="2"/>
  <c r="AT209" i="2"/>
  <c r="AT210" i="2"/>
  <c r="AT211" i="2"/>
  <c r="AT212" i="2"/>
  <c r="AT213" i="2"/>
  <c r="AT214" i="2"/>
  <c r="AT215" i="2"/>
  <c r="AT216" i="2"/>
  <c r="AT217" i="2"/>
  <c r="AT218" i="2"/>
  <c r="AT219" i="2"/>
  <c r="AT220" i="2"/>
  <c r="AT221" i="2"/>
  <c r="AT222" i="2"/>
  <c r="AT223" i="2"/>
  <c r="AT224" i="2"/>
  <c r="AT225" i="2"/>
  <c r="AT226" i="2"/>
  <c r="AT227" i="2"/>
  <c r="AT228" i="2"/>
  <c r="AT229" i="2"/>
  <c r="AT230" i="2"/>
  <c r="AT231" i="2"/>
  <c r="AT232" i="2"/>
  <c r="AT233" i="2"/>
  <c r="AT234" i="2"/>
  <c r="AT235" i="2"/>
  <c r="AT236" i="2"/>
  <c r="AT237" i="2"/>
  <c r="AT238" i="2"/>
  <c r="AT239" i="2"/>
  <c r="AT240" i="2"/>
  <c r="AT241" i="2"/>
  <c r="AT242" i="2"/>
  <c r="AT243" i="2"/>
  <c r="AT244" i="2"/>
  <c r="AT245" i="2"/>
  <c r="AT246" i="2"/>
  <c r="AT247" i="2"/>
  <c r="AT248" i="2"/>
  <c r="AT249" i="2"/>
  <c r="AT250" i="2"/>
  <c r="AT251" i="2"/>
  <c r="AT252" i="2"/>
  <c r="AT253" i="2"/>
  <c r="AT254" i="2"/>
  <c r="AT255" i="2"/>
  <c r="AT256" i="2"/>
  <c r="AT257" i="2"/>
  <c r="AT258" i="2"/>
  <c r="AT259" i="2"/>
  <c r="AT260" i="2"/>
  <c r="AT261" i="2"/>
  <c r="AT262" i="2"/>
  <c r="AT263" i="2"/>
  <c r="AT264" i="2"/>
  <c r="AT265" i="2"/>
  <c r="AT266" i="2"/>
  <c r="AT267" i="2"/>
  <c r="AT268" i="2"/>
  <c r="AT269" i="2"/>
  <c r="AT270" i="2"/>
  <c r="AT271" i="2"/>
  <c r="AT272" i="2"/>
  <c r="AT273" i="2"/>
  <c r="AT274" i="2"/>
  <c r="AT275" i="2"/>
  <c r="AT276" i="2"/>
  <c r="AT277" i="2"/>
  <c r="AT278" i="2"/>
  <c r="AT279" i="2"/>
  <c r="AT280" i="2"/>
  <c r="AT281" i="2"/>
  <c r="AT282" i="2"/>
  <c r="AT283" i="2"/>
  <c r="AT284" i="2"/>
  <c r="AT285" i="2"/>
  <c r="AT286" i="2"/>
  <c r="AT287" i="2"/>
  <c r="AT288" i="2"/>
  <c r="AT289" i="2"/>
  <c r="AT290" i="2"/>
  <c r="AT291" i="2"/>
  <c r="AT292" i="2"/>
  <c r="AT293" i="2"/>
  <c r="AT294" i="2"/>
  <c r="AT295" i="2"/>
  <c r="AT296" i="2"/>
  <c r="AT297" i="2"/>
  <c r="AT298" i="2"/>
  <c r="AT299" i="2"/>
  <c r="AT300" i="2"/>
  <c r="AT301" i="2"/>
  <c r="AT302" i="2"/>
  <c r="AT303" i="2"/>
  <c r="AT304" i="2"/>
  <c r="AT305" i="2"/>
  <c r="AT306" i="2"/>
  <c r="AT307" i="2"/>
  <c r="AT308" i="2"/>
  <c r="AT309" i="2"/>
  <c r="AT310" i="2"/>
  <c r="AT311" i="2"/>
  <c r="AT312" i="2"/>
  <c r="AT313" i="2"/>
  <c r="AT314" i="2"/>
  <c r="AT315" i="2"/>
  <c r="AT316" i="2"/>
  <c r="AT317" i="2"/>
  <c r="AT318" i="2"/>
  <c r="AT319" i="2"/>
  <c r="AT320" i="2"/>
  <c r="AT321" i="2"/>
  <c r="AT322" i="2"/>
  <c r="AT323" i="2"/>
  <c r="AT324" i="2"/>
  <c r="AT325" i="2"/>
  <c r="AT326" i="2"/>
  <c r="AT327" i="2"/>
  <c r="AT328" i="2"/>
  <c r="AT329" i="2"/>
  <c r="AT330" i="2"/>
  <c r="AT331" i="2"/>
  <c r="AT332" i="2"/>
  <c r="AT333" i="2"/>
  <c r="AT334" i="2"/>
  <c r="AT335" i="2"/>
  <c r="AT336" i="2"/>
  <c r="AT337" i="2"/>
  <c r="AT338" i="2"/>
  <c r="AT339" i="2"/>
  <c r="AT340" i="2"/>
  <c r="AT341" i="2"/>
  <c r="AT342" i="2"/>
  <c r="AT343" i="2"/>
  <c r="AT344" i="2"/>
  <c r="AT345" i="2"/>
  <c r="AT346" i="2"/>
  <c r="AT347" i="2"/>
  <c r="AT348" i="2"/>
  <c r="AT349" i="2"/>
  <c r="AT350" i="2"/>
  <c r="AT351" i="2"/>
  <c r="AT352" i="2"/>
  <c r="AT353" i="2"/>
  <c r="AT354" i="2"/>
  <c r="AT355" i="2"/>
  <c r="AT356" i="2"/>
  <c r="AT357" i="2"/>
  <c r="AT358" i="2"/>
  <c r="AT359" i="2"/>
  <c r="AT360" i="2"/>
  <c r="AT361" i="2"/>
  <c r="AT362" i="2"/>
  <c r="AT363" i="2"/>
  <c r="AT364" i="2"/>
  <c r="AT365" i="2"/>
  <c r="AT366" i="2"/>
  <c r="AT367" i="2"/>
  <c r="AT368" i="2"/>
  <c r="AT369" i="2"/>
  <c r="AT370" i="2"/>
  <c r="AT371" i="2"/>
  <c r="AT372" i="2"/>
  <c r="AT373" i="2"/>
  <c r="AT374" i="2"/>
  <c r="AT375" i="2"/>
  <c r="AT376" i="2"/>
  <c r="AT377" i="2"/>
  <c r="AT378" i="2"/>
  <c r="AT379" i="2"/>
  <c r="AT380" i="2"/>
  <c r="AT381" i="2"/>
  <c r="AT382" i="2"/>
  <c r="AT383" i="2"/>
  <c r="AT384" i="2"/>
  <c r="AT385" i="2"/>
  <c r="AT386" i="2"/>
  <c r="AT387" i="2"/>
  <c r="AT388" i="2"/>
  <c r="AT389" i="2"/>
  <c r="AT390" i="2"/>
  <c r="AT391" i="2"/>
  <c r="AT392" i="2"/>
  <c r="AT393" i="2"/>
  <c r="AT394" i="2"/>
  <c r="AT395" i="2"/>
  <c r="AT396" i="2"/>
  <c r="AT397" i="2"/>
  <c r="AT398" i="2"/>
  <c r="AT399" i="2"/>
  <c r="AT400" i="2"/>
  <c r="AT401" i="2"/>
  <c r="AT402" i="2"/>
  <c r="AT403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65" i="2"/>
  <c r="AS66" i="2"/>
  <c r="AS67" i="2"/>
  <c r="AS68" i="2"/>
  <c r="AS69" i="2"/>
  <c r="AS70" i="2"/>
  <c r="AS71" i="2"/>
  <c r="AS72" i="2"/>
  <c r="AS73" i="2"/>
  <c r="AS74" i="2"/>
  <c r="AS75" i="2"/>
  <c r="AS76" i="2"/>
  <c r="AS77" i="2"/>
  <c r="AS78" i="2"/>
  <c r="AS79" i="2"/>
  <c r="AS80" i="2"/>
  <c r="AS81" i="2"/>
  <c r="AS82" i="2"/>
  <c r="AS83" i="2"/>
  <c r="AS84" i="2"/>
  <c r="AS85" i="2"/>
  <c r="AS86" i="2"/>
  <c r="AS87" i="2"/>
  <c r="AS88" i="2"/>
  <c r="AS89" i="2"/>
  <c r="AS90" i="2"/>
  <c r="AS91" i="2"/>
  <c r="AS92" i="2"/>
  <c r="AS93" i="2"/>
  <c r="AS94" i="2"/>
  <c r="AS95" i="2"/>
  <c r="AS96" i="2"/>
  <c r="AS97" i="2"/>
  <c r="AS98" i="2"/>
  <c r="AS99" i="2"/>
  <c r="AS100" i="2"/>
  <c r="AS101" i="2"/>
  <c r="AS102" i="2"/>
  <c r="AS103" i="2"/>
  <c r="AS104" i="2"/>
  <c r="AS105" i="2"/>
  <c r="AS106" i="2"/>
  <c r="AS107" i="2"/>
  <c r="AS108" i="2"/>
  <c r="AS109" i="2"/>
  <c r="AS110" i="2"/>
  <c r="AS111" i="2"/>
  <c r="AS112" i="2"/>
  <c r="AS113" i="2"/>
  <c r="AS114" i="2"/>
  <c r="AS115" i="2"/>
  <c r="AS116" i="2"/>
  <c r="AS117" i="2"/>
  <c r="AS118" i="2"/>
  <c r="AS119" i="2"/>
  <c r="AS120" i="2"/>
  <c r="AS121" i="2"/>
  <c r="AS122" i="2"/>
  <c r="AS123" i="2"/>
  <c r="AS124" i="2"/>
  <c r="AS125" i="2"/>
  <c r="AS126" i="2"/>
  <c r="AS127" i="2"/>
  <c r="AS128" i="2"/>
  <c r="AS129" i="2"/>
  <c r="AS130" i="2"/>
  <c r="AS131" i="2"/>
  <c r="AS132" i="2"/>
  <c r="AS133" i="2"/>
  <c r="AS134" i="2"/>
  <c r="AS135" i="2"/>
  <c r="AS136" i="2"/>
  <c r="AS137" i="2"/>
  <c r="AS138" i="2"/>
  <c r="AS139" i="2"/>
  <c r="AS140" i="2"/>
  <c r="AS141" i="2"/>
  <c r="AS142" i="2"/>
  <c r="AS143" i="2"/>
  <c r="AS144" i="2"/>
  <c r="AS145" i="2"/>
  <c r="AS146" i="2"/>
  <c r="AS147" i="2"/>
  <c r="AS148" i="2"/>
  <c r="AS149" i="2"/>
  <c r="AS150" i="2"/>
  <c r="AS151" i="2"/>
  <c r="AS152" i="2"/>
  <c r="AS153" i="2"/>
  <c r="AS154" i="2"/>
  <c r="AS155" i="2"/>
  <c r="AS156" i="2"/>
  <c r="AS157" i="2"/>
  <c r="AS158" i="2"/>
  <c r="AS159" i="2"/>
  <c r="AS160" i="2"/>
  <c r="AS161" i="2"/>
  <c r="AS162" i="2"/>
  <c r="AS163" i="2"/>
  <c r="AS164" i="2"/>
  <c r="AS165" i="2"/>
  <c r="AS166" i="2"/>
  <c r="AS167" i="2"/>
  <c r="AS168" i="2"/>
  <c r="AS169" i="2"/>
  <c r="AS170" i="2"/>
  <c r="AS171" i="2"/>
  <c r="AS172" i="2"/>
  <c r="AS173" i="2"/>
  <c r="AS174" i="2"/>
  <c r="AS175" i="2"/>
  <c r="AS176" i="2"/>
  <c r="AS177" i="2"/>
  <c r="AS178" i="2"/>
  <c r="AS179" i="2"/>
  <c r="AS180" i="2"/>
  <c r="AS181" i="2"/>
  <c r="AS182" i="2"/>
  <c r="AS183" i="2"/>
  <c r="AS184" i="2"/>
  <c r="AS185" i="2"/>
  <c r="AS186" i="2"/>
  <c r="AS187" i="2"/>
  <c r="AS188" i="2"/>
  <c r="AS189" i="2"/>
  <c r="AS190" i="2"/>
  <c r="AS191" i="2"/>
  <c r="AS192" i="2"/>
  <c r="AS193" i="2"/>
  <c r="AS194" i="2"/>
  <c r="AS195" i="2"/>
  <c r="AS196" i="2"/>
  <c r="AS197" i="2"/>
  <c r="AS198" i="2"/>
  <c r="AS199" i="2"/>
  <c r="AS200" i="2"/>
  <c r="AS201" i="2"/>
  <c r="AS202" i="2"/>
  <c r="AS203" i="2"/>
  <c r="AS204" i="2"/>
  <c r="AS205" i="2"/>
  <c r="AS206" i="2"/>
  <c r="AS207" i="2"/>
  <c r="AS208" i="2"/>
  <c r="AS209" i="2"/>
  <c r="AS210" i="2"/>
  <c r="AS211" i="2"/>
  <c r="AS212" i="2"/>
  <c r="AS213" i="2"/>
  <c r="AS214" i="2"/>
  <c r="AS215" i="2"/>
  <c r="AS216" i="2"/>
  <c r="AS217" i="2"/>
  <c r="AS218" i="2"/>
  <c r="AS219" i="2"/>
  <c r="AS220" i="2"/>
  <c r="AS221" i="2"/>
  <c r="AS222" i="2"/>
  <c r="AS223" i="2"/>
  <c r="AS224" i="2"/>
  <c r="AS225" i="2"/>
  <c r="AS226" i="2"/>
  <c r="AS227" i="2"/>
  <c r="AS228" i="2"/>
  <c r="AS229" i="2"/>
  <c r="AS230" i="2"/>
  <c r="AS231" i="2"/>
  <c r="AS232" i="2"/>
  <c r="AS233" i="2"/>
  <c r="AS234" i="2"/>
  <c r="AS235" i="2"/>
  <c r="AS236" i="2"/>
  <c r="AS237" i="2"/>
  <c r="AS238" i="2"/>
  <c r="AS239" i="2"/>
  <c r="AS240" i="2"/>
  <c r="AS241" i="2"/>
  <c r="AS242" i="2"/>
  <c r="AS243" i="2"/>
  <c r="AS244" i="2"/>
  <c r="AS245" i="2"/>
  <c r="AS246" i="2"/>
  <c r="AS247" i="2"/>
  <c r="AS248" i="2"/>
  <c r="AS249" i="2"/>
  <c r="AS250" i="2"/>
  <c r="AS251" i="2"/>
  <c r="AS252" i="2"/>
  <c r="AS253" i="2"/>
  <c r="AS254" i="2"/>
  <c r="AS255" i="2"/>
  <c r="AS256" i="2"/>
  <c r="AS257" i="2"/>
  <c r="AS258" i="2"/>
  <c r="AS259" i="2"/>
  <c r="AS260" i="2"/>
  <c r="AS261" i="2"/>
  <c r="AS262" i="2"/>
  <c r="AS263" i="2"/>
  <c r="AS264" i="2"/>
  <c r="AS265" i="2"/>
  <c r="AS266" i="2"/>
  <c r="AS267" i="2"/>
  <c r="AS268" i="2"/>
  <c r="AS269" i="2"/>
  <c r="AS270" i="2"/>
  <c r="AS271" i="2"/>
  <c r="AS272" i="2"/>
  <c r="AS273" i="2"/>
  <c r="AS274" i="2"/>
  <c r="AS275" i="2"/>
  <c r="AS276" i="2"/>
  <c r="AS277" i="2"/>
  <c r="AS278" i="2"/>
  <c r="AS279" i="2"/>
  <c r="AS280" i="2"/>
  <c r="AS281" i="2"/>
  <c r="AS282" i="2"/>
  <c r="AS283" i="2"/>
  <c r="AS284" i="2"/>
  <c r="AS285" i="2"/>
  <c r="AS286" i="2"/>
  <c r="AS287" i="2"/>
  <c r="AS288" i="2"/>
  <c r="AS289" i="2"/>
  <c r="AS290" i="2"/>
  <c r="AS291" i="2"/>
  <c r="AS292" i="2"/>
  <c r="AS293" i="2"/>
  <c r="AS294" i="2"/>
  <c r="AS295" i="2"/>
  <c r="AS296" i="2"/>
  <c r="AS297" i="2"/>
  <c r="AS298" i="2"/>
  <c r="AS299" i="2"/>
  <c r="AS300" i="2"/>
  <c r="AS301" i="2"/>
  <c r="AS302" i="2"/>
  <c r="AS303" i="2"/>
  <c r="AS304" i="2"/>
  <c r="AS305" i="2"/>
  <c r="AS306" i="2"/>
  <c r="AS307" i="2"/>
  <c r="AS308" i="2"/>
  <c r="AS309" i="2"/>
  <c r="AS310" i="2"/>
  <c r="AS311" i="2"/>
  <c r="AS312" i="2"/>
  <c r="AS313" i="2"/>
  <c r="AS314" i="2"/>
  <c r="AS315" i="2"/>
  <c r="AS316" i="2"/>
  <c r="AS317" i="2"/>
  <c r="AS318" i="2"/>
  <c r="AS319" i="2"/>
  <c r="AS320" i="2"/>
  <c r="AS321" i="2"/>
  <c r="AS322" i="2"/>
  <c r="AS323" i="2"/>
  <c r="AS324" i="2"/>
  <c r="AS325" i="2"/>
  <c r="AS326" i="2"/>
  <c r="AS327" i="2"/>
  <c r="AS328" i="2"/>
  <c r="AS329" i="2"/>
  <c r="AS330" i="2"/>
  <c r="AS331" i="2"/>
  <c r="AS332" i="2"/>
  <c r="AS333" i="2"/>
  <c r="AS334" i="2"/>
  <c r="AS335" i="2"/>
  <c r="AS336" i="2"/>
  <c r="AS337" i="2"/>
  <c r="AS338" i="2"/>
  <c r="AS339" i="2"/>
  <c r="AS340" i="2"/>
  <c r="AS341" i="2"/>
  <c r="AS342" i="2"/>
  <c r="AS343" i="2"/>
  <c r="AS344" i="2"/>
  <c r="AS345" i="2"/>
  <c r="AS346" i="2"/>
  <c r="AS347" i="2"/>
  <c r="AS348" i="2"/>
  <c r="AS349" i="2"/>
  <c r="AS350" i="2"/>
  <c r="AS351" i="2"/>
  <c r="AS352" i="2"/>
  <c r="AS353" i="2"/>
  <c r="AS354" i="2"/>
  <c r="AS355" i="2"/>
  <c r="AS356" i="2"/>
  <c r="AS357" i="2"/>
  <c r="AS358" i="2"/>
  <c r="AS359" i="2"/>
  <c r="AS360" i="2"/>
  <c r="AS361" i="2"/>
  <c r="AS362" i="2"/>
  <c r="AS363" i="2"/>
  <c r="AS364" i="2"/>
  <c r="AS365" i="2"/>
  <c r="AS366" i="2"/>
  <c r="AS367" i="2"/>
  <c r="AS368" i="2"/>
  <c r="AS369" i="2"/>
  <c r="AS370" i="2"/>
  <c r="AS371" i="2"/>
  <c r="AS372" i="2"/>
  <c r="AS373" i="2"/>
  <c r="AS374" i="2"/>
  <c r="AS375" i="2"/>
  <c r="AS376" i="2"/>
  <c r="AS377" i="2"/>
  <c r="AS378" i="2"/>
  <c r="AS379" i="2"/>
  <c r="AS380" i="2"/>
  <c r="AS381" i="2"/>
  <c r="AS382" i="2"/>
  <c r="AS383" i="2"/>
  <c r="AS384" i="2"/>
  <c r="AS385" i="2"/>
  <c r="AS386" i="2"/>
  <c r="AS387" i="2"/>
  <c r="AS388" i="2"/>
  <c r="AS389" i="2"/>
  <c r="AS390" i="2"/>
  <c r="AS391" i="2"/>
  <c r="AS392" i="2"/>
  <c r="AS393" i="2"/>
  <c r="AS394" i="2"/>
  <c r="AS395" i="2"/>
  <c r="AS396" i="2"/>
  <c r="AS397" i="2"/>
  <c r="AS398" i="2"/>
  <c r="AS399" i="2"/>
  <c r="AS400" i="2"/>
  <c r="AS401" i="2"/>
  <c r="AS402" i="2"/>
  <c r="AS403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348" i="2"/>
  <c r="AR349" i="2"/>
  <c r="AR350" i="2"/>
  <c r="AR351" i="2"/>
  <c r="AR352" i="2"/>
  <c r="AR353" i="2"/>
  <c r="AR354" i="2"/>
  <c r="AR355" i="2"/>
  <c r="AR356" i="2"/>
  <c r="AR357" i="2"/>
  <c r="AR358" i="2"/>
  <c r="AR359" i="2"/>
  <c r="AR360" i="2"/>
  <c r="AR361" i="2"/>
  <c r="AR362" i="2"/>
  <c r="AR363" i="2"/>
  <c r="AR364" i="2"/>
  <c r="AR365" i="2"/>
  <c r="AR366" i="2"/>
  <c r="AR367" i="2"/>
  <c r="AR368" i="2"/>
  <c r="AR369" i="2"/>
  <c r="AR370" i="2"/>
  <c r="AR371" i="2"/>
  <c r="AR372" i="2"/>
  <c r="AR373" i="2"/>
  <c r="AR374" i="2"/>
  <c r="AR375" i="2"/>
  <c r="AR376" i="2"/>
  <c r="AR377" i="2"/>
  <c r="AR378" i="2"/>
  <c r="AR379" i="2"/>
  <c r="AR380" i="2"/>
  <c r="AR381" i="2"/>
  <c r="AR382" i="2"/>
  <c r="AR383" i="2"/>
  <c r="AR384" i="2"/>
  <c r="AR385" i="2"/>
  <c r="AR386" i="2"/>
  <c r="AR387" i="2"/>
  <c r="AR388" i="2"/>
  <c r="AR389" i="2"/>
  <c r="AR390" i="2"/>
  <c r="AR391" i="2"/>
  <c r="AR392" i="2"/>
  <c r="AR393" i="2"/>
  <c r="AR394" i="2"/>
  <c r="AR395" i="2"/>
  <c r="AR396" i="2"/>
  <c r="AR397" i="2"/>
  <c r="AR398" i="2"/>
  <c r="AR399" i="2"/>
  <c r="AR400" i="2"/>
  <c r="AR401" i="2"/>
  <c r="AR402" i="2"/>
  <c r="AR403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Q129" i="2"/>
  <c r="AQ130" i="2"/>
  <c r="AQ131" i="2"/>
  <c r="AQ132" i="2"/>
  <c r="AQ133" i="2"/>
  <c r="AQ134" i="2"/>
  <c r="AQ135" i="2"/>
  <c r="AQ136" i="2"/>
  <c r="AQ137" i="2"/>
  <c r="AQ138" i="2"/>
  <c r="AQ139" i="2"/>
  <c r="AQ140" i="2"/>
  <c r="AQ141" i="2"/>
  <c r="AQ142" i="2"/>
  <c r="AQ143" i="2"/>
  <c r="AQ144" i="2"/>
  <c r="AQ145" i="2"/>
  <c r="AQ146" i="2"/>
  <c r="AQ147" i="2"/>
  <c r="AQ148" i="2"/>
  <c r="AQ149" i="2"/>
  <c r="AQ150" i="2"/>
  <c r="AQ151" i="2"/>
  <c r="AQ152" i="2"/>
  <c r="AQ153" i="2"/>
  <c r="AQ154" i="2"/>
  <c r="AQ155" i="2"/>
  <c r="AQ156" i="2"/>
  <c r="AQ157" i="2"/>
  <c r="AQ158" i="2"/>
  <c r="AQ159" i="2"/>
  <c r="AQ160" i="2"/>
  <c r="AQ161" i="2"/>
  <c r="AQ162" i="2"/>
  <c r="AQ163" i="2"/>
  <c r="AQ164" i="2"/>
  <c r="AQ165" i="2"/>
  <c r="AQ166" i="2"/>
  <c r="AQ167" i="2"/>
  <c r="AQ168" i="2"/>
  <c r="AQ169" i="2"/>
  <c r="AQ170" i="2"/>
  <c r="AQ171" i="2"/>
  <c r="AQ172" i="2"/>
  <c r="AQ173" i="2"/>
  <c r="AQ174" i="2"/>
  <c r="AQ175" i="2"/>
  <c r="AQ176" i="2"/>
  <c r="AQ177" i="2"/>
  <c r="AQ178" i="2"/>
  <c r="AQ179" i="2"/>
  <c r="AQ180" i="2"/>
  <c r="AQ181" i="2"/>
  <c r="AQ182" i="2"/>
  <c r="AQ183" i="2"/>
  <c r="AQ184" i="2"/>
  <c r="AQ185" i="2"/>
  <c r="AQ186" i="2"/>
  <c r="AQ187" i="2"/>
  <c r="AQ188" i="2"/>
  <c r="AQ189" i="2"/>
  <c r="AQ190" i="2"/>
  <c r="AQ191" i="2"/>
  <c r="AQ192" i="2"/>
  <c r="AQ193" i="2"/>
  <c r="AQ194" i="2"/>
  <c r="AQ195" i="2"/>
  <c r="AQ196" i="2"/>
  <c r="AQ197" i="2"/>
  <c r="AQ198" i="2"/>
  <c r="AQ199" i="2"/>
  <c r="AQ200" i="2"/>
  <c r="AQ201" i="2"/>
  <c r="AQ202" i="2"/>
  <c r="AQ203" i="2"/>
  <c r="AQ204" i="2"/>
  <c r="AQ205" i="2"/>
  <c r="AQ206" i="2"/>
  <c r="AQ207" i="2"/>
  <c r="AQ208" i="2"/>
  <c r="AQ209" i="2"/>
  <c r="AQ210" i="2"/>
  <c r="AQ211" i="2"/>
  <c r="AQ212" i="2"/>
  <c r="AQ213" i="2"/>
  <c r="AQ214" i="2"/>
  <c r="AQ215" i="2"/>
  <c r="AQ216" i="2"/>
  <c r="AQ217" i="2"/>
  <c r="AQ218" i="2"/>
  <c r="AQ219" i="2"/>
  <c r="AQ220" i="2"/>
  <c r="AQ221" i="2"/>
  <c r="AQ222" i="2"/>
  <c r="AQ223" i="2"/>
  <c r="AQ224" i="2"/>
  <c r="AQ225" i="2"/>
  <c r="AQ226" i="2"/>
  <c r="AQ227" i="2"/>
  <c r="AQ228" i="2"/>
  <c r="AQ229" i="2"/>
  <c r="AQ230" i="2"/>
  <c r="AQ231" i="2"/>
  <c r="AQ232" i="2"/>
  <c r="AQ233" i="2"/>
  <c r="AQ234" i="2"/>
  <c r="AQ235" i="2"/>
  <c r="AQ236" i="2"/>
  <c r="AQ237" i="2"/>
  <c r="AQ238" i="2"/>
  <c r="AQ239" i="2"/>
  <c r="AQ240" i="2"/>
  <c r="AQ241" i="2"/>
  <c r="AQ242" i="2"/>
  <c r="AQ243" i="2"/>
  <c r="AQ244" i="2"/>
  <c r="AQ245" i="2"/>
  <c r="AQ246" i="2"/>
  <c r="AQ247" i="2"/>
  <c r="AQ248" i="2"/>
  <c r="AQ249" i="2"/>
  <c r="AQ250" i="2"/>
  <c r="AQ251" i="2"/>
  <c r="AQ252" i="2"/>
  <c r="AQ253" i="2"/>
  <c r="AQ254" i="2"/>
  <c r="AQ255" i="2"/>
  <c r="AQ256" i="2"/>
  <c r="AQ257" i="2"/>
  <c r="AQ258" i="2"/>
  <c r="AQ259" i="2"/>
  <c r="AQ260" i="2"/>
  <c r="AQ261" i="2"/>
  <c r="AQ262" i="2"/>
  <c r="AQ263" i="2"/>
  <c r="AQ264" i="2"/>
  <c r="AQ265" i="2"/>
  <c r="AQ266" i="2"/>
  <c r="AQ267" i="2"/>
  <c r="AQ268" i="2"/>
  <c r="AQ269" i="2"/>
  <c r="AQ270" i="2"/>
  <c r="AQ271" i="2"/>
  <c r="AQ272" i="2"/>
  <c r="AQ273" i="2"/>
  <c r="AQ274" i="2"/>
  <c r="AQ275" i="2"/>
  <c r="AQ276" i="2"/>
  <c r="AQ277" i="2"/>
  <c r="AQ278" i="2"/>
  <c r="AQ279" i="2"/>
  <c r="AQ280" i="2"/>
  <c r="AQ281" i="2"/>
  <c r="AQ282" i="2"/>
  <c r="AQ283" i="2"/>
  <c r="AQ284" i="2"/>
  <c r="AQ285" i="2"/>
  <c r="AQ286" i="2"/>
  <c r="AQ287" i="2"/>
  <c r="AQ288" i="2"/>
  <c r="AQ289" i="2"/>
  <c r="AQ290" i="2"/>
  <c r="AQ291" i="2"/>
  <c r="AQ292" i="2"/>
  <c r="AQ293" i="2"/>
  <c r="AQ294" i="2"/>
  <c r="AQ295" i="2"/>
  <c r="AQ296" i="2"/>
  <c r="AQ297" i="2"/>
  <c r="AQ298" i="2"/>
  <c r="AQ299" i="2"/>
  <c r="AQ300" i="2"/>
  <c r="AQ301" i="2"/>
  <c r="AQ302" i="2"/>
  <c r="AQ303" i="2"/>
  <c r="AQ304" i="2"/>
  <c r="AQ305" i="2"/>
  <c r="AQ306" i="2"/>
  <c r="AQ307" i="2"/>
  <c r="AQ308" i="2"/>
  <c r="AQ309" i="2"/>
  <c r="AQ310" i="2"/>
  <c r="AQ311" i="2"/>
  <c r="AQ312" i="2"/>
  <c r="AQ313" i="2"/>
  <c r="AQ314" i="2"/>
  <c r="AQ315" i="2"/>
  <c r="AQ316" i="2"/>
  <c r="AQ317" i="2"/>
  <c r="AQ318" i="2"/>
  <c r="AQ319" i="2"/>
  <c r="AQ320" i="2"/>
  <c r="AQ321" i="2"/>
  <c r="AQ322" i="2"/>
  <c r="AQ323" i="2"/>
  <c r="AQ324" i="2"/>
  <c r="AQ325" i="2"/>
  <c r="AQ326" i="2"/>
  <c r="AQ327" i="2"/>
  <c r="AQ328" i="2"/>
  <c r="AQ329" i="2"/>
  <c r="AQ330" i="2"/>
  <c r="AQ331" i="2"/>
  <c r="AQ332" i="2"/>
  <c r="AQ333" i="2"/>
  <c r="AQ334" i="2"/>
  <c r="AQ335" i="2"/>
  <c r="AQ336" i="2"/>
  <c r="AQ337" i="2"/>
  <c r="AQ338" i="2"/>
  <c r="AQ339" i="2"/>
  <c r="AQ340" i="2"/>
  <c r="AQ341" i="2"/>
  <c r="AQ342" i="2"/>
  <c r="AQ343" i="2"/>
  <c r="AQ344" i="2"/>
  <c r="AQ345" i="2"/>
  <c r="AQ346" i="2"/>
  <c r="AQ347" i="2"/>
  <c r="AQ348" i="2"/>
  <c r="AQ349" i="2"/>
  <c r="AQ350" i="2"/>
  <c r="AQ351" i="2"/>
  <c r="AQ352" i="2"/>
  <c r="AQ353" i="2"/>
  <c r="AQ354" i="2"/>
  <c r="AQ355" i="2"/>
  <c r="AQ356" i="2"/>
  <c r="AQ357" i="2"/>
  <c r="AQ358" i="2"/>
  <c r="AQ359" i="2"/>
  <c r="AQ360" i="2"/>
  <c r="AQ361" i="2"/>
  <c r="AQ362" i="2"/>
  <c r="AQ363" i="2"/>
  <c r="AQ364" i="2"/>
  <c r="AQ365" i="2"/>
  <c r="AQ366" i="2"/>
  <c r="AQ367" i="2"/>
  <c r="AQ368" i="2"/>
  <c r="AQ369" i="2"/>
  <c r="AQ370" i="2"/>
  <c r="AQ371" i="2"/>
  <c r="AQ372" i="2"/>
  <c r="AQ373" i="2"/>
  <c r="AQ374" i="2"/>
  <c r="AQ375" i="2"/>
  <c r="AQ376" i="2"/>
  <c r="AQ377" i="2"/>
  <c r="AQ378" i="2"/>
  <c r="AQ379" i="2"/>
  <c r="AQ380" i="2"/>
  <c r="AQ381" i="2"/>
  <c r="AQ382" i="2"/>
  <c r="AQ383" i="2"/>
  <c r="AQ384" i="2"/>
  <c r="AQ385" i="2"/>
  <c r="AQ386" i="2"/>
  <c r="AQ387" i="2"/>
  <c r="AQ388" i="2"/>
  <c r="AQ389" i="2"/>
  <c r="AQ390" i="2"/>
  <c r="AQ391" i="2"/>
  <c r="AQ392" i="2"/>
  <c r="AQ393" i="2"/>
  <c r="AQ394" i="2"/>
  <c r="AQ395" i="2"/>
  <c r="AQ396" i="2"/>
  <c r="AQ397" i="2"/>
  <c r="AQ398" i="2"/>
  <c r="AQ399" i="2"/>
  <c r="AQ400" i="2"/>
  <c r="AQ401" i="2"/>
  <c r="AQ402" i="2"/>
  <c r="AQ403" i="2"/>
  <c r="BA27" i="2"/>
  <c r="AW27" i="2"/>
  <c r="AV27" i="2"/>
  <c r="AU27" i="2"/>
  <c r="AT27" i="2"/>
  <c r="AS27" i="2"/>
  <c r="AR27" i="2"/>
  <c r="AQ27" i="2"/>
  <c r="AA26" i="6" l="1"/>
  <c r="Y26" i="6"/>
  <c r="AX230" i="2"/>
  <c r="AK230" i="2" s="1"/>
  <c r="AX370" i="2"/>
  <c r="AK370" i="2" s="1"/>
  <c r="AX27" i="2"/>
  <c r="AK27" i="2" s="1"/>
  <c r="AX258" i="2"/>
  <c r="AK258" i="2" s="1"/>
  <c r="AX314" i="2"/>
  <c r="AK314" i="2" s="1"/>
  <c r="AX398" i="2"/>
  <c r="AK398" i="2" s="1"/>
  <c r="AX390" i="2"/>
  <c r="AK390" i="2" s="1"/>
  <c r="AX382" i="2"/>
  <c r="AK382" i="2" s="1"/>
  <c r="AX374" i="2"/>
  <c r="AK374" i="2" s="1"/>
  <c r="AX366" i="2"/>
  <c r="AK366" i="2" s="1"/>
  <c r="AX358" i="2"/>
  <c r="AK358" i="2" s="1"/>
  <c r="AX350" i="2"/>
  <c r="AK350" i="2" s="1"/>
  <c r="AX342" i="2"/>
  <c r="AK342" i="2" s="1"/>
  <c r="AX334" i="2"/>
  <c r="AK334" i="2" s="1"/>
  <c r="AX326" i="2"/>
  <c r="AK326" i="2" s="1"/>
  <c r="AX318" i="2"/>
  <c r="AK318" i="2" s="1"/>
  <c r="AX310" i="2"/>
  <c r="AK310" i="2" s="1"/>
  <c r="AX302" i="2"/>
  <c r="AK302" i="2" s="1"/>
  <c r="AX294" i="2"/>
  <c r="AK294" i="2" s="1"/>
  <c r="AX286" i="2"/>
  <c r="AK286" i="2" s="1"/>
  <c r="AX278" i="2"/>
  <c r="AK278" i="2" s="1"/>
  <c r="AX270" i="2"/>
  <c r="AK270" i="2" s="1"/>
  <c r="AX262" i="2"/>
  <c r="AK262" i="2" s="1"/>
  <c r="AX254" i="2"/>
  <c r="AK254" i="2" s="1"/>
  <c r="AX246" i="2"/>
  <c r="AK246" i="2" s="1"/>
  <c r="AX238" i="2"/>
  <c r="AK238" i="2" s="1"/>
  <c r="AX222" i="2"/>
  <c r="AK222" i="2" s="1"/>
  <c r="AX214" i="2"/>
  <c r="AK214" i="2" s="1"/>
  <c r="AX206" i="2"/>
  <c r="AK206" i="2" s="1"/>
  <c r="AX198" i="2"/>
  <c r="AK198" i="2" s="1"/>
  <c r="AX190" i="2"/>
  <c r="AK190" i="2" s="1"/>
  <c r="AX182" i="2"/>
  <c r="AK182" i="2" s="1"/>
  <c r="AX174" i="2"/>
  <c r="AK174" i="2" s="1"/>
  <c r="AX166" i="2"/>
  <c r="AK166" i="2" s="1"/>
  <c r="AX158" i="2"/>
  <c r="AK158" i="2" s="1"/>
  <c r="AX150" i="2"/>
  <c r="AK150" i="2" s="1"/>
  <c r="AX142" i="2"/>
  <c r="AK142" i="2" s="1"/>
  <c r="AX134" i="2"/>
  <c r="AK134" i="2" s="1"/>
  <c r="AX126" i="2"/>
  <c r="AK126" i="2" s="1"/>
  <c r="AX118" i="2"/>
  <c r="AK118" i="2" s="1"/>
  <c r="AX110" i="2"/>
  <c r="AK110" i="2" s="1"/>
  <c r="AX102" i="2"/>
  <c r="AK102" i="2" s="1"/>
  <c r="AX94" i="2"/>
  <c r="AK94" i="2" s="1"/>
  <c r="AX86" i="2"/>
  <c r="AK86" i="2" s="1"/>
  <c r="AX78" i="2"/>
  <c r="AK78" i="2" s="1"/>
  <c r="AX70" i="2"/>
  <c r="AK70" i="2" s="1"/>
  <c r="AX62" i="2"/>
  <c r="AK62" i="2" s="1"/>
  <c r="AX54" i="2"/>
  <c r="AK54" i="2" s="1"/>
  <c r="AX46" i="2"/>
  <c r="AK46" i="2" s="1"/>
  <c r="AX38" i="2"/>
  <c r="AK38" i="2" s="1"/>
  <c r="AX30" i="2"/>
  <c r="AK30" i="2" s="1"/>
  <c r="AX201" i="2"/>
  <c r="AK201" i="2" s="1"/>
  <c r="AX114" i="2"/>
  <c r="AK114" i="2" s="1"/>
  <c r="AX58" i="2"/>
  <c r="AK58" i="2" s="1"/>
  <c r="AX396" i="2"/>
  <c r="AK396" i="2" s="1"/>
  <c r="AX388" i="2"/>
  <c r="AK388" i="2" s="1"/>
  <c r="AX380" i="2"/>
  <c r="AK380" i="2" s="1"/>
  <c r="AX372" i="2"/>
  <c r="AK372" i="2" s="1"/>
  <c r="AX364" i="2"/>
  <c r="AK364" i="2" s="1"/>
  <c r="AX356" i="2"/>
  <c r="AK356" i="2" s="1"/>
  <c r="AX348" i="2"/>
  <c r="AK348" i="2" s="1"/>
  <c r="AX340" i="2"/>
  <c r="AK340" i="2" s="1"/>
  <c r="AX332" i="2"/>
  <c r="AK332" i="2" s="1"/>
  <c r="AX324" i="2"/>
  <c r="AK324" i="2" s="1"/>
  <c r="AX316" i="2"/>
  <c r="AK316" i="2" s="1"/>
  <c r="AX402" i="2"/>
  <c r="AK402" i="2" s="1"/>
  <c r="AX394" i="2"/>
  <c r="AK394" i="2" s="1"/>
  <c r="AX386" i="2"/>
  <c r="AK386" i="2" s="1"/>
  <c r="AX378" i="2"/>
  <c r="AK378" i="2" s="1"/>
  <c r="AX362" i="2"/>
  <c r="AK362" i="2" s="1"/>
  <c r="AX354" i="2"/>
  <c r="AK354" i="2" s="1"/>
  <c r="AX346" i="2"/>
  <c r="AK346" i="2" s="1"/>
  <c r="AX338" i="2"/>
  <c r="AK338" i="2" s="1"/>
  <c r="AX330" i="2"/>
  <c r="AK330" i="2" s="1"/>
  <c r="AX322" i="2"/>
  <c r="AK322" i="2" s="1"/>
  <c r="AX306" i="2"/>
  <c r="AK306" i="2" s="1"/>
  <c r="AX298" i="2"/>
  <c r="AK298" i="2" s="1"/>
  <c r="AX290" i="2"/>
  <c r="AK290" i="2" s="1"/>
  <c r="AX282" i="2"/>
  <c r="AK282" i="2" s="1"/>
  <c r="AX274" i="2"/>
  <c r="AK274" i="2" s="1"/>
  <c r="AX266" i="2"/>
  <c r="AK266" i="2" s="1"/>
  <c r="AX250" i="2"/>
  <c r="AK250" i="2" s="1"/>
  <c r="AX242" i="2"/>
  <c r="AK242" i="2" s="1"/>
  <c r="AX234" i="2"/>
  <c r="AK234" i="2" s="1"/>
  <c r="AX226" i="2"/>
  <c r="AK226" i="2" s="1"/>
  <c r="AX218" i="2"/>
  <c r="AK218" i="2" s="1"/>
  <c r="AX210" i="2"/>
  <c r="AK210" i="2" s="1"/>
  <c r="AX202" i="2"/>
  <c r="AK202" i="2" s="1"/>
  <c r="AX194" i="2"/>
  <c r="AK194" i="2" s="1"/>
  <c r="AX186" i="2"/>
  <c r="AK186" i="2" s="1"/>
  <c r="AX178" i="2"/>
  <c r="AX170" i="2"/>
  <c r="AK170" i="2" s="1"/>
  <c r="AX162" i="2"/>
  <c r="AK162" i="2" s="1"/>
  <c r="AX154" i="2"/>
  <c r="AK154" i="2" s="1"/>
  <c r="AX146" i="2"/>
  <c r="AK146" i="2" s="1"/>
  <c r="AX138" i="2"/>
  <c r="AK138" i="2" s="1"/>
  <c r="AX130" i="2"/>
  <c r="AK130" i="2" s="1"/>
  <c r="AX122" i="2"/>
  <c r="AX106" i="2"/>
  <c r="AK106" i="2" s="1"/>
  <c r="AX98" i="2"/>
  <c r="AK98" i="2" s="1"/>
  <c r="AX90" i="2"/>
  <c r="AK90" i="2" s="1"/>
  <c r="AX82" i="2"/>
  <c r="AK82" i="2" s="1"/>
  <c r="AX74" i="2"/>
  <c r="AK74" i="2" s="1"/>
  <c r="AX66" i="2"/>
  <c r="AK66" i="2" s="1"/>
  <c r="AX50" i="2"/>
  <c r="AK50" i="2" s="1"/>
  <c r="AX42" i="2"/>
  <c r="AK42" i="2" s="1"/>
  <c r="AX34" i="2"/>
  <c r="AK34" i="2" s="1"/>
  <c r="AX393" i="2"/>
  <c r="AK393" i="2" s="1"/>
  <c r="AX369" i="2"/>
  <c r="AK369" i="2" s="1"/>
  <c r="AX329" i="2"/>
  <c r="AK329" i="2" s="1"/>
  <c r="AX305" i="2"/>
  <c r="AK305" i="2" s="1"/>
  <c r="AX265" i="2"/>
  <c r="AK265" i="2" s="1"/>
  <c r="AX241" i="2"/>
  <c r="AK241" i="2" s="1"/>
  <c r="AX177" i="2"/>
  <c r="AK177" i="2" s="1"/>
  <c r="AX137" i="2"/>
  <c r="AK137" i="2" s="1"/>
  <c r="AX113" i="2"/>
  <c r="AK113" i="2" s="1"/>
  <c r="AX73" i="2"/>
  <c r="AK73" i="2" s="1"/>
  <c r="AX49" i="2"/>
  <c r="AK49" i="2" s="1"/>
  <c r="AX401" i="2"/>
  <c r="AK401" i="2" s="1"/>
  <c r="AX385" i="2"/>
  <c r="AK385" i="2" s="1"/>
  <c r="AX377" i="2"/>
  <c r="AK377" i="2" s="1"/>
  <c r="AX361" i="2"/>
  <c r="AK361" i="2" s="1"/>
  <c r="AX353" i="2"/>
  <c r="AK353" i="2" s="1"/>
  <c r="AX345" i="2"/>
  <c r="AK345" i="2" s="1"/>
  <c r="AX337" i="2"/>
  <c r="AK337" i="2" s="1"/>
  <c r="AX321" i="2"/>
  <c r="AK321" i="2" s="1"/>
  <c r="AX313" i="2"/>
  <c r="AK313" i="2" s="1"/>
  <c r="AX297" i="2"/>
  <c r="AK297" i="2" s="1"/>
  <c r="AX289" i="2"/>
  <c r="AK289" i="2" s="1"/>
  <c r="AX281" i="2"/>
  <c r="AK281" i="2" s="1"/>
  <c r="AX273" i="2"/>
  <c r="AK273" i="2" s="1"/>
  <c r="AX257" i="2"/>
  <c r="AK257" i="2" s="1"/>
  <c r="AX249" i="2"/>
  <c r="AK249" i="2" s="1"/>
  <c r="AX233" i="2"/>
  <c r="AK233" i="2" s="1"/>
  <c r="AX225" i="2"/>
  <c r="AK225" i="2" s="1"/>
  <c r="AX217" i="2"/>
  <c r="AK217" i="2" s="1"/>
  <c r="AX209" i="2"/>
  <c r="AK209" i="2" s="1"/>
  <c r="AX193" i="2"/>
  <c r="AK193" i="2" s="1"/>
  <c r="AX185" i="2"/>
  <c r="AK185" i="2" s="1"/>
  <c r="AX169" i="2"/>
  <c r="AK169" i="2" s="1"/>
  <c r="AX161" i="2"/>
  <c r="AK161" i="2" s="1"/>
  <c r="AX153" i="2"/>
  <c r="AK153" i="2" s="1"/>
  <c r="AX145" i="2"/>
  <c r="AK145" i="2" s="1"/>
  <c r="AX129" i="2"/>
  <c r="AK129" i="2" s="1"/>
  <c r="AX121" i="2"/>
  <c r="AK121" i="2" s="1"/>
  <c r="AX105" i="2"/>
  <c r="AK105" i="2" s="1"/>
  <c r="AX97" i="2"/>
  <c r="AK97" i="2" s="1"/>
  <c r="AX89" i="2"/>
  <c r="AK89" i="2" s="1"/>
  <c r="AX81" i="2"/>
  <c r="AK81" i="2" s="1"/>
  <c r="AX65" i="2"/>
  <c r="AK65" i="2" s="1"/>
  <c r="AX57" i="2"/>
  <c r="AK57" i="2" s="1"/>
  <c r="AX41" i="2"/>
  <c r="AK41" i="2" s="1"/>
  <c r="AX33" i="2"/>
  <c r="AK33" i="2" s="1"/>
  <c r="AX400" i="2"/>
  <c r="AK400" i="2" s="1"/>
  <c r="AX392" i="2"/>
  <c r="AK392" i="2" s="1"/>
  <c r="AX384" i="2"/>
  <c r="AK384" i="2" s="1"/>
  <c r="AX376" i="2"/>
  <c r="AK376" i="2" s="1"/>
  <c r="AX368" i="2"/>
  <c r="AK368" i="2" s="1"/>
  <c r="AX360" i="2"/>
  <c r="AK360" i="2" s="1"/>
  <c r="AX352" i="2"/>
  <c r="AK352" i="2" s="1"/>
  <c r="AX344" i="2"/>
  <c r="AK344" i="2" s="1"/>
  <c r="AX336" i="2"/>
  <c r="AK336" i="2" s="1"/>
  <c r="AX328" i="2"/>
  <c r="AK328" i="2" s="1"/>
  <c r="AX320" i="2"/>
  <c r="AK320" i="2" s="1"/>
  <c r="AX312" i="2"/>
  <c r="AK312" i="2" s="1"/>
  <c r="AX304" i="2"/>
  <c r="AK304" i="2" s="1"/>
  <c r="AX296" i="2"/>
  <c r="AK296" i="2" s="1"/>
  <c r="AX288" i="2"/>
  <c r="AK288" i="2" s="1"/>
  <c r="AX280" i="2"/>
  <c r="AK280" i="2" s="1"/>
  <c r="AX272" i="2"/>
  <c r="AK272" i="2" s="1"/>
  <c r="AX264" i="2"/>
  <c r="AK264" i="2" s="1"/>
  <c r="AX256" i="2"/>
  <c r="AK256" i="2" s="1"/>
  <c r="AX248" i="2"/>
  <c r="AK248" i="2" s="1"/>
  <c r="AX240" i="2"/>
  <c r="AK240" i="2" s="1"/>
  <c r="AX232" i="2"/>
  <c r="AK232" i="2" s="1"/>
  <c r="AX224" i="2"/>
  <c r="AK224" i="2" s="1"/>
  <c r="AX216" i="2"/>
  <c r="AK216" i="2" s="1"/>
  <c r="AX208" i="2"/>
  <c r="AK208" i="2" s="1"/>
  <c r="AX200" i="2"/>
  <c r="AX192" i="2"/>
  <c r="AK192" i="2" s="1"/>
  <c r="AX184" i="2"/>
  <c r="AK184" i="2" s="1"/>
  <c r="AX176" i="2"/>
  <c r="AK176" i="2" s="1"/>
  <c r="AX168" i="2"/>
  <c r="AK168" i="2" s="1"/>
  <c r="AX160" i="2"/>
  <c r="AK160" i="2" s="1"/>
  <c r="AX152" i="2"/>
  <c r="AK152" i="2" s="1"/>
  <c r="AX144" i="2"/>
  <c r="AK144" i="2" s="1"/>
  <c r="AX136" i="2"/>
  <c r="AK136" i="2" s="1"/>
  <c r="AX128" i="2"/>
  <c r="AK128" i="2" s="1"/>
  <c r="AX120" i="2"/>
  <c r="AK120" i="2" s="1"/>
  <c r="AX112" i="2"/>
  <c r="AK112" i="2" s="1"/>
  <c r="AX104" i="2"/>
  <c r="AK104" i="2" s="1"/>
  <c r="AX96" i="2"/>
  <c r="AK96" i="2" s="1"/>
  <c r="AX88" i="2"/>
  <c r="AK88" i="2" s="1"/>
  <c r="AX80" i="2"/>
  <c r="AK80" i="2" s="1"/>
  <c r="AX72" i="2"/>
  <c r="AK72" i="2" s="1"/>
  <c r="AX64" i="2"/>
  <c r="AK64" i="2" s="1"/>
  <c r="AX56" i="2"/>
  <c r="AK56" i="2" s="1"/>
  <c r="AX48" i="2"/>
  <c r="AK48" i="2" s="1"/>
  <c r="AX40" i="2"/>
  <c r="AK40" i="2" s="1"/>
  <c r="AX32" i="2"/>
  <c r="AK32" i="2" s="1"/>
  <c r="AX399" i="2"/>
  <c r="AK399" i="2" s="1"/>
  <c r="AX391" i="2"/>
  <c r="AK391" i="2" s="1"/>
  <c r="AX383" i="2"/>
  <c r="AK383" i="2" s="1"/>
  <c r="AX375" i="2"/>
  <c r="AK375" i="2" s="1"/>
  <c r="AX367" i="2"/>
  <c r="AK367" i="2" s="1"/>
  <c r="AX359" i="2"/>
  <c r="AK359" i="2" s="1"/>
  <c r="AX351" i="2"/>
  <c r="AK351" i="2" s="1"/>
  <c r="AX343" i="2"/>
  <c r="AK343" i="2" s="1"/>
  <c r="AX335" i="2"/>
  <c r="AK335" i="2" s="1"/>
  <c r="AX327" i="2"/>
  <c r="AK327" i="2" s="1"/>
  <c r="AX319" i="2"/>
  <c r="AK319" i="2" s="1"/>
  <c r="AX311" i="2"/>
  <c r="AK311" i="2" s="1"/>
  <c r="AX303" i="2"/>
  <c r="AK303" i="2" s="1"/>
  <c r="AX295" i="2"/>
  <c r="AK295" i="2" s="1"/>
  <c r="AX287" i="2"/>
  <c r="AK287" i="2" s="1"/>
  <c r="AX279" i="2"/>
  <c r="AK279" i="2" s="1"/>
  <c r="AX271" i="2"/>
  <c r="AK271" i="2" s="1"/>
  <c r="AX263" i="2"/>
  <c r="AK263" i="2" s="1"/>
  <c r="AX255" i="2"/>
  <c r="AK255" i="2" s="1"/>
  <c r="AX247" i="2"/>
  <c r="AK247" i="2" s="1"/>
  <c r="AX239" i="2"/>
  <c r="AK239" i="2" s="1"/>
  <c r="AX231" i="2"/>
  <c r="AK231" i="2" s="1"/>
  <c r="AX223" i="2"/>
  <c r="AK223" i="2" s="1"/>
  <c r="AX215" i="2"/>
  <c r="AK215" i="2" s="1"/>
  <c r="AX207" i="2"/>
  <c r="AK207" i="2" s="1"/>
  <c r="AX199" i="2"/>
  <c r="AK199" i="2" s="1"/>
  <c r="AX191" i="2"/>
  <c r="AK191" i="2" s="1"/>
  <c r="AX183" i="2"/>
  <c r="AK183" i="2" s="1"/>
  <c r="AX175" i="2"/>
  <c r="AK175" i="2" s="1"/>
  <c r="AX167" i="2"/>
  <c r="AK167" i="2" s="1"/>
  <c r="AX159" i="2"/>
  <c r="AK159" i="2" s="1"/>
  <c r="AX151" i="2"/>
  <c r="AK151" i="2" s="1"/>
  <c r="AX143" i="2"/>
  <c r="AK143" i="2" s="1"/>
  <c r="AX135" i="2"/>
  <c r="AK135" i="2" s="1"/>
  <c r="AX127" i="2"/>
  <c r="AK127" i="2" s="1"/>
  <c r="AX119" i="2"/>
  <c r="AK119" i="2" s="1"/>
  <c r="AX111" i="2"/>
  <c r="AK111" i="2" s="1"/>
  <c r="AX103" i="2"/>
  <c r="AK103" i="2" s="1"/>
  <c r="AX95" i="2"/>
  <c r="AK95" i="2" s="1"/>
  <c r="AX87" i="2"/>
  <c r="AK87" i="2" s="1"/>
  <c r="AX79" i="2"/>
  <c r="AK79" i="2" s="1"/>
  <c r="AX71" i="2"/>
  <c r="AK71" i="2" s="1"/>
  <c r="AX63" i="2"/>
  <c r="AK63" i="2" s="1"/>
  <c r="AX55" i="2"/>
  <c r="AK55" i="2" s="1"/>
  <c r="AX47" i="2"/>
  <c r="AK47" i="2" s="1"/>
  <c r="AX39" i="2"/>
  <c r="AK39" i="2" s="1"/>
  <c r="AX31" i="2"/>
  <c r="AK31" i="2" s="1"/>
  <c r="AX397" i="2"/>
  <c r="AK397" i="2" s="1"/>
  <c r="AX389" i="2"/>
  <c r="AK389" i="2" s="1"/>
  <c r="AX381" i="2"/>
  <c r="AK381" i="2" s="1"/>
  <c r="AX373" i="2"/>
  <c r="AK373" i="2" s="1"/>
  <c r="AX365" i="2"/>
  <c r="AK365" i="2" s="1"/>
  <c r="AX357" i="2"/>
  <c r="AK357" i="2" s="1"/>
  <c r="AX349" i="2"/>
  <c r="AK349" i="2" s="1"/>
  <c r="AX341" i="2"/>
  <c r="AK341" i="2" s="1"/>
  <c r="AX333" i="2"/>
  <c r="AK333" i="2" s="1"/>
  <c r="AX325" i="2"/>
  <c r="AK325" i="2" s="1"/>
  <c r="AX317" i="2"/>
  <c r="AK317" i="2" s="1"/>
  <c r="AX309" i="2"/>
  <c r="AK309" i="2" s="1"/>
  <c r="AX301" i="2"/>
  <c r="AK301" i="2" s="1"/>
  <c r="AX293" i="2"/>
  <c r="AK293" i="2" s="1"/>
  <c r="AX285" i="2"/>
  <c r="AK285" i="2" s="1"/>
  <c r="AX277" i="2"/>
  <c r="AK277" i="2" s="1"/>
  <c r="AX269" i="2"/>
  <c r="AK269" i="2" s="1"/>
  <c r="AX261" i="2"/>
  <c r="AK261" i="2" s="1"/>
  <c r="AX253" i="2"/>
  <c r="AK253" i="2" s="1"/>
  <c r="AX245" i="2"/>
  <c r="AK245" i="2" s="1"/>
  <c r="AX237" i="2"/>
  <c r="AK237" i="2" s="1"/>
  <c r="AX229" i="2"/>
  <c r="AK229" i="2" s="1"/>
  <c r="AX221" i="2"/>
  <c r="AK221" i="2" s="1"/>
  <c r="AX213" i="2"/>
  <c r="AK213" i="2" s="1"/>
  <c r="AX205" i="2"/>
  <c r="AK205" i="2" s="1"/>
  <c r="AX197" i="2"/>
  <c r="AK197" i="2" s="1"/>
  <c r="AX189" i="2"/>
  <c r="AK189" i="2" s="1"/>
  <c r="AX181" i="2"/>
  <c r="AK181" i="2" s="1"/>
  <c r="AX173" i="2"/>
  <c r="AK173" i="2" s="1"/>
  <c r="AX165" i="2"/>
  <c r="AK165" i="2" s="1"/>
  <c r="AX157" i="2"/>
  <c r="AK157" i="2" s="1"/>
  <c r="AX149" i="2"/>
  <c r="AK149" i="2" s="1"/>
  <c r="AX141" i="2"/>
  <c r="AK141" i="2" s="1"/>
  <c r="AX133" i="2"/>
  <c r="AK133" i="2" s="1"/>
  <c r="AX125" i="2"/>
  <c r="AK125" i="2" s="1"/>
  <c r="AX117" i="2"/>
  <c r="AK117" i="2" s="1"/>
  <c r="AX109" i="2"/>
  <c r="AK109" i="2" s="1"/>
  <c r="AX101" i="2"/>
  <c r="AK101" i="2" s="1"/>
  <c r="AX93" i="2"/>
  <c r="AK93" i="2" s="1"/>
  <c r="AX85" i="2"/>
  <c r="AK85" i="2" s="1"/>
  <c r="AX77" i="2"/>
  <c r="AK77" i="2" s="1"/>
  <c r="AX69" i="2"/>
  <c r="AK69" i="2" s="1"/>
  <c r="AX61" i="2"/>
  <c r="AK61" i="2" s="1"/>
  <c r="AX53" i="2"/>
  <c r="AK53" i="2" s="1"/>
  <c r="AX45" i="2"/>
  <c r="AK45" i="2" s="1"/>
  <c r="AX37" i="2"/>
  <c r="AK37" i="2" s="1"/>
  <c r="AX29" i="2"/>
  <c r="AK29" i="2" s="1"/>
  <c r="AM27" i="2" s="1"/>
  <c r="AX308" i="2"/>
  <c r="AK308" i="2" s="1"/>
  <c r="AX300" i="2"/>
  <c r="AK300" i="2" s="1"/>
  <c r="AX292" i="2"/>
  <c r="AK292" i="2" s="1"/>
  <c r="AX284" i="2"/>
  <c r="AK284" i="2" s="1"/>
  <c r="AX276" i="2"/>
  <c r="AK276" i="2" s="1"/>
  <c r="AX268" i="2"/>
  <c r="AK268" i="2" s="1"/>
  <c r="AX260" i="2"/>
  <c r="AK260" i="2" s="1"/>
  <c r="AX252" i="2"/>
  <c r="AK252" i="2" s="1"/>
  <c r="AX244" i="2"/>
  <c r="AK244" i="2" s="1"/>
  <c r="AX236" i="2"/>
  <c r="AK236" i="2" s="1"/>
  <c r="AX228" i="2"/>
  <c r="AK228" i="2" s="1"/>
  <c r="AX220" i="2"/>
  <c r="AK220" i="2" s="1"/>
  <c r="AX212" i="2"/>
  <c r="AK212" i="2" s="1"/>
  <c r="AX204" i="2"/>
  <c r="AK204" i="2" s="1"/>
  <c r="AX196" i="2"/>
  <c r="AK196" i="2" s="1"/>
  <c r="AX188" i="2"/>
  <c r="AK188" i="2" s="1"/>
  <c r="AX180" i="2"/>
  <c r="AK180" i="2" s="1"/>
  <c r="AX172" i="2"/>
  <c r="AK172" i="2" s="1"/>
  <c r="AX164" i="2"/>
  <c r="AK164" i="2" s="1"/>
  <c r="AX156" i="2"/>
  <c r="AK156" i="2" s="1"/>
  <c r="AX148" i="2"/>
  <c r="AK148" i="2" s="1"/>
  <c r="AX140" i="2"/>
  <c r="AK140" i="2" s="1"/>
  <c r="AX132" i="2"/>
  <c r="AK132" i="2" s="1"/>
  <c r="AX124" i="2"/>
  <c r="AK124" i="2" s="1"/>
  <c r="AX116" i="2"/>
  <c r="AK116" i="2" s="1"/>
  <c r="AX108" i="2"/>
  <c r="AK108" i="2" s="1"/>
  <c r="AX100" i="2"/>
  <c r="AK100" i="2" s="1"/>
  <c r="AX92" i="2"/>
  <c r="AK92" i="2" s="1"/>
  <c r="AX84" i="2"/>
  <c r="AK84" i="2" s="1"/>
  <c r="AX76" i="2"/>
  <c r="AK76" i="2" s="1"/>
  <c r="AX68" i="2"/>
  <c r="AK68" i="2" s="1"/>
  <c r="AX60" i="2"/>
  <c r="AK60" i="2" s="1"/>
  <c r="AX52" i="2"/>
  <c r="AK52" i="2" s="1"/>
  <c r="AX44" i="2"/>
  <c r="AK44" i="2" s="1"/>
  <c r="AX36" i="2"/>
  <c r="AK36" i="2" s="1"/>
  <c r="AX28" i="2"/>
  <c r="AK28" i="2" s="1"/>
  <c r="AX403" i="2"/>
  <c r="AK403" i="2" s="1"/>
  <c r="AX395" i="2"/>
  <c r="AK395" i="2" s="1"/>
  <c r="AX387" i="2"/>
  <c r="AK387" i="2" s="1"/>
  <c r="AX379" i="2"/>
  <c r="AK379" i="2" s="1"/>
  <c r="AX371" i="2"/>
  <c r="AK371" i="2" s="1"/>
  <c r="AX363" i="2"/>
  <c r="AK363" i="2" s="1"/>
  <c r="AX355" i="2"/>
  <c r="AK355" i="2" s="1"/>
  <c r="AX347" i="2"/>
  <c r="AK347" i="2" s="1"/>
  <c r="AX339" i="2"/>
  <c r="AK339" i="2" s="1"/>
  <c r="AX331" i="2"/>
  <c r="AK331" i="2" s="1"/>
  <c r="AX323" i="2"/>
  <c r="AK323" i="2" s="1"/>
  <c r="AX315" i="2"/>
  <c r="AK315" i="2" s="1"/>
  <c r="AX307" i="2"/>
  <c r="AK307" i="2" s="1"/>
  <c r="AX299" i="2"/>
  <c r="AK299" i="2" s="1"/>
  <c r="AX291" i="2"/>
  <c r="AK291" i="2" s="1"/>
  <c r="AX283" i="2"/>
  <c r="AK283" i="2" s="1"/>
  <c r="AX275" i="2"/>
  <c r="AK275" i="2" s="1"/>
  <c r="AX267" i="2"/>
  <c r="AK267" i="2" s="1"/>
  <c r="AX259" i="2"/>
  <c r="AK259" i="2" s="1"/>
  <c r="AX251" i="2"/>
  <c r="AK251" i="2" s="1"/>
  <c r="AX243" i="2"/>
  <c r="AK243" i="2" s="1"/>
  <c r="AX235" i="2"/>
  <c r="AK235" i="2" s="1"/>
  <c r="AX227" i="2"/>
  <c r="AK227" i="2" s="1"/>
  <c r="AX219" i="2"/>
  <c r="AK219" i="2" s="1"/>
  <c r="AX211" i="2"/>
  <c r="AK211" i="2" s="1"/>
  <c r="AX203" i="2"/>
  <c r="AK203" i="2" s="1"/>
  <c r="AX195" i="2"/>
  <c r="AK195" i="2" s="1"/>
  <c r="AX187" i="2"/>
  <c r="AK187" i="2" s="1"/>
  <c r="AX179" i="2"/>
  <c r="AK179" i="2" s="1"/>
  <c r="AX171" i="2"/>
  <c r="AK171" i="2" s="1"/>
  <c r="AX163" i="2"/>
  <c r="AK163" i="2" s="1"/>
  <c r="AX155" i="2"/>
  <c r="AK155" i="2" s="1"/>
  <c r="AX147" i="2"/>
  <c r="AK147" i="2" s="1"/>
  <c r="AX139" i="2"/>
  <c r="AK139" i="2" s="1"/>
  <c r="AX131" i="2"/>
  <c r="AK131" i="2" s="1"/>
  <c r="AX123" i="2"/>
  <c r="AK123" i="2" s="1"/>
  <c r="AX115" i="2"/>
  <c r="AK115" i="2" s="1"/>
  <c r="AX107" i="2"/>
  <c r="AK107" i="2" s="1"/>
  <c r="AX99" i="2"/>
  <c r="AK99" i="2" s="1"/>
  <c r="AX91" i="2"/>
  <c r="AK91" i="2" s="1"/>
  <c r="AX83" i="2"/>
  <c r="AK83" i="2" s="1"/>
  <c r="AX75" i="2"/>
  <c r="AK75" i="2" s="1"/>
  <c r="AX67" i="2"/>
  <c r="AK67" i="2" s="1"/>
  <c r="AX59" i="2"/>
  <c r="AK59" i="2" s="1"/>
  <c r="AX51" i="2"/>
  <c r="AK51" i="2" s="1"/>
  <c r="AX43" i="2"/>
  <c r="AK43" i="2" s="1"/>
  <c r="AX35" i="2"/>
  <c r="AK35" i="2" s="1"/>
  <c r="AK178" i="2"/>
  <c r="AK122" i="2"/>
  <c r="AK200" i="2"/>
  <c r="AL27" i="2" l="1"/>
  <c r="AB523" i="2"/>
  <c r="Q403" i="2"/>
  <c r="R403" i="2" s="1"/>
  <c r="Q29" i="2"/>
  <c r="Q30" i="2"/>
  <c r="R30" i="2" s="1"/>
  <c r="Q31" i="2"/>
  <c r="R31" i="2" s="1"/>
  <c r="Q32" i="2"/>
  <c r="Q33" i="2"/>
  <c r="R33" i="2" s="1"/>
  <c r="Q34" i="2"/>
  <c r="R34" i="2" s="1"/>
  <c r="Q35" i="2"/>
  <c r="R35" i="2" s="1"/>
  <c r="Q36" i="2"/>
  <c r="R36" i="2" s="1"/>
  <c r="Q37" i="2"/>
  <c r="Q38" i="2"/>
  <c r="R38" i="2" s="1"/>
  <c r="Q39" i="2"/>
  <c r="R39" i="2" s="1"/>
  <c r="Q40" i="2"/>
  <c r="R40" i="2" s="1"/>
  <c r="Q41" i="2"/>
  <c r="R41" i="2" s="1"/>
  <c r="Q42" i="2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63" i="2"/>
  <c r="R63" i="2" s="1"/>
  <c r="Q64" i="2"/>
  <c r="R64" i="2" s="1"/>
  <c r="Q65" i="2"/>
  <c r="R65" i="2" s="1"/>
  <c r="Q66" i="2"/>
  <c r="R66" i="2" s="1"/>
  <c r="Q67" i="2"/>
  <c r="R67" i="2" s="1"/>
  <c r="Q68" i="2"/>
  <c r="R68" i="2" s="1"/>
  <c r="Q69" i="2"/>
  <c r="R69" i="2" s="1"/>
  <c r="Q70" i="2"/>
  <c r="R70" i="2" s="1"/>
  <c r="Q71" i="2"/>
  <c r="R71" i="2" s="1"/>
  <c r="Q72" i="2"/>
  <c r="R72" i="2" s="1"/>
  <c r="Q73" i="2"/>
  <c r="R73" i="2" s="1"/>
  <c r="Q74" i="2"/>
  <c r="R74" i="2" s="1"/>
  <c r="Q75" i="2"/>
  <c r="R75" i="2" s="1"/>
  <c r="Q76" i="2"/>
  <c r="R76" i="2" s="1"/>
  <c r="Q77" i="2"/>
  <c r="R77" i="2" s="1"/>
  <c r="Q78" i="2"/>
  <c r="R78" i="2" s="1"/>
  <c r="Q79" i="2"/>
  <c r="R79" i="2" s="1"/>
  <c r="Q80" i="2"/>
  <c r="R80" i="2" s="1"/>
  <c r="Q81" i="2"/>
  <c r="R81" i="2" s="1"/>
  <c r="Q82" i="2"/>
  <c r="R82" i="2" s="1"/>
  <c r="Q83" i="2"/>
  <c r="R83" i="2" s="1"/>
  <c r="Q84" i="2"/>
  <c r="R84" i="2" s="1"/>
  <c r="Q85" i="2"/>
  <c r="R85" i="2" s="1"/>
  <c r="Q86" i="2"/>
  <c r="R86" i="2" s="1"/>
  <c r="Q87" i="2"/>
  <c r="R87" i="2" s="1"/>
  <c r="Q88" i="2"/>
  <c r="R88" i="2" s="1"/>
  <c r="Q89" i="2"/>
  <c r="R89" i="2" s="1"/>
  <c r="Q90" i="2"/>
  <c r="R90" i="2" s="1"/>
  <c r="Q91" i="2"/>
  <c r="R91" i="2" s="1"/>
  <c r="Q92" i="2"/>
  <c r="R92" i="2" s="1"/>
  <c r="Q93" i="2"/>
  <c r="R93" i="2" s="1"/>
  <c r="Q94" i="2"/>
  <c r="R94" i="2" s="1"/>
  <c r="Q95" i="2"/>
  <c r="R95" i="2" s="1"/>
  <c r="Q96" i="2"/>
  <c r="R96" i="2" s="1"/>
  <c r="Q97" i="2"/>
  <c r="R97" i="2" s="1"/>
  <c r="Q98" i="2"/>
  <c r="R98" i="2" s="1"/>
  <c r="Q99" i="2"/>
  <c r="R99" i="2" s="1"/>
  <c r="Q100" i="2"/>
  <c r="R100" i="2" s="1"/>
  <c r="Q101" i="2"/>
  <c r="R101" i="2" s="1"/>
  <c r="Q102" i="2"/>
  <c r="R102" i="2" s="1"/>
  <c r="Q103" i="2"/>
  <c r="R103" i="2" s="1"/>
  <c r="Q104" i="2"/>
  <c r="R104" i="2" s="1"/>
  <c r="Q105" i="2"/>
  <c r="R105" i="2" s="1"/>
  <c r="Q106" i="2"/>
  <c r="R106" i="2" s="1"/>
  <c r="Q107" i="2"/>
  <c r="R107" i="2" s="1"/>
  <c r="Q108" i="2"/>
  <c r="R108" i="2" s="1"/>
  <c r="Q109" i="2"/>
  <c r="R109" i="2" s="1"/>
  <c r="Q110" i="2"/>
  <c r="R110" i="2" s="1"/>
  <c r="Q111" i="2"/>
  <c r="R111" i="2" s="1"/>
  <c r="Q112" i="2"/>
  <c r="R112" i="2" s="1"/>
  <c r="Q113" i="2"/>
  <c r="R113" i="2" s="1"/>
  <c r="Q114" i="2"/>
  <c r="R114" i="2" s="1"/>
  <c r="Q115" i="2"/>
  <c r="R115" i="2" s="1"/>
  <c r="Q116" i="2"/>
  <c r="R116" i="2" s="1"/>
  <c r="Q117" i="2"/>
  <c r="R117" i="2" s="1"/>
  <c r="Q118" i="2"/>
  <c r="R118" i="2" s="1"/>
  <c r="Q119" i="2"/>
  <c r="R119" i="2" s="1"/>
  <c r="Q120" i="2"/>
  <c r="R120" i="2" s="1"/>
  <c r="Q121" i="2"/>
  <c r="R121" i="2" s="1"/>
  <c r="Q122" i="2"/>
  <c r="R122" i="2" s="1"/>
  <c r="Q123" i="2"/>
  <c r="R123" i="2" s="1"/>
  <c r="Q124" i="2"/>
  <c r="R124" i="2" s="1"/>
  <c r="Q125" i="2"/>
  <c r="R125" i="2" s="1"/>
  <c r="Q126" i="2"/>
  <c r="R126" i="2" s="1"/>
  <c r="Q127" i="2"/>
  <c r="R127" i="2" s="1"/>
  <c r="Q128" i="2"/>
  <c r="R128" i="2" s="1"/>
  <c r="Q129" i="2"/>
  <c r="R129" i="2" s="1"/>
  <c r="Q130" i="2"/>
  <c r="R130" i="2" s="1"/>
  <c r="Q131" i="2"/>
  <c r="R131" i="2" s="1"/>
  <c r="Q132" i="2"/>
  <c r="R132" i="2" s="1"/>
  <c r="Q133" i="2"/>
  <c r="R133" i="2" s="1"/>
  <c r="Q134" i="2"/>
  <c r="R134" i="2" s="1"/>
  <c r="Q135" i="2"/>
  <c r="R135" i="2" s="1"/>
  <c r="Q136" i="2"/>
  <c r="R136" i="2" s="1"/>
  <c r="Q137" i="2"/>
  <c r="R137" i="2" s="1"/>
  <c r="Q138" i="2"/>
  <c r="R138" i="2" s="1"/>
  <c r="Q139" i="2"/>
  <c r="R139" i="2" s="1"/>
  <c r="Q140" i="2"/>
  <c r="R140" i="2" s="1"/>
  <c r="Q141" i="2"/>
  <c r="R141" i="2" s="1"/>
  <c r="Q142" i="2"/>
  <c r="R142" i="2" s="1"/>
  <c r="Q143" i="2"/>
  <c r="R143" i="2" s="1"/>
  <c r="Q144" i="2"/>
  <c r="R144" i="2" s="1"/>
  <c r="Q145" i="2"/>
  <c r="R145" i="2" s="1"/>
  <c r="Q146" i="2"/>
  <c r="R146" i="2" s="1"/>
  <c r="Q147" i="2"/>
  <c r="R147" i="2" s="1"/>
  <c r="Q148" i="2"/>
  <c r="R148" i="2" s="1"/>
  <c r="Q149" i="2"/>
  <c r="R149" i="2" s="1"/>
  <c r="Q150" i="2"/>
  <c r="R150" i="2" s="1"/>
  <c r="Q151" i="2"/>
  <c r="R151" i="2" s="1"/>
  <c r="Q152" i="2"/>
  <c r="R152" i="2" s="1"/>
  <c r="Q153" i="2"/>
  <c r="R153" i="2" s="1"/>
  <c r="Q154" i="2"/>
  <c r="R154" i="2" s="1"/>
  <c r="Q155" i="2"/>
  <c r="R155" i="2" s="1"/>
  <c r="Q156" i="2"/>
  <c r="R156" i="2" s="1"/>
  <c r="Q157" i="2"/>
  <c r="R157" i="2" s="1"/>
  <c r="Q158" i="2"/>
  <c r="R158" i="2" s="1"/>
  <c r="Q159" i="2"/>
  <c r="R159" i="2" s="1"/>
  <c r="Q160" i="2"/>
  <c r="R160" i="2" s="1"/>
  <c r="Q161" i="2"/>
  <c r="R161" i="2" s="1"/>
  <c r="Q162" i="2"/>
  <c r="R162" i="2" s="1"/>
  <c r="Q163" i="2"/>
  <c r="R163" i="2" s="1"/>
  <c r="Q164" i="2"/>
  <c r="R164" i="2" s="1"/>
  <c r="Q165" i="2"/>
  <c r="R165" i="2" s="1"/>
  <c r="Q166" i="2"/>
  <c r="R166" i="2" s="1"/>
  <c r="Q167" i="2"/>
  <c r="R167" i="2" s="1"/>
  <c r="Q168" i="2"/>
  <c r="R168" i="2" s="1"/>
  <c r="Q169" i="2"/>
  <c r="R169" i="2" s="1"/>
  <c r="Q170" i="2"/>
  <c r="R170" i="2" s="1"/>
  <c r="Q171" i="2"/>
  <c r="R171" i="2" s="1"/>
  <c r="Q172" i="2"/>
  <c r="R172" i="2" s="1"/>
  <c r="Q173" i="2"/>
  <c r="R173" i="2" s="1"/>
  <c r="Q174" i="2"/>
  <c r="R174" i="2" s="1"/>
  <c r="Q175" i="2"/>
  <c r="R175" i="2" s="1"/>
  <c r="Q176" i="2"/>
  <c r="R176" i="2" s="1"/>
  <c r="Q177" i="2"/>
  <c r="R177" i="2" s="1"/>
  <c r="Q178" i="2"/>
  <c r="R178" i="2" s="1"/>
  <c r="Q179" i="2"/>
  <c r="R179" i="2" s="1"/>
  <c r="Q180" i="2"/>
  <c r="R180" i="2" s="1"/>
  <c r="Q181" i="2"/>
  <c r="R181" i="2" s="1"/>
  <c r="Q182" i="2"/>
  <c r="R182" i="2" s="1"/>
  <c r="Q183" i="2"/>
  <c r="R183" i="2" s="1"/>
  <c r="Q184" i="2"/>
  <c r="R184" i="2" s="1"/>
  <c r="Q185" i="2"/>
  <c r="R185" i="2" s="1"/>
  <c r="Q186" i="2"/>
  <c r="R186" i="2" s="1"/>
  <c r="Q187" i="2"/>
  <c r="R187" i="2" s="1"/>
  <c r="Q188" i="2"/>
  <c r="R188" i="2" s="1"/>
  <c r="Q189" i="2"/>
  <c r="R189" i="2" s="1"/>
  <c r="Q190" i="2"/>
  <c r="R190" i="2" s="1"/>
  <c r="Q191" i="2"/>
  <c r="R191" i="2" s="1"/>
  <c r="Q192" i="2"/>
  <c r="R192" i="2" s="1"/>
  <c r="Q193" i="2"/>
  <c r="R193" i="2" s="1"/>
  <c r="Q194" i="2"/>
  <c r="R194" i="2" s="1"/>
  <c r="Q195" i="2"/>
  <c r="R195" i="2" s="1"/>
  <c r="Q196" i="2"/>
  <c r="R196" i="2" s="1"/>
  <c r="Q197" i="2"/>
  <c r="R197" i="2" s="1"/>
  <c r="Q198" i="2"/>
  <c r="R198" i="2" s="1"/>
  <c r="Q199" i="2"/>
  <c r="R199" i="2" s="1"/>
  <c r="Q200" i="2"/>
  <c r="R200" i="2" s="1"/>
  <c r="Q201" i="2"/>
  <c r="R201" i="2" s="1"/>
  <c r="Q202" i="2"/>
  <c r="R202" i="2" s="1"/>
  <c r="Q203" i="2"/>
  <c r="R203" i="2" s="1"/>
  <c r="Q204" i="2"/>
  <c r="R204" i="2" s="1"/>
  <c r="Q205" i="2"/>
  <c r="R205" i="2" s="1"/>
  <c r="Q206" i="2"/>
  <c r="R206" i="2" s="1"/>
  <c r="Q207" i="2"/>
  <c r="R207" i="2" s="1"/>
  <c r="Q208" i="2"/>
  <c r="R208" i="2" s="1"/>
  <c r="Q209" i="2"/>
  <c r="R209" i="2" s="1"/>
  <c r="Q210" i="2"/>
  <c r="R210" i="2" s="1"/>
  <c r="Q211" i="2"/>
  <c r="R211" i="2" s="1"/>
  <c r="Q212" i="2"/>
  <c r="R212" i="2" s="1"/>
  <c r="Q213" i="2"/>
  <c r="R213" i="2" s="1"/>
  <c r="Q214" i="2"/>
  <c r="R214" i="2" s="1"/>
  <c r="Q215" i="2"/>
  <c r="R215" i="2" s="1"/>
  <c r="Q216" i="2"/>
  <c r="R216" i="2" s="1"/>
  <c r="Q217" i="2"/>
  <c r="R217" i="2" s="1"/>
  <c r="Q218" i="2"/>
  <c r="R218" i="2" s="1"/>
  <c r="Q219" i="2"/>
  <c r="R219" i="2" s="1"/>
  <c r="Q220" i="2"/>
  <c r="R220" i="2" s="1"/>
  <c r="Q221" i="2"/>
  <c r="R221" i="2" s="1"/>
  <c r="Q222" i="2"/>
  <c r="R222" i="2" s="1"/>
  <c r="Q223" i="2"/>
  <c r="R223" i="2" s="1"/>
  <c r="Q224" i="2"/>
  <c r="R224" i="2" s="1"/>
  <c r="Q225" i="2"/>
  <c r="R225" i="2" s="1"/>
  <c r="Q226" i="2"/>
  <c r="R226" i="2" s="1"/>
  <c r="Q227" i="2"/>
  <c r="R227" i="2" s="1"/>
  <c r="Q228" i="2"/>
  <c r="R228" i="2" s="1"/>
  <c r="Q229" i="2"/>
  <c r="R229" i="2" s="1"/>
  <c r="Q230" i="2"/>
  <c r="R230" i="2" s="1"/>
  <c r="Q231" i="2"/>
  <c r="R231" i="2" s="1"/>
  <c r="Q232" i="2"/>
  <c r="R232" i="2" s="1"/>
  <c r="Q233" i="2"/>
  <c r="R233" i="2" s="1"/>
  <c r="Q234" i="2"/>
  <c r="R234" i="2" s="1"/>
  <c r="Q235" i="2"/>
  <c r="R235" i="2" s="1"/>
  <c r="Q236" i="2"/>
  <c r="R236" i="2" s="1"/>
  <c r="Q237" i="2"/>
  <c r="R237" i="2" s="1"/>
  <c r="Q238" i="2"/>
  <c r="R238" i="2" s="1"/>
  <c r="Q239" i="2"/>
  <c r="R239" i="2" s="1"/>
  <c r="Q240" i="2"/>
  <c r="R240" i="2" s="1"/>
  <c r="Q241" i="2"/>
  <c r="R241" i="2" s="1"/>
  <c r="Q242" i="2"/>
  <c r="R242" i="2" s="1"/>
  <c r="Q243" i="2"/>
  <c r="R243" i="2" s="1"/>
  <c r="Q244" i="2"/>
  <c r="R244" i="2" s="1"/>
  <c r="Q245" i="2"/>
  <c r="R245" i="2" s="1"/>
  <c r="Q246" i="2"/>
  <c r="R246" i="2" s="1"/>
  <c r="Q247" i="2"/>
  <c r="R247" i="2" s="1"/>
  <c r="Q248" i="2"/>
  <c r="R248" i="2" s="1"/>
  <c r="Q249" i="2"/>
  <c r="R249" i="2" s="1"/>
  <c r="Q250" i="2"/>
  <c r="R250" i="2" s="1"/>
  <c r="Q251" i="2"/>
  <c r="R251" i="2" s="1"/>
  <c r="Q252" i="2"/>
  <c r="R252" i="2" s="1"/>
  <c r="Q253" i="2"/>
  <c r="R253" i="2" s="1"/>
  <c r="Q254" i="2"/>
  <c r="R254" i="2" s="1"/>
  <c r="Q255" i="2"/>
  <c r="R255" i="2" s="1"/>
  <c r="Q256" i="2"/>
  <c r="R256" i="2" s="1"/>
  <c r="Q257" i="2"/>
  <c r="R257" i="2" s="1"/>
  <c r="Q258" i="2"/>
  <c r="R258" i="2" s="1"/>
  <c r="Q259" i="2"/>
  <c r="R259" i="2" s="1"/>
  <c r="Q260" i="2"/>
  <c r="R260" i="2" s="1"/>
  <c r="Q261" i="2"/>
  <c r="R261" i="2" s="1"/>
  <c r="Q262" i="2"/>
  <c r="R262" i="2" s="1"/>
  <c r="Q263" i="2"/>
  <c r="R263" i="2" s="1"/>
  <c r="Q264" i="2"/>
  <c r="R264" i="2" s="1"/>
  <c r="Q265" i="2"/>
  <c r="R265" i="2" s="1"/>
  <c r="Q266" i="2"/>
  <c r="R266" i="2" s="1"/>
  <c r="Q267" i="2"/>
  <c r="R267" i="2" s="1"/>
  <c r="Q268" i="2"/>
  <c r="R268" i="2" s="1"/>
  <c r="Q269" i="2"/>
  <c r="R269" i="2" s="1"/>
  <c r="Q270" i="2"/>
  <c r="R270" i="2" s="1"/>
  <c r="Q271" i="2"/>
  <c r="R271" i="2" s="1"/>
  <c r="Q272" i="2"/>
  <c r="R272" i="2" s="1"/>
  <c r="Q273" i="2"/>
  <c r="R273" i="2" s="1"/>
  <c r="Q274" i="2"/>
  <c r="R274" i="2" s="1"/>
  <c r="Q275" i="2"/>
  <c r="R275" i="2" s="1"/>
  <c r="Q276" i="2"/>
  <c r="R276" i="2" s="1"/>
  <c r="Q277" i="2"/>
  <c r="R277" i="2" s="1"/>
  <c r="Q278" i="2"/>
  <c r="R278" i="2" s="1"/>
  <c r="Q279" i="2"/>
  <c r="R279" i="2" s="1"/>
  <c r="Q280" i="2"/>
  <c r="R280" i="2" s="1"/>
  <c r="Q281" i="2"/>
  <c r="R281" i="2" s="1"/>
  <c r="Q282" i="2"/>
  <c r="R282" i="2" s="1"/>
  <c r="Q283" i="2"/>
  <c r="R283" i="2" s="1"/>
  <c r="Q284" i="2"/>
  <c r="R284" i="2" s="1"/>
  <c r="Q285" i="2"/>
  <c r="R285" i="2" s="1"/>
  <c r="Q286" i="2"/>
  <c r="R286" i="2" s="1"/>
  <c r="Q287" i="2"/>
  <c r="R287" i="2" s="1"/>
  <c r="Q288" i="2"/>
  <c r="R288" i="2" s="1"/>
  <c r="Q289" i="2"/>
  <c r="R289" i="2" s="1"/>
  <c r="Q290" i="2"/>
  <c r="R290" i="2" s="1"/>
  <c r="Q291" i="2"/>
  <c r="R291" i="2" s="1"/>
  <c r="Q292" i="2"/>
  <c r="R292" i="2" s="1"/>
  <c r="Q293" i="2"/>
  <c r="R293" i="2" s="1"/>
  <c r="Q294" i="2"/>
  <c r="R294" i="2" s="1"/>
  <c r="Q295" i="2"/>
  <c r="R295" i="2" s="1"/>
  <c r="Q296" i="2"/>
  <c r="R296" i="2" s="1"/>
  <c r="Q297" i="2"/>
  <c r="R297" i="2" s="1"/>
  <c r="Q298" i="2"/>
  <c r="R298" i="2" s="1"/>
  <c r="Q299" i="2"/>
  <c r="R299" i="2" s="1"/>
  <c r="Q300" i="2"/>
  <c r="R300" i="2" s="1"/>
  <c r="Q301" i="2"/>
  <c r="R301" i="2" s="1"/>
  <c r="Q302" i="2"/>
  <c r="R302" i="2" s="1"/>
  <c r="Q303" i="2"/>
  <c r="R303" i="2" s="1"/>
  <c r="Q304" i="2"/>
  <c r="R304" i="2" s="1"/>
  <c r="Q305" i="2"/>
  <c r="R305" i="2" s="1"/>
  <c r="Q306" i="2"/>
  <c r="R306" i="2" s="1"/>
  <c r="Q307" i="2"/>
  <c r="R307" i="2" s="1"/>
  <c r="Q308" i="2"/>
  <c r="R308" i="2" s="1"/>
  <c r="Q309" i="2"/>
  <c r="R309" i="2" s="1"/>
  <c r="Q310" i="2"/>
  <c r="R310" i="2" s="1"/>
  <c r="Q311" i="2"/>
  <c r="R311" i="2" s="1"/>
  <c r="Q312" i="2"/>
  <c r="R312" i="2" s="1"/>
  <c r="Q313" i="2"/>
  <c r="R313" i="2" s="1"/>
  <c r="Q314" i="2"/>
  <c r="R314" i="2" s="1"/>
  <c r="Q315" i="2"/>
  <c r="R315" i="2" s="1"/>
  <c r="Q316" i="2"/>
  <c r="R316" i="2" s="1"/>
  <c r="Q317" i="2"/>
  <c r="R317" i="2" s="1"/>
  <c r="Q318" i="2"/>
  <c r="R318" i="2" s="1"/>
  <c r="Q319" i="2"/>
  <c r="R319" i="2" s="1"/>
  <c r="Q320" i="2"/>
  <c r="R320" i="2" s="1"/>
  <c r="Q321" i="2"/>
  <c r="R321" i="2" s="1"/>
  <c r="Q322" i="2"/>
  <c r="R322" i="2" s="1"/>
  <c r="Q323" i="2"/>
  <c r="R323" i="2" s="1"/>
  <c r="Q324" i="2"/>
  <c r="R324" i="2" s="1"/>
  <c r="Q325" i="2"/>
  <c r="R325" i="2" s="1"/>
  <c r="Q326" i="2"/>
  <c r="R326" i="2" s="1"/>
  <c r="Q327" i="2"/>
  <c r="R327" i="2" s="1"/>
  <c r="Q328" i="2"/>
  <c r="R328" i="2" s="1"/>
  <c r="Q329" i="2"/>
  <c r="R329" i="2" s="1"/>
  <c r="Q330" i="2"/>
  <c r="R330" i="2" s="1"/>
  <c r="Q331" i="2"/>
  <c r="R331" i="2" s="1"/>
  <c r="Q332" i="2"/>
  <c r="R332" i="2" s="1"/>
  <c r="Q333" i="2"/>
  <c r="R333" i="2" s="1"/>
  <c r="Q334" i="2"/>
  <c r="R334" i="2" s="1"/>
  <c r="Q335" i="2"/>
  <c r="R335" i="2" s="1"/>
  <c r="Q336" i="2"/>
  <c r="R336" i="2" s="1"/>
  <c r="Q337" i="2"/>
  <c r="R337" i="2" s="1"/>
  <c r="Q338" i="2"/>
  <c r="R338" i="2" s="1"/>
  <c r="Q339" i="2"/>
  <c r="R339" i="2" s="1"/>
  <c r="Q340" i="2"/>
  <c r="R340" i="2" s="1"/>
  <c r="Q341" i="2"/>
  <c r="R341" i="2" s="1"/>
  <c r="Q342" i="2"/>
  <c r="R342" i="2" s="1"/>
  <c r="Q343" i="2"/>
  <c r="R343" i="2" s="1"/>
  <c r="Q344" i="2"/>
  <c r="R344" i="2" s="1"/>
  <c r="Q345" i="2"/>
  <c r="R345" i="2" s="1"/>
  <c r="Q346" i="2"/>
  <c r="R346" i="2" s="1"/>
  <c r="Q347" i="2"/>
  <c r="R347" i="2" s="1"/>
  <c r="Q348" i="2"/>
  <c r="R348" i="2" s="1"/>
  <c r="Q349" i="2"/>
  <c r="R349" i="2" s="1"/>
  <c r="Q350" i="2"/>
  <c r="R350" i="2" s="1"/>
  <c r="Q351" i="2"/>
  <c r="R351" i="2" s="1"/>
  <c r="Q352" i="2"/>
  <c r="R352" i="2" s="1"/>
  <c r="Q353" i="2"/>
  <c r="R353" i="2" s="1"/>
  <c r="Q354" i="2"/>
  <c r="R354" i="2" s="1"/>
  <c r="Q355" i="2"/>
  <c r="R355" i="2" s="1"/>
  <c r="Q356" i="2"/>
  <c r="R356" i="2" s="1"/>
  <c r="Q357" i="2"/>
  <c r="R357" i="2" s="1"/>
  <c r="Q358" i="2"/>
  <c r="R358" i="2" s="1"/>
  <c r="Q359" i="2"/>
  <c r="R359" i="2" s="1"/>
  <c r="Q360" i="2"/>
  <c r="R360" i="2" s="1"/>
  <c r="Q361" i="2"/>
  <c r="R361" i="2" s="1"/>
  <c r="Q362" i="2"/>
  <c r="R362" i="2" s="1"/>
  <c r="Q363" i="2"/>
  <c r="R363" i="2" s="1"/>
  <c r="Q364" i="2"/>
  <c r="R364" i="2" s="1"/>
  <c r="Q365" i="2"/>
  <c r="R365" i="2" s="1"/>
  <c r="Q366" i="2"/>
  <c r="R366" i="2" s="1"/>
  <c r="Q367" i="2"/>
  <c r="R367" i="2" s="1"/>
  <c r="Q368" i="2"/>
  <c r="R368" i="2" s="1"/>
  <c r="Q369" i="2"/>
  <c r="R369" i="2" s="1"/>
  <c r="Q370" i="2"/>
  <c r="R370" i="2" s="1"/>
  <c r="Q371" i="2"/>
  <c r="R371" i="2" s="1"/>
  <c r="Q372" i="2"/>
  <c r="R372" i="2" s="1"/>
  <c r="Q373" i="2"/>
  <c r="R373" i="2" s="1"/>
  <c r="Q374" i="2"/>
  <c r="R374" i="2" s="1"/>
  <c r="Q375" i="2"/>
  <c r="R375" i="2" s="1"/>
  <c r="Q376" i="2"/>
  <c r="R376" i="2" s="1"/>
  <c r="Q377" i="2"/>
  <c r="R377" i="2" s="1"/>
  <c r="Q378" i="2"/>
  <c r="R378" i="2" s="1"/>
  <c r="Q379" i="2"/>
  <c r="R379" i="2" s="1"/>
  <c r="Q380" i="2"/>
  <c r="R380" i="2" s="1"/>
  <c r="Q381" i="2"/>
  <c r="R381" i="2" s="1"/>
  <c r="Q382" i="2"/>
  <c r="R382" i="2" s="1"/>
  <c r="Q383" i="2"/>
  <c r="R383" i="2" s="1"/>
  <c r="Q384" i="2"/>
  <c r="R384" i="2" s="1"/>
  <c r="Q385" i="2"/>
  <c r="R385" i="2" s="1"/>
  <c r="Q386" i="2"/>
  <c r="R386" i="2" s="1"/>
  <c r="Q387" i="2"/>
  <c r="R387" i="2" s="1"/>
  <c r="Q388" i="2"/>
  <c r="R388" i="2" s="1"/>
  <c r="Q389" i="2"/>
  <c r="R389" i="2" s="1"/>
  <c r="Q390" i="2"/>
  <c r="R390" i="2" s="1"/>
  <c r="Q391" i="2"/>
  <c r="R391" i="2" s="1"/>
  <c r="Q392" i="2"/>
  <c r="R392" i="2" s="1"/>
  <c r="Q393" i="2"/>
  <c r="R393" i="2" s="1"/>
  <c r="Q394" i="2"/>
  <c r="R394" i="2" s="1"/>
  <c r="Q395" i="2"/>
  <c r="R395" i="2" s="1"/>
  <c r="Q396" i="2"/>
  <c r="R396" i="2" s="1"/>
  <c r="Q397" i="2"/>
  <c r="R397" i="2" s="1"/>
  <c r="Q398" i="2"/>
  <c r="R398" i="2" s="1"/>
  <c r="Q399" i="2"/>
  <c r="R399" i="2" s="1"/>
  <c r="Q400" i="2"/>
  <c r="R400" i="2" s="1"/>
  <c r="Q401" i="2"/>
  <c r="R401" i="2" s="1"/>
  <c r="Q402" i="2"/>
  <c r="R402" i="2" s="1"/>
  <c r="AB27" i="2" l="1"/>
  <c r="AH27" i="2" s="1"/>
  <c r="AF27" i="2"/>
  <c r="AF28" i="2"/>
  <c r="AF29" i="2"/>
  <c r="AF30" i="2"/>
  <c r="D19" i="9"/>
  <c r="Q26" i="2"/>
  <c r="R32" i="2"/>
  <c r="D30" i="9"/>
  <c r="G30" i="9" s="1"/>
  <c r="D44" i="9"/>
  <c r="D45" i="9" s="1"/>
  <c r="C45" i="9"/>
  <c r="D20" i="9"/>
  <c r="AB30" i="2"/>
  <c r="AH30" i="2" s="1"/>
  <c r="R42" i="2"/>
  <c r="AB31" i="2"/>
  <c r="AH31" i="2" s="1"/>
  <c r="AB44" i="2"/>
  <c r="AB42" i="2"/>
  <c r="AB47" i="2"/>
  <c r="AB46" i="2"/>
  <c r="AB45" i="2"/>
  <c r="AB43" i="2"/>
  <c r="AB41" i="2"/>
  <c r="AB34" i="2"/>
  <c r="AB35" i="2"/>
  <c r="AB36" i="2"/>
  <c r="AB38" i="2"/>
  <c r="AB37" i="2"/>
  <c r="AB39" i="2"/>
  <c r="AB40" i="2"/>
  <c r="AB33" i="2"/>
  <c r="AB29" i="2"/>
  <c r="AH29" i="2" s="1"/>
  <c r="AB32" i="2"/>
  <c r="AB28" i="2"/>
  <c r="AH28" i="2" s="1"/>
  <c r="R37" i="2"/>
  <c r="R27" i="2"/>
  <c r="R28" i="2"/>
  <c r="R29" i="2"/>
  <c r="E35" i="9" l="1"/>
  <c r="AF26" i="2"/>
  <c r="AB26" i="2"/>
  <c r="G20" i="9"/>
  <c r="D18" i="9"/>
  <c r="AD30" i="2"/>
  <c r="AD523" i="2"/>
  <c r="AH523" i="2"/>
  <c r="AD31" i="2"/>
  <c r="AD37" i="2"/>
  <c r="AH37" i="2"/>
  <c r="AD46" i="2"/>
  <c r="AH46" i="2"/>
  <c r="AD44" i="2"/>
  <c r="AH44" i="2"/>
  <c r="AD32" i="2"/>
  <c r="AH32" i="2"/>
  <c r="AD41" i="2"/>
  <c r="AH41" i="2"/>
  <c r="AD33" i="2"/>
  <c r="AH33" i="2"/>
  <c r="AD38" i="2"/>
  <c r="AH38" i="2"/>
  <c r="AD47" i="2"/>
  <c r="AH47" i="2"/>
  <c r="AD34" i="2"/>
  <c r="AH34" i="2"/>
  <c r="AD40" i="2"/>
  <c r="AH40" i="2"/>
  <c r="AD36" i="2"/>
  <c r="AH36" i="2"/>
  <c r="AD45" i="2"/>
  <c r="AH45" i="2"/>
  <c r="AD39" i="2"/>
  <c r="AH39" i="2"/>
  <c r="AD35" i="2"/>
  <c r="AH35" i="2"/>
  <c r="AD43" i="2"/>
  <c r="AH43" i="2"/>
  <c r="AD42" i="2"/>
  <c r="AH42" i="2"/>
  <c r="AD27" i="2"/>
  <c r="E34" i="9"/>
  <c r="AD29" i="2"/>
  <c r="AD28" i="2"/>
  <c r="AH26" i="2" l="1"/>
  <c r="AD26" i="2"/>
  <c r="C36" i="9"/>
  <c r="C35" i="9"/>
  <c r="C10" i="9"/>
  <c r="C14" i="9" l="1"/>
  <c r="L4" i="8" l="1"/>
  <c r="K4" i="8"/>
  <c r="K5" i="8"/>
  <c r="K6" i="8"/>
  <c r="K7" i="8"/>
  <c r="K8" i="8"/>
  <c r="K9" i="8"/>
  <c r="K10" i="8"/>
  <c r="C12" i="9"/>
</calcChain>
</file>

<file path=xl/comments1.xml><?xml version="1.0" encoding="utf-8"?>
<comments xmlns="http://schemas.openxmlformats.org/spreadsheetml/2006/main">
  <authors>
    <author>Clement-Gallais Lucile (DI)</author>
  </authors>
  <commentList>
    <comment ref="C78" authorId="0" shapeId="0">
      <text>
        <r>
          <rPr>
            <sz val="9"/>
            <color indexed="81"/>
            <rFont val="Tahoma"/>
            <family val="2"/>
          </rPr>
          <t>Selon la définition de l'alinéa 2, article 49 de la Loi sur les constructions et installations diverses (LCI) : "Pour les pièces dont le plafond suit la pente de la toiture, la surface habitable est comptée en plein lorsque le vide d’étage est égal ou supérieur à 2,60 m et pour moitié lorsqu’il est situé entre 1,80 m et 2,60 m."</t>
        </r>
      </text>
    </comment>
    <comment ref="C90" authorId="0" shapeId="0">
      <text>
        <r>
          <rPr>
            <sz val="9"/>
            <color indexed="81"/>
            <rFont val="Tahoma"/>
            <family val="2"/>
          </rPr>
          <t>Voir définitions sous l'article 12 du Règlement d'exécution de la loi pour la construction de logements d'utilité publique (RUP).</t>
        </r>
      </text>
    </comment>
    <comment ref="C96" authorId="0" shapeId="0">
      <text>
        <r>
          <rPr>
            <sz val="9"/>
            <color indexed="81"/>
            <rFont val="Tahoma"/>
            <family val="2"/>
          </rPr>
          <t xml:space="preserve">Voir définitions sous l'article 12 du Règlement d'exécution de la loi pour la construction de logements d'utilité publique (RUP).
</t>
        </r>
      </text>
    </comment>
  </commentList>
</comments>
</file>

<file path=xl/comments2.xml><?xml version="1.0" encoding="utf-8"?>
<comments xmlns="http://schemas.openxmlformats.org/spreadsheetml/2006/main">
  <authors>
    <author>Clement-Gallais Lucile (DI)</author>
  </authors>
  <commentList>
    <comment ref="E25" authorId="0" shapeId="0">
      <text>
        <r>
          <rPr>
            <b/>
            <sz val="9"/>
            <color indexed="81"/>
            <rFont val="Tahoma"/>
            <charset val="1"/>
          </rPr>
          <t>Par exemple "001".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5" authorId="0" shapeId="0">
      <text>
        <r>
          <rPr>
            <sz val="9"/>
            <color indexed="81"/>
            <rFont val="Tahoma"/>
            <family val="2"/>
          </rPr>
          <t xml:space="preserve">Veuillez saisir la numérotation des logements en référence à celle établie par les Services Industriels de Genève (SIG).
</t>
        </r>
      </text>
    </comment>
    <comment ref="L25" authorId="0" shapeId="0">
      <text>
        <r>
          <rPr>
            <sz val="9"/>
            <color indexed="81"/>
            <rFont val="Tahoma"/>
            <family val="2"/>
          </rPr>
          <t>Veuillez préciser si le logement a une spécificité :
- IEPA, logement avec encadrement pour personnes agées ; 
- Logement satellite, cf. art.2A RGL ;
- Foyer (étudiants, personnes en situation de handicap, etc.) ;
- Dérogation taux d'occupation / taux d'effort.</t>
        </r>
      </text>
    </comment>
    <comment ref="M25" authorId="0" shapeId="0">
      <text>
        <r>
          <rPr>
            <sz val="9"/>
            <color indexed="81"/>
            <rFont val="Tahoma"/>
            <family val="2"/>
          </rPr>
          <t>Patrique administrative : https://www.ge.ch/document/15112/telecharger</t>
        </r>
      </text>
    </comment>
    <comment ref="N25" authorId="0" shapeId="0">
      <text>
        <r>
          <rPr>
            <sz val="9"/>
            <color indexed="81"/>
            <rFont val="Tahoma"/>
            <family val="2"/>
          </rPr>
          <t>Veuillez indiquer si le logement est soumis au contrôle LDTR.</t>
        </r>
      </text>
    </comment>
    <comment ref="O25" authorId="0" shapeId="0">
      <text>
        <r>
          <rPr>
            <sz val="9"/>
            <color indexed="81"/>
            <rFont val="Tahoma"/>
            <family val="2"/>
          </rPr>
          <t xml:space="preserve">Il s'agit de saisir le nombre de pièces et demi-pièces en lien avec la définition de l'article 52 de la Loi sur les constructions et les installations diverses (LCI).
La cuisine n'est pas considérée comme une pièce ou demi-pièce habitable. Si la surface de cette dernière est comprise entre 20 et 26 m2, elle peut être assimilée à une demi-pièce habitable, et au-delà à une pièce entière. </t>
        </r>
      </text>
    </comment>
    <comment ref="P25" authorId="0" shapeId="0">
      <text>
        <r>
          <rPr>
            <sz val="9"/>
            <color indexed="81"/>
            <rFont val="Tahoma"/>
            <family val="2"/>
          </rPr>
          <t>Selon la définition des alinéas 1 à 4 de l'article 4 du 
Règlement d’exécution de la loi générale sur le logement et la protection des locataires (RGL).</t>
        </r>
      </text>
    </comment>
    <comment ref="Q25" authorId="0" shapeId="0">
      <text>
        <r>
          <rPr>
            <sz val="9"/>
            <color indexed="81"/>
            <rFont val="Tahoma"/>
            <family val="2"/>
          </rPr>
          <t>Selon définition de l'alinéa 5, article 5 du Règlement d’exécution de la loi générale sur le logement et la protection des locataires (RGL).</t>
        </r>
      </text>
    </comment>
    <comment ref="R25" authorId="0" shapeId="0">
      <text>
        <r>
          <rPr>
            <sz val="9"/>
            <color indexed="81"/>
            <rFont val="Tahoma"/>
            <family val="2"/>
          </rPr>
          <t>Selon définition de la lettre c), alinéa 7, article 5 du Règlement d’exécution de la loi générale sur le logement et la protection des locataires (RGL).</t>
        </r>
      </text>
    </comment>
    <comment ref="S25" authorId="0" shapeId="0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T25" authorId="0" shapeId="0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U25" authorId="0" shapeId="0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V25" authorId="0" shapeId="0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W25" authorId="0" shapeId="0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X25" authorId="0" shapeId="0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Y25" authorId="0" shapeId="0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</commentList>
</comments>
</file>

<file path=xl/comments3.xml><?xml version="1.0" encoding="utf-8"?>
<comments xmlns="http://schemas.openxmlformats.org/spreadsheetml/2006/main">
  <authors>
    <author>Clement-Gallais Lucile (DI)</author>
  </authors>
  <commentList>
    <comment ref="E25" authorId="0" shapeId="0">
      <text>
        <r>
          <rPr>
            <b/>
            <sz val="9"/>
            <color indexed="81"/>
            <rFont val="Tahoma"/>
            <charset val="1"/>
          </rPr>
          <t>Par exemple "001".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5" authorId="0" shapeId="0">
      <text>
        <r>
          <rPr>
            <sz val="9"/>
            <color indexed="81"/>
            <rFont val="Tahoma"/>
            <family val="2"/>
          </rPr>
          <t xml:space="preserve">Veuillez saisir la numérotation des logements en référence à celle établie par les Services Industriels de Genève (SIG).
</t>
        </r>
      </text>
    </comment>
    <comment ref="K25" authorId="0" shapeId="0">
      <text>
        <r>
          <rPr>
            <sz val="9"/>
            <color indexed="81"/>
            <rFont val="Tahoma"/>
            <family val="2"/>
          </rPr>
          <t>Veuillez saisir la numérotation en référence à celle établie dans le cahier du géomètre.</t>
        </r>
      </text>
    </comment>
    <comment ref="L25" authorId="0" shapeId="0">
      <text>
        <r>
          <rPr>
            <sz val="9"/>
            <color indexed="81"/>
            <rFont val="Tahoma"/>
            <family val="2"/>
          </rPr>
          <t xml:space="preserve">Il s'agit de saisir le nombre de pièces et demi-pièces en lien avec la définition de l'article 52 de la Loi sur les constructions et les installations diverses (LCI).
La cuisine n'est pas considérée comme une pièce ou demi-pièce habitable. Si la surface de cette dernière est comprise entre 20 et 26 m2, elle peut être assimilée à une demi-pièce habitable, et au-delà à une pièce entière. </t>
        </r>
      </text>
    </comment>
    <comment ref="M25" authorId="0" shapeId="0">
      <text>
        <r>
          <rPr>
            <sz val="9"/>
            <color indexed="81"/>
            <rFont val="Tahoma"/>
            <family val="2"/>
          </rPr>
          <t>Selon la définition des alinéas 1 à 4 de l'article 4 du 
Règlement d’exécution de la loi générale sur le logement et la protection des locataires (RGL).</t>
        </r>
      </text>
    </comment>
    <comment ref="N25" authorId="0" shapeId="0">
      <text>
        <r>
          <rPr>
            <sz val="9"/>
            <color indexed="81"/>
            <rFont val="Tahoma"/>
            <family val="2"/>
          </rPr>
          <t>Selon définition de l'alinéa 5, article 5 du Règlement d’exécution de la loi générale sur le logement et la protection des locataires (RGL).</t>
        </r>
      </text>
    </comment>
    <comment ref="O25" authorId="0" shapeId="0">
      <text>
        <r>
          <rPr>
            <sz val="9"/>
            <color indexed="81"/>
            <rFont val="Tahoma"/>
            <family val="2"/>
          </rPr>
          <t>Selon définition de la lettre c), alinéa 7, article 5 du Règlement d’exécution de la loi générale sur le logement et la protection des locataires (RGL).</t>
        </r>
      </text>
    </comment>
    <comment ref="P25" authorId="0" shapeId="0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Q25" authorId="0" shapeId="0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R25" authorId="0" shapeId="0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S25" authorId="0" shapeId="0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T25" authorId="0" shapeId="0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U25" authorId="0" shapeId="0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V25" authorId="0" shapeId="0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(RGL)..</t>
        </r>
      </text>
    </comment>
  </commentList>
</comments>
</file>

<file path=xl/comments4.xml><?xml version="1.0" encoding="utf-8"?>
<comments xmlns="http://schemas.openxmlformats.org/spreadsheetml/2006/main">
  <authors>
    <author>Clement-Gallais Lucile (DI)</author>
  </authors>
  <commentList>
    <comment ref="D14" authorId="0" shapeId="0">
      <text>
        <r>
          <rPr>
            <sz val="9"/>
            <color indexed="81"/>
            <rFont val="Tahoma"/>
            <family val="2"/>
          </rPr>
          <t xml:space="preserve">Veuillez saisir la numérotation des logements en référence à celle établie par les Services Industriels de Genève (SIG).
</t>
        </r>
      </text>
    </comment>
    <comment ref="I14" authorId="0" shapeId="0">
      <text>
        <r>
          <rPr>
            <sz val="9"/>
            <color indexed="81"/>
            <rFont val="Tahoma"/>
            <family val="2"/>
          </rPr>
          <t>Selon définition de l'alinéa 7 de l'article 4 du 
Règlement d’exécution de la loi générale sur le logement et la protection des locataires (RGL).</t>
        </r>
      </text>
    </comment>
    <comment ref="M14" authorId="0" shapeId="0">
      <text>
        <r>
          <rPr>
            <sz val="9"/>
            <color indexed="81"/>
            <rFont val="Tahoma"/>
            <family val="2"/>
          </rPr>
          <t>Veuillez saisir la numérotation en référence à celle établie dans le cahier du géomètre.</t>
        </r>
      </text>
    </comment>
    <comment ref="N14" authorId="0" shapeId="0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M36" authorId="0" shapeId="0">
      <text>
        <r>
          <rPr>
            <sz val="9"/>
            <color indexed="81"/>
            <rFont val="Tahoma"/>
            <family val="2"/>
          </rPr>
          <t>Veuillez saisir la numérotation en référence à celle établie dans le cahier du géomètre.</t>
        </r>
      </text>
    </comment>
  </commentList>
</comments>
</file>

<file path=xl/comments5.xml><?xml version="1.0" encoding="utf-8"?>
<comments xmlns="http://schemas.openxmlformats.org/spreadsheetml/2006/main">
  <authors>
    <author>Clement-Gallais Lucile (DI)</author>
  </authors>
  <commentList>
    <comment ref="F16" authorId="0" shapeId="0">
      <text>
        <r>
          <rPr>
            <sz val="9"/>
            <color indexed="81"/>
            <rFont val="Tahoma"/>
            <family val="2"/>
          </rPr>
          <t>Pratique administrative : https://www.ge.ch/document/15112/telecharger</t>
        </r>
      </text>
    </comment>
    <comment ref="I16" authorId="0" shapeId="0">
      <text>
        <r>
          <rPr>
            <sz val="9"/>
            <color indexed="81"/>
            <rFont val="Tahoma"/>
            <family val="2"/>
          </rPr>
          <t>En référence à l'alinéa 1, article 20A du Règlement d’exécution de la loi générale sur le logement et la protection des locataires (RGL).</t>
        </r>
      </text>
    </comment>
    <comment ref="C41" authorId="0" shapeId="0">
      <text>
        <r>
          <rPr>
            <sz val="9"/>
            <color indexed="81"/>
            <rFont val="Tahoma"/>
            <family val="2"/>
          </rPr>
          <t>Pratique administrative : https://www.ge.ch/document/13362/telecharger</t>
        </r>
      </text>
    </comment>
    <comment ref="C47" authorId="0" shapeId="0">
      <text>
        <r>
          <rPr>
            <sz val="9"/>
            <color indexed="81"/>
            <rFont val="Tahoma"/>
            <family val="2"/>
          </rPr>
          <t>Pratique administrative : https://www.ge.ch/document/13362/telecharger</t>
        </r>
      </text>
    </comment>
  </commentList>
</comments>
</file>

<file path=xl/sharedStrings.xml><?xml version="1.0" encoding="utf-8"?>
<sst xmlns="http://schemas.openxmlformats.org/spreadsheetml/2006/main" count="1424" uniqueCount="304">
  <si>
    <t xml:space="preserve">Surfaces commerciales et garages </t>
  </si>
  <si>
    <t>Légende (plans)</t>
  </si>
  <si>
    <t>Total pièces théoriques</t>
  </si>
  <si>
    <t>EGID</t>
  </si>
  <si>
    <t>EDID</t>
  </si>
  <si>
    <t>Balcons - loggias</t>
  </si>
  <si>
    <t>Terrasses</t>
  </si>
  <si>
    <t>Jardins</t>
  </si>
  <si>
    <t>1. SURFACES COMMERCIALES</t>
  </si>
  <si>
    <t>2. GARAGES</t>
  </si>
  <si>
    <t>REPUBLIQUE ET CANTON DE GENEVE</t>
  </si>
  <si>
    <t>Département du territoire</t>
  </si>
  <si>
    <t>Office cantonal du logement et de la planification foncière</t>
  </si>
  <si>
    <t>Etage</t>
  </si>
  <si>
    <t>LUP</t>
  </si>
  <si>
    <t>Tranversant</t>
  </si>
  <si>
    <t>Plein sud</t>
  </si>
  <si>
    <t>Etc.</t>
  </si>
  <si>
    <t>ORIENTATION</t>
  </si>
  <si>
    <t>LUP I</t>
  </si>
  <si>
    <t>LUP II</t>
  </si>
  <si>
    <t>LUP III</t>
  </si>
  <si>
    <t>LUP IV</t>
  </si>
  <si>
    <t>TYPE</t>
  </si>
  <si>
    <t>109 LCI</t>
  </si>
  <si>
    <t>Rez-de-chaussée</t>
  </si>
  <si>
    <t>Rez inférieur</t>
  </si>
  <si>
    <t>Rez supérieur</t>
  </si>
  <si>
    <t xml:space="preserve">C ? </t>
  </si>
  <si>
    <t xml:space="preserve">A ? </t>
  </si>
  <si>
    <t>ADAPT</t>
  </si>
  <si>
    <t>HAND</t>
  </si>
  <si>
    <t>DUP</t>
  </si>
  <si>
    <t>TRI</t>
  </si>
  <si>
    <t>SPECIFICITE</t>
  </si>
  <si>
    <t>IEPA</t>
  </si>
  <si>
    <t>Foyer</t>
  </si>
  <si>
    <t>CONTINGENT LGL</t>
  </si>
  <si>
    <t>Oui</t>
  </si>
  <si>
    <t>Non</t>
  </si>
  <si>
    <t>SC TYPE</t>
  </si>
  <si>
    <t>GARAGE TYPE</t>
  </si>
  <si>
    <t>ID EL HM</t>
  </si>
  <si>
    <t>Version</t>
  </si>
  <si>
    <t>V001</t>
  </si>
  <si>
    <t>Rez-inférieur</t>
  </si>
  <si>
    <t>Rez-supérieur</t>
  </si>
  <si>
    <t>Sous-sol 1</t>
  </si>
  <si>
    <t>Sous-sol 2</t>
  </si>
  <si>
    <t>Sous-sol 3</t>
  </si>
  <si>
    <t>Aucun</t>
  </si>
  <si>
    <t>REQUERANT</t>
  </si>
  <si>
    <t>Adresse</t>
  </si>
  <si>
    <t>Chez (c/o)</t>
  </si>
  <si>
    <t>Complément</t>
  </si>
  <si>
    <t>Case postal</t>
  </si>
  <si>
    <t>PROPRIETAIRE</t>
  </si>
  <si>
    <t>LIEU</t>
  </si>
  <si>
    <r>
      <t xml:space="preserve">Commune(s)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</si>
  <si>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N° parcelle(s)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</si>
  <si>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Adresse(s) </t>
    </r>
    <r>
      <rPr>
        <b/>
        <sz val="11"/>
        <color rgb="FFFF0000"/>
        <rFont val="Calibri"/>
        <family val="2"/>
        <scheme val="minor"/>
      </rPr>
      <t>*</t>
    </r>
  </si>
  <si>
    <t>PLAN FINANCIER</t>
  </si>
  <si>
    <r>
      <t xml:space="preserve">Plan financier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</si>
  <si>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Nb pièces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</si>
  <si>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Nb logts </t>
    </r>
    <r>
      <rPr>
        <b/>
        <sz val="11"/>
        <color rgb="FFFF0000"/>
        <rFont val="Calibri"/>
        <family val="2"/>
        <scheme val="minor"/>
      </rPr>
      <t>*</t>
    </r>
  </si>
  <si>
    <t>LOGEMENTS D'UTILITE PUBLIQUE</t>
  </si>
  <si>
    <t>DONNEES SUR LES LOGEMENTS</t>
  </si>
  <si>
    <t>Informations VENTE</t>
  </si>
  <si>
    <t>Informations LOCATIF</t>
  </si>
  <si>
    <t>Autres surfaces</t>
  </si>
  <si>
    <t>Orientation</t>
  </si>
  <si>
    <t>PONDERATIONS SUR LES LOGEMENTS</t>
  </si>
  <si>
    <t>LISTE DES LOGEMENTS</t>
  </si>
  <si>
    <t>Catégorie</t>
  </si>
  <si>
    <r>
      <t xml:space="preserve">Rue </t>
    </r>
    <r>
      <rPr>
        <sz val="11"/>
        <color rgb="FFFF0000"/>
        <rFont val="Calibri"/>
        <family val="2"/>
        <scheme val="minor"/>
      </rPr>
      <t>*</t>
    </r>
  </si>
  <si>
    <r>
      <t xml:space="preserve">Code postal </t>
    </r>
    <r>
      <rPr>
        <sz val="11"/>
        <color rgb="FFFF0000"/>
        <rFont val="Calibri"/>
        <family val="2"/>
        <scheme val="minor"/>
      </rPr>
      <t>*</t>
    </r>
  </si>
  <si>
    <r>
      <t xml:space="preserve">Lieu </t>
    </r>
    <r>
      <rPr>
        <sz val="11"/>
        <color rgb="FFFF0000"/>
        <rFont val="Calibri"/>
        <family val="2"/>
        <scheme val="minor"/>
      </rPr>
      <t>*</t>
    </r>
  </si>
  <si>
    <r>
      <t xml:space="preserve">Pays </t>
    </r>
    <r>
      <rPr>
        <sz val="11"/>
        <color rgb="FFFF0000"/>
        <rFont val="Calibri"/>
        <family val="2"/>
        <scheme val="minor"/>
      </rPr>
      <t>*</t>
    </r>
  </si>
  <si>
    <r>
      <t xml:space="preserve">Civilité </t>
    </r>
    <r>
      <rPr>
        <sz val="11"/>
        <color rgb="FFFF0000"/>
        <rFont val="Calibri"/>
        <family val="2"/>
        <scheme val="minor"/>
      </rPr>
      <t>*</t>
    </r>
  </si>
  <si>
    <r>
      <t xml:space="preserve">Nom </t>
    </r>
    <r>
      <rPr>
        <sz val="11"/>
        <color rgb="FFFF0000"/>
        <rFont val="Calibri"/>
        <family val="2"/>
        <scheme val="minor"/>
      </rPr>
      <t>*</t>
    </r>
  </si>
  <si>
    <r>
      <t xml:space="preserve">Prénom </t>
    </r>
    <r>
      <rPr>
        <sz val="11"/>
        <color rgb="FFFF0000"/>
        <rFont val="Calibri"/>
        <family val="2"/>
        <scheme val="minor"/>
      </rPr>
      <t>*</t>
    </r>
  </si>
  <si>
    <r>
      <t xml:space="preserve">Téléphone </t>
    </r>
    <r>
      <rPr>
        <sz val="11"/>
        <color rgb="FFFF0000"/>
        <rFont val="Calibri"/>
        <family val="2"/>
        <scheme val="minor"/>
      </rPr>
      <t>*</t>
    </r>
  </si>
  <si>
    <r>
      <t xml:space="preserve">E-mail </t>
    </r>
    <r>
      <rPr>
        <sz val="11"/>
        <color rgb="FFFF0000"/>
        <rFont val="Calibri"/>
        <family val="2"/>
        <scheme val="minor"/>
      </rPr>
      <t>*</t>
    </r>
  </si>
  <si>
    <r>
      <t xml:space="preserve">Fondation immobilière de droit publique LGL (FIDP) </t>
    </r>
    <r>
      <rPr>
        <sz val="11"/>
        <color rgb="FFFF0000"/>
        <rFont val="Calibri"/>
        <family val="2"/>
        <scheme val="minor"/>
      </rPr>
      <t>*</t>
    </r>
  </si>
  <si>
    <r>
      <t xml:space="preserve">Coopérative d'habitation </t>
    </r>
    <r>
      <rPr>
        <sz val="11"/>
        <color rgb="FFFF0000"/>
        <rFont val="Calibri"/>
        <family val="2"/>
        <scheme val="minor"/>
      </rPr>
      <t>*</t>
    </r>
  </si>
  <si>
    <r>
      <t xml:space="preserve">Accord pour une dérogation au contingent LGL pour l'ensemble des logements </t>
    </r>
    <r>
      <rPr>
        <sz val="11"/>
        <color rgb="FFFF0000"/>
        <rFont val="Calibri"/>
        <family val="2"/>
        <scheme val="minor"/>
      </rPr>
      <t>*</t>
    </r>
  </si>
  <si>
    <r>
      <t xml:space="preserve">LDTR appliquée </t>
    </r>
    <r>
      <rPr>
        <sz val="11"/>
        <color rgb="FFFF0000"/>
        <rFont val="Calibri"/>
        <family val="2"/>
        <scheme val="minor"/>
      </rPr>
      <t>*</t>
    </r>
  </si>
  <si>
    <r>
      <t xml:space="preserve">Ascenseur </t>
    </r>
    <r>
      <rPr>
        <sz val="11"/>
        <color rgb="FFFF0000"/>
        <rFont val="Calibri"/>
        <family val="2"/>
        <scheme val="minor"/>
      </rPr>
      <t>*</t>
    </r>
  </si>
  <si>
    <r>
      <t xml:space="preserve">Combles habitables </t>
    </r>
    <r>
      <rPr>
        <sz val="11"/>
        <color rgb="FFFF0000"/>
        <rFont val="Calibri"/>
        <family val="2"/>
        <scheme val="minor"/>
      </rPr>
      <t>*</t>
    </r>
  </si>
  <si>
    <r>
      <t xml:space="preserve">Balcons - loggias </t>
    </r>
    <r>
      <rPr>
        <sz val="11"/>
        <color rgb="FFFF0000"/>
        <rFont val="Calibri"/>
        <family val="2"/>
        <scheme val="minor"/>
      </rPr>
      <t>*</t>
    </r>
  </si>
  <si>
    <r>
      <t xml:space="preserve">Terrasses </t>
    </r>
    <r>
      <rPr>
        <sz val="11"/>
        <color rgb="FFFF0000"/>
        <rFont val="Calibri"/>
        <family val="2"/>
        <scheme val="minor"/>
      </rPr>
      <t>*</t>
    </r>
  </si>
  <si>
    <r>
      <t xml:space="preserve">Jardins </t>
    </r>
    <r>
      <rPr>
        <sz val="11"/>
        <color rgb="FFFF0000"/>
        <rFont val="Calibri"/>
        <family val="2"/>
        <scheme val="minor"/>
      </rPr>
      <t>*</t>
    </r>
  </si>
  <si>
    <r>
      <t xml:space="preserve">Autres surfaces </t>
    </r>
    <r>
      <rPr>
        <sz val="11"/>
        <color rgb="FFFF0000"/>
        <rFont val="Calibri"/>
        <family val="2"/>
        <scheme val="minor"/>
      </rPr>
      <t>*</t>
    </r>
  </si>
  <si>
    <t>PROJET</t>
  </si>
  <si>
    <t>Numéro PLQ</t>
  </si>
  <si>
    <t>Civilité</t>
  </si>
  <si>
    <t>Madame</t>
  </si>
  <si>
    <t>Monsieur</t>
  </si>
  <si>
    <t>Raison sociale</t>
  </si>
  <si>
    <t>FIDP</t>
  </si>
  <si>
    <t>Fondation HBM Camille Martin</t>
  </si>
  <si>
    <t>Fondation HBM Emma Kammacher</t>
  </si>
  <si>
    <t>Fondation HBM Jean Dutoit</t>
  </si>
  <si>
    <t>Fondation René et Kate Block</t>
  </si>
  <si>
    <t xml:space="preserve"> </t>
  </si>
  <si>
    <t>Boolean</t>
  </si>
  <si>
    <t xml:space="preserve">ans </t>
  </si>
  <si>
    <t>ans</t>
  </si>
  <si>
    <t>HBM LUP</t>
  </si>
  <si>
    <t>HLM LUP</t>
  </si>
  <si>
    <t>HM LUP</t>
  </si>
  <si>
    <t>ZDLOC</t>
  </si>
  <si>
    <t>ZDPPE</t>
  </si>
  <si>
    <t>HBM</t>
  </si>
  <si>
    <t>HLM</t>
  </si>
  <si>
    <t>HM</t>
  </si>
  <si>
    <r>
      <t xml:space="preserve">Numéro OCLPF </t>
    </r>
    <r>
      <rPr>
        <sz val="11"/>
        <color rgb="FFFF0000"/>
        <rFont val="Calibri"/>
        <family val="2"/>
        <scheme val="minor"/>
      </rPr>
      <t>*</t>
    </r>
  </si>
  <si>
    <t>Numéro visible sur le préavis OCLPF de l'autorisation de construire</t>
  </si>
  <si>
    <t>A l'issu de cette période,</t>
  </si>
  <si>
    <t>catégorie LUP</t>
  </si>
  <si>
    <t>Pendant une durée de</t>
  </si>
  <si>
    <t>Permanent</t>
  </si>
  <si>
    <r>
      <t xml:space="preserve">Fr. / an </t>
    </r>
    <r>
      <rPr>
        <b/>
        <sz val="11"/>
        <color rgb="FFFF0000"/>
        <rFont val="Calibri"/>
        <family val="2"/>
        <scheme val="minor"/>
      </rPr>
      <t>*</t>
    </r>
  </si>
  <si>
    <t>Mono orientée</t>
  </si>
  <si>
    <t xml:space="preserve">Triple </t>
  </si>
  <si>
    <t>Quadruple</t>
  </si>
  <si>
    <t>Orientations</t>
  </si>
  <si>
    <t>Particularités</t>
  </si>
  <si>
    <t>Liste des adresses</t>
  </si>
  <si>
    <t>N° palier</t>
  </si>
  <si>
    <t>N° plan</t>
  </si>
  <si>
    <t>Spécificité</t>
  </si>
  <si>
    <t>Contingent LGL</t>
  </si>
  <si>
    <t>Total pièces RGL</t>
  </si>
  <si>
    <t>Nb occupants moyen</t>
  </si>
  <si>
    <t>HSP ≤ 1.8m</t>
  </si>
  <si>
    <t>Loyer annuel LDTR maximum autorisé</t>
  </si>
  <si>
    <t>Loyer annuel maximum retenu</t>
  </si>
  <si>
    <t>Date d'entrée dans le logement</t>
  </si>
  <si>
    <t>Commentaires</t>
  </si>
  <si>
    <t>Arcades</t>
  </si>
  <si>
    <t>Ateliers</t>
  </si>
  <si>
    <t>Bureaux</t>
  </si>
  <si>
    <t>Dépôts</t>
  </si>
  <si>
    <t>Locaux IEPA</t>
  </si>
  <si>
    <t>Locaux communs non rentes</t>
  </si>
  <si>
    <t>Loyer annuel max autorisé</t>
  </si>
  <si>
    <t>Locataire(s)</t>
  </si>
  <si>
    <t>Prix de vente effectif (selon acte)</t>
  </si>
  <si>
    <t>Propriétaire(s)</t>
  </si>
  <si>
    <t>M2</t>
  </si>
  <si>
    <t>Nb Pièces (cusine comprise)</t>
  </si>
  <si>
    <t>MiniSuperficie</t>
  </si>
  <si>
    <t>MiniPièces</t>
  </si>
  <si>
    <t>Total point</t>
  </si>
  <si>
    <t>Pondération HSP haut</t>
  </si>
  <si>
    <t>Pondération HSP moyen</t>
  </si>
  <si>
    <t>Pondération HSP bas</t>
  </si>
  <si>
    <t>Pondération balcon</t>
  </si>
  <si>
    <t>Pondération terrasses</t>
  </si>
  <si>
    <t>Pondération jardin</t>
  </si>
  <si>
    <t>Pondération autres surfaces</t>
  </si>
  <si>
    <t>De base</t>
  </si>
  <si>
    <t>Particularité</t>
  </si>
  <si>
    <t>Etage auto</t>
  </si>
  <si>
    <t>E 3111</t>
  </si>
  <si>
    <t>E 3112</t>
  </si>
  <si>
    <t>E 3113</t>
  </si>
  <si>
    <t>E 3114</t>
  </si>
  <si>
    <t>E 3115</t>
  </si>
  <si>
    <t>Loyer annuel LGL ou LGZD maximum autorisé</t>
  </si>
  <si>
    <t>Fr. / m2</t>
  </si>
  <si>
    <t>Loyer annuel maximum futur (art. 42 LGL)</t>
  </si>
  <si>
    <r>
      <t xml:space="preserve">Identifiant état locatif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</si>
  <si>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Adresse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</si>
  <si>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Etage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</si>
  <si>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N° palier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</si>
  <si>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Logement LDTR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</si>
  <si>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Nb minimum de pièces habitables distinctes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</si>
  <si>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Surface nette RGL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</si>
  <si>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HSP ≥ 2.6m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</si>
  <si>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1.8m &lt; HSP &lt; 2.6m </t>
    </r>
    <r>
      <rPr>
        <b/>
        <sz val="11"/>
        <color rgb="FFFF0000"/>
        <rFont val="Calibri"/>
        <family val="2"/>
        <scheme val="minor"/>
      </rPr>
      <t>*</t>
    </r>
  </si>
  <si>
    <t>Prix de vente maximum autorisé</t>
  </si>
  <si>
    <t>Prix de vente effectif (selon acte de vente)</t>
  </si>
  <si>
    <t xml:space="preserve">Loyer annuel effectif </t>
  </si>
  <si>
    <t>Surfaces commerciales</t>
  </si>
  <si>
    <t>Pondérations</t>
  </si>
  <si>
    <t>Garages</t>
  </si>
  <si>
    <r>
      <t xml:space="preserve">Type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</si>
  <si>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Nombre d'unité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</si>
  <si>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Surface locative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</si>
  <si>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Loyer annuel effectif selon bail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</si>
  <si>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N° lot PPE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</si>
  <si>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Surface PPE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</si>
  <si>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Prix de vente </t>
    </r>
    <r>
      <rPr>
        <b/>
        <sz val="11"/>
        <color rgb="FFFF0000"/>
        <rFont val="Calibri"/>
        <family val="2"/>
        <scheme val="minor"/>
      </rPr>
      <t>*</t>
    </r>
  </si>
  <si>
    <t xml:space="preserve">Locataire(s) </t>
  </si>
  <si>
    <t>1. Arcades</t>
  </si>
  <si>
    <t>2. Ateliers</t>
  </si>
  <si>
    <t>3. Bureaux</t>
  </si>
  <si>
    <t>4. Dépôts</t>
  </si>
  <si>
    <t>1. Places simples</t>
  </si>
  <si>
    <t>2. Places doubles (en enfilade)</t>
  </si>
  <si>
    <t>3. Box simples</t>
  </si>
  <si>
    <t>4. Box doubles</t>
  </si>
  <si>
    <t>5. Places moto</t>
  </si>
  <si>
    <t xml:space="preserve">6. Places vélo cargo </t>
  </si>
  <si>
    <t>7. Places vélo</t>
  </si>
  <si>
    <t>8. Autres</t>
  </si>
  <si>
    <t xml:space="preserve">Récapitulatif projet </t>
  </si>
  <si>
    <t>Récapitulatif par adresse</t>
  </si>
  <si>
    <t>% logts</t>
  </si>
  <si>
    <t>% pièces</t>
  </si>
  <si>
    <t>Nombre logts</t>
  </si>
  <si>
    <t>Min ≤ 90%</t>
  </si>
  <si>
    <t>90% &lt; x ≤ 130%</t>
  </si>
  <si>
    <t>Max &gt; 100%</t>
  </si>
  <si>
    <t>60% ≤ 4 pièces</t>
  </si>
  <si>
    <t>10% ≥ 5.5 pièces</t>
  </si>
  <si>
    <t>20% ≤ 100 m2</t>
  </si>
  <si>
    <t>20% ≥ 130 m2</t>
  </si>
  <si>
    <t>Principe des 3 tiers</t>
  </si>
  <si>
    <t>Contingent 60 / 40</t>
  </si>
  <si>
    <t>Catégorie LUP initiale</t>
  </si>
  <si>
    <t>HSP ≥ 2.6m</t>
  </si>
  <si>
    <t>1.8m &lt; HSP &lt; 2.6m</t>
  </si>
  <si>
    <t>HSP  ≤  1.8m</t>
  </si>
  <si>
    <t>Veuillez reporter ci-dessous les informations du formulaire C01</t>
  </si>
  <si>
    <t>Récapitulatif par plan financier</t>
  </si>
  <si>
    <t>Plan financier rubrique</t>
  </si>
  <si>
    <t>Logements</t>
  </si>
  <si>
    <r>
      <t xml:space="preserve">Numéro autorisation de construire (ex : DD/123456/1) </t>
    </r>
    <r>
      <rPr>
        <sz val="11"/>
        <color rgb="FFFF0000"/>
        <rFont val="Calibri"/>
        <family val="2"/>
        <scheme val="minor"/>
      </rPr>
      <t>*</t>
    </r>
  </si>
  <si>
    <t>%</t>
  </si>
  <si>
    <t>Typologie des logements vente</t>
  </si>
  <si>
    <t>Typologie des logements locatif</t>
  </si>
  <si>
    <t>TOTAL</t>
  </si>
  <si>
    <t>Liste des communes</t>
  </si>
  <si>
    <t>Aire-la-Ville</t>
  </si>
  <si>
    <t>Anières</t>
  </si>
  <si>
    <t>Avully</t>
  </si>
  <si>
    <t>Avusy</t>
  </si>
  <si>
    <t>Bardonnex</t>
  </si>
  <si>
    <t>Bellevue</t>
  </si>
  <si>
    <t>Bernex</t>
  </si>
  <si>
    <t>Carouge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</si>
  <si>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</si>
  <si>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</si>
  <si>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</si>
  <si>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</si>
  <si>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</si>
  <si>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</si>
  <si>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</si>
  <si>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</si>
  <si>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</si>
  <si>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</si>
  <si>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</t>
  </si>
  <si>
    <t>Dardagny</t>
  </si>
  <si>
    <t>Genève</t>
  </si>
  <si>
    <t>Genthod</t>
  </si>
  <si>
    <t>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</si>
  <si>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</si>
  <si>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</si>
  <si>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</si>
  <si>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</si>
  <si>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</si>
  <si>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</si>
  <si>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</si>
  <si>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</si>
  <si>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</si>
  <si>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</si>
  <si>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</si>
  <si>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</si>
  <si>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</si>
  <si>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</si>
  <si>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</si>
  <si>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</si>
  <si>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</si>
  <si>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</si>
  <si>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</si>
  <si>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</si>
  <si>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</si>
  <si>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</si>
  <si>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Fr. / m²</t>
  </si>
  <si>
    <t>Fr. / unité</t>
  </si>
  <si>
    <t>Double - traversant</t>
  </si>
  <si>
    <t xml:space="preserve">Double - angle </t>
  </si>
  <si>
    <r>
      <t xml:space="preserve">Contingent LGL </t>
    </r>
    <r>
      <rPr>
        <b/>
        <sz val="11"/>
        <color rgb="FFFF0000"/>
        <rFont val="Calibri"/>
        <family val="2"/>
        <scheme val="minor"/>
      </rPr>
      <t>*</t>
    </r>
  </si>
  <si>
    <t>N° lot PPE</t>
  </si>
  <si>
    <t>5. Locaux communs non rentes</t>
  </si>
  <si>
    <t>6. Locaux IEPA</t>
  </si>
  <si>
    <t>7. Chambres d'ami</t>
  </si>
  <si>
    <t>8. Logements à mixité intégrée</t>
  </si>
  <si>
    <t>9. Autres surfaces</t>
  </si>
  <si>
    <t>Loyer annuel futur (art. 42 LGL)</t>
  </si>
  <si>
    <t>FORMULAIRE C10 - état locatif et plan de vente</t>
  </si>
  <si>
    <r>
      <t xml:space="preserve">Les champs à renseigner sont avec une couleur de fond blanche.
Les champs grisés sont soit renseignés par les gestionnaires de l'administration soit calculés automatiquement par le formulaire.
Les informations obligatoires à la saisie sont indiquées par le symbole </t>
    </r>
    <r>
      <rPr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.</t>
    </r>
  </si>
  <si>
    <t>Cluster</t>
  </si>
  <si>
    <t>Dérogation TO / TE</t>
  </si>
  <si>
    <t>Les valeurs avec un fond blanc sont proposées par défaut mais modifiables pour autant qu'elles restent adéquates.</t>
  </si>
  <si>
    <t>Fondation HBM Emile Dupont</t>
  </si>
  <si>
    <t>EWID</t>
  </si>
  <si>
    <t>Informations générales</t>
  </si>
  <si>
    <t>Description autres surfaces</t>
  </si>
  <si>
    <t>Si non FIDP, Propriétaire - nom, prénom ou raison sociale</t>
  </si>
  <si>
    <t>Petit-Saconnex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</si>
</sst>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General&quot; m²&quot;"/>
    <numFmt numFmtId="165" formatCode="&quot;fr.&quot;\ #,##0.00"/>
    <numFmt numFmtId="166" formatCode="General&quot; fr / m²&quot;"/>
    <numFmt numFmtId="167" formatCode="0.0"/>
    <numFmt numFmtId="168" formatCode="&quot;fr.&quot;\ #,##0"/>
    <numFmt numFmtId="169" formatCode="General\ &quot;pièce(s)&quot;"/>
    <numFmt numFmtId="170" formatCode="General\ &quot;m²&quot;"/>
    <numFmt numFmtId="171" formatCode="0.0\ &quot;pièce(s)&quot;"/>
    <numFmt numFmtId="172" formatCode="0.0%"/>
    <numFmt numFmtId="173" formatCode="&quot;fr.&quot;\ #,##0.0"/>
    <numFmt numFmtId="174" formatCode="0\ &quot;logts&quot;"/>
    <numFmt numFmtId="175" formatCode="0.0\ &quot;pièces&quot;"/>
    <numFmt numFmtId="176" formatCode="General\ &quot;logts&quot;"/>
    <numFmt numFmtId="177" formatCode="#,##0\ &quot;m²&quot;"/>
    <numFmt numFmtId="178" formatCode="#,##0.0\ &quot;m²&quot;"/>
    <numFmt numFmtId="179" formatCode="#,##0.0\ &quot;pièce(s)&quot;"/>
  </numFmts>
  <fonts count="24" x14ac:knownFonts="1">
    <font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4"/>
      <color theme="1" tint="0.499984740745262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3"/>
      <color rgb="FF0099CC"/>
      <name val="Calibri"/>
      <family val="2"/>
      <scheme val="minor"/>
    </font>
    <font>
      <sz val="9"/>
      <color theme="1"/>
      <name val="Arial"/>
      <family val="2"/>
    </font>
    <font>
      <sz val="10"/>
      <name val="Helv"/>
    </font>
    <font>
      <sz val="9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249977111117893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</borders>
  <cellStyleXfs count="3">
    <xf numFmtId="0" fontId="0" fillId="0" borderId="0"/>
    <xf numFmtId="0" fontId="10" fillId="0" borderId="0"/>
    <xf numFmtId="0" fontId="1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vertical="top"/>
    </xf>
    <xf numFmtId="0" fontId="9" fillId="3" borderId="0" xfId="0" applyFont="1" applyFill="1" applyAlignment="1" applyProtection="1">
      <alignment vertical="top"/>
      <protection hidden="1"/>
    </xf>
    <xf numFmtId="0" fontId="11" fillId="3" borderId="0" xfId="1" applyFont="1" applyFill="1" applyAlignment="1" applyProtection="1">
      <alignment vertical="top"/>
      <protection hidden="1"/>
    </xf>
    <xf numFmtId="0" fontId="12" fillId="3" borderId="0" xfId="1" applyFont="1" applyFill="1" applyAlignment="1" applyProtection="1">
      <alignment vertical="top"/>
      <protection hidden="1"/>
    </xf>
    <xf numFmtId="0" fontId="0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9" fontId="4" fillId="0" borderId="2" xfId="0" applyNumberFormat="1" applyFont="1" applyBorder="1" applyAlignment="1">
      <alignment horizontal="left" vertical="top"/>
    </xf>
    <xf numFmtId="0" fontId="5" fillId="0" borderId="0" xfId="0" applyFont="1"/>
    <xf numFmtId="9" fontId="4" fillId="0" borderId="2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9" fontId="0" fillId="0" borderId="0" xfId="0" applyNumberFormat="1" applyFont="1" applyFill="1" applyBorder="1" applyAlignment="1">
      <alignment horizontal="left" wrapText="1"/>
    </xf>
    <xf numFmtId="9" fontId="0" fillId="0" borderId="0" xfId="0" applyNumberFormat="1" applyFont="1" applyFill="1" applyBorder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9" fontId="0" fillId="0" borderId="0" xfId="0" applyNumberFormat="1" applyFont="1" applyBorder="1" applyAlignment="1">
      <alignment horizontal="right"/>
    </xf>
    <xf numFmtId="0" fontId="0" fillId="0" borderId="6" xfId="0" applyFont="1" applyBorder="1"/>
    <xf numFmtId="0" fontId="0" fillId="0" borderId="6" xfId="0" applyBorder="1"/>
    <xf numFmtId="0" fontId="0" fillId="0" borderId="0" xfId="0" applyFont="1" applyAlignment="1">
      <alignment horizontal="left" vertical="top"/>
    </xf>
    <xf numFmtId="49" fontId="0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9" fontId="0" fillId="0" borderId="5" xfId="0" applyNumberFormat="1" applyFont="1" applyBorder="1" applyAlignment="1">
      <alignment horizontal="left" vertical="top"/>
    </xf>
    <xf numFmtId="9" fontId="0" fillId="0" borderId="0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49" fontId="4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8" xfId="0" applyBorder="1"/>
    <xf numFmtId="0" fontId="0" fillId="0" borderId="9" xfId="0" applyBorder="1" applyAlignment="1">
      <alignment vertical="top"/>
    </xf>
    <xf numFmtId="0" fontId="4" fillId="0" borderId="6" xfId="0" applyFont="1" applyBorder="1" applyAlignment="1">
      <alignment vertical="top"/>
    </xf>
    <xf numFmtId="0" fontId="0" fillId="0" borderId="10" xfId="0" applyBorder="1"/>
    <xf numFmtId="0" fontId="4" fillId="0" borderId="8" xfId="0" applyFont="1" applyBorder="1" applyAlignment="1">
      <alignment vertical="top"/>
    </xf>
    <xf numFmtId="0" fontId="16" fillId="0" borderId="0" xfId="0" applyFont="1"/>
    <xf numFmtId="0" fontId="9" fillId="3" borderId="0" xfId="0" applyFont="1" applyFill="1" applyAlignment="1" applyProtection="1">
      <alignment horizontal="left" vertical="top"/>
      <protection hidden="1"/>
    </xf>
    <xf numFmtId="0" fontId="11" fillId="3" borderId="0" xfId="1" applyFont="1" applyFill="1" applyAlignment="1" applyProtection="1">
      <alignment horizontal="left" vertical="top"/>
      <protection hidden="1"/>
    </xf>
    <xf numFmtId="0" fontId="12" fillId="3" borderId="0" xfId="1" applyFont="1" applyFill="1" applyAlignment="1" applyProtection="1">
      <alignment horizontal="left" vertical="top"/>
      <protection hidden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1" xfId="0" applyBorder="1"/>
    <xf numFmtId="4" fontId="0" fillId="0" borderId="2" xfId="0" applyNumberFormat="1" applyFont="1" applyBorder="1" applyAlignment="1">
      <alignment horizontal="left" vertical="top"/>
    </xf>
    <xf numFmtId="4" fontId="0" fillId="0" borderId="2" xfId="0" applyNumberFormat="1" applyFont="1" applyBorder="1" applyAlignment="1">
      <alignment horizontal="left" vertical="top" wrapText="1"/>
    </xf>
    <xf numFmtId="4" fontId="0" fillId="2" borderId="2" xfId="0" applyNumberFormat="1" applyFont="1" applyFill="1" applyBorder="1" applyAlignment="1">
      <alignment horizontal="left" vertical="top"/>
    </xf>
    <xf numFmtId="172" fontId="0" fillId="0" borderId="2" xfId="0" applyNumberFormat="1" applyFont="1" applyBorder="1" applyAlignment="1">
      <alignment horizontal="left" vertical="top"/>
    </xf>
    <xf numFmtId="172" fontId="0" fillId="0" borderId="2" xfId="0" applyNumberFormat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172" fontId="0" fillId="2" borderId="2" xfId="0" applyNumberFormat="1" applyFont="1" applyFill="1" applyBorder="1" applyAlignment="1">
      <alignment horizontal="left" vertical="top" wrapText="1"/>
    </xf>
    <xf numFmtId="172" fontId="0" fillId="2" borderId="2" xfId="0" applyNumberFormat="1" applyFont="1" applyFill="1" applyBorder="1" applyAlignment="1">
      <alignment horizontal="left" vertical="top"/>
    </xf>
    <xf numFmtId="9" fontId="0" fillId="0" borderId="0" xfId="0" applyNumberFormat="1"/>
    <xf numFmtId="10" fontId="0" fillId="0" borderId="0" xfId="0" applyNumberFormat="1"/>
    <xf numFmtId="49" fontId="0" fillId="0" borderId="0" xfId="0" applyNumberFormat="1"/>
    <xf numFmtId="0" fontId="0" fillId="2" borderId="2" xfId="0" applyNumberFormat="1" applyFill="1" applyBorder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9" fontId="0" fillId="2" borderId="2" xfId="0" applyNumberFormat="1" applyFill="1" applyBorder="1" applyAlignment="1">
      <alignment horizontal="left" vertical="top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2" xfId="0" applyNumberFormat="1" applyFont="1" applyBorder="1" applyAlignment="1" applyProtection="1">
      <alignment horizontal="left" vertical="top"/>
      <protection locked="0"/>
    </xf>
    <xf numFmtId="1" fontId="0" fillId="0" borderId="2" xfId="0" applyNumberFormat="1" applyFont="1" applyBorder="1" applyAlignment="1" applyProtection="1">
      <alignment horizontal="left" vertical="top"/>
      <protection locked="0"/>
    </xf>
    <xf numFmtId="9" fontId="0" fillId="0" borderId="2" xfId="0" applyNumberFormat="1" applyFont="1" applyBorder="1" applyAlignment="1" applyProtection="1">
      <alignment horizontal="left" vertical="top"/>
      <protection locked="0"/>
    </xf>
    <xf numFmtId="49" fontId="17" fillId="0" borderId="2" xfId="2" applyNumberFormat="1" applyBorder="1" applyAlignment="1" applyProtection="1">
      <alignment horizontal="left" vertical="top"/>
      <protection locked="0"/>
    </xf>
    <xf numFmtId="49" fontId="0" fillId="2" borderId="2" xfId="0" applyNumberFormat="1" applyFont="1" applyFill="1" applyBorder="1" applyAlignment="1" applyProtection="1">
      <alignment horizontal="left"/>
      <protection locked="0"/>
    </xf>
    <xf numFmtId="168" fontId="0" fillId="0" borderId="2" xfId="0" applyNumberFormat="1" applyFont="1" applyBorder="1" applyAlignment="1" applyProtection="1">
      <alignment horizontal="left" vertical="top"/>
      <protection locked="0"/>
    </xf>
    <xf numFmtId="167" fontId="0" fillId="0" borderId="2" xfId="0" applyNumberFormat="1" applyFont="1" applyBorder="1" applyAlignment="1" applyProtection="1">
      <alignment horizontal="left" vertical="top"/>
      <protection locked="0"/>
    </xf>
    <xf numFmtId="173" fontId="0" fillId="0" borderId="2" xfId="0" applyNumberFormat="1" applyFont="1" applyBorder="1" applyAlignment="1" applyProtection="1">
      <alignment horizontal="left" vertical="top"/>
      <protection locked="0"/>
    </xf>
    <xf numFmtId="9" fontId="0" fillId="0" borderId="3" xfId="0" applyNumberFormat="1" applyFont="1" applyBorder="1" applyAlignment="1" applyProtection="1">
      <alignment horizontal="left" vertical="top" wrapText="1"/>
      <protection locked="0"/>
    </xf>
    <xf numFmtId="9" fontId="0" fillId="0" borderId="3" xfId="0" applyNumberFormat="1" applyFont="1" applyBorder="1" applyAlignment="1" applyProtection="1">
      <alignment horizontal="left" vertical="top"/>
      <protection locked="0"/>
    </xf>
    <xf numFmtId="9" fontId="0" fillId="0" borderId="4" xfId="0" applyNumberFormat="1" applyFont="1" applyBorder="1" applyAlignment="1" applyProtection="1">
      <alignment horizontal="left" vertical="top" wrapText="1"/>
      <protection locked="0"/>
    </xf>
    <xf numFmtId="9" fontId="0" fillId="0" borderId="4" xfId="0" applyNumberFormat="1" applyFont="1" applyBorder="1" applyAlignment="1" applyProtection="1">
      <alignment horizontal="left" vertical="top"/>
      <protection locked="0"/>
    </xf>
    <xf numFmtId="1" fontId="0" fillId="2" borderId="2" xfId="0" applyNumberFormat="1" applyFont="1" applyFill="1" applyBorder="1" applyAlignment="1" applyProtection="1">
      <alignment horizontal="left" vertical="top"/>
      <protection locked="0"/>
    </xf>
    <xf numFmtId="170" fontId="0" fillId="0" borderId="2" xfId="0" applyNumberFormat="1" applyFont="1" applyBorder="1" applyAlignment="1" applyProtection="1">
      <alignment horizontal="left" vertical="top"/>
      <protection locked="0"/>
    </xf>
    <xf numFmtId="14" fontId="0" fillId="0" borderId="2" xfId="0" applyNumberFormat="1" applyFont="1" applyBorder="1" applyAlignment="1" applyProtection="1">
      <alignment horizontal="left" vertical="top"/>
      <protection locked="0"/>
    </xf>
    <xf numFmtId="0" fontId="0" fillId="0" borderId="2" xfId="0" applyNumberFormat="1" applyFont="1" applyBorder="1" applyAlignment="1" applyProtection="1">
      <alignment horizontal="left" vertical="top"/>
      <protection locked="0"/>
    </xf>
    <xf numFmtId="49" fontId="0" fillId="0" borderId="2" xfId="0" applyNumberFormat="1" applyFont="1" applyBorder="1" applyAlignment="1" applyProtection="1">
      <alignment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4" fillId="0" borderId="0" xfId="0" applyFont="1" applyAlignment="1">
      <alignment wrapText="1"/>
    </xf>
    <xf numFmtId="9" fontId="4" fillId="2" borderId="2" xfId="0" applyNumberFormat="1" applyFont="1" applyFill="1" applyBorder="1" applyAlignment="1">
      <alignment horizontal="left"/>
    </xf>
    <xf numFmtId="9" fontId="0" fillId="0" borderId="3" xfId="0" applyNumberFormat="1" applyFont="1" applyBorder="1" applyAlignment="1" applyProtection="1">
      <alignment horizontal="left" vertical="top"/>
      <protection locked="0"/>
    </xf>
    <xf numFmtId="9" fontId="0" fillId="0" borderId="4" xfId="0" applyNumberFormat="1" applyFont="1" applyBorder="1" applyAlignment="1" applyProtection="1">
      <alignment horizontal="left" vertical="top"/>
      <protection locked="0"/>
    </xf>
    <xf numFmtId="9" fontId="0" fillId="0" borderId="3" xfId="0" applyNumberFormat="1" applyFont="1" applyBorder="1" applyAlignment="1" applyProtection="1">
      <alignment horizontal="left" vertical="top" wrapText="1"/>
      <protection locked="0"/>
    </xf>
    <xf numFmtId="9" fontId="0" fillId="2" borderId="2" xfId="0" applyNumberFormat="1" applyFont="1" applyFill="1" applyBorder="1" applyAlignment="1" applyProtection="1">
      <alignment horizontal="left" vertical="top"/>
    </xf>
    <xf numFmtId="172" fontId="0" fillId="0" borderId="2" xfId="0" applyNumberFormat="1" applyFont="1" applyBorder="1" applyAlignment="1" applyProtection="1">
      <alignment horizontal="left" vertical="top"/>
      <protection locked="0"/>
    </xf>
    <xf numFmtId="0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right" vertical="top"/>
    </xf>
    <xf numFmtId="171" fontId="0" fillId="3" borderId="2" xfId="0" applyNumberFormat="1" applyFont="1" applyFill="1" applyBorder="1" applyAlignment="1" applyProtection="1">
      <alignment horizontal="right" vertical="top"/>
      <protection locked="0"/>
    </xf>
    <xf numFmtId="171" fontId="0" fillId="2" borderId="2" xfId="0" applyNumberFormat="1" applyFont="1" applyFill="1" applyBorder="1" applyAlignment="1">
      <alignment horizontal="right" vertical="top"/>
    </xf>
    <xf numFmtId="1" fontId="0" fillId="2" borderId="2" xfId="0" applyNumberFormat="1" applyFont="1" applyFill="1" applyBorder="1" applyAlignment="1">
      <alignment horizontal="right" vertical="top"/>
    </xf>
    <xf numFmtId="168" fontId="0" fillId="2" borderId="2" xfId="0" applyNumberFormat="1" applyFont="1" applyFill="1" applyBorder="1" applyAlignment="1">
      <alignment horizontal="right" vertical="top"/>
    </xf>
    <xf numFmtId="168" fontId="0" fillId="0" borderId="2" xfId="0" applyNumberFormat="1" applyFont="1" applyBorder="1" applyAlignment="1" applyProtection="1">
      <alignment horizontal="right" vertical="top"/>
      <protection locked="0"/>
    </xf>
    <xf numFmtId="175" fontId="0" fillId="2" borderId="2" xfId="0" applyNumberFormat="1" applyFont="1" applyFill="1" applyBorder="1" applyAlignment="1">
      <alignment horizontal="right" vertical="top" wrapText="1"/>
    </xf>
    <xf numFmtId="168" fontId="0" fillId="3" borderId="2" xfId="0" applyNumberFormat="1" applyFont="1" applyFill="1" applyBorder="1" applyAlignment="1" applyProtection="1">
      <alignment horizontal="right" vertical="top" wrapText="1"/>
      <protection locked="0"/>
    </xf>
    <xf numFmtId="168" fontId="0" fillId="0" borderId="2" xfId="0" applyNumberFormat="1" applyFont="1" applyBorder="1" applyAlignment="1" applyProtection="1">
      <alignment horizontal="right" vertical="top" wrapText="1"/>
      <protection locked="0"/>
    </xf>
    <xf numFmtId="3" fontId="0" fillId="2" borderId="2" xfId="0" applyNumberFormat="1" applyFont="1" applyFill="1" applyBorder="1" applyAlignment="1">
      <alignment horizontal="right" vertical="top" wrapText="1"/>
    </xf>
    <xf numFmtId="1" fontId="0" fillId="3" borderId="2" xfId="0" applyNumberFormat="1" applyFont="1" applyFill="1" applyBorder="1" applyAlignment="1" applyProtection="1">
      <alignment horizontal="right" vertical="top" wrapText="1"/>
      <protection locked="0"/>
    </xf>
    <xf numFmtId="165" fontId="0" fillId="2" borderId="2" xfId="0" applyNumberFormat="1" applyFont="1" applyFill="1" applyBorder="1" applyAlignment="1">
      <alignment horizontal="right" vertical="top" wrapText="1"/>
    </xf>
    <xf numFmtId="9" fontId="0" fillId="0" borderId="0" xfId="0" applyNumberFormat="1" applyFont="1" applyBorder="1" applyAlignment="1" applyProtection="1">
      <alignment horizontal="left" vertical="top"/>
      <protection locked="0"/>
    </xf>
    <xf numFmtId="0" fontId="18" fillId="0" borderId="7" xfId="0" applyFont="1" applyBorder="1" applyAlignment="1">
      <alignment horizontal="right"/>
    </xf>
    <xf numFmtId="0" fontId="18" fillId="2" borderId="5" xfId="0" applyFont="1" applyFill="1" applyBorder="1" applyAlignment="1">
      <alignment horizontal="left"/>
    </xf>
    <xf numFmtId="0" fontId="18" fillId="2" borderId="0" xfId="0" applyFont="1" applyFill="1" applyAlignment="1">
      <alignment horizontal="left"/>
    </xf>
    <xf numFmtId="0" fontId="18" fillId="2" borderId="0" xfId="0" applyFont="1" applyFill="1" applyAlignment="1">
      <alignment horizontal="left" wrapText="1"/>
    </xf>
    <xf numFmtId="164" fontId="18" fillId="2" borderId="0" xfId="0" applyNumberFormat="1" applyFont="1" applyFill="1" applyAlignment="1">
      <alignment horizontal="left" wrapText="1"/>
    </xf>
    <xf numFmtId="166" fontId="18" fillId="2" borderId="0" xfId="0" applyNumberFormat="1" applyFont="1" applyFill="1" applyAlignment="1">
      <alignment horizontal="left"/>
    </xf>
    <xf numFmtId="174" fontId="18" fillId="2" borderId="0" xfId="0" applyNumberFormat="1" applyFont="1" applyFill="1" applyAlignment="1">
      <alignment horizontal="left"/>
    </xf>
    <xf numFmtId="165" fontId="18" fillId="2" borderId="0" xfId="0" applyNumberFormat="1" applyFont="1" applyFill="1" applyAlignment="1">
      <alignment horizontal="left" wrapText="1"/>
    </xf>
    <xf numFmtId="169" fontId="18" fillId="2" borderId="0" xfId="0" applyNumberFormat="1" applyFont="1" applyFill="1" applyAlignment="1">
      <alignment horizontal="right"/>
    </xf>
    <xf numFmtId="0" fontId="18" fillId="2" borderId="0" xfId="0" applyFont="1" applyFill="1" applyAlignment="1">
      <alignment horizontal="right"/>
    </xf>
    <xf numFmtId="168" fontId="18" fillId="2" borderId="0" xfId="0" applyNumberFormat="1" applyFont="1" applyFill="1" applyAlignment="1">
      <alignment horizontal="right"/>
    </xf>
    <xf numFmtId="0" fontId="18" fillId="2" borderId="4" xfId="0" applyFont="1" applyFill="1" applyBorder="1" applyAlignment="1">
      <alignment horizontal="left"/>
    </xf>
    <xf numFmtId="4" fontId="4" fillId="2" borderId="2" xfId="0" applyNumberFormat="1" applyFont="1" applyFill="1" applyBorder="1" applyAlignment="1">
      <alignment horizontal="left" vertical="top"/>
    </xf>
    <xf numFmtId="0" fontId="18" fillId="0" borderId="0" xfId="0" applyFont="1" applyAlignment="1">
      <alignment horizontal="left"/>
    </xf>
    <xf numFmtId="4" fontId="18" fillId="2" borderId="0" xfId="0" applyNumberFormat="1" applyFont="1" applyFill="1" applyAlignment="1">
      <alignment horizontal="left" wrapText="1"/>
    </xf>
    <xf numFmtId="1" fontId="0" fillId="0" borderId="0" xfId="0" applyNumberFormat="1" applyAlignment="1">
      <alignment horizontal="left"/>
    </xf>
    <xf numFmtId="0" fontId="19" fillId="0" borderId="0" xfId="0" applyFont="1"/>
    <xf numFmtId="0" fontId="19" fillId="0" borderId="7" xfId="0" applyFont="1" applyBorder="1" applyAlignment="1">
      <alignment horizontal="center"/>
    </xf>
    <xf numFmtId="166" fontId="19" fillId="2" borderId="0" xfId="0" applyNumberFormat="1" applyFont="1" applyFill="1" applyAlignment="1">
      <alignment horizontal="center"/>
    </xf>
    <xf numFmtId="3" fontId="19" fillId="2" borderId="0" xfId="0" applyNumberFormat="1" applyFont="1" applyFill="1" applyAlignment="1">
      <alignment horizontal="left"/>
    </xf>
    <xf numFmtId="165" fontId="19" fillId="2" borderId="0" xfId="0" applyNumberFormat="1" applyFont="1" applyFill="1" applyAlignment="1">
      <alignment horizontal="left" wrapText="1"/>
    </xf>
    <xf numFmtId="165" fontId="19" fillId="2" borderId="0" xfId="0" applyNumberFormat="1" applyFont="1" applyFill="1" applyAlignment="1">
      <alignment horizontal="center" wrapText="1"/>
    </xf>
    <xf numFmtId="168" fontId="19" fillId="2" borderId="2" xfId="0" applyNumberFormat="1" applyFont="1" applyFill="1" applyBorder="1" applyAlignment="1">
      <alignment horizontal="right" vertical="top" wrapText="1"/>
    </xf>
    <xf numFmtId="49" fontId="19" fillId="2" borderId="2" xfId="0" applyNumberFormat="1" applyFont="1" applyFill="1" applyBorder="1" applyAlignment="1">
      <alignment horizontal="left" vertical="top" wrapText="1"/>
    </xf>
    <xf numFmtId="3" fontId="19" fillId="2" borderId="2" xfId="0" applyNumberFormat="1" applyFont="1" applyFill="1" applyBorder="1" applyAlignment="1">
      <alignment horizontal="right" vertical="top" wrapText="1"/>
    </xf>
    <xf numFmtId="1" fontId="19" fillId="2" borderId="2" xfId="0" applyNumberFormat="1" applyFont="1" applyFill="1" applyBorder="1" applyAlignment="1">
      <alignment horizontal="right" vertical="top" wrapText="1"/>
    </xf>
    <xf numFmtId="165" fontId="19" fillId="2" borderId="2" xfId="0" applyNumberFormat="1" applyFont="1" applyFill="1" applyBorder="1" applyAlignment="1">
      <alignment horizontal="right" vertical="top" wrapText="1"/>
    </xf>
    <xf numFmtId="177" fontId="19" fillId="2" borderId="2" xfId="0" applyNumberFormat="1" applyFont="1" applyFill="1" applyBorder="1" applyAlignment="1">
      <alignment horizontal="right" vertical="top" wrapText="1"/>
    </xf>
    <xf numFmtId="177" fontId="0" fillId="0" borderId="2" xfId="0" applyNumberFormat="1" applyFont="1" applyBorder="1" applyAlignment="1" applyProtection="1">
      <alignment horizontal="right" vertical="top" wrapText="1"/>
      <protection locked="0"/>
    </xf>
    <xf numFmtId="178" fontId="18" fillId="2" borderId="0" xfId="0" applyNumberFormat="1" applyFont="1" applyFill="1" applyAlignment="1">
      <alignment horizontal="right"/>
    </xf>
    <xf numFmtId="178" fontId="0" fillId="0" borderId="2" xfId="0" applyNumberFormat="1" applyFont="1" applyBorder="1" applyAlignment="1" applyProtection="1">
      <alignment horizontal="right" vertical="top"/>
      <protection locked="0"/>
    </xf>
    <xf numFmtId="178" fontId="19" fillId="2" borderId="2" xfId="0" applyNumberFormat="1" applyFont="1" applyFill="1" applyBorder="1" applyAlignment="1">
      <alignment horizontal="right" vertical="top" wrapText="1"/>
    </xf>
    <xf numFmtId="178" fontId="0" fillId="3" borderId="2" xfId="0" applyNumberFormat="1" applyFont="1" applyFill="1" applyBorder="1" applyAlignment="1" applyProtection="1">
      <alignment horizontal="right" vertical="top" wrapText="1"/>
      <protection locked="0"/>
    </xf>
    <xf numFmtId="179" fontId="18" fillId="2" borderId="0" xfId="0" applyNumberFormat="1" applyFont="1" applyFill="1" applyAlignment="1">
      <alignment horizontal="right"/>
    </xf>
    <xf numFmtId="179" fontId="19" fillId="2" borderId="2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left" vertical="top"/>
    </xf>
    <xf numFmtId="168" fontId="0" fillId="2" borderId="2" xfId="0" applyNumberFormat="1" applyFill="1" applyBorder="1" applyAlignment="1">
      <alignment horizontal="right" vertical="top"/>
    </xf>
    <xf numFmtId="176" fontId="0" fillId="2" borderId="2" xfId="0" applyNumberFormat="1" applyFill="1" applyBorder="1" applyAlignment="1">
      <alignment horizontal="right" vertical="top"/>
    </xf>
    <xf numFmtId="0" fontId="0" fillId="2" borderId="2" xfId="0" applyFill="1" applyBorder="1" applyAlignment="1">
      <alignment horizontal="right" vertical="top"/>
    </xf>
    <xf numFmtId="9" fontId="0" fillId="2" borderId="2" xfId="0" applyNumberFormat="1" applyFill="1" applyBorder="1" applyAlignment="1">
      <alignment horizontal="right" vertical="top"/>
    </xf>
    <xf numFmtId="179" fontId="0" fillId="2" borderId="2" xfId="0" applyNumberFormat="1" applyFill="1" applyBorder="1" applyAlignment="1">
      <alignment horizontal="right" vertical="top"/>
    </xf>
    <xf numFmtId="172" fontId="0" fillId="2" borderId="2" xfId="0" applyNumberFormat="1" applyFill="1" applyBorder="1" applyAlignment="1">
      <alignment horizontal="right"/>
    </xf>
    <xf numFmtId="176" fontId="0" fillId="2" borderId="2" xfId="0" applyNumberForma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179" fontId="0" fillId="2" borderId="2" xfId="0" applyNumberFormat="1" applyFont="1" applyFill="1" applyBorder="1" applyAlignment="1">
      <alignment horizontal="right" vertical="top"/>
    </xf>
    <xf numFmtId="165" fontId="0" fillId="2" borderId="2" xfId="0" applyNumberFormat="1" applyFont="1" applyFill="1" applyBorder="1" applyAlignment="1">
      <alignment horizontal="right" vertical="top"/>
    </xf>
    <xf numFmtId="0" fontId="19" fillId="2" borderId="0" xfId="0" applyFont="1" applyFill="1" applyAlignment="1">
      <alignment horizontal="left"/>
    </xf>
    <xf numFmtId="177" fontId="18" fillId="2" borderId="0" xfId="0" applyNumberFormat="1" applyFont="1" applyFill="1" applyAlignment="1">
      <alignment horizontal="right"/>
    </xf>
    <xf numFmtId="177" fontId="0" fillId="0" borderId="2" xfId="0" applyNumberFormat="1" applyFont="1" applyBorder="1" applyAlignment="1" applyProtection="1">
      <alignment horizontal="right" vertical="top"/>
      <protection locked="0"/>
    </xf>
    <xf numFmtId="0" fontId="23" fillId="0" borderId="0" xfId="0" applyFont="1" applyAlignment="1">
      <alignment horizontal="left"/>
    </xf>
    <xf numFmtId="0" fontId="23" fillId="0" borderId="0" xfId="0" applyFont="1"/>
    <xf numFmtId="0" fontId="0" fillId="0" borderId="0" xfId="0" applyBorder="1"/>
    <xf numFmtId="9" fontId="0" fillId="0" borderId="17" xfId="0" applyNumberFormat="1" applyFont="1" applyBorder="1" applyAlignment="1" applyProtection="1">
      <alignment horizontal="left" vertical="top"/>
      <protection locked="0"/>
    </xf>
    <xf numFmtId="9" fontId="0" fillId="0" borderId="13" xfId="0" applyNumberFormat="1" applyFont="1" applyBorder="1" applyAlignment="1" applyProtection="1">
      <alignment horizontal="left" vertical="top"/>
      <protection locked="0"/>
    </xf>
    <xf numFmtId="0" fontId="0" fillId="0" borderId="10" xfId="0" applyBorder="1" applyAlignment="1">
      <alignment horizontal="left" vertical="top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/>
      <protection locked="0"/>
    </xf>
    <xf numFmtId="22" fontId="0" fillId="0" borderId="0" xfId="0" applyNumberFormat="1" applyAlignment="1">
      <alignment horizontal="left"/>
    </xf>
    <xf numFmtId="22" fontId="0" fillId="0" borderId="0" xfId="0" applyNumberFormat="1"/>
    <xf numFmtId="0" fontId="0" fillId="0" borderId="0" xfId="0" applyAlignment="1">
      <alignment horizontal="left"/>
    </xf>
    <xf numFmtId="2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0" fillId="0" borderId="3" xfId="0" applyNumberFormat="1" applyFont="1" applyBorder="1" applyAlignment="1" applyProtection="1">
      <alignment horizontal="left" vertical="top"/>
      <protection locked="0"/>
    </xf>
    <xf numFmtId="49" fontId="0" fillId="0" borderId="4" xfId="0" applyNumberFormat="1" applyFont="1" applyBorder="1" applyAlignment="1" applyProtection="1">
      <alignment horizontal="left" vertical="top"/>
      <protection locked="0"/>
    </xf>
    <xf numFmtId="49" fontId="0" fillId="0" borderId="3" xfId="0" applyNumberFormat="1" applyFont="1" applyBorder="1" applyAlignment="1" applyProtection="1">
      <alignment horizontal="left" vertical="top" wrapText="1"/>
      <protection locked="0"/>
    </xf>
    <xf numFmtId="49" fontId="0" fillId="0" borderId="4" xfId="0" applyNumberFormat="1" applyFont="1" applyBorder="1" applyAlignment="1" applyProtection="1">
      <alignment horizontal="left" vertical="top" wrapText="1"/>
      <protection locked="0"/>
    </xf>
    <xf numFmtId="9" fontId="4" fillId="0" borderId="3" xfId="0" applyNumberFormat="1" applyFont="1" applyBorder="1" applyAlignment="1">
      <alignment horizontal="left" vertical="top"/>
    </xf>
    <xf numFmtId="9" fontId="4" fillId="0" borderId="4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9" fontId="0" fillId="0" borderId="3" xfId="0" applyNumberFormat="1" applyFont="1" applyBorder="1" applyAlignment="1" applyProtection="1">
      <alignment horizontal="left" vertical="top"/>
      <protection locked="0"/>
    </xf>
    <xf numFmtId="9" fontId="0" fillId="0" borderId="4" xfId="0" applyNumberFormat="1" applyFont="1" applyBorder="1" applyAlignment="1" applyProtection="1">
      <alignment horizontal="left" vertical="top"/>
      <protection locked="0"/>
    </xf>
    <xf numFmtId="0" fontId="14" fillId="0" borderId="0" xfId="0" applyFont="1" applyAlignment="1">
      <alignment horizontal="left" vertical="top" wrapText="1"/>
    </xf>
    <xf numFmtId="0" fontId="0" fillId="0" borderId="0" xfId="0" applyFont="1" applyAlignment="1">
      <alignment vertical="top" wrapText="1"/>
    </xf>
    <xf numFmtId="9" fontId="0" fillId="0" borderId="3" xfId="0" applyNumberFormat="1" applyFont="1" applyBorder="1" applyAlignment="1" applyProtection="1">
      <alignment horizontal="left" vertical="top" wrapText="1"/>
      <protection locked="0"/>
    </xf>
    <xf numFmtId="9" fontId="0" fillId="0" borderId="4" xfId="0" applyNumberFormat="1" applyFont="1" applyBorder="1" applyAlignment="1" applyProtection="1">
      <alignment horizontal="left" vertical="top" wrapText="1"/>
      <protection locked="0"/>
    </xf>
    <xf numFmtId="0" fontId="0" fillId="4" borderId="0" xfId="0" applyFill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0" xfId="0" applyAlignment="1">
      <alignment vertical="top" wrapText="1"/>
    </xf>
    <xf numFmtId="0" fontId="0" fillId="0" borderId="18" xfId="0" applyBorder="1" applyAlignment="1">
      <alignment vertical="top" wrapText="1"/>
    </xf>
    <xf numFmtId="9" fontId="4" fillId="0" borderId="3" xfId="0" applyNumberFormat="1" applyFont="1" applyBorder="1" applyAlignment="1">
      <alignment horizontal="left" vertical="top" wrapText="1"/>
    </xf>
    <xf numFmtId="9" fontId="4" fillId="0" borderId="5" xfId="0" applyNumberFormat="1" applyFont="1" applyBorder="1" applyAlignment="1">
      <alignment horizontal="left" vertical="top" wrapText="1"/>
    </xf>
    <xf numFmtId="9" fontId="4" fillId="0" borderId="4" xfId="0" applyNumberFormat="1" applyFont="1" applyBorder="1" applyAlignment="1">
      <alignment horizontal="left" vertical="top" wrapText="1"/>
    </xf>
    <xf numFmtId="9" fontId="0" fillId="0" borderId="5" xfId="0" applyNumberFormat="1" applyFont="1" applyBorder="1" applyAlignment="1" applyProtection="1">
      <alignment horizontal="left" vertical="top" wrapText="1"/>
      <protection locked="0"/>
    </xf>
    <xf numFmtId="0" fontId="0" fillId="4" borderId="10" xfId="0" applyFill="1" applyBorder="1" applyAlignment="1">
      <alignment horizontal="left" vertical="center" wrapText="1"/>
    </xf>
    <xf numFmtId="0" fontId="0" fillId="2" borderId="3" xfId="0" applyNumberFormat="1" applyFont="1" applyFill="1" applyBorder="1" applyAlignment="1" applyProtection="1">
      <alignment horizontal="left" vertical="top"/>
    </xf>
    <xf numFmtId="0" fontId="0" fillId="2" borderId="4" xfId="0" applyNumberFormat="1" applyFont="1" applyFill="1" applyBorder="1" applyAlignment="1" applyProtection="1">
      <alignment horizontal="left" vertical="top"/>
    </xf>
    <xf numFmtId="0" fontId="0" fillId="0" borderId="3" xfId="0" applyNumberFormat="1" applyFont="1" applyBorder="1" applyAlignment="1" applyProtection="1">
      <alignment horizontal="left" vertical="top"/>
      <protection locked="0"/>
    </xf>
    <xf numFmtId="0" fontId="0" fillId="0" borderId="4" xfId="0" applyNumberFormat="1" applyFont="1" applyBorder="1" applyAlignment="1" applyProtection="1">
      <alignment horizontal="left" vertical="top"/>
      <protection locked="0"/>
    </xf>
    <xf numFmtId="49" fontId="19" fillId="2" borderId="3" xfId="0" applyNumberFormat="1" applyFont="1" applyFill="1" applyBorder="1" applyAlignment="1">
      <alignment horizontal="left" vertical="top" wrapText="1"/>
    </xf>
    <xf numFmtId="49" fontId="19" fillId="2" borderId="4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14" fontId="0" fillId="0" borderId="0" xfId="0" applyNumberFormat="1" applyAlignment="1">
      <alignment horizontal="left"/>
    </xf>
    <xf numFmtId="0" fontId="0" fillId="3" borderId="0" xfId="0" applyFill="1" applyAlignment="1">
      <alignment horizontal="left" vertical="center" wrapText="1"/>
    </xf>
    <xf numFmtId="179" fontId="0" fillId="2" borderId="3" xfId="0" applyNumberFormat="1" applyFill="1" applyBorder="1" applyAlignment="1">
      <alignment horizontal="right" vertical="top"/>
    </xf>
    <xf numFmtId="179" fontId="0" fillId="2" borderId="4" xfId="0" applyNumberFormat="1" applyFill="1" applyBorder="1" applyAlignment="1">
      <alignment horizontal="right" vertical="top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3">
    <cellStyle name="Lien hypertexte" xfId="2" builtinId="8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0099CC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0</xdr:rowOff>
    </xdr:from>
    <xdr:to>
      <xdr:col>0</xdr:col>
      <xdr:colOff>501650</xdr:colOff>
      <xdr:row>3</xdr:row>
      <xdr:rowOff>908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400050" cy="558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476250</xdr:colOff>
      <xdr:row>2</xdr:row>
      <xdr:rowOff>177650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0"/>
          <a:ext cx="400050" cy="558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19050</xdr:rowOff>
    </xdr:from>
    <xdr:to>
      <xdr:col>0</xdr:col>
      <xdr:colOff>485775</xdr:colOff>
      <xdr:row>3</xdr:row>
      <xdr:rowOff>6200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19050"/>
          <a:ext cx="400050" cy="558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</xdr:rowOff>
    </xdr:from>
    <xdr:to>
      <xdr:col>0</xdr:col>
      <xdr:colOff>504825</xdr:colOff>
      <xdr:row>2</xdr:row>
      <xdr:rowOff>187175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9525"/>
          <a:ext cx="400050" cy="5586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</xdr:rowOff>
    </xdr:from>
    <xdr:to>
      <xdr:col>0</xdr:col>
      <xdr:colOff>504825</xdr:colOff>
      <xdr:row>3</xdr:row>
      <xdr:rowOff>3025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9525"/>
          <a:ext cx="400050" cy="55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autoPageBreaks="0" fitToPage="1"/>
  </sheetPr>
  <dimension ref="A1:AF99"/>
  <sheetViews>
    <sheetView showGridLines="0" tabSelected="1" zoomScale="90" zoomScaleNormal="90" workbookViewId="0">
      <selection activeCell="E12" sqref="E12:F12"/>
    </sheetView>
  </sheetViews>
  <sheetFormatPr baseColWidth="10" defaultColWidth="9.140625" defaultRowHeight="15" x14ac:dyDescent="0.25"/>
  <cols>
    <col min="2" max="2" width="5.7109375" customWidth="1"/>
    <col min="3" max="3" width="27.42578125" customWidth="1"/>
    <col min="4" max="4" width="28.85546875" customWidth="1"/>
    <col min="5" max="5" width="9.5703125" customWidth="1"/>
    <col min="6" max="6" width="23.28515625" customWidth="1"/>
    <col min="7" max="7" width="30.5703125" customWidth="1"/>
    <col min="8" max="8" width="19.42578125" customWidth="1"/>
    <col min="9" max="9" width="6.140625" customWidth="1"/>
  </cols>
  <sheetData>
    <row r="1" spans="1:32" s="8" customFormat="1" x14ac:dyDescent="0.25">
      <c r="A1" s="13"/>
      <c r="B1" s="14" t="s">
        <v>10</v>
      </c>
    </row>
    <row r="2" spans="1:32" s="8" customFormat="1" x14ac:dyDescent="0.25">
      <c r="A2" s="13"/>
      <c r="B2" s="14" t="s">
        <v>11</v>
      </c>
    </row>
    <row r="3" spans="1:32" s="8" customFormat="1" x14ac:dyDescent="0.25">
      <c r="A3" s="13"/>
      <c r="B3" s="15" t="s">
        <v>12</v>
      </c>
      <c r="I3" s="185">
        <f ca="1">NOW()</f>
        <v>45762.434873611113</v>
      </c>
      <c r="J3" s="186"/>
      <c r="K3" s="186"/>
      <c r="L3" s="186"/>
      <c r="M3" s="186"/>
    </row>
    <row r="4" spans="1:32" s="8" customFormat="1" x14ac:dyDescent="0.25"/>
    <row r="5" spans="1:32" ht="9.75" customHeight="1" x14ac:dyDescent="0.25"/>
    <row r="6" spans="1:32" ht="23.25" x14ac:dyDescent="0.35">
      <c r="B6" s="2" t="s">
        <v>293</v>
      </c>
    </row>
    <row r="7" spans="1:32" ht="54.75" customHeight="1" x14ac:dyDescent="0.25">
      <c r="B7" s="200" t="s">
        <v>294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</row>
    <row r="8" spans="1:32" s="3" customFormat="1" ht="25.5" customHeight="1" x14ac:dyDescent="0.3">
      <c r="B8" s="201" t="s">
        <v>300</v>
      </c>
      <c r="C8" s="201"/>
    </row>
    <row r="9" spans="1:32" ht="15.75" customHeight="1" x14ac:dyDescent="0.25"/>
    <row r="10" spans="1:32" s="17" customFormat="1" ht="18.75" customHeight="1" x14ac:dyDescent="0.25">
      <c r="B10" s="11" t="s">
        <v>93</v>
      </c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ht="16.5" customHeight="1" x14ac:dyDescent="0.25">
      <c r="C12" s="202" t="s">
        <v>230</v>
      </c>
      <c r="D12" s="203"/>
      <c r="E12" s="187"/>
      <c r="F12" s="188"/>
    </row>
    <row r="13" spans="1:32" ht="7.5" customHeight="1" x14ac:dyDescent="0.25">
      <c r="C13" s="16"/>
      <c r="E13" s="16"/>
      <c r="F13" s="16"/>
    </row>
    <row r="14" spans="1:32" ht="14.25" customHeight="1" x14ac:dyDescent="0.25">
      <c r="C14" s="204" t="s">
        <v>116</v>
      </c>
      <c r="D14" s="205"/>
      <c r="E14" s="78"/>
      <c r="F14" s="79"/>
    </row>
    <row r="15" spans="1:32" ht="12.75" customHeight="1" x14ac:dyDescent="0.25">
      <c r="C15" s="196" t="s">
        <v>117</v>
      </c>
      <c r="D15" s="196"/>
      <c r="E15" s="31"/>
      <c r="F15" s="32"/>
    </row>
    <row r="16" spans="1:32" ht="6.75" customHeight="1" x14ac:dyDescent="0.25">
      <c r="C16" s="16"/>
      <c r="D16" s="16"/>
      <c r="E16" s="16"/>
      <c r="F16" s="16"/>
      <c r="G16" s="16"/>
    </row>
    <row r="17" spans="2:32" x14ac:dyDescent="0.25">
      <c r="C17" s="16" t="s">
        <v>94</v>
      </c>
      <c r="E17" s="189"/>
      <c r="F17" s="190"/>
    </row>
    <row r="18" spans="2:32" x14ac:dyDescent="0.25">
      <c r="C18" s="16"/>
      <c r="D18" s="27"/>
      <c r="F18" s="16"/>
      <c r="G18" s="27"/>
    </row>
    <row r="19" spans="2:32" s="17" customFormat="1" ht="18.75" customHeight="1" x14ac:dyDescent="0.25">
      <c r="B19" s="11" t="s">
        <v>51</v>
      </c>
      <c r="C19" s="9"/>
      <c r="D19" s="9"/>
      <c r="E19" s="9"/>
      <c r="F19" s="9"/>
      <c r="G19" s="9"/>
      <c r="H19" s="10"/>
      <c r="I19" s="10"/>
      <c r="J19" s="10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</row>
    <row r="21" spans="2:32" x14ac:dyDescent="0.25">
      <c r="C21" s="16" t="s">
        <v>98</v>
      </c>
      <c r="D21" s="78"/>
      <c r="F21" s="4" t="s">
        <v>52</v>
      </c>
    </row>
    <row r="22" spans="2:32" ht="7.5" customHeight="1" x14ac:dyDescent="0.25">
      <c r="C22" s="16"/>
      <c r="D22" s="30"/>
      <c r="F22" s="4"/>
    </row>
    <row r="23" spans="2:32" x14ac:dyDescent="0.25">
      <c r="C23" s="16" t="s">
        <v>78</v>
      </c>
      <c r="D23" s="80"/>
      <c r="F23" s="16" t="s">
        <v>53</v>
      </c>
      <c r="G23" s="78"/>
    </row>
    <row r="24" spans="2:32" ht="6.75" customHeight="1" x14ac:dyDescent="0.25">
      <c r="C24" s="16"/>
      <c r="D24" s="30"/>
      <c r="F24" s="16"/>
      <c r="G24" s="30"/>
    </row>
    <row r="25" spans="2:32" x14ac:dyDescent="0.25">
      <c r="C25" s="16" t="s">
        <v>79</v>
      </c>
      <c r="D25" s="78"/>
      <c r="F25" s="16" t="s">
        <v>54</v>
      </c>
      <c r="G25" s="78"/>
    </row>
    <row r="26" spans="2:32" ht="7.5" customHeight="1" x14ac:dyDescent="0.25">
      <c r="C26" s="16"/>
      <c r="D26" s="30"/>
      <c r="F26" s="16"/>
      <c r="G26" s="30"/>
    </row>
    <row r="27" spans="2:32" x14ac:dyDescent="0.25">
      <c r="C27" s="16" t="s">
        <v>80</v>
      </c>
      <c r="D27" s="78"/>
      <c r="F27" s="16" t="s">
        <v>74</v>
      </c>
      <c r="G27" s="78"/>
    </row>
    <row r="28" spans="2:32" ht="7.5" customHeight="1" x14ac:dyDescent="0.25">
      <c r="C28" s="16"/>
      <c r="D28" s="30"/>
      <c r="F28" s="16"/>
      <c r="G28" s="30"/>
    </row>
    <row r="29" spans="2:32" x14ac:dyDescent="0.25">
      <c r="C29" s="16" t="s">
        <v>81</v>
      </c>
      <c r="D29" s="78"/>
      <c r="F29" s="16" t="s">
        <v>55</v>
      </c>
      <c r="G29" s="78"/>
    </row>
    <row r="30" spans="2:32" ht="5.25" customHeight="1" x14ac:dyDescent="0.25">
      <c r="C30" s="16"/>
      <c r="D30" s="30"/>
      <c r="F30" s="16"/>
      <c r="G30" s="30"/>
    </row>
    <row r="31" spans="2:32" x14ac:dyDescent="0.25">
      <c r="C31" s="16" t="s">
        <v>82</v>
      </c>
      <c r="D31" s="81"/>
      <c r="F31" s="16" t="s">
        <v>75</v>
      </c>
      <c r="G31" s="78"/>
    </row>
    <row r="32" spans="2:32" ht="6.75" customHeight="1" x14ac:dyDescent="0.25">
      <c r="C32" s="16"/>
      <c r="D32" s="27"/>
      <c r="F32" s="16"/>
      <c r="G32" s="30"/>
    </row>
    <row r="33" spans="2:32" x14ac:dyDescent="0.25">
      <c r="F33" s="16" t="s">
        <v>76</v>
      </c>
      <c r="G33" s="78"/>
    </row>
    <row r="34" spans="2:32" ht="7.5" customHeight="1" x14ac:dyDescent="0.25">
      <c r="F34" s="16"/>
      <c r="G34" s="30"/>
    </row>
    <row r="35" spans="2:32" x14ac:dyDescent="0.25">
      <c r="F35" s="16" t="s">
        <v>77</v>
      </c>
      <c r="G35" s="78"/>
    </row>
    <row r="37" spans="2:32" s="17" customFormat="1" ht="18.75" customHeight="1" x14ac:dyDescent="0.25">
      <c r="B37" s="11" t="s">
        <v>56</v>
      </c>
      <c r="C37" s="9"/>
      <c r="D37" s="9"/>
      <c r="E37" s="9"/>
      <c r="F37" s="9"/>
      <c r="G37" s="9"/>
      <c r="H37" s="10"/>
      <c r="I37" s="10"/>
      <c r="J37" s="10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</row>
    <row r="39" spans="2:32" ht="27" customHeight="1" x14ac:dyDescent="0.25">
      <c r="C39" s="197" t="s">
        <v>83</v>
      </c>
      <c r="D39" s="197"/>
      <c r="E39" s="194"/>
      <c r="F39" s="195"/>
      <c r="H39" s="209" t="s">
        <v>302</v>
      </c>
      <c r="I39" s="209"/>
      <c r="J39" s="209"/>
      <c r="K39" s="209"/>
      <c r="L39" s="210"/>
      <c r="M39" s="206"/>
      <c r="N39" s="207"/>
      <c r="O39" s="207"/>
      <c r="P39" s="207"/>
      <c r="Q39" s="207"/>
      <c r="R39" s="208"/>
    </row>
    <row r="40" spans="2:32" ht="7.5" customHeight="1" x14ac:dyDescent="0.25">
      <c r="C40" s="26"/>
      <c r="D40" s="26"/>
      <c r="M40" s="176"/>
    </row>
    <row r="41" spans="2:32" x14ac:dyDescent="0.25">
      <c r="C41" s="16" t="s">
        <v>84</v>
      </c>
      <c r="E41" s="198"/>
      <c r="F41" s="199"/>
    </row>
    <row r="43" spans="2:32" ht="31.5" customHeight="1" x14ac:dyDescent="0.25">
      <c r="B43" s="160" t="str">
        <f>IF(E14="ZDPPE","N/A","")</f>
        <v/>
      </c>
      <c r="C43" s="193" t="s">
        <v>85</v>
      </c>
      <c r="D43" s="193"/>
      <c r="E43" s="194"/>
      <c r="F43" s="195"/>
    </row>
    <row r="45" spans="2:32" s="17" customFormat="1" ht="18.75" customHeight="1" x14ac:dyDescent="0.25">
      <c r="B45" s="11" t="s">
        <v>57</v>
      </c>
      <c r="C45" s="9"/>
      <c r="D45" s="9"/>
      <c r="E45" s="9"/>
      <c r="F45" s="9"/>
      <c r="G45" s="9"/>
      <c r="H45" s="10"/>
      <c r="I45" s="10"/>
      <c r="J45" s="10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</row>
    <row r="47" spans="2:32" ht="18" customHeight="1" x14ac:dyDescent="0.25">
      <c r="C47" s="19" t="s">
        <v>58</v>
      </c>
      <c r="D47" s="19" t="s">
        <v>59</v>
      </c>
      <c r="F47" s="191" t="s">
        <v>60</v>
      </c>
      <c r="G47" s="192"/>
      <c r="H47" s="19" t="s">
        <v>3</v>
      </c>
      <c r="I47" s="19" t="s">
        <v>4</v>
      </c>
    </row>
    <row r="48" spans="2:32" x14ac:dyDescent="0.25">
      <c r="C48" s="78"/>
      <c r="D48" s="78"/>
      <c r="F48" s="187"/>
      <c r="G48" s="188"/>
      <c r="H48" s="82"/>
      <c r="I48" s="82"/>
    </row>
    <row r="49" spans="2:32" x14ac:dyDescent="0.25">
      <c r="C49" s="78"/>
      <c r="D49" s="78"/>
      <c r="F49" s="187"/>
      <c r="G49" s="188"/>
      <c r="H49" s="82"/>
      <c r="I49" s="82"/>
    </row>
    <row r="50" spans="2:32" x14ac:dyDescent="0.25">
      <c r="C50" s="78"/>
      <c r="D50" s="78"/>
      <c r="F50" s="187"/>
      <c r="G50" s="188"/>
      <c r="H50" s="82"/>
      <c r="I50" s="82"/>
    </row>
    <row r="51" spans="2:32" x14ac:dyDescent="0.25">
      <c r="C51" s="78"/>
      <c r="D51" s="78"/>
      <c r="F51" s="187"/>
      <c r="G51" s="188"/>
      <c r="H51" s="82"/>
      <c r="I51" s="82"/>
    </row>
    <row r="52" spans="2:32" x14ac:dyDescent="0.25">
      <c r="C52" s="78"/>
      <c r="D52" s="78"/>
      <c r="F52" s="187"/>
      <c r="G52" s="188"/>
      <c r="H52" s="82"/>
      <c r="I52" s="82"/>
    </row>
    <row r="53" spans="2:32" x14ac:dyDescent="0.25">
      <c r="C53" s="78"/>
      <c r="D53" s="78"/>
      <c r="F53" s="187"/>
      <c r="G53" s="188"/>
      <c r="H53" s="82"/>
      <c r="I53" s="82"/>
    </row>
    <row r="54" spans="2:32" x14ac:dyDescent="0.25">
      <c r="C54" s="78"/>
      <c r="D54" s="78"/>
      <c r="F54" s="187"/>
      <c r="G54" s="188"/>
      <c r="H54" s="82"/>
      <c r="I54" s="82"/>
    </row>
    <row r="55" spans="2:32" x14ac:dyDescent="0.25">
      <c r="C55" s="78"/>
      <c r="D55" s="78"/>
      <c r="F55" s="187"/>
      <c r="G55" s="188"/>
      <c r="H55" s="82"/>
      <c r="I55" s="82"/>
    </row>
    <row r="56" spans="2:32" x14ac:dyDescent="0.25">
      <c r="C56" s="78"/>
      <c r="D56" s="78"/>
      <c r="F56" s="187"/>
      <c r="G56" s="188"/>
      <c r="H56" s="82"/>
      <c r="I56" s="82"/>
    </row>
    <row r="57" spans="2:32" x14ac:dyDescent="0.25">
      <c r="C57" s="78"/>
      <c r="D57" s="78"/>
      <c r="F57" s="187"/>
      <c r="G57" s="188"/>
      <c r="H57" s="82"/>
      <c r="I57" s="82"/>
    </row>
    <row r="58" spans="2:32" x14ac:dyDescent="0.25">
      <c r="C58" s="78"/>
      <c r="D58" s="78"/>
      <c r="F58" s="187"/>
      <c r="G58" s="188"/>
      <c r="H58" s="82"/>
      <c r="I58" s="82"/>
    </row>
    <row r="59" spans="2:32" x14ac:dyDescent="0.25">
      <c r="C59" s="78"/>
      <c r="D59" s="78"/>
      <c r="F59" s="187"/>
      <c r="G59" s="188"/>
      <c r="H59" s="82"/>
      <c r="I59" s="82"/>
    </row>
    <row r="61" spans="2:32" s="17" customFormat="1" ht="18.75" customHeight="1" x14ac:dyDescent="0.25">
      <c r="B61" s="11" t="s">
        <v>61</v>
      </c>
      <c r="C61" s="9"/>
      <c r="D61" s="9"/>
      <c r="E61" s="9"/>
      <c r="F61" s="9"/>
      <c r="G61" s="9"/>
      <c r="H61" s="10"/>
      <c r="I61" s="10"/>
      <c r="J61" s="10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</row>
    <row r="62" spans="2:32" ht="7.5" customHeight="1" x14ac:dyDescent="0.25"/>
    <row r="63" spans="2:32" x14ac:dyDescent="0.25">
      <c r="B63" s="20" t="s">
        <v>226</v>
      </c>
    </row>
    <row r="64" spans="2:32" ht="9" customHeight="1" x14ac:dyDescent="0.25"/>
    <row r="65" spans="2:32" ht="30.75" customHeight="1" x14ac:dyDescent="0.25">
      <c r="C65" s="19" t="s">
        <v>62</v>
      </c>
      <c r="D65" s="19" t="s">
        <v>122</v>
      </c>
      <c r="E65" s="21" t="s">
        <v>64</v>
      </c>
      <c r="F65" s="19" t="s">
        <v>63</v>
      </c>
      <c r="G65" s="19" t="str">
        <f>IF(E14="ZDPPE","Art. 42 LGL - N/A","Art. 42 LGL")</f>
        <v>Art. 42 LGL</v>
      </c>
    </row>
    <row r="66" spans="2:32" x14ac:dyDescent="0.25">
      <c r="C66" s="102" t="str">
        <f>IF(E14="ZDPPE", "Logements", "3111. Logements")</f>
        <v>3111. Logements</v>
      </c>
      <c r="D66" s="83"/>
      <c r="E66" s="79"/>
      <c r="F66" s="84"/>
      <c r="G66" s="85"/>
    </row>
    <row r="67" spans="2:32" x14ac:dyDescent="0.25">
      <c r="C67" s="102" t="str">
        <f>IF(E14="ZDPPE", "N/A", "3112. Logements")</f>
        <v>3112. Logements</v>
      </c>
      <c r="D67" s="83"/>
      <c r="E67" s="79"/>
      <c r="F67" s="84"/>
      <c r="G67" s="85"/>
    </row>
    <row r="68" spans="2:32" x14ac:dyDescent="0.25">
      <c r="C68" s="102" t="str">
        <f>IF(E14="ZDPPE", "N/A", "3113. Logements")</f>
        <v>3113. Logements</v>
      </c>
      <c r="D68" s="83"/>
      <c r="E68" s="79"/>
      <c r="F68" s="84"/>
      <c r="G68" s="85"/>
    </row>
    <row r="69" spans="2:32" x14ac:dyDescent="0.25">
      <c r="C69" s="102" t="str">
        <f>IF(E14="ZDPPE", "N/A", "3114. Logements")</f>
        <v>3114. Logements</v>
      </c>
      <c r="D69" s="83"/>
      <c r="E69" s="79"/>
      <c r="F69" s="84"/>
      <c r="G69" s="85"/>
    </row>
    <row r="70" spans="2:32" x14ac:dyDescent="0.25">
      <c r="C70" s="102" t="str">
        <f>IF(E14="ZDPPE", "N/A", "3115. Logements")</f>
        <v>3115. Logements</v>
      </c>
      <c r="D70" s="83"/>
      <c r="E70" s="79"/>
      <c r="F70" s="84"/>
      <c r="G70" s="85"/>
    </row>
    <row r="72" spans="2:32" s="17" customFormat="1" ht="18.75" customHeight="1" x14ac:dyDescent="0.25">
      <c r="B72" s="11" t="s">
        <v>66</v>
      </c>
      <c r="C72" s="9"/>
      <c r="D72" s="9"/>
      <c r="E72" s="9"/>
      <c r="F72" s="9"/>
      <c r="G72" s="9"/>
      <c r="H72" s="10"/>
      <c r="I72" s="10"/>
      <c r="J72" s="10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</row>
    <row r="73" spans="2:32" ht="7.5" customHeight="1" x14ac:dyDescent="0.25"/>
    <row r="74" spans="2:32" x14ac:dyDescent="0.25">
      <c r="C74" s="16" t="s">
        <v>86</v>
      </c>
      <c r="D74" s="80" t="s">
        <v>39</v>
      </c>
    </row>
    <row r="75" spans="2:32" ht="7.5" customHeight="1" x14ac:dyDescent="0.25">
      <c r="C75" s="16"/>
      <c r="D75" s="30"/>
    </row>
    <row r="76" spans="2:32" x14ac:dyDescent="0.25">
      <c r="C76" s="16" t="s">
        <v>87</v>
      </c>
      <c r="D76" s="80" t="s">
        <v>38</v>
      </c>
    </row>
    <row r="77" spans="2:32" ht="8.25" customHeight="1" x14ac:dyDescent="0.25">
      <c r="C77" s="16"/>
      <c r="D77" s="30"/>
    </row>
    <row r="78" spans="2:32" x14ac:dyDescent="0.25">
      <c r="C78" s="16" t="s">
        <v>88</v>
      </c>
      <c r="D78" s="80" t="s">
        <v>39</v>
      </c>
    </row>
    <row r="79" spans="2:32" ht="7.5" customHeight="1" x14ac:dyDescent="0.25">
      <c r="C79" s="16"/>
      <c r="D79" s="30"/>
    </row>
    <row r="80" spans="2:32" x14ac:dyDescent="0.25">
      <c r="C80" s="16" t="s">
        <v>89</v>
      </c>
      <c r="D80" s="80" t="s">
        <v>38</v>
      </c>
    </row>
    <row r="81" spans="2:32" ht="8.25" customHeight="1" x14ac:dyDescent="0.25">
      <c r="C81" s="16"/>
      <c r="D81" s="30"/>
    </row>
    <row r="82" spans="2:32" x14ac:dyDescent="0.25">
      <c r="C82" s="16" t="s">
        <v>90</v>
      </c>
      <c r="D82" s="80" t="s">
        <v>39</v>
      </c>
    </row>
    <row r="83" spans="2:32" ht="6.75" customHeight="1" x14ac:dyDescent="0.25">
      <c r="C83" s="16"/>
      <c r="D83" s="30"/>
    </row>
    <row r="84" spans="2:32" x14ac:dyDescent="0.25">
      <c r="C84" s="16" t="s">
        <v>91</v>
      </c>
      <c r="D84" s="80" t="s">
        <v>39</v>
      </c>
    </row>
    <row r="85" spans="2:32" ht="7.5" customHeight="1" x14ac:dyDescent="0.25">
      <c r="C85" s="16"/>
      <c r="D85" s="30"/>
    </row>
    <row r="86" spans="2:32" x14ac:dyDescent="0.25">
      <c r="C86" s="16" t="s">
        <v>92</v>
      </c>
      <c r="D86" s="80" t="s">
        <v>39</v>
      </c>
    </row>
    <row r="88" spans="2:32" s="17" customFormat="1" ht="18.75" customHeight="1" x14ac:dyDescent="0.25">
      <c r="B88" s="11" t="s">
        <v>65</v>
      </c>
      <c r="C88" s="9"/>
      <c r="D88" s="9"/>
      <c r="E88" s="9"/>
      <c r="F88" s="9"/>
      <c r="G88" s="9"/>
      <c r="H88" s="10"/>
      <c r="I88" s="10"/>
      <c r="J88" s="10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</row>
    <row r="90" spans="2:32" x14ac:dyDescent="0.25">
      <c r="C90" s="24" t="s">
        <v>222</v>
      </c>
      <c r="D90" s="80"/>
      <c r="F90" s="16" t="s">
        <v>120</v>
      </c>
      <c r="G90" s="79"/>
      <c r="H90" t="s">
        <v>106</v>
      </c>
    </row>
    <row r="91" spans="2:32" ht="6.75" customHeight="1" x14ac:dyDescent="0.25">
      <c r="C91" s="24"/>
      <c r="D91" s="34"/>
      <c r="F91" s="16"/>
      <c r="G91" s="30"/>
    </row>
    <row r="92" spans="2:32" x14ac:dyDescent="0.25">
      <c r="D92" s="17"/>
      <c r="F92" s="16" t="s">
        <v>121</v>
      </c>
      <c r="G92" s="80"/>
    </row>
    <row r="93" spans="2:32" ht="9" customHeight="1" x14ac:dyDescent="0.25">
      <c r="D93" s="35"/>
      <c r="E93" s="29"/>
      <c r="F93" s="28"/>
      <c r="G93" s="33"/>
    </row>
    <row r="94" spans="2:32" ht="6" customHeight="1" x14ac:dyDescent="0.25">
      <c r="D94" s="30"/>
      <c r="F94" s="16"/>
      <c r="G94" s="17"/>
    </row>
    <row r="95" spans="2:32" ht="11.25" customHeight="1" x14ac:dyDescent="0.25">
      <c r="C95" t="s">
        <v>118</v>
      </c>
      <c r="D95" s="30"/>
      <c r="F95" s="16"/>
      <c r="G95" s="17"/>
    </row>
    <row r="96" spans="2:32" x14ac:dyDescent="0.25">
      <c r="C96" s="23" t="s">
        <v>119</v>
      </c>
      <c r="D96" s="80"/>
      <c r="F96" s="25" t="s">
        <v>120</v>
      </c>
      <c r="G96" s="79"/>
      <c r="H96" s="17" t="s">
        <v>107</v>
      </c>
    </row>
    <row r="97" spans="3:7" ht="8.25" customHeight="1" x14ac:dyDescent="0.25">
      <c r="C97" s="23"/>
      <c r="D97" s="34"/>
      <c r="F97" s="25"/>
      <c r="G97" s="30"/>
    </row>
    <row r="98" spans="3:7" x14ac:dyDescent="0.25">
      <c r="D98" s="17"/>
      <c r="F98" s="16" t="s">
        <v>121</v>
      </c>
      <c r="G98" s="80"/>
    </row>
    <row r="99" spans="3:7" x14ac:dyDescent="0.25">
      <c r="G99" s="17"/>
    </row>
  </sheetData>
  <sheetProtection algorithmName="SHA-512" hashValue="WGKzprSG5ASbFeAyFV50S6lDqfoiO8IeaRWPzkvw77xE7djsXpRStSKcFLpMNPBCYyNV6RItovuqLH+I6iu5SQ==" saltValue="eleFknSECo1dDoH0L9gNxQ==" spinCount="100000" sheet="1" objects="1" scenarios="1"/>
  <mergeCells count="28">
    <mergeCell ref="C15:D15"/>
    <mergeCell ref="C39:D39"/>
    <mergeCell ref="E39:F39"/>
    <mergeCell ref="E41:F41"/>
    <mergeCell ref="B7:M7"/>
    <mergeCell ref="B8:C8"/>
    <mergeCell ref="C12:D12"/>
    <mergeCell ref="C14:D14"/>
    <mergeCell ref="E12:F12"/>
    <mergeCell ref="M39:R39"/>
    <mergeCell ref="H39:L39"/>
    <mergeCell ref="F58:G58"/>
    <mergeCell ref="F59:G59"/>
    <mergeCell ref="F47:G47"/>
    <mergeCell ref="F53:G53"/>
    <mergeCell ref="C43:D43"/>
    <mergeCell ref="E43:F43"/>
    <mergeCell ref="F54:G54"/>
    <mergeCell ref="F48:G48"/>
    <mergeCell ref="F49:G49"/>
    <mergeCell ref="F50:G50"/>
    <mergeCell ref="F51:G51"/>
    <mergeCell ref="F52:G52"/>
    <mergeCell ref="I3:M3"/>
    <mergeCell ref="F55:G55"/>
    <mergeCell ref="F56:G56"/>
    <mergeCell ref="E17:F17"/>
    <mergeCell ref="F57:G57"/>
  </mergeCells>
  <printOptions verticalCentered="1"/>
  <pageMargins left="0.70866141732283472" right="0.70866141732283472" top="0.74803149606299213" bottom="0.74803149606299213" header="0.31496062992125984" footer="0.31496062992125984"/>
  <pageSetup paperSize="9" scale="35" fitToHeight="2" orientation="landscape" r:id="rId1"/>
  <headerFooter>
    <oddFooter>&amp;C&amp;D&amp;R&amp;T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Listes!$M$4:$M$5</xm:f>
          </x14:formula1>
          <xm:sqref>D23</xm:sqref>
        </x14:dataValidation>
        <x14:dataValidation type="list" allowBlank="1" showInputMessage="1" showErrorMessage="1">
          <x14:formula1>
            <xm:f>Listes!$D$19:$D$24</xm:f>
          </x14:formula1>
          <xm:sqref>E39:F39</xm:sqref>
        </x14:dataValidation>
        <x14:dataValidation type="list" allowBlank="1" showInputMessage="1" showErrorMessage="1">
          <x14:formula1>
            <xm:f>Listes!$G$19:$G$20</xm:f>
          </x14:formula1>
          <xm:sqref>E41:F41 D74 D76 D84 D80 D78 D82 D86 E43:F43 G92 G98</xm:sqref>
        </x14:dataValidation>
        <x14:dataValidation type="list" allowBlank="1" showInputMessage="1" showErrorMessage="1">
          <x14:formula1>
            <xm:f>Listes!$F$19:$F$22</xm:f>
          </x14:formula1>
          <xm:sqref>D90 D96</xm:sqref>
        </x14:dataValidation>
        <x14:dataValidation type="list" allowBlank="1" showInputMessage="1" showErrorMessage="1">
          <x14:formula1>
            <xm:f>Listes!$H$19:$H$27</xm:f>
          </x14:formula1>
          <xm:sqref>E14:E15</xm:sqref>
        </x14:dataValidation>
        <x14:dataValidation type="list" allowBlank="1" showInputMessage="1" showErrorMessage="1">
          <x14:formula1>
            <xm:f>Listes!$D$31:$D$76</xm:f>
          </x14:formula1>
          <xm:sqref>C48:C59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pageSetUpPr autoPageBreaks="0" fitToPage="1"/>
  </sheetPr>
  <dimension ref="A1:BA526"/>
  <sheetViews>
    <sheetView showGridLines="0" zoomScale="90" zoomScaleNormal="90" zoomScaleSheetLayoutView="40" workbookViewId="0">
      <selection activeCell="H12" sqref="H12"/>
    </sheetView>
  </sheetViews>
  <sheetFormatPr baseColWidth="10" defaultColWidth="11.42578125" defaultRowHeight="15" x14ac:dyDescent="0.25"/>
  <cols>
    <col min="1" max="1" width="8.140625" style="18" customWidth="1"/>
    <col min="2" max="2" width="8" style="18" customWidth="1"/>
    <col min="3" max="3" width="15.7109375" style="18" customWidth="1"/>
    <col min="4" max="4" width="10" style="18" customWidth="1"/>
    <col min="5" max="5" width="16.7109375" style="18" customWidth="1"/>
    <col min="6" max="7" width="3.7109375" style="18" customWidth="1"/>
    <col min="8" max="8" width="33.7109375" style="18" customWidth="1"/>
    <col min="9" max="9" width="16.7109375" style="18" customWidth="1"/>
    <col min="10" max="11" width="13.7109375" style="18" customWidth="1"/>
    <col min="12" max="12" width="16.7109375" style="18" customWidth="1"/>
    <col min="13" max="14" width="13.7109375" style="18" customWidth="1"/>
    <col min="15" max="15" width="16.7109375" style="110" customWidth="1"/>
    <col min="16" max="16" width="13.7109375" style="110" customWidth="1"/>
    <col min="17" max="17" width="16.7109375" style="110" customWidth="1"/>
    <col min="18" max="25" width="13.7109375" style="110" customWidth="1"/>
    <col min="26" max="27" width="33.7109375" style="18" customWidth="1"/>
    <col min="28" max="33" width="16.7109375" style="110" customWidth="1"/>
    <col min="34" max="34" width="13.85546875" style="110" customWidth="1"/>
    <col min="35" max="35" width="16.7109375" style="18" customWidth="1"/>
    <col min="36" max="36" width="39.7109375" style="18" customWidth="1"/>
    <col min="37" max="51" width="11.42578125" style="18" hidden="1" customWidth="1"/>
    <col min="52" max="52" width="12.7109375" style="18" hidden="1" customWidth="1"/>
    <col min="53" max="53" width="14.7109375" style="18" hidden="1" customWidth="1"/>
    <col min="54" max="16384" width="11.42578125" style="18"/>
  </cols>
  <sheetData>
    <row r="1" spans="1:35" x14ac:dyDescent="0.25">
      <c r="A1" s="48"/>
      <c r="B1" s="49" t="s">
        <v>10</v>
      </c>
    </row>
    <row r="2" spans="1:35" x14ac:dyDescent="0.25">
      <c r="A2" s="48"/>
      <c r="B2" s="49" t="s">
        <v>11</v>
      </c>
    </row>
    <row r="3" spans="1:35" x14ac:dyDescent="0.25">
      <c r="A3" s="48"/>
      <c r="B3" s="50" t="s">
        <v>12</v>
      </c>
      <c r="I3" s="182">
        <f ca="1">NOW()</f>
        <v>45762.434873611113</v>
      </c>
    </row>
    <row r="4" spans="1:35" ht="6.75" customHeight="1" x14ac:dyDescent="0.25"/>
    <row r="5" spans="1:35" ht="22.5" customHeight="1" x14ac:dyDescent="0.25">
      <c r="B5" s="36"/>
    </row>
    <row r="6" spans="1:35" ht="23.25" x14ac:dyDescent="0.35">
      <c r="B6" s="51" t="s">
        <v>293</v>
      </c>
    </row>
    <row r="7" spans="1:35" ht="9" customHeight="1" x14ac:dyDescent="0.35">
      <c r="B7" s="51"/>
    </row>
    <row r="8" spans="1:35" s="52" customFormat="1" ht="14.25" customHeight="1" x14ac:dyDescent="0.3">
      <c r="B8" s="174" t="s">
        <v>68</v>
      </c>
      <c r="E8" s="54" t="str">
        <f>IF('Informations générales'!E14="ZDPPE","NON APPLICABLE","")</f>
        <v/>
      </c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AB8" s="111"/>
      <c r="AC8" s="111"/>
      <c r="AD8" s="111"/>
      <c r="AE8" s="111"/>
      <c r="AF8" s="111"/>
      <c r="AG8" s="111"/>
      <c r="AH8" s="111"/>
    </row>
    <row r="9" spans="1:35" s="52" customFormat="1" ht="14.25" customHeight="1" x14ac:dyDescent="0.3">
      <c r="B9" s="53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AB9" s="111"/>
      <c r="AC9" s="111"/>
      <c r="AD9" s="111"/>
      <c r="AE9" s="111"/>
      <c r="AF9" s="111"/>
      <c r="AG9" s="111"/>
      <c r="AH9" s="111"/>
    </row>
    <row r="10" spans="1:35" s="17" customFormat="1" ht="18.75" customHeight="1" x14ac:dyDescent="0.3">
      <c r="B10" s="11" t="s">
        <v>71</v>
      </c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110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52"/>
      <c r="AA10" s="52"/>
      <c r="AB10" s="110"/>
      <c r="AC10" s="110"/>
      <c r="AD10" s="110"/>
      <c r="AE10" s="110"/>
      <c r="AF10" s="110"/>
      <c r="AG10" s="110"/>
      <c r="AH10" s="110"/>
      <c r="AI10" s="18"/>
    </row>
    <row r="11" spans="1:35" ht="49.5" customHeight="1" x14ac:dyDescent="0.25">
      <c r="C11" s="215" t="s">
        <v>297</v>
      </c>
      <c r="D11" s="215"/>
      <c r="E11" s="215"/>
      <c r="H11" s="18" t="s">
        <v>126</v>
      </c>
      <c r="I11" s="18" t="s">
        <v>231</v>
      </c>
      <c r="L11" s="18" t="s">
        <v>127</v>
      </c>
      <c r="N11" s="18" t="s">
        <v>231</v>
      </c>
    </row>
    <row r="12" spans="1:35" ht="17.25" customHeight="1" x14ac:dyDescent="0.25">
      <c r="C12" s="17" t="s">
        <v>13</v>
      </c>
      <c r="D12" s="17"/>
      <c r="E12" s="107">
        <v>0.01</v>
      </c>
      <c r="F12" s="17"/>
      <c r="H12" s="86"/>
      <c r="I12" s="107"/>
      <c r="L12" s="87"/>
      <c r="M12" s="88"/>
      <c r="N12" s="107"/>
    </row>
    <row r="13" spans="1:35" ht="15.6" customHeight="1" x14ac:dyDescent="0.25">
      <c r="C13" s="17" t="s">
        <v>223</v>
      </c>
      <c r="D13" s="17"/>
      <c r="E13" s="106">
        <v>1</v>
      </c>
      <c r="F13" s="17"/>
      <c r="H13" s="86"/>
      <c r="I13" s="107"/>
      <c r="L13" s="87"/>
      <c r="M13" s="89"/>
      <c r="N13" s="107"/>
    </row>
    <row r="14" spans="1:35" x14ac:dyDescent="0.25">
      <c r="C14" s="17" t="s">
        <v>224</v>
      </c>
      <c r="D14" s="17"/>
      <c r="E14" s="106">
        <v>0.5</v>
      </c>
      <c r="F14" s="17"/>
      <c r="H14" s="86"/>
      <c r="I14" s="107"/>
      <c r="L14" s="87"/>
      <c r="M14" s="89"/>
      <c r="N14" s="107"/>
    </row>
    <row r="15" spans="1:35" x14ac:dyDescent="0.25">
      <c r="C15" s="17" t="s">
        <v>225</v>
      </c>
      <c r="D15" s="17"/>
      <c r="E15" s="107">
        <v>0.1</v>
      </c>
      <c r="F15" s="17"/>
      <c r="H15" s="86"/>
      <c r="I15" s="107"/>
      <c r="L15" s="87"/>
      <c r="M15" s="89"/>
      <c r="N15" s="107"/>
    </row>
    <row r="16" spans="1:35" x14ac:dyDescent="0.25">
      <c r="C16" s="17" t="s">
        <v>5</v>
      </c>
      <c r="D16" s="17"/>
      <c r="E16" s="107">
        <v>0.5</v>
      </c>
      <c r="F16" s="17"/>
      <c r="H16" s="86"/>
      <c r="I16" s="107"/>
      <c r="L16" s="87"/>
      <c r="M16" s="89"/>
      <c r="N16" s="107"/>
    </row>
    <row r="17" spans="2:53" x14ac:dyDescent="0.25">
      <c r="C17" s="17" t="s">
        <v>6</v>
      </c>
      <c r="D17" s="17"/>
      <c r="E17" s="107">
        <v>0.3</v>
      </c>
      <c r="F17" s="17"/>
      <c r="H17" s="86"/>
      <c r="I17" s="107"/>
      <c r="L17" s="87"/>
      <c r="M17" s="89"/>
      <c r="N17" s="107"/>
    </row>
    <row r="18" spans="2:53" x14ac:dyDescent="0.25">
      <c r="C18" s="17" t="s">
        <v>7</v>
      </c>
      <c r="D18" s="17"/>
      <c r="E18" s="107">
        <v>0.1</v>
      </c>
      <c r="F18" s="17"/>
      <c r="H18" s="86"/>
      <c r="I18" s="107"/>
      <c r="L18" s="87"/>
      <c r="M18" s="89"/>
      <c r="N18" s="107"/>
    </row>
    <row r="19" spans="2:53" x14ac:dyDescent="0.25">
      <c r="C19" s="17" t="s">
        <v>69</v>
      </c>
      <c r="D19" s="17"/>
      <c r="E19" s="107">
        <v>0.1</v>
      </c>
      <c r="F19" s="17"/>
      <c r="H19" s="86"/>
      <c r="I19" s="107"/>
      <c r="L19" s="87"/>
      <c r="M19" s="89"/>
      <c r="N19" s="107"/>
    </row>
    <row r="20" spans="2:53" x14ac:dyDescent="0.25">
      <c r="C20" s="17" t="s">
        <v>301</v>
      </c>
      <c r="D20" s="17"/>
      <c r="E20" s="177"/>
      <c r="F20" s="17"/>
      <c r="H20" s="105"/>
      <c r="I20" s="107"/>
      <c r="L20" s="103"/>
      <c r="M20" s="104"/>
      <c r="N20" s="107"/>
    </row>
    <row r="21" spans="2:53" x14ac:dyDescent="0.25">
      <c r="C21" s="180"/>
      <c r="D21" s="181"/>
      <c r="E21" s="178"/>
      <c r="F21" s="17"/>
      <c r="H21" s="105"/>
      <c r="I21" s="107"/>
      <c r="L21" s="103"/>
      <c r="M21" s="104"/>
      <c r="N21" s="107"/>
    </row>
    <row r="22" spans="2:53" x14ac:dyDescent="0.25">
      <c r="C22" s="179"/>
      <c r="D22" s="179"/>
      <c r="E22" s="179"/>
      <c r="F22" s="17"/>
    </row>
    <row r="23" spans="2:53" s="17" customFormat="1" ht="18.75" customHeight="1" x14ac:dyDescent="0.25">
      <c r="B23" s="11" t="s">
        <v>72</v>
      </c>
      <c r="C23" s="9"/>
      <c r="D23" s="9"/>
      <c r="E23" s="9"/>
      <c r="F23" s="9"/>
      <c r="G23" s="9"/>
      <c r="H23" s="10"/>
      <c r="I23" s="10"/>
      <c r="J23" s="10"/>
      <c r="K23" s="9"/>
      <c r="L23" s="9"/>
      <c r="M23" s="9"/>
      <c r="N23" s="9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9"/>
      <c r="AA23" s="9"/>
      <c r="AB23" s="112"/>
      <c r="AC23" s="112"/>
      <c r="AD23" s="112"/>
      <c r="AE23" s="112"/>
      <c r="AF23" s="112"/>
      <c r="AG23" s="112"/>
      <c r="AH23" s="112"/>
      <c r="AI23" s="9"/>
      <c r="AJ23" s="9"/>
      <c r="AK23" s="9"/>
      <c r="AL23" s="63"/>
      <c r="AM23" s="63"/>
      <c r="AN23" s="63"/>
      <c r="AO23" s="63"/>
      <c r="AP23" s="63"/>
    </row>
    <row r="25" spans="2:53" s="22" customFormat="1" ht="58.5" customHeight="1" x14ac:dyDescent="0.25">
      <c r="C25" s="211" t="s">
        <v>173</v>
      </c>
      <c r="D25" s="213"/>
      <c r="E25" s="19" t="s">
        <v>299</v>
      </c>
      <c r="F25" s="211" t="s">
        <v>174</v>
      </c>
      <c r="G25" s="212"/>
      <c r="H25" s="213"/>
      <c r="I25" s="19" t="s">
        <v>175</v>
      </c>
      <c r="J25" s="21" t="s">
        <v>176</v>
      </c>
      <c r="K25" s="21" t="s">
        <v>130</v>
      </c>
      <c r="L25" s="19" t="s">
        <v>131</v>
      </c>
      <c r="M25" s="21" t="s">
        <v>285</v>
      </c>
      <c r="N25" s="38" t="s">
        <v>177</v>
      </c>
      <c r="O25" s="38" t="s">
        <v>178</v>
      </c>
      <c r="P25" s="38" t="s">
        <v>179</v>
      </c>
      <c r="Q25" s="38" t="s">
        <v>133</v>
      </c>
      <c r="R25" s="38" t="s">
        <v>134</v>
      </c>
      <c r="S25" s="38" t="s">
        <v>180</v>
      </c>
      <c r="T25" s="38" t="s">
        <v>181</v>
      </c>
      <c r="U25" s="37" t="s">
        <v>135</v>
      </c>
      <c r="V25" s="38" t="s">
        <v>5</v>
      </c>
      <c r="W25" s="38" t="s">
        <v>6</v>
      </c>
      <c r="X25" s="38" t="s">
        <v>7</v>
      </c>
      <c r="Y25" s="38" t="s">
        <v>69</v>
      </c>
      <c r="Z25" s="37" t="s">
        <v>126</v>
      </c>
      <c r="AA25" s="37" t="s">
        <v>127</v>
      </c>
      <c r="AB25" s="38" t="s">
        <v>170</v>
      </c>
      <c r="AC25" s="38" t="s">
        <v>136</v>
      </c>
      <c r="AD25" s="38" t="s">
        <v>137</v>
      </c>
      <c r="AE25" s="38" t="s">
        <v>184</v>
      </c>
      <c r="AF25" s="38" t="s">
        <v>172</v>
      </c>
      <c r="AG25" s="38" t="s">
        <v>292</v>
      </c>
      <c r="AH25" s="38" t="s">
        <v>171</v>
      </c>
      <c r="AI25" s="38" t="s">
        <v>138</v>
      </c>
      <c r="AJ25" s="37" t="s">
        <v>139</v>
      </c>
      <c r="AK25" s="59" t="s">
        <v>154</v>
      </c>
      <c r="AL25" s="58" t="s">
        <v>165</v>
      </c>
      <c r="AM25" s="58" t="s">
        <v>166</v>
      </c>
      <c r="AN25" s="58" t="s">
        <v>167</v>
      </c>
      <c r="AO25" s="58" t="s">
        <v>168</v>
      </c>
      <c r="AP25" s="58" t="s">
        <v>169</v>
      </c>
      <c r="AQ25" s="59" t="s">
        <v>155</v>
      </c>
      <c r="AR25" s="59" t="s">
        <v>156</v>
      </c>
      <c r="AS25" s="59" t="s">
        <v>157</v>
      </c>
      <c r="AT25" s="59" t="s">
        <v>158</v>
      </c>
      <c r="AU25" s="59" t="s">
        <v>159</v>
      </c>
      <c r="AV25" s="59" t="s">
        <v>160</v>
      </c>
      <c r="AW25" s="59" t="s">
        <v>161</v>
      </c>
      <c r="AX25" s="59" t="s">
        <v>162</v>
      </c>
      <c r="AY25" s="59" t="s">
        <v>164</v>
      </c>
      <c r="AZ25" s="59" t="s">
        <v>70</v>
      </c>
      <c r="BA25" s="59" t="s">
        <v>163</v>
      </c>
    </row>
    <row r="26" spans="2:53" s="138" customFormat="1" ht="14.25" customHeight="1" x14ac:dyDescent="0.25">
      <c r="B26" s="125" t="s">
        <v>234</v>
      </c>
      <c r="C26" s="126"/>
      <c r="D26" s="127"/>
      <c r="E26" s="127"/>
      <c r="F26" s="127"/>
      <c r="G26" s="128"/>
      <c r="H26" s="129"/>
      <c r="I26" s="130"/>
      <c r="J26" s="131">
        <f>COUNTA(J27:J526)</f>
        <v>0</v>
      </c>
      <c r="K26" s="132"/>
      <c r="L26" s="127"/>
      <c r="M26" s="127"/>
      <c r="N26" s="127"/>
      <c r="O26" s="133"/>
      <c r="P26" s="154">
        <f>SUM(P27:P526)</f>
        <v>0</v>
      </c>
      <c r="Q26" s="158">
        <f>SUM(Q27:Q526)</f>
        <v>0</v>
      </c>
      <c r="R26" s="134"/>
      <c r="S26" s="154">
        <f t="shared" ref="S26:Y26" si="0">SUM(S27:S526)</f>
        <v>0</v>
      </c>
      <c r="T26" s="154">
        <f t="shared" si="0"/>
        <v>0</v>
      </c>
      <c r="U26" s="154">
        <f t="shared" si="0"/>
        <v>0</v>
      </c>
      <c r="V26" s="154">
        <f t="shared" si="0"/>
        <v>0</v>
      </c>
      <c r="W26" s="154">
        <f t="shared" si="0"/>
        <v>0</v>
      </c>
      <c r="X26" s="154">
        <f t="shared" si="0"/>
        <v>0</v>
      </c>
      <c r="Y26" s="154">
        <f t="shared" si="0"/>
        <v>0</v>
      </c>
      <c r="Z26" s="127"/>
      <c r="AA26" s="127"/>
      <c r="AB26" s="135">
        <f t="shared" ref="AB26:AF26" si="1">SUM(AB27:AB526)</f>
        <v>0</v>
      </c>
      <c r="AC26" s="135">
        <f t="shared" si="1"/>
        <v>0</v>
      </c>
      <c r="AD26" s="135">
        <f t="shared" si="1"/>
        <v>0</v>
      </c>
      <c r="AE26" s="135">
        <f t="shared" si="1"/>
        <v>0</v>
      </c>
      <c r="AF26" s="135">
        <f t="shared" si="1"/>
        <v>0</v>
      </c>
      <c r="AG26" s="135">
        <f t="shared" ref="AG26" si="2">SUM(AG27:AG526)</f>
        <v>0</v>
      </c>
      <c r="AH26" s="135" t="str">
        <f>IFERROR(SUM(AH27:AH526)/COUNT(AH27:AH526),"")</f>
        <v/>
      </c>
      <c r="AI26" s="127"/>
      <c r="AJ26" s="136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</row>
    <row r="27" spans="2:53" s="17" customFormat="1" x14ac:dyDescent="0.25">
      <c r="C27" s="194"/>
      <c r="D27" s="195"/>
      <c r="E27" s="90"/>
      <c r="F27" s="198"/>
      <c r="G27" s="214"/>
      <c r="H27" s="199"/>
      <c r="I27" s="78"/>
      <c r="J27" s="79"/>
      <c r="K27" s="78"/>
      <c r="L27" s="80"/>
      <c r="M27" s="80"/>
      <c r="N27" s="78" t="s">
        <v>39</v>
      </c>
      <c r="O27" s="113"/>
      <c r="P27" s="155"/>
      <c r="Q27" s="114" t="str">
        <f>IFERROR(MIN(VLOOKUP(ROUNDDOWN(P27,0),'Aide calcul'!$B$2:$C$282,2,FALSE),O27+1),"")</f>
        <v/>
      </c>
      <c r="R27" s="115" t="str">
        <f>IFERROR(TRUNC(Q27-0.5),"")</f>
        <v/>
      </c>
      <c r="S27" s="155"/>
      <c r="T27" s="155"/>
      <c r="U27" s="155"/>
      <c r="V27" s="155"/>
      <c r="W27" s="155"/>
      <c r="X27" s="155"/>
      <c r="Y27" s="155"/>
      <c r="Z27" s="78"/>
      <c r="AA27" s="78"/>
      <c r="AB27" s="116" t="str">
        <f>IF(C27="3111. Logements",ROUND(VLOOKUP(C27,'Informations générales'!$C$66:$D$70,2,FALSE)*(AK27/$AL$27)/12,0)*12,IF(C27="3112. Logements",ROUND(VLOOKUP(C27,'Informations générales'!$C$66:$D$70,2,FALSE)*(AK27/$AM$27)/12,0)*12,IF(C27="3113. Logements",ROUND(VLOOKUP(C27,'Informations générales'!$C$66:$D$70,2,FALSE)*(AK27/$AN$27)/12,0)*12,IF(C27="3114. Logements",ROUND(VLOOKUP(C27,'Informations générales'!$C$66:$D$70,2,FALSE)*(AK27/$AO$27)/12,0)*12,IF(C27="3115. Logements",ROUND(VLOOKUP(C27,'Informations générales'!$C$66:$D$70,2,FALSE)*(AK27/$AP$27)/12,0)*12,"")))))</f>
        <v/>
      </c>
      <c r="AC27" s="117"/>
      <c r="AD27" s="116">
        <f>MIN(AB27,AC27)</f>
        <v>0</v>
      </c>
      <c r="AE27" s="117"/>
      <c r="AF27" s="116" t="str">
        <f>IF(C27="3111. Logements",ROUND(VLOOKUP(C27,'Informations générales'!$C$66:$G$70,5,FALSE)*(AK27/$AL$27)/12,0)*12,IF(C27="3112. Logements",ROUND(VLOOKUP(C27,'Informations générales'!$C$66:$G$70,5,FALSE)*(AK27/$AM$27)/12,0)*12,IF(C27="3113. Logements",ROUND(VLOOKUP(C27,'Informations générales'!$C$66:$G$70,5,FALSE)*(AK27/$AN$27)/12,0)*12,IF(C27="3114. Logements",ROUND(VLOOKUP(C27,'Informations générales'!$C$66:$G$70,5,FALSE)*(AK27/$AO$27)/12,0)*12,IF(C27="3115. Logements",ROUND(VLOOKUP(C27,'Informations générales'!$C$66:$G$70,5,FALSE)*(AK27/$AP$27)/12,0)*12,"")))))</f>
        <v/>
      </c>
      <c r="AG27" s="117"/>
      <c r="AH27" s="116" t="str">
        <f>IFERROR(IF(AE27/S27&lt;&gt;0,AE27/S27,AB27/S27),"")</f>
        <v/>
      </c>
      <c r="AI27" s="92"/>
      <c r="AJ27" s="78"/>
      <c r="AK27" s="60">
        <f>AX27*(SUM(1,AY27,AZ27,BA27))</f>
        <v>0</v>
      </c>
      <c r="AL27" s="60">
        <f ca="1">SUMIF(C27:D403,"3111. Logements",AK27:AK526)</f>
        <v>0</v>
      </c>
      <c r="AM27" s="60">
        <f ca="1">SUMIF(C27:D403,"3112. Logements",AK27:AK526)</f>
        <v>0</v>
      </c>
      <c r="AN27" s="60">
        <f ca="1">SUMIF(C27:D403,"3113. Logements",AK27:AK526)</f>
        <v>0</v>
      </c>
      <c r="AO27" s="60">
        <f ca="1">SUMIF(C27:D403,"3114. Logements",AK27:AK526)</f>
        <v>0</v>
      </c>
      <c r="AP27" s="60">
        <f ca="1">SUMIF(C27:D403,"3115. Logements",AK27:AK526)</f>
        <v>0</v>
      </c>
      <c r="AQ27" s="60">
        <f t="shared" ref="AQ27:AQ90" si="3">S27*$E$13</f>
        <v>0</v>
      </c>
      <c r="AR27" s="60">
        <f t="shared" ref="AR27:AR90" si="4">T27*$E$14</f>
        <v>0</v>
      </c>
      <c r="AS27" s="60">
        <f t="shared" ref="AS27:AS90" si="5">U27*$E$15</f>
        <v>0</v>
      </c>
      <c r="AT27" s="60">
        <f t="shared" ref="AT27:AT90" si="6">V27*$E$16</f>
        <v>0</v>
      </c>
      <c r="AU27" s="60">
        <f t="shared" ref="AU27:AU90" si="7">W27*$E$17</f>
        <v>0</v>
      </c>
      <c r="AV27" s="60">
        <f t="shared" ref="AV27:AV90" si="8">X27*$E$18</f>
        <v>0</v>
      </c>
      <c r="AW27" s="60">
        <f t="shared" ref="AW27:AW90" si="9">Y27*$E$19</f>
        <v>0</v>
      </c>
      <c r="AX27" s="60">
        <f>SUM(AQ27:AW27)</f>
        <v>0</v>
      </c>
      <c r="AY27" s="64">
        <f>IFERROR(I27*$E$12,0)</f>
        <v>0</v>
      </c>
      <c r="AZ27" s="65">
        <f t="shared" ref="AZ27:AZ90" si="10">IFERROR(VLOOKUP(Z27,$H$12:$I$22,2,FALSE),0)</f>
        <v>0</v>
      </c>
      <c r="BA27" s="65">
        <f t="shared" ref="BA27:BA90" si="11">IFERROR(VLOOKUP(AA27,$L$12:$N$19,3,FALSE),0)</f>
        <v>0</v>
      </c>
    </row>
    <row r="28" spans="2:53" s="17" customFormat="1" ht="15" customHeight="1" x14ac:dyDescent="0.25">
      <c r="C28" s="194"/>
      <c r="D28" s="195"/>
      <c r="E28" s="90"/>
      <c r="F28" s="198"/>
      <c r="G28" s="214"/>
      <c r="H28" s="199"/>
      <c r="I28" s="78"/>
      <c r="J28" s="79"/>
      <c r="K28" s="78"/>
      <c r="L28" s="80"/>
      <c r="M28" s="80"/>
      <c r="N28" s="78" t="s">
        <v>39</v>
      </c>
      <c r="O28" s="113"/>
      <c r="P28" s="155"/>
      <c r="Q28" s="114" t="str">
        <f>IFERROR(MIN(VLOOKUP(ROUNDDOWN(P28,0),'Aide calcul'!$B$2:$C$282,2,FALSE),O28+1),"")</f>
        <v/>
      </c>
      <c r="R28" s="115" t="str">
        <f t="shared" ref="R28:R91" si="12">IFERROR(TRUNC(Q28-0.5),"")</f>
        <v/>
      </c>
      <c r="S28" s="155"/>
      <c r="T28" s="155"/>
      <c r="U28" s="155"/>
      <c r="V28" s="155"/>
      <c r="W28" s="155"/>
      <c r="X28" s="155"/>
      <c r="Y28" s="155"/>
      <c r="Z28" s="78"/>
      <c r="AA28" s="78"/>
      <c r="AB28" s="116" t="str">
        <f>IF(C28="3111. Logements",ROUND(VLOOKUP(C28,'Informations générales'!$C$66:$D$70,2,FALSE)*(AK28/$AL$27)/12,0)*12,IF(C28="3112. Logements",ROUND(VLOOKUP(C28,'Informations générales'!$C$66:$D$70,2,FALSE)*(AK28/$AM$27)/12,0)*12,IF(C28="3113. Logements",ROUND(VLOOKUP(C28,'Informations générales'!$C$66:$D$70,2,FALSE)*(AK28/$AN$27)/12,0)*12,IF(C28="3114. Logements",ROUND(VLOOKUP(C28,'Informations générales'!$C$66:$D$70,2,FALSE)*(AK28/$AO$27)/12,0)*12,IF(C28="3115. Logements",ROUND(VLOOKUP(C28,'Informations générales'!$C$66:$D$70,2,FALSE)*(AK28/$AP$27)/12,0)*12,"")))))</f>
        <v/>
      </c>
      <c r="AC28" s="117"/>
      <c r="AD28" s="116">
        <f t="shared" ref="AD28:AD91" si="13">MIN(AB28,AC28)</f>
        <v>0</v>
      </c>
      <c r="AE28" s="117"/>
      <c r="AF28" s="116" t="str">
        <f>IF(C28="3111. Logements",ROUND(VLOOKUP(C28,'Informations générales'!$C$66:$G$70,5,FALSE)*(AK28/$AL$27)/12,0)*12,IF(C28="3112. Logements",ROUND(VLOOKUP(C28,'Informations générales'!$C$66:$G$70,5,FALSE)*(AK28/$AM$27)/12,0)*12,IF(C28="3113. Logements",ROUND(VLOOKUP(C28,'Informations générales'!$C$66:$G$70,5,FALSE)*(AK28/$AN$27)/12,0)*12,IF(C28="3114. Logements",ROUND(VLOOKUP(C28,'Informations générales'!$C$66:$G$70,5,FALSE)*(AK28/$AO$27)/12,0)*12,IF(C28="3115. Logements",ROUND(VLOOKUP(C28,'Informations générales'!$C$66:$G$70,5,FALSE)*(AK28/$AP$27)/12,0)*12,"")))))</f>
        <v/>
      </c>
      <c r="AG28" s="117"/>
      <c r="AH28" s="116" t="str">
        <f t="shared" ref="AH28:AH91" si="14">IFERROR(IF(AE28/S28&lt;&gt;0,AE28/S28,AB28/S28),"")</f>
        <v/>
      </c>
      <c r="AI28" s="92"/>
      <c r="AJ28" s="78"/>
      <c r="AK28" s="60">
        <f t="shared" ref="AK28:AK91" si="15">AX28*(SUM(1,AY28,AZ28,BA28))</f>
        <v>0</v>
      </c>
      <c r="AL28" s="60"/>
      <c r="AM28" s="60"/>
      <c r="AN28" s="60"/>
      <c r="AO28" s="60"/>
      <c r="AP28" s="60"/>
      <c r="AQ28" s="60">
        <f t="shared" si="3"/>
        <v>0</v>
      </c>
      <c r="AR28" s="60">
        <f t="shared" si="4"/>
        <v>0</v>
      </c>
      <c r="AS28" s="60">
        <f t="shared" si="5"/>
        <v>0</v>
      </c>
      <c r="AT28" s="60">
        <f t="shared" si="6"/>
        <v>0</v>
      </c>
      <c r="AU28" s="60">
        <f t="shared" si="7"/>
        <v>0</v>
      </c>
      <c r="AV28" s="60">
        <f t="shared" si="8"/>
        <v>0</v>
      </c>
      <c r="AW28" s="60">
        <f t="shared" si="9"/>
        <v>0</v>
      </c>
      <c r="AX28" s="60">
        <f t="shared" ref="AX28:AX91" si="16">SUM(AQ28:AW28)</f>
        <v>0</v>
      </c>
      <c r="AY28" s="64">
        <f t="shared" ref="AY28:AY91" si="17">IFERROR(I28*$E$12,0)</f>
        <v>0</v>
      </c>
      <c r="AZ28" s="65">
        <f t="shared" si="10"/>
        <v>0</v>
      </c>
      <c r="BA28" s="65">
        <f t="shared" si="11"/>
        <v>0</v>
      </c>
    </row>
    <row r="29" spans="2:53" s="17" customFormat="1" ht="15" customHeight="1" x14ac:dyDescent="0.25">
      <c r="C29" s="194"/>
      <c r="D29" s="195"/>
      <c r="E29" s="90"/>
      <c r="F29" s="198"/>
      <c r="G29" s="214"/>
      <c r="H29" s="199"/>
      <c r="I29" s="78"/>
      <c r="J29" s="79"/>
      <c r="K29" s="78"/>
      <c r="L29" s="80"/>
      <c r="M29" s="80"/>
      <c r="N29" s="78" t="s">
        <v>39</v>
      </c>
      <c r="O29" s="113"/>
      <c r="P29" s="155"/>
      <c r="Q29" s="114" t="str">
        <f>IFERROR(MIN(VLOOKUP(ROUNDDOWN(P29,0),'Aide calcul'!$B$2:$C$282,2,FALSE),O29+1),"")</f>
        <v/>
      </c>
      <c r="R29" s="115" t="str">
        <f t="shared" si="12"/>
        <v/>
      </c>
      <c r="S29" s="155"/>
      <c r="T29" s="155"/>
      <c r="U29" s="155"/>
      <c r="V29" s="155"/>
      <c r="W29" s="155"/>
      <c r="X29" s="155"/>
      <c r="Y29" s="155"/>
      <c r="Z29" s="78"/>
      <c r="AA29" s="78"/>
      <c r="AB29" s="116" t="str">
        <f>IF(C29="3111. Logements",ROUND(VLOOKUP(C29,'Informations générales'!$C$66:$D$70,2,FALSE)*(AK29/$AL$27)/12,0)*12,IF(C29="3112. Logements",ROUND(VLOOKUP(C29,'Informations générales'!$C$66:$D$70,2,FALSE)*(AK29/$AM$27)/12,0)*12,IF(C29="3113. Logements",ROUND(VLOOKUP(C29,'Informations générales'!$C$66:$D$70,2,FALSE)*(AK29/$AN$27)/12,0)*12,IF(C29="3114. Logements",ROUND(VLOOKUP(C29,'Informations générales'!$C$66:$D$70,2,FALSE)*(AK29/$AO$27)/12,0)*12,IF(C29="3115. Logements",ROUND(VLOOKUP(C29,'Informations générales'!$C$66:$D$70,2,FALSE)*(AK29/$AP$27)/12,0)*12,"")))))</f>
        <v/>
      </c>
      <c r="AC29" s="117"/>
      <c r="AD29" s="116">
        <f t="shared" si="13"/>
        <v>0</v>
      </c>
      <c r="AE29" s="117"/>
      <c r="AF29" s="116" t="str">
        <f>IF(C29="3111. Logements",ROUND(VLOOKUP(C29,'Informations générales'!$C$66:$G$70,5,FALSE)*(AK29/$AL$27)/12,0)*12,IF(C29="3112. Logements",ROUND(VLOOKUP(C29,'Informations générales'!$C$66:$G$70,5,FALSE)*(AK29/$AM$27)/12,0)*12,IF(C29="3113. Logements",ROUND(VLOOKUP(C29,'Informations générales'!$C$66:$G$70,5,FALSE)*(AK29/$AN$27)/12,0)*12,IF(C29="3114. Logements",ROUND(VLOOKUP(C29,'Informations générales'!$C$66:$G$70,5,FALSE)*(AK29/$AO$27)/12,0)*12,IF(C29="3115. Logements",ROUND(VLOOKUP(C29,'Informations générales'!$C$66:$G$70,5,FALSE)*(AK29/$AP$27)/12,0)*12,"")))))</f>
        <v/>
      </c>
      <c r="AG29" s="117"/>
      <c r="AH29" s="116" t="str">
        <f t="shared" si="14"/>
        <v/>
      </c>
      <c r="AI29" s="92"/>
      <c r="AJ29" s="78"/>
      <c r="AK29" s="60">
        <f t="shared" si="15"/>
        <v>0</v>
      </c>
      <c r="AL29" s="60"/>
      <c r="AM29" s="60"/>
      <c r="AN29" s="60"/>
      <c r="AO29" s="60"/>
      <c r="AP29" s="60"/>
      <c r="AQ29" s="60">
        <f t="shared" si="3"/>
        <v>0</v>
      </c>
      <c r="AR29" s="60">
        <f t="shared" si="4"/>
        <v>0</v>
      </c>
      <c r="AS29" s="60">
        <f t="shared" si="5"/>
        <v>0</v>
      </c>
      <c r="AT29" s="60">
        <f t="shared" si="6"/>
        <v>0</v>
      </c>
      <c r="AU29" s="60">
        <f t="shared" si="7"/>
        <v>0</v>
      </c>
      <c r="AV29" s="60">
        <f t="shared" si="8"/>
        <v>0</v>
      </c>
      <c r="AW29" s="60">
        <f t="shared" si="9"/>
        <v>0</v>
      </c>
      <c r="AX29" s="60">
        <f t="shared" si="16"/>
        <v>0</v>
      </c>
      <c r="AY29" s="64">
        <f t="shared" si="17"/>
        <v>0</v>
      </c>
      <c r="AZ29" s="65">
        <f t="shared" si="10"/>
        <v>0</v>
      </c>
      <c r="BA29" s="65">
        <f t="shared" si="11"/>
        <v>0</v>
      </c>
    </row>
    <row r="30" spans="2:53" s="17" customFormat="1" ht="14.45" customHeight="1" x14ac:dyDescent="0.25">
      <c r="C30" s="194"/>
      <c r="D30" s="195"/>
      <c r="E30" s="90"/>
      <c r="F30" s="198"/>
      <c r="G30" s="214"/>
      <c r="H30" s="199"/>
      <c r="I30" s="78"/>
      <c r="J30" s="79"/>
      <c r="K30" s="78"/>
      <c r="L30" s="80"/>
      <c r="M30" s="80"/>
      <c r="N30" s="78" t="s">
        <v>39</v>
      </c>
      <c r="O30" s="113"/>
      <c r="P30" s="155"/>
      <c r="Q30" s="114" t="str">
        <f>IFERROR(MIN(VLOOKUP(ROUNDDOWN(P30,0),'Aide calcul'!$B$2:$C$282,2,FALSE),O30+1),"")</f>
        <v/>
      </c>
      <c r="R30" s="115" t="str">
        <f t="shared" si="12"/>
        <v/>
      </c>
      <c r="S30" s="155"/>
      <c r="T30" s="155"/>
      <c r="U30" s="155"/>
      <c r="V30" s="155"/>
      <c r="W30" s="155"/>
      <c r="X30" s="155"/>
      <c r="Y30" s="155"/>
      <c r="Z30" s="78"/>
      <c r="AA30" s="78"/>
      <c r="AB30" s="116" t="str">
        <f>IF(C30="3111. Logements",ROUND(VLOOKUP(C30,'Informations générales'!$C$66:$D$70,2,FALSE)*(AK30/$AL$27)/12,0)*12,IF(C30="3112. Logements",ROUND(VLOOKUP(C30,'Informations générales'!$C$66:$D$70,2,FALSE)*(AK30/$AM$27)/12,0)*12,IF(C30="3113. Logements",ROUND(VLOOKUP(C30,'Informations générales'!$C$66:$D$70,2,FALSE)*(AK30/$AN$27)/12,0)*12,IF(C30="3114. Logements",ROUND(VLOOKUP(C30,'Informations générales'!$C$66:$D$70,2,FALSE)*(AK30/$AO$27)/12,0)*12,IF(C30="3115. Logements",ROUND(VLOOKUP(C30,'Informations générales'!$C$66:$D$70,2,FALSE)*(AK30/$AP$27)/12,0)*12,"")))))</f>
        <v/>
      </c>
      <c r="AC30" s="117"/>
      <c r="AD30" s="116">
        <f t="shared" si="13"/>
        <v>0</v>
      </c>
      <c r="AE30" s="117"/>
      <c r="AF30" s="116" t="str">
        <f>IF(C30="3111. Logements",ROUND(VLOOKUP(C30,'Informations générales'!$C$66:$G$70,5,FALSE)*(AK30/$AL$27)/12,0)*12,IF(C30="3112. Logements",ROUND(VLOOKUP(C30,'Informations générales'!$C$66:$G$70,5,FALSE)*(AK30/$AM$27)/12,0)*12,IF(C30="3113. Logements",ROUND(VLOOKUP(C30,'Informations générales'!$C$66:$G$70,5,FALSE)*(AK30/$AN$27)/12,0)*12,IF(C30="3114. Logements",ROUND(VLOOKUP(C30,'Informations générales'!$C$66:$G$70,5,FALSE)*(AK30/$AO$27)/12,0)*12,IF(C30="3115. Logements",ROUND(VLOOKUP(C30,'Informations générales'!$C$66:$G$70,5,FALSE)*(AK30/$AP$27)/12,0)*12,"")))))</f>
        <v/>
      </c>
      <c r="AG30" s="117"/>
      <c r="AH30" s="116" t="str">
        <f t="shared" si="14"/>
        <v/>
      </c>
      <c r="AI30" s="92"/>
      <c r="AJ30" s="78"/>
      <c r="AK30" s="60">
        <f t="shared" si="15"/>
        <v>0</v>
      </c>
      <c r="AL30" s="60"/>
      <c r="AM30" s="60"/>
      <c r="AN30" s="60"/>
      <c r="AO30" s="60"/>
      <c r="AP30" s="60"/>
      <c r="AQ30" s="60">
        <f t="shared" si="3"/>
        <v>0</v>
      </c>
      <c r="AR30" s="60">
        <f t="shared" si="4"/>
        <v>0</v>
      </c>
      <c r="AS30" s="60">
        <f t="shared" si="5"/>
        <v>0</v>
      </c>
      <c r="AT30" s="60">
        <f t="shared" si="6"/>
        <v>0</v>
      </c>
      <c r="AU30" s="60">
        <f t="shared" si="7"/>
        <v>0</v>
      </c>
      <c r="AV30" s="60">
        <f t="shared" si="8"/>
        <v>0</v>
      </c>
      <c r="AW30" s="60">
        <f t="shared" si="9"/>
        <v>0</v>
      </c>
      <c r="AX30" s="60">
        <f t="shared" si="16"/>
        <v>0</v>
      </c>
      <c r="AY30" s="64">
        <f t="shared" si="17"/>
        <v>0</v>
      </c>
      <c r="AZ30" s="65">
        <f t="shared" si="10"/>
        <v>0</v>
      </c>
      <c r="BA30" s="65">
        <f t="shared" si="11"/>
        <v>0</v>
      </c>
    </row>
    <row r="31" spans="2:53" s="17" customFormat="1" ht="14.45" customHeight="1" x14ac:dyDescent="0.25">
      <c r="C31" s="194"/>
      <c r="D31" s="195"/>
      <c r="E31" s="90"/>
      <c r="F31" s="198"/>
      <c r="G31" s="214"/>
      <c r="H31" s="199"/>
      <c r="I31" s="78"/>
      <c r="J31" s="79"/>
      <c r="K31" s="78"/>
      <c r="L31" s="80"/>
      <c r="M31" s="80"/>
      <c r="N31" s="78" t="s">
        <v>39</v>
      </c>
      <c r="O31" s="113"/>
      <c r="P31" s="155"/>
      <c r="Q31" s="114" t="str">
        <f>IFERROR(MIN(VLOOKUP(ROUNDDOWN(P31,0),'Aide calcul'!$B$2:$C$282,2,FALSE),O31+1),"")</f>
        <v/>
      </c>
      <c r="R31" s="115" t="str">
        <f t="shared" si="12"/>
        <v/>
      </c>
      <c r="S31" s="155"/>
      <c r="T31" s="155"/>
      <c r="U31" s="155"/>
      <c r="V31" s="155"/>
      <c r="W31" s="155"/>
      <c r="X31" s="155"/>
      <c r="Y31" s="155"/>
      <c r="Z31" s="78"/>
      <c r="AA31" s="78"/>
      <c r="AB31" s="116" t="str">
        <f>IF(C31="3111. Logements",ROUND(VLOOKUP(C31,'Informations générales'!$C$66:$D$70,2,FALSE)*(AK31/$AL$27)/12,0)*12,IF(C31="3112. Logements",ROUND(VLOOKUP(C31,'Informations générales'!$C$66:$D$70,2,FALSE)*(AK31/$AM$27)/12,0)*12,IF(C31="3113. Logements",ROUND(VLOOKUP(C31,'Informations générales'!$C$66:$D$70,2,FALSE)*(AK31/$AN$27)/12,0)*12,IF(C31="3114. Logements",ROUND(VLOOKUP(C31,'Informations générales'!$C$66:$D$70,2,FALSE)*(AK31/$AO$27)/12,0)*12,IF(C31="3115. Logements",ROUND(VLOOKUP(C31,'Informations générales'!$C$66:$D$70,2,FALSE)*(AK31/$AP$27)/12,0)*12,"")))))</f>
        <v/>
      </c>
      <c r="AC31" s="117"/>
      <c r="AD31" s="116">
        <f t="shared" si="13"/>
        <v>0</v>
      </c>
      <c r="AE31" s="117"/>
      <c r="AF31" s="116" t="str">
        <f>IF(C31="3111. Logements",ROUND(VLOOKUP(C31,'Informations générales'!$C$66:$G$70,5,FALSE)*(AK31/$AL$27)/12,0)*12,IF(C31="3112. Logements",ROUND(VLOOKUP(C31,'Informations générales'!$C$66:$G$70,5,FALSE)*(AK31/$AM$27)/12,0)*12,IF(C31="3113. Logements",ROUND(VLOOKUP(C31,'Informations générales'!$C$66:$G$70,5,FALSE)*(AK31/$AN$27)/12,0)*12,IF(C31="3114. Logements",ROUND(VLOOKUP(C31,'Informations générales'!$C$66:$G$70,5,FALSE)*(AK31/$AO$27)/12,0)*12,IF(C31="3115. Logements",ROUND(VLOOKUP(C31,'Informations générales'!$C$66:$G$70,5,FALSE)*(AK31/$AP$27)/12,0)*12,"")))))</f>
        <v/>
      </c>
      <c r="AG31" s="117"/>
      <c r="AH31" s="116" t="str">
        <f t="shared" si="14"/>
        <v/>
      </c>
      <c r="AI31" s="92"/>
      <c r="AJ31" s="78"/>
      <c r="AK31" s="60">
        <f t="shared" si="15"/>
        <v>0</v>
      </c>
      <c r="AL31" s="60"/>
      <c r="AM31" s="60"/>
      <c r="AN31" s="60"/>
      <c r="AO31" s="60"/>
      <c r="AP31" s="60"/>
      <c r="AQ31" s="60">
        <f t="shared" si="3"/>
        <v>0</v>
      </c>
      <c r="AR31" s="60">
        <f t="shared" si="4"/>
        <v>0</v>
      </c>
      <c r="AS31" s="60">
        <f t="shared" si="5"/>
        <v>0</v>
      </c>
      <c r="AT31" s="60">
        <f t="shared" si="6"/>
        <v>0</v>
      </c>
      <c r="AU31" s="60">
        <f t="shared" si="7"/>
        <v>0</v>
      </c>
      <c r="AV31" s="60">
        <f t="shared" si="8"/>
        <v>0</v>
      </c>
      <c r="AW31" s="60">
        <f t="shared" si="9"/>
        <v>0</v>
      </c>
      <c r="AX31" s="60">
        <f t="shared" si="16"/>
        <v>0</v>
      </c>
      <c r="AY31" s="64">
        <f t="shared" si="17"/>
        <v>0</v>
      </c>
      <c r="AZ31" s="65">
        <f t="shared" si="10"/>
        <v>0</v>
      </c>
      <c r="BA31" s="65">
        <f t="shared" si="11"/>
        <v>0</v>
      </c>
    </row>
    <row r="32" spans="2:53" s="17" customFormat="1" x14ac:dyDescent="0.25">
      <c r="C32" s="194"/>
      <c r="D32" s="195"/>
      <c r="E32" s="90"/>
      <c r="F32" s="198"/>
      <c r="G32" s="214"/>
      <c r="H32" s="199"/>
      <c r="I32" s="78"/>
      <c r="J32" s="79"/>
      <c r="K32" s="78"/>
      <c r="L32" s="80"/>
      <c r="M32" s="80"/>
      <c r="N32" s="78" t="s">
        <v>39</v>
      </c>
      <c r="O32" s="113"/>
      <c r="P32" s="155"/>
      <c r="Q32" s="114" t="str">
        <f>IFERROR(MIN(VLOOKUP(ROUNDDOWN(P32,0),'Aide calcul'!$B$2:$C$282,2,FALSE),O32+1),"")</f>
        <v/>
      </c>
      <c r="R32" s="115" t="str">
        <f t="shared" si="12"/>
        <v/>
      </c>
      <c r="S32" s="155"/>
      <c r="T32" s="155"/>
      <c r="U32" s="155"/>
      <c r="V32" s="155"/>
      <c r="W32" s="155"/>
      <c r="X32" s="155"/>
      <c r="Y32" s="155"/>
      <c r="Z32" s="78"/>
      <c r="AA32" s="78"/>
      <c r="AB32" s="116" t="str">
        <f>IF(C32="3111. Logements",ROUND(VLOOKUP(C32,'Informations générales'!$C$66:$D$70,2,FALSE)*(AK32/$AL$27)/12,0)*12,IF(C32="3112. Logements",ROUND(VLOOKUP(C32,'Informations générales'!$C$66:$D$70,2,FALSE)*(AK32/$AM$27)/12,0)*12,IF(C32="3113. Logements",ROUND(VLOOKUP(C32,'Informations générales'!$C$66:$D$70,2,FALSE)*(AK32/$AN$27)/12,0)*12,IF(C32="3114. Logements",ROUND(VLOOKUP(C32,'Informations générales'!$C$66:$D$70,2,FALSE)*(AK32/$AO$27)/12,0)*12,IF(C32="3115. Logements",ROUND(VLOOKUP(C32,'Informations générales'!$C$66:$D$70,2,FALSE)*(AK32/$AP$27)/12,0)*12,"")))))</f>
        <v/>
      </c>
      <c r="AC32" s="117"/>
      <c r="AD32" s="116">
        <f t="shared" si="13"/>
        <v>0</v>
      </c>
      <c r="AE32" s="117"/>
      <c r="AF32" s="116" t="str">
        <f>IF(C32="3111. Logements",ROUND(VLOOKUP(C32,'Informations générales'!$C$66:$G$70,5,FALSE)*(AK32/$AL$27)/12,0)*12,IF(C32="3112. Logements",ROUND(VLOOKUP(C32,'Informations générales'!$C$66:$G$70,5,FALSE)*(AK32/$AM$27)/12,0)*12,IF(C32="3113. Logements",ROUND(VLOOKUP(C32,'Informations générales'!$C$66:$G$70,5,FALSE)*(AK32/$AN$27)/12,0)*12,IF(C32="3114. Logements",ROUND(VLOOKUP(C32,'Informations générales'!$C$66:$G$70,5,FALSE)*(AK32/$AO$27)/12,0)*12,IF(C32="3115. Logements",ROUND(VLOOKUP(C32,'Informations générales'!$C$66:$G$70,5,FALSE)*(AK32/$AP$27)/12,0)*12,"")))))</f>
        <v/>
      </c>
      <c r="AG32" s="117"/>
      <c r="AH32" s="116" t="str">
        <f t="shared" si="14"/>
        <v/>
      </c>
      <c r="AI32" s="92"/>
      <c r="AJ32" s="78"/>
      <c r="AK32" s="60">
        <f t="shared" si="15"/>
        <v>0</v>
      </c>
      <c r="AL32" s="60"/>
      <c r="AM32" s="60"/>
      <c r="AN32" s="60"/>
      <c r="AO32" s="60"/>
      <c r="AP32" s="60"/>
      <c r="AQ32" s="60">
        <f t="shared" si="3"/>
        <v>0</v>
      </c>
      <c r="AR32" s="60">
        <f t="shared" si="4"/>
        <v>0</v>
      </c>
      <c r="AS32" s="60">
        <f t="shared" si="5"/>
        <v>0</v>
      </c>
      <c r="AT32" s="60">
        <f t="shared" si="6"/>
        <v>0</v>
      </c>
      <c r="AU32" s="60">
        <f t="shared" si="7"/>
        <v>0</v>
      </c>
      <c r="AV32" s="60">
        <f t="shared" si="8"/>
        <v>0</v>
      </c>
      <c r="AW32" s="60">
        <f t="shared" si="9"/>
        <v>0</v>
      </c>
      <c r="AX32" s="60">
        <f t="shared" si="16"/>
        <v>0</v>
      </c>
      <c r="AY32" s="64">
        <f t="shared" si="17"/>
        <v>0</v>
      </c>
      <c r="AZ32" s="65">
        <f t="shared" si="10"/>
        <v>0</v>
      </c>
      <c r="BA32" s="65">
        <f t="shared" si="11"/>
        <v>0</v>
      </c>
    </row>
    <row r="33" spans="3:53" s="17" customFormat="1" x14ac:dyDescent="0.25">
      <c r="C33" s="194"/>
      <c r="D33" s="195"/>
      <c r="E33" s="90"/>
      <c r="F33" s="198"/>
      <c r="G33" s="214"/>
      <c r="H33" s="199"/>
      <c r="I33" s="78"/>
      <c r="J33" s="79"/>
      <c r="K33" s="78"/>
      <c r="L33" s="80"/>
      <c r="M33" s="80"/>
      <c r="N33" s="78" t="s">
        <v>39</v>
      </c>
      <c r="O33" s="113"/>
      <c r="P33" s="155"/>
      <c r="Q33" s="114" t="str">
        <f>IFERROR(MIN(VLOOKUP(ROUNDDOWN(P33,0),'Aide calcul'!$B$2:$C$282,2,FALSE),O33+1),"")</f>
        <v/>
      </c>
      <c r="R33" s="115" t="str">
        <f t="shared" si="12"/>
        <v/>
      </c>
      <c r="S33" s="155"/>
      <c r="T33" s="155"/>
      <c r="U33" s="155"/>
      <c r="V33" s="155"/>
      <c r="W33" s="155"/>
      <c r="X33" s="155"/>
      <c r="Y33" s="155"/>
      <c r="Z33" s="78"/>
      <c r="AA33" s="78"/>
      <c r="AB33" s="116" t="str">
        <f>IF(C33="3111. Logements",ROUND(VLOOKUP(C33,'Informations générales'!$C$66:$D$70,2,FALSE)*(AK33/$AL$27)/12,0)*12,IF(C33="3112. Logements",ROUND(VLOOKUP(C33,'Informations générales'!$C$66:$D$70,2,FALSE)*(AK33/$AM$27)/12,0)*12,IF(C33="3113. Logements",ROUND(VLOOKUP(C33,'Informations générales'!$C$66:$D$70,2,FALSE)*(AK33/$AN$27)/12,0)*12,IF(C33="3114. Logements",ROUND(VLOOKUP(C33,'Informations générales'!$C$66:$D$70,2,FALSE)*(AK33/$AO$27)/12,0)*12,IF(C33="3115. Logements",ROUND(VLOOKUP(C33,'Informations générales'!$C$66:$D$70,2,FALSE)*(AK33/$AP$27)/12,0)*12,"")))))</f>
        <v/>
      </c>
      <c r="AC33" s="117"/>
      <c r="AD33" s="116">
        <f t="shared" si="13"/>
        <v>0</v>
      </c>
      <c r="AE33" s="117"/>
      <c r="AF33" s="116" t="str">
        <f>IF(C33="3111. Logements",ROUND(VLOOKUP(C33,'Informations générales'!$C$66:$G$70,5,FALSE)*(AK33/$AL$27)/12,0)*12,IF(C33="3112. Logements",ROUND(VLOOKUP(C33,'Informations générales'!$C$66:$G$70,5,FALSE)*(AK33/$AM$27)/12,0)*12,IF(C33="3113. Logements",ROUND(VLOOKUP(C33,'Informations générales'!$C$66:$G$70,5,FALSE)*(AK33/$AN$27)/12,0)*12,IF(C33="3114. Logements",ROUND(VLOOKUP(C33,'Informations générales'!$C$66:$G$70,5,FALSE)*(AK33/$AO$27)/12,0)*12,IF(C33="3115. Logements",ROUND(VLOOKUP(C33,'Informations générales'!$C$66:$G$70,5,FALSE)*(AK33/$AP$27)/12,0)*12,"")))))</f>
        <v/>
      </c>
      <c r="AG33" s="117"/>
      <c r="AH33" s="116" t="str">
        <f t="shared" si="14"/>
        <v/>
      </c>
      <c r="AI33" s="92"/>
      <c r="AJ33" s="78"/>
      <c r="AK33" s="60">
        <f t="shared" si="15"/>
        <v>0</v>
      </c>
      <c r="AL33" s="60"/>
      <c r="AM33" s="60"/>
      <c r="AN33" s="60"/>
      <c r="AO33" s="60"/>
      <c r="AP33" s="60"/>
      <c r="AQ33" s="60">
        <f t="shared" si="3"/>
        <v>0</v>
      </c>
      <c r="AR33" s="60">
        <f t="shared" si="4"/>
        <v>0</v>
      </c>
      <c r="AS33" s="60">
        <f t="shared" si="5"/>
        <v>0</v>
      </c>
      <c r="AT33" s="60">
        <f t="shared" si="6"/>
        <v>0</v>
      </c>
      <c r="AU33" s="60">
        <f t="shared" si="7"/>
        <v>0</v>
      </c>
      <c r="AV33" s="60">
        <f t="shared" si="8"/>
        <v>0</v>
      </c>
      <c r="AW33" s="60">
        <f t="shared" si="9"/>
        <v>0</v>
      </c>
      <c r="AX33" s="60">
        <f t="shared" si="16"/>
        <v>0</v>
      </c>
      <c r="AY33" s="64">
        <f t="shared" si="17"/>
        <v>0</v>
      </c>
      <c r="AZ33" s="65">
        <f t="shared" si="10"/>
        <v>0</v>
      </c>
      <c r="BA33" s="65">
        <f t="shared" si="11"/>
        <v>0</v>
      </c>
    </row>
    <row r="34" spans="3:53" s="17" customFormat="1" x14ac:dyDescent="0.25">
      <c r="C34" s="194"/>
      <c r="D34" s="195"/>
      <c r="E34" s="90"/>
      <c r="F34" s="198"/>
      <c r="G34" s="214"/>
      <c r="H34" s="199"/>
      <c r="I34" s="78"/>
      <c r="J34" s="79"/>
      <c r="K34" s="78"/>
      <c r="L34" s="80"/>
      <c r="M34" s="80"/>
      <c r="N34" s="78" t="s">
        <v>39</v>
      </c>
      <c r="O34" s="113"/>
      <c r="P34" s="155"/>
      <c r="Q34" s="114" t="str">
        <f>IFERROR(MIN(VLOOKUP(ROUNDDOWN(P34,0),'Aide calcul'!$B$2:$C$282,2,FALSE),O34+1),"")</f>
        <v/>
      </c>
      <c r="R34" s="115" t="str">
        <f t="shared" si="12"/>
        <v/>
      </c>
      <c r="S34" s="155"/>
      <c r="T34" s="155"/>
      <c r="U34" s="155"/>
      <c r="V34" s="155"/>
      <c r="W34" s="155"/>
      <c r="X34" s="155"/>
      <c r="Y34" s="155"/>
      <c r="Z34" s="78"/>
      <c r="AA34" s="78"/>
      <c r="AB34" s="116" t="str">
        <f>IF(C34="3111. Logements",ROUND(VLOOKUP(C34,'Informations générales'!$C$66:$D$70,2,FALSE)*(AK34/$AL$27)/12,0)*12,IF(C34="3112. Logements",ROUND(VLOOKUP(C34,'Informations générales'!$C$66:$D$70,2,FALSE)*(AK34/$AM$27)/12,0)*12,IF(C34="3113. Logements",ROUND(VLOOKUP(C34,'Informations générales'!$C$66:$D$70,2,FALSE)*(AK34/$AN$27)/12,0)*12,IF(C34="3114. Logements",ROUND(VLOOKUP(C34,'Informations générales'!$C$66:$D$70,2,FALSE)*(AK34/$AO$27)/12,0)*12,IF(C34="3115. Logements",ROUND(VLOOKUP(C34,'Informations générales'!$C$66:$D$70,2,FALSE)*(AK34/$AP$27)/12,0)*12,"")))))</f>
        <v/>
      </c>
      <c r="AC34" s="117"/>
      <c r="AD34" s="116">
        <f t="shared" si="13"/>
        <v>0</v>
      </c>
      <c r="AE34" s="117"/>
      <c r="AF34" s="116" t="str">
        <f>IF(C34="3111. Logements",ROUND(VLOOKUP(C34,'Informations générales'!$C$66:$G$70,5,FALSE)*(AK34/$AL$27)/12,0)*12,IF(C34="3112. Logements",ROUND(VLOOKUP(C34,'Informations générales'!$C$66:$G$70,5,FALSE)*(AK34/$AM$27)/12,0)*12,IF(C34="3113. Logements",ROUND(VLOOKUP(C34,'Informations générales'!$C$66:$G$70,5,FALSE)*(AK34/$AN$27)/12,0)*12,IF(C34="3114. Logements",ROUND(VLOOKUP(C34,'Informations générales'!$C$66:$G$70,5,FALSE)*(AK34/$AO$27)/12,0)*12,IF(C34="3115. Logements",ROUND(VLOOKUP(C34,'Informations générales'!$C$66:$G$70,5,FALSE)*(AK34/$AP$27)/12,0)*12,"")))))</f>
        <v/>
      </c>
      <c r="AG34" s="117"/>
      <c r="AH34" s="116" t="str">
        <f t="shared" si="14"/>
        <v/>
      </c>
      <c r="AI34" s="91"/>
      <c r="AJ34" s="78"/>
      <c r="AK34" s="60">
        <f t="shared" si="15"/>
        <v>0</v>
      </c>
      <c r="AL34" s="60"/>
      <c r="AM34" s="60"/>
      <c r="AN34" s="60"/>
      <c r="AO34" s="60"/>
      <c r="AP34" s="60"/>
      <c r="AQ34" s="60">
        <f t="shared" si="3"/>
        <v>0</v>
      </c>
      <c r="AR34" s="60">
        <f t="shared" si="4"/>
        <v>0</v>
      </c>
      <c r="AS34" s="60">
        <f t="shared" si="5"/>
        <v>0</v>
      </c>
      <c r="AT34" s="60">
        <f t="shared" si="6"/>
        <v>0</v>
      </c>
      <c r="AU34" s="60">
        <f t="shared" si="7"/>
        <v>0</v>
      </c>
      <c r="AV34" s="60">
        <f t="shared" si="8"/>
        <v>0</v>
      </c>
      <c r="AW34" s="60">
        <f t="shared" si="9"/>
        <v>0</v>
      </c>
      <c r="AX34" s="60">
        <f t="shared" si="16"/>
        <v>0</v>
      </c>
      <c r="AY34" s="64">
        <f t="shared" si="17"/>
        <v>0</v>
      </c>
      <c r="AZ34" s="65">
        <f t="shared" si="10"/>
        <v>0</v>
      </c>
      <c r="BA34" s="65">
        <f t="shared" si="11"/>
        <v>0</v>
      </c>
    </row>
    <row r="35" spans="3:53" s="17" customFormat="1" ht="14.45" customHeight="1" x14ac:dyDescent="0.25">
      <c r="C35" s="194"/>
      <c r="D35" s="195"/>
      <c r="E35" s="90"/>
      <c r="F35" s="198"/>
      <c r="G35" s="214"/>
      <c r="H35" s="199"/>
      <c r="I35" s="78"/>
      <c r="J35" s="79"/>
      <c r="K35" s="78"/>
      <c r="L35" s="80"/>
      <c r="M35" s="80"/>
      <c r="N35" s="78" t="s">
        <v>39</v>
      </c>
      <c r="O35" s="113"/>
      <c r="P35" s="155"/>
      <c r="Q35" s="114" t="str">
        <f>IFERROR(MIN(VLOOKUP(ROUNDDOWN(P35,0),'Aide calcul'!$B$2:$C$282,2,FALSE),O35+1),"")</f>
        <v/>
      </c>
      <c r="R35" s="115" t="str">
        <f t="shared" si="12"/>
        <v/>
      </c>
      <c r="S35" s="155"/>
      <c r="T35" s="155"/>
      <c r="U35" s="155"/>
      <c r="V35" s="155"/>
      <c r="W35" s="155"/>
      <c r="X35" s="155"/>
      <c r="Y35" s="155"/>
      <c r="Z35" s="78"/>
      <c r="AA35" s="78"/>
      <c r="AB35" s="116" t="str">
        <f>IF(C35="3111. Logements",ROUND(VLOOKUP(C35,'Informations générales'!$C$66:$D$70,2,FALSE)*(AK35/$AL$27)/12,0)*12,IF(C35="3112. Logements",ROUND(VLOOKUP(C35,'Informations générales'!$C$66:$D$70,2,FALSE)*(AK35/$AM$27)/12,0)*12,IF(C35="3113. Logements",ROUND(VLOOKUP(C35,'Informations générales'!$C$66:$D$70,2,FALSE)*(AK35/$AN$27)/12,0)*12,IF(C35="3114. Logements",ROUND(VLOOKUP(C35,'Informations générales'!$C$66:$D$70,2,FALSE)*(AK35/$AO$27)/12,0)*12,IF(C35="3115. Logements",ROUND(VLOOKUP(C35,'Informations générales'!$C$66:$D$70,2,FALSE)*(AK35/$AP$27)/12,0)*12,"")))))</f>
        <v/>
      </c>
      <c r="AC35" s="117"/>
      <c r="AD35" s="116">
        <f t="shared" si="13"/>
        <v>0</v>
      </c>
      <c r="AE35" s="117"/>
      <c r="AF35" s="116" t="str">
        <f>IF(C35="3111. Logements",ROUND(VLOOKUP(C35,'Informations générales'!$C$66:$G$70,5,FALSE)*(AK35/$AL$27)/12,0)*12,IF(C35="3112. Logements",ROUND(VLOOKUP(C35,'Informations générales'!$C$66:$G$70,5,FALSE)*(AK35/$AM$27)/12,0)*12,IF(C35="3113. Logements",ROUND(VLOOKUP(C35,'Informations générales'!$C$66:$G$70,5,FALSE)*(AK35/$AN$27)/12,0)*12,IF(C35="3114. Logements",ROUND(VLOOKUP(C35,'Informations générales'!$C$66:$G$70,5,FALSE)*(AK35/$AO$27)/12,0)*12,IF(C35="3115. Logements",ROUND(VLOOKUP(C35,'Informations générales'!$C$66:$G$70,5,FALSE)*(AK35/$AP$27)/12,0)*12,"")))))</f>
        <v/>
      </c>
      <c r="AG35" s="117"/>
      <c r="AH35" s="116" t="str">
        <f t="shared" si="14"/>
        <v/>
      </c>
      <c r="AI35" s="92"/>
      <c r="AJ35" s="78"/>
      <c r="AK35" s="60">
        <f t="shared" si="15"/>
        <v>0</v>
      </c>
      <c r="AL35" s="60"/>
      <c r="AM35" s="60"/>
      <c r="AN35" s="60"/>
      <c r="AO35" s="60"/>
      <c r="AP35" s="60"/>
      <c r="AQ35" s="60">
        <f t="shared" si="3"/>
        <v>0</v>
      </c>
      <c r="AR35" s="60">
        <f t="shared" si="4"/>
        <v>0</v>
      </c>
      <c r="AS35" s="60">
        <f t="shared" si="5"/>
        <v>0</v>
      </c>
      <c r="AT35" s="60">
        <f t="shared" si="6"/>
        <v>0</v>
      </c>
      <c r="AU35" s="60">
        <f t="shared" si="7"/>
        <v>0</v>
      </c>
      <c r="AV35" s="60">
        <f t="shared" si="8"/>
        <v>0</v>
      </c>
      <c r="AW35" s="60">
        <f t="shared" si="9"/>
        <v>0</v>
      </c>
      <c r="AX35" s="60">
        <f t="shared" si="16"/>
        <v>0</v>
      </c>
      <c r="AY35" s="64">
        <f t="shared" si="17"/>
        <v>0</v>
      </c>
      <c r="AZ35" s="65">
        <f t="shared" si="10"/>
        <v>0</v>
      </c>
      <c r="BA35" s="65">
        <f t="shared" si="11"/>
        <v>0</v>
      </c>
    </row>
    <row r="36" spans="3:53" s="17" customFormat="1" ht="14.45" customHeight="1" x14ac:dyDescent="0.25">
      <c r="C36" s="194"/>
      <c r="D36" s="195"/>
      <c r="E36" s="90"/>
      <c r="F36" s="198"/>
      <c r="G36" s="214"/>
      <c r="H36" s="199"/>
      <c r="I36" s="78"/>
      <c r="J36" s="79"/>
      <c r="K36" s="78"/>
      <c r="L36" s="80"/>
      <c r="M36" s="80"/>
      <c r="N36" s="78" t="s">
        <v>39</v>
      </c>
      <c r="O36" s="113"/>
      <c r="P36" s="155"/>
      <c r="Q36" s="114" t="str">
        <f>IFERROR(MIN(VLOOKUP(ROUNDDOWN(P36,0),'Aide calcul'!$B$2:$C$282,2,FALSE),O36+1),"")</f>
        <v/>
      </c>
      <c r="R36" s="115" t="str">
        <f t="shared" si="12"/>
        <v/>
      </c>
      <c r="S36" s="155"/>
      <c r="T36" s="155"/>
      <c r="U36" s="155"/>
      <c r="V36" s="155"/>
      <c r="W36" s="155"/>
      <c r="X36" s="155"/>
      <c r="Y36" s="155"/>
      <c r="Z36" s="78"/>
      <c r="AA36" s="78"/>
      <c r="AB36" s="116" t="str">
        <f>IF(C36="3111. Logements",ROUND(VLOOKUP(C36,'Informations générales'!$C$66:$D$70,2,FALSE)*(AK36/$AL$27)/12,0)*12,IF(C36="3112. Logements",ROUND(VLOOKUP(C36,'Informations générales'!$C$66:$D$70,2,FALSE)*(AK36/$AM$27)/12,0)*12,IF(C36="3113. Logements",ROUND(VLOOKUP(C36,'Informations générales'!$C$66:$D$70,2,FALSE)*(AK36/$AN$27)/12,0)*12,IF(C36="3114. Logements",ROUND(VLOOKUP(C36,'Informations générales'!$C$66:$D$70,2,FALSE)*(AK36/$AO$27)/12,0)*12,IF(C36="3115. Logements",ROUND(VLOOKUP(C36,'Informations générales'!$C$66:$D$70,2,FALSE)*(AK36/$AP$27)/12,0)*12,"")))))</f>
        <v/>
      </c>
      <c r="AC36" s="117"/>
      <c r="AD36" s="116">
        <f t="shared" si="13"/>
        <v>0</v>
      </c>
      <c r="AE36" s="117"/>
      <c r="AF36" s="116" t="str">
        <f>IF(C36="3111. Logements",ROUND(VLOOKUP(C36,'Informations générales'!$C$66:$G$70,5,FALSE)*(AK36/$AL$27)/12,0)*12,IF(C36="3112. Logements",ROUND(VLOOKUP(C36,'Informations générales'!$C$66:$G$70,5,FALSE)*(AK36/$AM$27)/12,0)*12,IF(C36="3113. Logements",ROUND(VLOOKUP(C36,'Informations générales'!$C$66:$G$70,5,FALSE)*(AK36/$AN$27)/12,0)*12,IF(C36="3114. Logements",ROUND(VLOOKUP(C36,'Informations générales'!$C$66:$G$70,5,FALSE)*(AK36/$AO$27)/12,0)*12,IF(C36="3115. Logements",ROUND(VLOOKUP(C36,'Informations générales'!$C$66:$G$70,5,FALSE)*(AK36/$AP$27)/12,0)*12,"")))))</f>
        <v/>
      </c>
      <c r="AG36" s="117"/>
      <c r="AH36" s="116" t="str">
        <f t="shared" si="14"/>
        <v/>
      </c>
      <c r="AI36" s="92"/>
      <c r="AJ36" s="78"/>
      <c r="AK36" s="60">
        <f t="shared" si="15"/>
        <v>0</v>
      </c>
      <c r="AL36" s="60"/>
      <c r="AM36" s="60"/>
      <c r="AN36" s="60"/>
      <c r="AO36" s="60"/>
      <c r="AP36" s="60"/>
      <c r="AQ36" s="60">
        <f t="shared" si="3"/>
        <v>0</v>
      </c>
      <c r="AR36" s="60">
        <f t="shared" si="4"/>
        <v>0</v>
      </c>
      <c r="AS36" s="60">
        <f t="shared" si="5"/>
        <v>0</v>
      </c>
      <c r="AT36" s="60">
        <f t="shared" si="6"/>
        <v>0</v>
      </c>
      <c r="AU36" s="60">
        <f t="shared" si="7"/>
        <v>0</v>
      </c>
      <c r="AV36" s="60">
        <f t="shared" si="8"/>
        <v>0</v>
      </c>
      <c r="AW36" s="60">
        <f t="shared" si="9"/>
        <v>0</v>
      </c>
      <c r="AX36" s="60">
        <f t="shared" si="16"/>
        <v>0</v>
      </c>
      <c r="AY36" s="64">
        <f t="shared" si="17"/>
        <v>0</v>
      </c>
      <c r="AZ36" s="65">
        <f t="shared" si="10"/>
        <v>0</v>
      </c>
      <c r="BA36" s="65">
        <f t="shared" si="11"/>
        <v>0</v>
      </c>
    </row>
    <row r="37" spans="3:53" s="17" customFormat="1" ht="14.45" customHeight="1" x14ac:dyDescent="0.25">
      <c r="C37" s="194"/>
      <c r="D37" s="195"/>
      <c r="E37" s="90"/>
      <c r="F37" s="198"/>
      <c r="G37" s="214"/>
      <c r="H37" s="199"/>
      <c r="I37" s="78"/>
      <c r="J37" s="79"/>
      <c r="K37" s="78"/>
      <c r="L37" s="80"/>
      <c r="M37" s="80"/>
      <c r="N37" s="78" t="s">
        <v>39</v>
      </c>
      <c r="O37" s="113"/>
      <c r="P37" s="155"/>
      <c r="Q37" s="114" t="str">
        <f>IFERROR(MIN(VLOOKUP(ROUNDDOWN(P37,0),'Aide calcul'!$B$2:$C$282,2,FALSE),O37+1),"")</f>
        <v/>
      </c>
      <c r="R37" s="115" t="str">
        <f t="shared" si="12"/>
        <v/>
      </c>
      <c r="S37" s="155"/>
      <c r="T37" s="155"/>
      <c r="U37" s="155"/>
      <c r="V37" s="155"/>
      <c r="W37" s="155"/>
      <c r="X37" s="155"/>
      <c r="Y37" s="155"/>
      <c r="Z37" s="78"/>
      <c r="AA37" s="78"/>
      <c r="AB37" s="116" t="str">
        <f>IF(C37="3111. Logements",ROUND(VLOOKUP(C37,'Informations générales'!$C$66:$D$70,2,FALSE)*(AK37/$AL$27)/12,0)*12,IF(C37="3112. Logements",ROUND(VLOOKUP(C37,'Informations générales'!$C$66:$D$70,2,FALSE)*(AK37/$AM$27)/12,0)*12,IF(C37="3113. Logements",ROUND(VLOOKUP(C37,'Informations générales'!$C$66:$D$70,2,FALSE)*(AK37/$AN$27)/12,0)*12,IF(C37="3114. Logements",ROUND(VLOOKUP(C37,'Informations générales'!$C$66:$D$70,2,FALSE)*(AK37/$AO$27)/12,0)*12,IF(C37="3115. Logements",ROUND(VLOOKUP(C37,'Informations générales'!$C$66:$D$70,2,FALSE)*(AK37/$AP$27)/12,0)*12,"")))))</f>
        <v/>
      </c>
      <c r="AC37" s="117"/>
      <c r="AD37" s="116">
        <f t="shared" si="13"/>
        <v>0</v>
      </c>
      <c r="AE37" s="117"/>
      <c r="AF37" s="116" t="str">
        <f>IF(C37="3111. Logements",ROUND(VLOOKUP(C37,'Informations générales'!$C$66:$G$70,5,FALSE)*(AK37/$AL$27)/12,0)*12,IF(C37="3112. Logements",ROUND(VLOOKUP(C37,'Informations générales'!$C$66:$G$70,5,FALSE)*(AK37/$AM$27)/12,0)*12,IF(C37="3113. Logements",ROUND(VLOOKUP(C37,'Informations générales'!$C$66:$G$70,5,FALSE)*(AK37/$AN$27)/12,0)*12,IF(C37="3114. Logements",ROUND(VLOOKUP(C37,'Informations générales'!$C$66:$G$70,5,FALSE)*(AK37/$AO$27)/12,0)*12,IF(C37="3115. Logements",ROUND(VLOOKUP(C37,'Informations générales'!$C$66:$G$70,5,FALSE)*(AK37/$AP$27)/12,0)*12,"")))))</f>
        <v/>
      </c>
      <c r="AG37" s="117"/>
      <c r="AH37" s="116" t="str">
        <f t="shared" si="14"/>
        <v/>
      </c>
      <c r="AI37" s="92"/>
      <c r="AJ37" s="78"/>
      <c r="AK37" s="60">
        <f t="shared" si="15"/>
        <v>0</v>
      </c>
      <c r="AL37" s="60"/>
      <c r="AM37" s="60"/>
      <c r="AN37" s="60"/>
      <c r="AO37" s="60"/>
      <c r="AP37" s="60"/>
      <c r="AQ37" s="60">
        <f t="shared" si="3"/>
        <v>0</v>
      </c>
      <c r="AR37" s="60">
        <f t="shared" si="4"/>
        <v>0</v>
      </c>
      <c r="AS37" s="60">
        <f t="shared" si="5"/>
        <v>0</v>
      </c>
      <c r="AT37" s="60">
        <f t="shared" si="6"/>
        <v>0</v>
      </c>
      <c r="AU37" s="60">
        <f t="shared" si="7"/>
        <v>0</v>
      </c>
      <c r="AV37" s="60">
        <f t="shared" si="8"/>
        <v>0</v>
      </c>
      <c r="AW37" s="60">
        <f t="shared" si="9"/>
        <v>0</v>
      </c>
      <c r="AX37" s="60">
        <f t="shared" si="16"/>
        <v>0</v>
      </c>
      <c r="AY37" s="64">
        <f t="shared" si="17"/>
        <v>0</v>
      </c>
      <c r="AZ37" s="65">
        <f t="shared" si="10"/>
        <v>0</v>
      </c>
      <c r="BA37" s="65">
        <f t="shared" si="11"/>
        <v>0</v>
      </c>
    </row>
    <row r="38" spans="3:53" s="17" customFormat="1" ht="14.45" customHeight="1" x14ac:dyDescent="0.25">
      <c r="C38" s="194"/>
      <c r="D38" s="195"/>
      <c r="E38" s="90"/>
      <c r="F38" s="198"/>
      <c r="G38" s="214"/>
      <c r="H38" s="199"/>
      <c r="I38" s="78"/>
      <c r="J38" s="79"/>
      <c r="K38" s="78"/>
      <c r="L38" s="80"/>
      <c r="M38" s="80"/>
      <c r="N38" s="78" t="s">
        <v>39</v>
      </c>
      <c r="O38" s="113"/>
      <c r="P38" s="155"/>
      <c r="Q38" s="114" t="str">
        <f>IFERROR(MIN(VLOOKUP(ROUNDDOWN(P38,0),'Aide calcul'!$B$2:$C$282,2,FALSE),O38+1),"")</f>
        <v/>
      </c>
      <c r="R38" s="115" t="str">
        <f t="shared" si="12"/>
        <v/>
      </c>
      <c r="S38" s="155"/>
      <c r="T38" s="155"/>
      <c r="U38" s="155"/>
      <c r="V38" s="155"/>
      <c r="W38" s="155"/>
      <c r="X38" s="155"/>
      <c r="Y38" s="155"/>
      <c r="Z38" s="78"/>
      <c r="AA38" s="78"/>
      <c r="AB38" s="116" t="str">
        <f>IF(C38="3111. Logements",ROUND(VLOOKUP(C38,'Informations générales'!$C$66:$D$70,2,FALSE)*(AK38/$AL$27)/12,0)*12,IF(C38="3112. Logements",ROUND(VLOOKUP(C38,'Informations générales'!$C$66:$D$70,2,FALSE)*(AK38/$AM$27)/12,0)*12,IF(C38="3113. Logements",ROUND(VLOOKUP(C38,'Informations générales'!$C$66:$D$70,2,FALSE)*(AK38/$AN$27)/12,0)*12,IF(C38="3114. Logements",ROUND(VLOOKUP(C38,'Informations générales'!$C$66:$D$70,2,FALSE)*(AK38/$AO$27)/12,0)*12,IF(C38="3115. Logements",ROUND(VLOOKUP(C38,'Informations générales'!$C$66:$D$70,2,FALSE)*(AK38/$AP$27)/12,0)*12,"")))))</f>
        <v/>
      </c>
      <c r="AC38" s="117"/>
      <c r="AD38" s="116">
        <f t="shared" si="13"/>
        <v>0</v>
      </c>
      <c r="AE38" s="117"/>
      <c r="AF38" s="116" t="str">
        <f>IF(C38="3111. Logements",ROUND(VLOOKUP(C38,'Informations générales'!$C$66:$G$70,5,FALSE)*(AK38/$AL$27)/12,0)*12,IF(C38="3112. Logements",ROUND(VLOOKUP(C38,'Informations générales'!$C$66:$G$70,5,FALSE)*(AK38/$AM$27)/12,0)*12,IF(C38="3113. Logements",ROUND(VLOOKUP(C38,'Informations générales'!$C$66:$G$70,5,FALSE)*(AK38/$AN$27)/12,0)*12,IF(C38="3114. Logements",ROUND(VLOOKUP(C38,'Informations générales'!$C$66:$G$70,5,FALSE)*(AK38/$AO$27)/12,0)*12,IF(C38="3115. Logements",ROUND(VLOOKUP(C38,'Informations générales'!$C$66:$G$70,5,FALSE)*(AK38/$AP$27)/12,0)*12,"")))))</f>
        <v/>
      </c>
      <c r="AG38" s="117"/>
      <c r="AH38" s="116" t="str">
        <f t="shared" si="14"/>
        <v/>
      </c>
      <c r="AI38" s="92"/>
      <c r="AJ38" s="78"/>
      <c r="AK38" s="60">
        <f t="shared" si="15"/>
        <v>0</v>
      </c>
      <c r="AL38" s="60"/>
      <c r="AM38" s="60"/>
      <c r="AN38" s="60"/>
      <c r="AO38" s="60"/>
      <c r="AP38" s="60"/>
      <c r="AQ38" s="60">
        <f t="shared" si="3"/>
        <v>0</v>
      </c>
      <c r="AR38" s="60">
        <f t="shared" si="4"/>
        <v>0</v>
      </c>
      <c r="AS38" s="60">
        <f t="shared" si="5"/>
        <v>0</v>
      </c>
      <c r="AT38" s="60">
        <f t="shared" si="6"/>
        <v>0</v>
      </c>
      <c r="AU38" s="60">
        <f t="shared" si="7"/>
        <v>0</v>
      </c>
      <c r="AV38" s="60">
        <f t="shared" si="8"/>
        <v>0</v>
      </c>
      <c r="AW38" s="60">
        <f t="shared" si="9"/>
        <v>0</v>
      </c>
      <c r="AX38" s="60">
        <f t="shared" si="16"/>
        <v>0</v>
      </c>
      <c r="AY38" s="64">
        <f t="shared" si="17"/>
        <v>0</v>
      </c>
      <c r="AZ38" s="65">
        <f t="shared" si="10"/>
        <v>0</v>
      </c>
      <c r="BA38" s="65">
        <f t="shared" si="11"/>
        <v>0</v>
      </c>
    </row>
    <row r="39" spans="3:53" s="17" customFormat="1" ht="14.45" customHeight="1" x14ac:dyDescent="0.25">
      <c r="C39" s="194"/>
      <c r="D39" s="195"/>
      <c r="E39" s="90"/>
      <c r="F39" s="198"/>
      <c r="G39" s="214"/>
      <c r="H39" s="199"/>
      <c r="I39" s="78"/>
      <c r="J39" s="79"/>
      <c r="K39" s="78"/>
      <c r="L39" s="80"/>
      <c r="M39" s="80"/>
      <c r="N39" s="78" t="s">
        <v>39</v>
      </c>
      <c r="O39" s="113"/>
      <c r="P39" s="155"/>
      <c r="Q39" s="114" t="str">
        <f>IFERROR(MIN(VLOOKUP(ROUNDDOWN(P39,0),'Aide calcul'!$B$2:$C$282,2,FALSE),O39+1),"")</f>
        <v/>
      </c>
      <c r="R39" s="115" t="str">
        <f t="shared" si="12"/>
        <v/>
      </c>
      <c r="S39" s="155"/>
      <c r="T39" s="155"/>
      <c r="U39" s="155"/>
      <c r="V39" s="155"/>
      <c r="W39" s="155"/>
      <c r="X39" s="155"/>
      <c r="Y39" s="155"/>
      <c r="Z39" s="78"/>
      <c r="AA39" s="78"/>
      <c r="AB39" s="116" t="str">
        <f>IF(C39="3111. Logements",ROUND(VLOOKUP(C39,'Informations générales'!$C$66:$D$70,2,FALSE)*(AK39/$AL$27)/12,0)*12,IF(C39="3112. Logements",ROUND(VLOOKUP(C39,'Informations générales'!$C$66:$D$70,2,FALSE)*(AK39/$AM$27)/12,0)*12,IF(C39="3113. Logements",ROUND(VLOOKUP(C39,'Informations générales'!$C$66:$D$70,2,FALSE)*(AK39/$AN$27)/12,0)*12,IF(C39="3114. Logements",ROUND(VLOOKUP(C39,'Informations générales'!$C$66:$D$70,2,FALSE)*(AK39/$AO$27)/12,0)*12,IF(C39="3115. Logements",ROUND(VLOOKUP(C39,'Informations générales'!$C$66:$D$70,2,FALSE)*(AK39/$AP$27)/12,0)*12,"")))))</f>
        <v/>
      </c>
      <c r="AC39" s="117"/>
      <c r="AD39" s="116">
        <f t="shared" si="13"/>
        <v>0</v>
      </c>
      <c r="AE39" s="117"/>
      <c r="AF39" s="116" t="str">
        <f>IF(C39="3111. Logements",ROUND(VLOOKUP(C39,'Informations générales'!$C$66:$G$70,5,FALSE)*(AK39/$AL$27)/12,0)*12,IF(C39="3112. Logements",ROUND(VLOOKUP(C39,'Informations générales'!$C$66:$G$70,5,FALSE)*(AK39/$AM$27)/12,0)*12,IF(C39="3113. Logements",ROUND(VLOOKUP(C39,'Informations générales'!$C$66:$G$70,5,FALSE)*(AK39/$AN$27)/12,0)*12,IF(C39="3114. Logements",ROUND(VLOOKUP(C39,'Informations générales'!$C$66:$G$70,5,FALSE)*(AK39/$AO$27)/12,0)*12,IF(C39="3115. Logements",ROUND(VLOOKUP(C39,'Informations générales'!$C$66:$G$70,5,FALSE)*(AK39/$AP$27)/12,0)*12,"")))))</f>
        <v/>
      </c>
      <c r="AG39" s="117"/>
      <c r="AH39" s="116" t="str">
        <f t="shared" si="14"/>
        <v/>
      </c>
      <c r="AI39" s="92"/>
      <c r="AJ39" s="78"/>
      <c r="AK39" s="60">
        <f t="shared" si="15"/>
        <v>0</v>
      </c>
      <c r="AL39" s="60"/>
      <c r="AM39" s="60"/>
      <c r="AN39" s="60"/>
      <c r="AO39" s="60"/>
      <c r="AP39" s="60"/>
      <c r="AQ39" s="60">
        <f t="shared" si="3"/>
        <v>0</v>
      </c>
      <c r="AR39" s="60">
        <f t="shared" si="4"/>
        <v>0</v>
      </c>
      <c r="AS39" s="60">
        <f t="shared" si="5"/>
        <v>0</v>
      </c>
      <c r="AT39" s="60">
        <f t="shared" si="6"/>
        <v>0</v>
      </c>
      <c r="AU39" s="60">
        <f t="shared" si="7"/>
        <v>0</v>
      </c>
      <c r="AV39" s="60">
        <f t="shared" si="8"/>
        <v>0</v>
      </c>
      <c r="AW39" s="60">
        <f t="shared" si="9"/>
        <v>0</v>
      </c>
      <c r="AX39" s="60">
        <f t="shared" si="16"/>
        <v>0</v>
      </c>
      <c r="AY39" s="64">
        <f t="shared" si="17"/>
        <v>0</v>
      </c>
      <c r="AZ39" s="65">
        <f t="shared" si="10"/>
        <v>0</v>
      </c>
      <c r="BA39" s="65">
        <f t="shared" si="11"/>
        <v>0</v>
      </c>
    </row>
    <row r="40" spans="3:53" s="17" customFormat="1" ht="14.45" customHeight="1" x14ac:dyDescent="0.25">
      <c r="C40" s="194"/>
      <c r="D40" s="195"/>
      <c r="E40" s="90"/>
      <c r="F40" s="198"/>
      <c r="G40" s="214"/>
      <c r="H40" s="199"/>
      <c r="I40" s="78"/>
      <c r="J40" s="79"/>
      <c r="K40" s="78"/>
      <c r="L40" s="80"/>
      <c r="M40" s="80"/>
      <c r="N40" s="78" t="s">
        <v>39</v>
      </c>
      <c r="O40" s="113"/>
      <c r="P40" s="155"/>
      <c r="Q40" s="114" t="str">
        <f>IFERROR(MIN(VLOOKUP(ROUNDDOWN(P40,0),'Aide calcul'!$B$2:$C$282,2,FALSE),O40+1),"")</f>
        <v/>
      </c>
      <c r="R40" s="115" t="str">
        <f t="shared" si="12"/>
        <v/>
      </c>
      <c r="S40" s="155"/>
      <c r="T40" s="155"/>
      <c r="U40" s="155"/>
      <c r="V40" s="155"/>
      <c r="W40" s="155"/>
      <c r="X40" s="155"/>
      <c r="Y40" s="155"/>
      <c r="Z40" s="78"/>
      <c r="AA40" s="78"/>
      <c r="AB40" s="116" t="str">
        <f>IF(C40="3111. Logements",ROUND(VLOOKUP(C40,'Informations générales'!$C$66:$D$70,2,FALSE)*(AK40/$AL$27)/12,0)*12,IF(C40="3112. Logements",ROUND(VLOOKUP(C40,'Informations générales'!$C$66:$D$70,2,FALSE)*(AK40/$AM$27)/12,0)*12,IF(C40="3113. Logements",ROUND(VLOOKUP(C40,'Informations générales'!$C$66:$D$70,2,FALSE)*(AK40/$AN$27)/12,0)*12,IF(C40="3114. Logements",ROUND(VLOOKUP(C40,'Informations générales'!$C$66:$D$70,2,FALSE)*(AK40/$AO$27)/12,0)*12,IF(C40="3115. Logements",ROUND(VLOOKUP(C40,'Informations générales'!$C$66:$D$70,2,FALSE)*(AK40/$AP$27)/12,0)*12,"")))))</f>
        <v/>
      </c>
      <c r="AC40" s="117"/>
      <c r="AD40" s="116">
        <f t="shared" si="13"/>
        <v>0</v>
      </c>
      <c r="AE40" s="117"/>
      <c r="AF40" s="116" t="str">
        <f>IF(C40="3111. Logements",ROUND(VLOOKUP(C40,'Informations générales'!$C$66:$G$70,5,FALSE)*(AK40/$AL$27)/12,0)*12,IF(C40="3112. Logements",ROUND(VLOOKUP(C40,'Informations générales'!$C$66:$G$70,5,FALSE)*(AK40/$AM$27)/12,0)*12,IF(C40="3113. Logements",ROUND(VLOOKUP(C40,'Informations générales'!$C$66:$G$70,5,FALSE)*(AK40/$AN$27)/12,0)*12,IF(C40="3114. Logements",ROUND(VLOOKUP(C40,'Informations générales'!$C$66:$G$70,5,FALSE)*(AK40/$AO$27)/12,0)*12,IF(C40="3115. Logements",ROUND(VLOOKUP(C40,'Informations générales'!$C$66:$G$70,5,FALSE)*(AK40/$AP$27)/12,0)*12,"")))))</f>
        <v/>
      </c>
      <c r="AG40" s="117"/>
      <c r="AH40" s="116" t="str">
        <f t="shared" si="14"/>
        <v/>
      </c>
      <c r="AI40" s="92"/>
      <c r="AJ40" s="78"/>
      <c r="AK40" s="60">
        <f t="shared" si="15"/>
        <v>0</v>
      </c>
      <c r="AL40" s="60"/>
      <c r="AM40" s="60"/>
      <c r="AN40" s="60"/>
      <c r="AO40" s="60"/>
      <c r="AP40" s="60"/>
      <c r="AQ40" s="60">
        <f t="shared" si="3"/>
        <v>0</v>
      </c>
      <c r="AR40" s="60">
        <f t="shared" si="4"/>
        <v>0</v>
      </c>
      <c r="AS40" s="60">
        <f t="shared" si="5"/>
        <v>0</v>
      </c>
      <c r="AT40" s="60">
        <f t="shared" si="6"/>
        <v>0</v>
      </c>
      <c r="AU40" s="60">
        <f t="shared" si="7"/>
        <v>0</v>
      </c>
      <c r="AV40" s="60">
        <f t="shared" si="8"/>
        <v>0</v>
      </c>
      <c r="AW40" s="60">
        <f t="shared" si="9"/>
        <v>0</v>
      </c>
      <c r="AX40" s="60">
        <f t="shared" si="16"/>
        <v>0</v>
      </c>
      <c r="AY40" s="64">
        <f t="shared" si="17"/>
        <v>0</v>
      </c>
      <c r="AZ40" s="65">
        <f t="shared" si="10"/>
        <v>0</v>
      </c>
      <c r="BA40" s="65">
        <f t="shared" si="11"/>
        <v>0</v>
      </c>
    </row>
    <row r="41" spans="3:53" s="17" customFormat="1" ht="14.45" customHeight="1" x14ac:dyDescent="0.25">
      <c r="C41" s="194"/>
      <c r="D41" s="195"/>
      <c r="E41" s="90"/>
      <c r="F41" s="198"/>
      <c r="G41" s="214"/>
      <c r="H41" s="199"/>
      <c r="I41" s="78"/>
      <c r="J41" s="79"/>
      <c r="K41" s="78"/>
      <c r="L41" s="80"/>
      <c r="M41" s="80"/>
      <c r="N41" s="78" t="s">
        <v>39</v>
      </c>
      <c r="O41" s="113"/>
      <c r="P41" s="155"/>
      <c r="Q41" s="114" t="str">
        <f>IFERROR(MIN(VLOOKUP(ROUNDDOWN(P41,0),'Aide calcul'!$B$2:$C$282,2,FALSE),O41+1),"")</f>
        <v/>
      </c>
      <c r="R41" s="115" t="str">
        <f t="shared" si="12"/>
        <v/>
      </c>
      <c r="S41" s="155"/>
      <c r="T41" s="155"/>
      <c r="U41" s="155"/>
      <c r="V41" s="155"/>
      <c r="W41" s="155"/>
      <c r="X41" s="155"/>
      <c r="Y41" s="155"/>
      <c r="Z41" s="78"/>
      <c r="AA41" s="78"/>
      <c r="AB41" s="116" t="str">
        <f>IF(C41="3111. Logements",ROUND(VLOOKUP(C41,'Informations générales'!$C$66:$D$70,2,FALSE)*(AK41/$AL$27)/12,0)*12,IF(C41="3112. Logements",ROUND(VLOOKUP(C41,'Informations générales'!$C$66:$D$70,2,FALSE)*(AK41/$AM$27)/12,0)*12,IF(C41="3113. Logements",ROUND(VLOOKUP(C41,'Informations générales'!$C$66:$D$70,2,FALSE)*(AK41/$AN$27)/12,0)*12,IF(C41="3114. Logements",ROUND(VLOOKUP(C41,'Informations générales'!$C$66:$D$70,2,FALSE)*(AK41/$AO$27)/12,0)*12,IF(C41="3115. Logements",ROUND(VLOOKUP(C41,'Informations générales'!$C$66:$D$70,2,FALSE)*(AK41/$AP$27)/12,0)*12,"")))))</f>
        <v/>
      </c>
      <c r="AC41" s="117"/>
      <c r="AD41" s="116">
        <f t="shared" si="13"/>
        <v>0</v>
      </c>
      <c r="AE41" s="117"/>
      <c r="AF41" s="116" t="str">
        <f>IF(C41="3111. Logements",ROUND(VLOOKUP(C41,'Informations générales'!$C$66:$G$70,5,FALSE)*(AK41/$AL$27)/12,0)*12,IF(C41="3112. Logements",ROUND(VLOOKUP(C41,'Informations générales'!$C$66:$G$70,5,FALSE)*(AK41/$AM$27)/12,0)*12,IF(C41="3113. Logements",ROUND(VLOOKUP(C41,'Informations générales'!$C$66:$G$70,5,FALSE)*(AK41/$AN$27)/12,0)*12,IF(C41="3114. Logements",ROUND(VLOOKUP(C41,'Informations générales'!$C$66:$G$70,5,FALSE)*(AK41/$AO$27)/12,0)*12,IF(C41="3115. Logements",ROUND(VLOOKUP(C41,'Informations générales'!$C$66:$G$70,5,FALSE)*(AK41/$AP$27)/12,0)*12,"")))))</f>
        <v/>
      </c>
      <c r="AG41" s="117"/>
      <c r="AH41" s="116" t="str">
        <f t="shared" si="14"/>
        <v/>
      </c>
      <c r="AI41" s="92"/>
      <c r="AJ41" s="78"/>
      <c r="AK41" s="60">
        <f t="shared" si="15"/>
        <v>0</v>
      </c>
      <c r="AL41" s="60"/>
      <c r="AM41" s="60"/>
      <c r="AN41" s="60"/>
      <c r="AO41" s="60"/>
      <c r="AP41" s="60"/>
      <c r="AQ41" s="60">
        <f t="shared" si="3"/>
        <v>0</v>
      </c>
      <c r="AR41" s="60">
        <f t="shared" si="4"/>
        <v>0</v>
      </c>
      <c r="AS41" s="60">
        <f t="shared" si="5"/>
        <v>0</v>
      </c>
      <c r="AT41" s="60">
        <f t="shared" si="6"/>
        <v>0</v>
      </c>
      <c r="AU41" s="60">
        <f t="shared" si="7"/>
        <v>0</v>
      </c>
      <c r="AV41" s="60">
        <f t="shared" si="8"/>
        <v>0</v>
      </c>
      <c r="AW41" s="60">
        <f t="shared" si="9"/>
        <v>0</v>
      </c>
      <c r="AX41" s="60">
        <f t="shared" si="16"/>
        <v>0</v>
      </c>
      <c r="AY41" s="64">
        <f t="shared" si="17"/>
        <v>0</v>
      </c>
      <c r="AZ41" s="65">
        <f t="shared" si="10"/>
        <v>0</v>
      </c>
      <c r="BA41" s="65">
        <f t="shared" si="11"/>
        <v>0</v>
      </c>
    </row>
    <row r="42" spans="3:53" s="17" customFormat="1" ht="14.45" customHeight="1" x14ac:dyDescent="0.25">
      <c r="C42" s="194"/>
      <c r="D42" s="195"/>
      <c r="E42" s="90"/>
      <c r="F42" s="198"/>
      <c r="G42" s="214"/>
      <c r="H42" s="199"/>
      <c r="I42" s="78"/>
      <c r="J42" s="79"/>
      <c r="K42" s="78"/>
      <c r="L42" s="80"/>
      <c r="M42" s="80"/>
      <c r="N42" s="78" t="s">
        <v>39</v>
      </c>
      <c r="O42" s="113"/>
      <c r="P42" s="155"/>
      <c r="Q42" s="114" t="str">
        <f>IFERROR(MIN(VLOOKUP(ROUNDDOWN(P42,0),'Aide calcul'!$B$2:$C$282,2,FALSE),O42+1),"")</f>
        <v/>
      </c>
      <c r="R42" s="115" t="str">
        <f t="shared" si="12"/>
        <v/>
      </c>
      <c r="S42" s="155"/>
      <c r="T42" s="155"/>
      <c r="U42" s="155"/>
      <c r="V42" s="155"/>
      <c r="W42" s="155"/>
      <c r="X42" s="155"/>
      <c r="Y42" s="155"/>
      <c r="Z42" s="78"/>
      <c r="AA42" s="78"/>
      <c r="AB42" s="116" t="str">
        <f>IF(C42="3111. Logements",ROUND(VLOOKUP(C42,'Informations générales'!$C$66:$D$70,2,FALSE)*(AK42/$AL$27)/12,0)*12,IF(C42="3112. Logements",ROUND(VLOOKUP(C42,'Informations générales'!$C$66:$D$70,2,FALSE)*(AK42/$AM$27)/12,0)*12,IF(C42="3113. Logements",ROUND(VLOOKUP(C42,'Informations générales'!$C$66:$D$70,2,FALSE)*(AK42/$AN$27)/12,0)*12,IF(C42="3114. Logements",ROUND(VLOOKUP(C42,'Informations générales'!$C$66:$D$70,2,FALSE)*(AK42/$AO$27)/12,0)*12,IF(C42="3115. Logements",ROUND(VLOOKUP(C42,'Informations générales'!$C$66:$D$70,2,FALSE)*(AK42/$AP$27)/12,0)*12,"")))))</f>
        <v/>
      </c>
      <c r="AC42" s="117"/>
      <c r="AD42" s="116">
        <f t="shared" si="13"/>
        <v>0</v>
      </c>
      <c r="AE42" s="117"/>
      <c r="AF42" s="116" t="str">
        <f>IF(C42="3111. Logements",ROUND(VLOOKUP(C42,'Informations générales'!$C$66:$G$70,5,FALSE)*(AK42/$AL$27)/12,0)*12,IF(C42="3112. Logements",ROUND(VLOOKUP(C42,'Informations générales'!$C$66:$G$70,5,FALSE)*(AK42/$AM$27)/12,0)*12,IF(C42="3113. Logements",ROUND(VLOOKUP(C42,'Informations générales'!$C$66:$G$70,5,FALSE)*(AK42/$AN$27)/12,0)*12,IF(C42="3114. Logements",ROUND(VLOOKUP(C42,'Informations générales'!$C$66:$G$70,5,FALSE)*(AK42/$AO$27)/12,0)*12,IF(C42="3115. Logements",ROUND(VLOOKUP(C42,'Informations générales'!$C$66:$G$70,5,FALSE)*(AK42/$AP$27)/12,0)*12,"")))))</f>
        <v/>
      </c>
      <c r="AG42" s="117"/>
      <c r="AH42" s="116" t="str">
        <f t="shared" si="14"/>
        <v/>
      </c>
      <c r="AI42" s="92"/>
      <c r="AJ42" s="78"/>
      <c r="AK42" s="60">
        <f t="shared" si="15"/>
        <v>0</v>
      </c>
      <c r="AL42" s="60"/>
      <c r="AM42" s="60"/>
      <c r="AN42" s="60"/>
      <c r="AO42" s="60"/>
      <c r="AP42" s="60"/>
      <c r="AQ42" s="60">
        <f t="shared" si="3"/>
        <v>0</v>
      </c>
      <c r="AR42" s="60">
        <f t="shared" si="4"/>
        <v>0</v>
      </c>
      <c r="AS42" s="60">
        <f t="shared" si="5"/>
        <v>0</v>
      </c>
      <c r="AT42" s="60">
        <f t="shared" si="6"/>
        <v>0</v>
      </c>
      <c r="AU42" s="60">
        <f t="shared" si="7"/>
        <v>0</v>
      </c>
      <c r="AV42" s="60">
        <f t="shared" si="8"/>
        <v>0</v>
      </c>
      <c r="AW42" s="60">
        <f t="shared" si="9"/>
        <v>0</v>
      </c>
      <c r="AX42" s="60">
        <f t="shared" si="16"/>
        <v>0</v>
      </c>
      <c r="AY42" s="64">
        <f t="shared" si="17"/>
        <v>0</v>
      </c>
      <c r="AZ42" s="65">
        <f t="shared" si="10"/>
        <v>0</v>
      </c>
      <c r="BA42" s="65">
        <f t="shared" si="11"/>
        <v>0</v>
      </c>
    </row>
    <row r="43" spans="3:53" s="17" customFormat="1" ht="14.45" customHeight="1" x14ac:dyDescent="0.25">
      <c r="C43" s="194"/>
      <c r="D43" s="195"/>
      <c r="E43" s="90"/>
      <c r="F43" s="198"/>
      <c r="G43" s="214"/>
      <c r="H43" s="199"/>
      <c r="I43" s="78"/>
      <c r="J43" s="79"/>
      <c r="K43" s="78"/>
      <c r="L43" s="80"/>
      <c r="M43" s="80"/>
      <c r="N43" s="78" t="s">
        <v>39</v>
      </c>
      <c r="O43" s="113"/>
      <c r="P43" s="155"/>
      <c r="Q43" s="114" t="str">
        <f>IFERROR(MIN(VLOOKUP(ROUNDDOWN(P43,0),'Aide calcul'!$B$2:$C$282,2,FALSE),O43+1),"")</f>
        <v/>
      </c>
      <c r="R43" s="115" t="str">
        <f t="shared" si="12"/>
        <v/>
      </c>
      <c r="S43" s="155"/>
      <c r="T43" s="155"/>
      <c r="U43" s="155"/>
      <c r="V43" s="155"/>
      <c r="W43" s="155"/>
      <c r="X43" s="155"/>
      <c r="Y43" s="155"/>
      <c r="Z43" s="78"/>
      <c r="AA43" s="78"/>
      <c r="AB43" s="116" t="str">
        <f>IF(C43="3111. Logements",ROUND(VLOOKUP(C43,'Informations générales'!$C$66:$D$70,2,FALSE)*(AK43/$AL$27)/12,0)*12,IF(C43="3112. Logements",ROUND(VLOOKUP(C43,'Informations générales'!$C$66:$D$70,2,FALSE)*(AK43/$AM$27)/12,0)*12,IF(C43="3113. Logements",ROUND(VLOOKUP(C43,'Informations générales'!$C$66:$D$70,2,FALSE)*(AK43/$AN$27)/12,0)*12,IF(C43="3114. Logements",ROUND(VLOOKUP(C43,'Informations générales'!$C$66:$D$70,2,FALSE)*(AK43/$AO$27)/12,0)*12,IF(C43="3115. Logements",ROUND(VLOOKUP(C43,'Informations générales'!$C$66:$D$70,2,FALSE)*(AK43/$AP$27)/12,0)*12,"")))))</f>
        <v/>
      </c>
      <c r="AC43" s="117"/>
      <c r="AD43" s="116">
        <f t="shared" si="13"/>
        <v>0</v>
      </c>
      <c r="AE43" s="117"/>
      <c r="AF43" s="116" t="str">
        <f>IF(C43="3111. Logements",ROUND(VLOOKUP(C43,'Informations générales'!$C$66:$G$70,5,FALSE)*(AK43/$AL$27)/12,0)*12,IF(C43="3112. Logements",ROUND(VLOOKUP(C43,'Informations générales'!$C$66:$G$70,5,FALSE)*(AK43/$AM$27)/12,0)*12,IF(C43="3113. Logements",ROUND(VLOOKUP(C43,'Informations générales'!$C$66:$G$70,5,FALSE)*(AK43/$AN$27)/12,0)*12,IF(C43="3114. Logements",ROUND(VLOOKUP(C43,'Informations générales'!$C$66:$G$70,5,FALSE)*(AK43/$AO$27)/12,0)*12,IF(C43="3115. Logements",ROUND(VLOOKUP(C43,'Informations générales'!$C$66:$G$70,5,FALSE)*(AK43/$AP$27)/12,0)*12,"")))))</f>
        <v/>
      </c>
      <c r="AG43" s="117"/>
      <c r="AH43" s="116" t="str">
        <f t="shared" si="14"/>
        <v/>
      </c>
      <c r="AI43" s="92"/>
      <c r="AJ43" s="78"/>
      <c r="AK43" s="60">
        <f t="shared" si="15"/>
        <v>0</v>
      </c>
      <c r="AL43" s="60"/>
      <c r="AM43" s="60"/>
      <c r="AN43" s="60"/>
      <c r="AO43" s="60"/>
      <c r="AP43" s="60"/>
      <c r="AQ43" s="60">
        <f t="shared" si="3"/>
        <v>0</v>
      </c>
      <c r="AR43" s="60">
        <f t="shared" si="4"/>
        <v>0</v>
      </c>
      <c r="AS43" s="60">
        <f t="shared" si="5"/>
        <v>0</v>
      </c>
      <c r="AT43" s="60">
        <f t="shared" si="6"/>
        <v>0</v>
      </c>
      <c r="AU43" s="60">
        <f t="shared" si="7"/>
        <v>0</v>
      </c>
      <c r="AV43" s="60">
        <f t="shared" si="8"/>
        <v>0</v>
      </c>
      <c r="AW43" s="60">
        <f t="shared" si="9"/>
        <v>0</v>
      </c>
      <c r="AX43" s="60">
        <f t="shared" si="16"/>
        <v>0</v>
      </c>
      <c r="AY43" s="64">
        <f t="shared" si="17"/>
        <v>0</v>
      </c>
      <c r="AZ43" s="65">
        <f t="shared" si="10"/>
        <v>0</v>
      </c>
      <c r="BA43" s="65">
        <f t="shared" si="11"/>
        <v>0</v>
      </c>
    </row>
    <row r="44" spans="3:53" s="17" customFormat="1" ht="14.45" customHeight="1" x14ac:dyDescent="0.25">
      <c r="C44" s="194"/>
      <c r="D44" s="195"/>
      <c r="E44" s="90"/>
      <c r="F44" s="198"/>
      <c r="G44" s="214"/>
      <c r="H44" s="199"/>
      <c r="I44" s="78"/>
      <c r="J44" s="79"/>
      <c r="K44" s="78"/>
      <c r="L44" s="80"/>
      <c r="M44" s="80"/>
      <c r="N44" s="78" t="s">
        <v>39</v>
      </c>
      <c r="O44" s="113"/>
      <c r="P44" s="155"/>
      <c r="Q44" s="114" t="str">
        <f>IFERROR(MIN(VLOOKUP(ROUNDDOWN(P44,0),'Aide calcul'!$B$2:$C$282,2,FALSE),O44+1),"")</f>
        <v/>
      </c>
      <c r="R44" s="115" t="str">
        <f t="shared" si="12"/>
        <v/>
      </c>
      <c r="S44" s="155"/>
      <c r="T44" s="155"/>
      <c r="U44" s="155"/>
      <c r="V44" s="155"/>
      <c r="W44" s="155"/>
      <c r="X44" s="155"/>
      <c r="Y44" s="155"/>
      <c r="Z44" s="78"/>
      <c r="AA44" s="78"/>
      <c r="AB44" s="116" t="str">
        <f>IF(C44="3111. Logements",ROUND(VLOOKUP(C44,'Informations générales'!$C$66:$D$70,2,FALSE)*(AK44/$AL$27)/12,0)*12,IF(C44="3112. Logements",ROUND(VLOOKUP(C44,'Informations générales'!$C$66:$D$70,2,FALSE)*(AK44/$AM$27)/12,0)*12,IF(C44="3113. Logements",ROUND(VLOOKUP(C44,'Informations générales'!$C$66:$D$70,2,FALSE)*(AK44/$AN$27)/12,0)*12,IF(C44="3114. Logements",ROUND(VLOOKUP(C44,'Informations générales'!$C$66:$D$70,2,FALSE)*(AK44/$AO$27)/12,0)*12,IF(C44="3115. Logements",ROUND(VLOOKUP(C44,'Informations générales'!$C$66:$D$70,2,FALSE)*(AK44/$AP$27)/12,0)*12,"")))))</f>
        <v/>
      </c>
      <c r="AC44" s="117"/>
      <c r="AD44" s="116">
        <f t="shared" si="13"/>
        <v>0</v>
      </c>
      <c r="AE44" s="117"/>
      <c r="AF44" s="116" t="str">
        <f>IF(C44="3111. Logements",ROUND(VLOOKUP(C44,'Informations générales'!$C$66:$G$70,5,FALSE)*(AK44/$AL$27)/12,0)*12,IF(C44="3112. Logements",ROUND(VLOOKUP(C44,'Informations générales'!$C$66:$G$70,5,FALSE)*(AK44/$AM$27)/12,0)*12,IF(C44="3113. Logements",ROUND(VLOOKUP(C44,'Informations générales'!$C$66:$G$70,5,FALSE)*(AK44/$AN$27)/12,0)*12,IF(C44="3114. Logements",ROUND(VLOOKUP(C44,'Informations générales'!$C$66:$G$70,5,FALSE)*(AK44/$AO$27)/12,0)*12,IF(C44="3115. Logements",ROUND(VLOOKUP(C44,'Informations générales'!$C$66:$G$70,5,FALSE)*(AK44/$AP$27)/12,0)*12,"")))))</f>
        <v/>
      </c>
      <c r="AG44" s="117"/>
      <c r="AH44" s="116" t="str">
        <f t="shared" si="14"/>
        <v/>
      </c>
      <c r="AI44" s="92"/>
      <c r="AJ44" s="78"/>
      <c r="AK44" s="60">
        <f t="shared" si="15"/>
        <v>0</v>
      </c>
      <c r="AL44" s="60"/>
      <c r="AM44" s="60"/>
      <c r="AN44" s="60"/>
      <c r="AO44" s="60"/>
      <c r="AP44" s="60"/>
      <c r="AQ44" s="60">
        <f t="shared" si="3"/>
        <v>0</v>
      </c>
      <c r="AR44" s="60">
        <f t="shared" si="4"/>
        <v>0</v>
      </c>
      <c r="AS44" s="60">
        <f t="shared" si="5"/>
        <v>0</v>
      </c>
      <c r="AT44" s="60">
        <f t="shared" si="6"/>
        <v>0</v>
      </c>
      <c r="AU44" s="60">
        <f t="shared" si="7"/>
        <v>0</v>
      </c>
      <c r="AV44" s="60">
        <f t="shared" si="8"/>
        <v>0</v>
      </c>
      <c r="AW44" s="60">
        <f t="shared" si="9"/>
        <v>0</v>
      </c>
      <c r="AX44" s="60">
        <f t="shared" si="16"/>
        <v>0</v>
      </c>
      <c r="AY44" s="64">
        <f t="shared" si="17"/>
        <v>0</v>
      </c>
      <c r="AZ44" s="65">
        <f t="shared" si="10"/>
        <v>0</v>
      </c>
      <c r="BA44" s="65">
        <f t="shared" si="11"/>
        <v>0</v>
      </c>
    </row>
    <row r="45" spans="3:53" s="17" customFormat="1" ht="14.45" customHeight="1" x14ac:dyDescent="0.25">
      <c r="C45" s="194"/>
      <c r="D45" s="195"/>
      <c r="E45" s="90"/>
      <c r="F45" s="198"/>
      <c r="G45" s="214"/>
      <c r="H45" s="199"/>
      <c r="I45" s="78"/>
      <c r="J45" s="79"/>
      <c r="K45" s="78"/>
      <c r="L45" s="80"/>
      <c r="M45" s="80"/>
      <c r="N45" s="78" t="s">
        <v>39</v>
      </c>
      <c r="O45" s="113"/>
      <c r="P45" s="155"/>
      <c r="Q45" s="114" t="str">
        <f>IFERROR(MIN(VLOOKUP(ROUNDDOWN(P45,0),'Aide calcul'!$B$2:$C$282,2,FALSE),O45+1),"")</f>
        <v/>
      </c>
      <c r="R45" s="115" t="str">
        <f t="shared" si="12"/>
        <v/>
      </c>
      <c r="S45" s="155"/>
      <c r="T45" s="155"/>
      <c r="U45" s="155"/>
      <c r="V45" s="155"/>
      <c r="W45" s="155"/>
      <c r="X45" s="155"/>
      <c r="Y45" s="155"/>
      <c r="Z45" s="78"/>
      <c r="AA45" s="78"/>
      <c r="AB45" s="116" t="str">
        <f>IF(C45="3111. Logements",ROUND(VLOOKUP(C45,'Informations générales'!$C$66:$D$70,2,FALSE)*(AK45/$AL$27)/12,0)*12,IF(C45="3112. Logements",ROUND(VLOOKUP(C45,'Informations générales'!$C$66:$D$70,2,FALSE)*(AK45/$AM$27)/12,0)*12,IF(C45="3113. Logements",ROUND(VLOOKUP(C45,'Informations générales'!$C$66:$D$70,2,FALSE)*(AK45/$AN$27)/12,0)*12,IF(C45="3114. Logements",ROUND(VLOOKUP(C45,'Informations générales'!$C$66:$D$70,2,FALSE)*(AK45/$AO$27)/12,0)*12,IF(C45="3115. Logements",ROUND(VLOOKUP(C45,'Informations générales'!$C$66:$D$70,2,FALSE)*(AK45/$AP$27)/12,0)*12,"")))))</f>
        <v/>
      </c>
      <c r="AC45" s="117"/>
      <c r="AD45" s="116">
        <f t="shared" si="13"/>
        <v>0</v>
      </c>
      <c r="AE45" s="117"/>
      <c r="AF45" s="116" t="str">
        <f>IF(C45="3111. Logements",ROUND(VLOOKUP(C45,'Informations générales'!$C$66:$G$70,5,FALSE)*(AK45/$AL$27)/12,0)*12,IF(C45="3112. Logements",ROUND(VLOOKUP(C45,'Informations générales'!$C$66:$G$70,5,FALSE)*(AK45/$AM$27)/12,0)*12,IF(C45="3113. Logements",ROUND(VLOOKUP(C45,'Informations générales'!$C$66:$G$70,5,FALSE)*(AK45/$AN$27)/12,0)*12,IF(C45="3114. Logements",ROUND(VLOOKUP(C45,'Informations générales'!$C$66:$G$70,5,FALSE)*(AK45/$AO$27)/12,0)*12,IF(C45="3115. Logements",ROUND(VLOOKUP(C45,'Informations générales'!$C$66:$G$70,5,FALSE)*(AK45/$AP$27)/12,0)*12,"")))))</f>
        <v/>
      </c>
      <c r="AG45" s="117"/>
      <c r="AH45" s="116" t="str">
        <f t="shared" si="14"/>
        <v/>
      </c>
      <c r="AI45" s="92"/>
      <c r="AJ45" s="78"/>
      <c r="AK45" s="60">
        <f t="shared" si="15"/>
        <v>0</v>
      </c>
      <c r="AL45" s="60"/>
      <c r="AM45" s="60"/>
      <c r="AN45" s="60"/>
      <c r="AO45" s="60"/>
      <c r="AP45" s="60"/>
      <c r="AQ45" s="60">
        <f t="shared" si="3"/>
        <v>0</v>
      </c>
      <c r="AR45" s="60">
        <f t="shared" si="4"/>
        <v>0</v>
      </c>
      <c r="AS45" s="60">
        <f t="shared" si="5"/>
        <v>0</v>
      </c>
      <c r="AT45" s="60">
        <f t="shared" si="6"/>
        <v>0</v>
      </c>
      <c r="AU45" s="60">
        <f t="shared" si="7"/>
        <v>0</v>
      </c>
      <c r="AV45" s="60">
        <f t="shared" si="8"/>
        <v>0</v>
      </c>
      <c r="AW45" s="60">
        <f t="shared" si="9"/>
        <v>0</v>
      </c>
      <c r="AX45" s="60">
        <f t="shared" si="16"/>
        <v>0</v>
      </c>
      <c r="AY45" s="64">
        <f t="shared" si="17"/>
        <v>0</v>
      </c>
      <c r="AZ45" s="65">
        <f t="shared" si="10"/>
        <v>0</v>
      </c>
      <c r="BA45" s="65">
        <f t="shared" si="11"/>
        <v>0</v>
      </c>
    </row>
    <row r="46" spans="3:53" s="17" customFormat="1" ht="14.45" customHeight="1" x14ac:dyDescent="0.25">
      <c r="C46" s="194"/>
      <c r="D46" s="195"/>
      <c r="E46" s="90"/>
      <c r="F46" s="198"/>
      <c r="G46" s="214"/>
      <c r="H46" s="199"/>
      <c r="I46" s="78"/>
      <c r="J46" s="79"/>
      <c r="K46" s="78"/>
      <c r="L46" s="80"/>
      <c r="M46" s="80"/>
      <c r="N46" s="78" t="s">
        <v>39</v>
      </c>
      <c r="O46" s="113"/>
      <c r="P46" s="155"/>
      <c r="Q46" s="114" t="str">
        <f>IFERROR(MIN(VLOOKUP(ROUNDDOWN(P46,0),'Aide calcul'!$B$2:$C$282,2,FALSE),O46+1),"")</f>
        <v/>
      </c>
      <c r="R46" s="115" t="str">
        <f t="shared" si="12"/>
        <v/>
      </c>
      <c r="S46" s="155"/>
      <c r="T46" s="155"/>
      <c r="U46" s="155"/>
      <c r="V46" s="155"/>
      <c r="W46" s="155"/>
      <c r="X46" s="155"/>
      <c r="Y46" s="155"/>
      <c r="Z46" s="78"/>
      <c r="AA46" s="78"/>
      <c r="AB46" s="116" t="str">
        <f>IF(C46="3111. Logements",ROUND(VLOOKUP(C46,'Informations générales'!$C$66:$D$70,2,FALSE)*(AK46/$AL$27)/12,0)*12,IF(C46="3112. Logements",ROUND(VLOOKUP(C46,'Informations générales'!$C$66:$D$70,2,FALSE)*(AK46/$AM$27)/12,0)*12,IF(C46="3113. Logements",ROUND(VLOOKUP(C46,'Informations générales'!$C$66:$D$70,2,FALSE)*(AK46/$AN$27)/12,0)*12,IF(C46="3114. Logements",ROUND(VLOOKUP(C46,'Informations générales'!$C$66:$D$70,2,FALSE)*(AK46/$AO$27)/12,0)*12,IF(C46="3115. Logements",ROUND(VLOOKUP(C46,'Informations générales'!$C$66:$D$70,2,FALSE)*(AK46/$AP$27)/12,0)*12,"")))))</f>
        <v/>
      </c>
      <c r="AC46" s="117"/>
      <c r="AD46" s="116">
        <f t="shared" si="13"/>
        <v>0</v>
      </c>
      <c r="AE46" s="117"/>
      <c r="AF46" s="116" t="str">
        <f>IF(C46="3111. Logements",ROUND(VLOOKUP(C46,'Informations générales'!$C$66:$G$70,5,FALSE)*(AK46/$AL$27)/12,0)*12,IF(C46="3112. Logements",ROUND(VLOOKUP(C46,'Informations générales'!$C$66:$G$70,5,FALSE)*(AK46/$AM$27)/12,0)*12,IF(C46="3113. Logements",ROUND(VLOOKUP(C46,'Informations générales'!$C$66:$G$70,5,FALSE)*(AK46/$AN$27)/12,0)*12,IF(C46="3114. Logements",ROUND(VLOOKUP(C46,'Informations générales'!$C$66:$G$70,5,FALSE)*(AK46/$AO$27)/12,0)*12,IF(C46="3115. Logements",ROUND(VLOOKUP(C46,'Informations générales'!$C$66:$G$70,5,FALSE)*(AK46/$AP$27)/12,0)*12,"")))))</f>
        <v/>
      </c>
      <c r="AG46" s="117"/>
      <c r="AH46" s="116" t="str">
        <f t="shared" si="14"/>
        <v/>
      </c>
      <c r="AI46" s="92"/>
      <c r="AJ46" s="78"/>
      <c r="AK46" s="60">
        <f t="shared" si="15"/>
        <v>0</v>
      </c>
      <c r="AL46" s="60"/>
      <c r="AM46" s="60"/>
      <c r="AN46" s="60"/>
      <c r="AO46" s="60"/>
      <c r="AP46" s="60"/>
      <c r="AQ46" s="60">
        <f t="shared" si="3"/>
        <v>0</v>
      </c>
      <c r="AR46" s="60">
        <f t="shared" si="4"/>
        <v>0</v>
      </c>
      <c r="AS46" s="60">
        <f t="shared" si="5"/>
        <v>0</v>
      </c>
      <c r="AT46" s="60">
        <f t="shared" si="6"/>
        <v>0</v>
      </c>
      <c r="AU46" s="60">
        <f t="shared" si="7"/>
        <v>0</v>
      </c>
      <c r="AV46" s="60">
        <f t="shared" si="8"/>
        <v>0</v>
      </c>
      <c r="AW46" s="60">
        <f t="shared" si="9"/>
        <v>0</v>
      </c>
      <c r="AX46" s="60">
        <f t="shared" si="16"/>
        <v>0</v>
      </c>
      <c r="AY46" s="64">
        <f t="shared" si="17"/>
        <v>0</v>
      </c>
      <c r="AZ46" s="65">
        <f t="shared" si="10"/>
        <v>0</v>
      </c>
      <c r="BA46" s="65">
        <f t="shared" si="11"/>
        <v>0</v>
      </c>
    </row>
    <row r="47" spans="3:53" s="17" customFormat="1" ht="14.45" customHeight="1" x14ac:dyDescent="0.25">
      <c r="C47" s="194"/>
      <c r="D47" s="195"/>
      <c r="E47" s="90"/>
      <c r="F47" s="198"/>
      <c r="G47" s="214"/>
      <c r="H47" s="199"/>
      <c r="I47" s="78"/>
      <c r="J47" s="79"/>
      <c r="K47" s="78"/>
      <c r="L47" s="80"/>
      <c r="M47" s="80"/>
      <c r="N47" s="78" t="s">
        <v>39</v>
      </c>
      <c r="O47" s="113"/>
      <c r="P47" s="155"/>
      <c r="Q47" s="114" t="str">
        <f>IFERROR(MIN(VLOOKUP(ROUNDDOWN(P47,0),'Aide calcul'!$B$2:$C$282,2,FALSE),O47+1),"")</f>
        <v/>
      </c>
      <c r="R47" s="115" t="str">
        <f t="shared" si="12"/>
        <v/>
      </c>
      <c r="S47" s="155"/>
      <c r="T47" s="155"/>
      <c r="U47" s="155"/>
      <c r="V47" s="155"/>
      <c r="W47" s="155"/>
      <c r="X47" s="155"/>
      <c r="Y47" s="155"/>
      <c r="Z47" s="78"/>
      <c r="AA47" s="78"/>
      <c r="AB47" s="116" t="str">
        <f>IF(C47="3111. Logements",ROUND(VLOOKUP(C47,'Informations générales'!$C$66:$D$70,2,FALSE)*(AK47/$AL$27)/12,0)*12,IF(C47="3112. Logements",ROUND(VLOOKUP(C47,'Informations générales'!$C$66:$D$70,2,FALSE)*(AK47/$AM$27)/12,0)*12,IF(C47="3113. Logements",ROUND(VLOOKUP(C47,'Informations générales'!$C$66:$D$70,2,FALSE)*(AK47/$AN$27)/12,0)*12,IF(C47="3114. Logements",ROUND(VLOOKUP(C47,'Informations générales'!$C$66:$D$70,2,FALSE)*(AK47/$AO$27)/12,0)*12,IF(C47="3115. Logements",ROUND(VLOOKUP(C47,'Informations générales'!$C$66:$D$70,2,FALSE)*(AK47/$AP$27)/12,0)*12,"")))))</f>
        <v/>
      </c>
      <c r="AC47" s="117"/>
      <c r="AD47" s="116">
        <f t="shared" si="13"/>
        <v>0</v>
      </c>
      <c r="AE47" s="117"/>
      <c r="AF47" s="116" t="str">
        <f>IF(C47="3111. Logements",ROUND(VLOOKUP(C47,'Informations générales'!$C$66:$G$70,5,FALSE)*(AK47/$AL$27)/12,0)*12,IF(C47="3112. Logements",ROUND(VLOOKUP(C47,'Informations générales'!$C$66:$G$70,5,FALSE)*(AK47/$AM$27)/12,0)*12,IF(C47="3113. Logements",ROUND(VLOOKUP(C47,'Informations générales'!$C$66:$G$70,5,FALSE)*(AK47/$AN$27)/12,0)*12,IF(C47="3114. Logements",ROUND(VLOOKUP(C47,'Informations générales'!$C$66:$G$70,5,FALSE)*(AK47/$AO$27)/12,0)*12,IF(C47="3115. Logements",ROUND(VLOOKUP(C47,'Informations générales'!$C$66:$G$70,5,FALSE)*(AK47/$AP$27)/12,0)*12,"")))))</f>
        <v/>
      </c>
      <c r="AG47" s="117"/>
      <c r="AH47" s="116" t="str">
        <f t="shared" si="14"/>
        <v/>
      </c>
      <c r="AI47" s="92"/>
      <c r="AJ47" s="78"/>
      <c r="AK47" s="60">
        <f t="shared" si="15"/>
        <v>0</v>
      </c>
      <c r="AL47" s="60"/>
      <c r="AM47" s="60"/>
      <c r="AN47" s="60"/>
      <c r="AO47" s="60"/>
      <c r="AP47" s="60"/>
      <c r="AQ47" s="60">
        <f t="shared" si="3"/>
        <v>0</v>
      </c>
      <c r="AR47" s="60">
        <f t="shared" si="4"/>
        <v>0</v>
      </c>
      <c r="AS47" s="60">
        <f t="shared" si="5"/>
        <v>0</v>
      </c>
      <c r="AT47" s="60">
        <f t="shared" si="6"/>
        <v>0</v>
      </c>
      <c r="AU47" s="60">
        <f t="shared" si="7"/>
        <v>0</v>
      </c>
      <c r="AV47" s="60">
        <f t="shared" si="8"/>
        <v>0</v>
      </c>
      <c r="AW47" s="60">
        <f t="shared" si="9"/>
        <v>0</v>
      </c>
      <c r="AX47" s="60">
        <f t="shared" si="16"/>
        <v>0</v>
      </c>
      <c r="AY47" s="64">
        <f t="shared" si="17"/>
        <v>0</v>
      </c>
      <c r="AZ47" s="65">
        <f t="shared" si="10"/>
        <v>0</v>
      </c>
      <c r="BA47" s="65">
        <f t="shared" si="11"/>
        <v>0</v>
      </c>
    </row>
    <row r="48" spans="3:53" s="17" customFormat="1" x14ac:dyDescent="0.25">
      <c r="C48" s="194"/>
      <c r="D48" s="195"/>
      <c r="E48" s="90"/>
      <c r="F48" s="198"/>
      <c r="G48" s="214"/>
      <c r="H48" s="199"/>
      <c r="I48" s="78"/>
      <c r="J48" s="79"/>
      <c r="K48" s="78"/>
      <c r="L48" s="80"/>
      <c r="M48" s="80"/>
      <c r="N48" s="78" t="s">
        <v>39</v>
      </c>
      <c r="O48" s="113"/>
      <c r="P48" s="155"/>
      <c r="Q48" s="114" t="str">
        <f>IFERROR(MIN(VLOOKUP(ROUNDDOWN(P48,0),'Aide calcul'!$B$2:$C$282,2,FALSE),O48+1),"")</f>
        <v/>
      </c>
      <c r="R48" s="115" t="str">
        <f t="shared" si="12"/>
        <v/>
      </c>
      <c r="S48" s="155"/>
      <c r="T48" s="155"/>
      <c r="U48" s="155"/>
      <c r="V48" s="155"/>
      <c r="W48" s="155"/>
      <c r="X48" s="155"/>
      <c r="Y48" s="155"/>
      <c r="Z48" s="78"/>
      <c r="AA48" s="78"/>
      <c r="AB48" s="116" t="str">
        <f>IF(C48="3111. Logements",ROUND(VLOOKUP(C48,'Informations générales'!$C$66:$D$70,2,FALSE)*(AK48/$AL$27)/12,0)*12,IF(C48="3112. Logements",ROUND(VLOOKUP(C48,'Informations générales'!$C$66:$D$70,2,FALSE)*(AK48/$AM$27)/12,0)*12,IF(C48="3113. Logements",ROUND(VLOOKUP(C48,'Informations générales'!$C$66:$D$70,2,FALSE)*(AK48/$AN$27)/12,0)*12,IF(C48="3114. Logements",ROUND(VLOOKUP(C48,'Informations générales'!$C$66:$D$70,2,FALSE)*(AK48/$AO$27)/12,0)*12,IF(C48="3115. Logements",ROUND(VLOOKUP(C48,'Informations générales'!$C$66:$D$70,2,FALSE)*(AK48/$AP$27)/12,0)*12,"")))))</f>
        <v/>
      </c>
      <c r="AC48" s="117"/>
      <c r="AD48" s="116">
        <f t="shared" si="13"/>
        <v>0</v>
      </c>
      <c r="AE48" s="117"/>
      <c r="AF48" s="116" t="str">
        <f>IF(C48="3111. Logements",ROUND(VLOOKUP(C48,'Informations générales'!$C$66:$G$70,5,FALSE)*(AK48/$AL$27)/12,0)*12,IF(C48="3112. Logements",ROUND(VLOOKUP(C48,'Informations générales'!$C$66:$G$70,5,FALSE)*(AK48/$AM$27)/12,0)*12,IF(C48="3113. Logements",ROUND(VLOOKUP(C48,'Informations générales'!$C$66:$G$70,5,FALSE)*(AK48/$AN$27)/12,0)*12,IF(C48="3114. Logements",ROUND(VLOOKUP(C48,'Informations générales'!$C$66:$G$70,5,FALSE)*(AK48/$AO$27)/12,0)*12,IF(C48="3115. Logements",ROUND(VLOOKUP(C48,'Informations générales'!$C$66:$G$70,5,FALSE)*(AK48/$AP$27)/12,0)*12,"")))))</f>
        <v/>
      </c>
      <c r="AG48" s="117"/>
      <c r="AH48" s="116" t="str">
        <f t="shared" si="14"/>
        <v/>
      </c>
      <c r="AI48" s="92"/>
      <c r="AJ48" s="78"/>
      <c r="AK48" s="60">
        <f t="shared" si="15"/>
        <v>0</v>
      </c>
      <c r="AL48" s="60"/>
      <c r="AM48" s="60"/>
      <c r="AN48" s="60"/>
      <c r="AO48" s="60"/>
      <c r="AP48" s="60"/>
      <c r="AQ48" s="60">
        <f t="shared" si="3"/>
        <v>0</v>
      </c>
      <c r="AR48" s="60">
        <f t="shared" si="4"/>
        <v>0</v>
      </c>
      <c r="AS48" s="60">
        <f t="shared" si="5"/>
        <v>0</v>
      </c>
      <c r="AT48" s="60">
        <f t="shared" si="6"/>
        <v>0</v>
      </c>
      <c r="AU48" s="60">
        <f t="shared" si="7"/>
        <v>0</v>
      </c>
      <c r="AV48" s="60">
        <f t="shared" si="8"/>
        <v>0</v>
      </c>
      <c r="AW48" s="60">
        <f t="shared" si="9"/>
        <v>0</v>
      </c>
      <c r="AX48" s="60">
        <f t="shared" si="16"/>
        <v>0</v>
      </c>
      <c r="AY48" s="64">
        <f t="shared" si="17"/>
        <v>0</v>
      </c>
      <c r="AZ48" s="65">
        <f t="shared" si="10"/>
        <v>0</v>
      </c>
      <c r="BA48" s="65">
        <f t="shared" si="11"/>
        <v>0</v>
      </c>
    </row>
    <row r="49" spans="3:53" s="17" customFormat="1" x14ac:dyDescent="0.25">
      <c r="C49" s="194"/>
      <c r="D49" s="195"/>
      <c r="E49" s="90"/>
      <c r="F49" s="198"/>
      <c r="G49" s="214"/>
      <c r="H49" s="199"/>
      <c r="I49" s="78"/>
      <c r="J49" s="79"/>
      <c r="K49" s="78"/>
      <c r="L49" s="80"/>
      <c r="M49" s="80"/>
      <c r="N49" s="78" t="s">
        <v>39</v>
      </c>
      <c r="O49" s="113"/>
      <c r="P49" s="155"/>
      <c r="Q49" s="114" t="str">
        <f>IFERROR(MIN(VLOOKUP(ROUNDDOWN(P49,0),'Aide calcul'!$B$2:$C$282,2,FALSE),O49+1),"")</f>
        <v/>
      </c>
      <c r="R49" s="115" t="str">
        <f t="shared" si="12"/>
        <v/>
      </c>
      <c r="S49" s="155"/>
      <c r="T49" s="155"/>
      <c r="U49" s="155"/>
      <c r="V49" s="155"/>
      <c r="W49" s="155"/>
      <c r="X49" s="155"/>
      <c r="Y49" s="155"/>
      <c r="Z49" s="78"/>
      <c r="AA49" s="78"/>
      <c r="AB49" s="116" t="str">
        <f>IF(C49="3111. Logements",ROUND(VLOOKUP(C49,'Informations générales'!$C$66:$D$70,2,FALSE)*(AK49/$AL$27)/12,0)*12,IF(C49="3112. Logements",ROUND(VLOOKUP(C49,'Informations générales'!$C$66:$D$70,2,FALSE)*(AK49/$AM$27)/12,0)*12,IF(C49="3113. Logements",ROUND(VLOOKUP(C49,'Informations générales'!$C$66:$D$70,2,FALSE)*(AK49/$AN$27)/12,0)*12,IF(C49="3114. Logements",ROUND(VLOOKUP(C49,'Informations générales'!$C$66:$D$70,2,FALSE)*(AK49/$AO$27)/12,0)*12,IF(C49="3115. Logements",ROUND(VLOOKUP(C49,'Informations générales'!$C$66:$D$70,2,FALSE)*(AK49/$AP$27)/12,0)*12,"")))))</f>
        <v/>
      </c>
      <c r="AC49" s="117"/>
      <c r="AD49" s="116">
        <f t="shared" si="13"/>
        <v>0</v>
      </c>
      <c r="AE49" s="117"/>
      <c r="AF49" s="116" t="str">
        <f>IF(C49="3111. Logements",ROUND(VLOOKUP(C49,'Informations générales'!$C$66:$G$70,5,FALSE)*(AK49/$AL$27)/12,0)*12,IF(C49="3112. Logements",ROUND(VLOOKUP(C49,'Informations générales'!$C$66:$G$70,5,FALSE)*(AK49/$AM$27)/12,0)*12,IF(C49="3113. Logements",ROUND(VLOOKUP(C49,'Informations générales'!$C$66:$G$70,5,FALSE)*(AK49/$AN$27)/12,0)*12,IF(C49="3114. Logements",ROUND(VLOOKUP(C49,'Informations générales'!$C$66:$G$70,5,FALSE)*(AK49/$AO$27)/12,0)*12,IF(C49="3115. Logements",ROUND(VLOOKUP(C49,'Informations générales'!$C$66:$G$70,5,FALSE)*(AK49/$AP$27)/12,0)*12,"")))))</f>
        <v/>
      </c>
      <c r="AG49" s="117"/>
      <c r="AH49" s="116" t="str">
        <f t="shared" si="14"/>
        <v/>
      </c>
      <c r="AI49" s="92"/>
      <c r="AJ49" s="78"/>
      <c r="AK49" s="60">
        <f t="shared" si="15"/>
        <v>0</v>
      </c>
      <c r="AL49" s="60"/>
      <c r="AM49" s="60"/>
      <c r="AN49" s="60"/>
      <c r="AO49" s="60"/>
      <c r="AP49" s="60"/>
      <c r="AQ49" s="60">
        <f t="shared" si="3"/>
        <v>0</v>
      </c>
      <c r="AR49" s="60">
        <f t="shared" si="4"/>
        <v>0</v>
      </c>
      <c r="AS49" s="60">
        <f t="shared" si="5"/>
        <v>0</v>
      </c>
      <c r="AT49" s="60">
        <f t="shared" si="6"/>
        <v>0</v>
      </c>
      <c r="AU49" s="60">
        <f t="shared" si="7"/>
        <v>0</v>
      </c>
      <c r="AV49" s="60">
        <f t="shared" si="8"/>
        <v>0</v>
      </c>
      <c r="AW49" s="60">
        <f t="shared" si="9"/>
        <v>0</v>
      </c>
      <c r="AX49" s="60">
        <f t="shared" si="16"/>
        <v>0</v>
      </c>
      <c r="AY49" s="64">
        <f t="shared" si="17"/>
        <v>0</v>
      </c>
      <c r="AZ49" s="65">
        <f t="shared" si="10"/>
        <v>0</v>
      </c>
      <c r="BA49" s="65">
        <f t="shared" si="11"/>
        <v>0</v>
      </c>
    </row>
    <row r="50" spans="3:53" s="17" customFormat="1" x14ac:dyDescent="0.25">
      <c r="C50" s="194"/>
      <c r="D50" s="195"/>
      <c r="E50" s="90"/>
      <c r="F50" s="198"/>
      <c r="G50" s="214"/>
      <c r="H50" s="199"/>
      <c r="I50" s="78"/>
      <c r="J50" s="79"/>
      <c r="K50" s="78"/>
      <c r="L50" s="80"/>
      <c r="M50" s="80"/>
      <c r="N50" s="78" t="s">
        <v>39</v>
      </c>
      <c r="O50" s="113"/>
      <c r="P50" s="155"/>
      <c r="Q50" s="114" t="str">
        <f>IFERROR(MIN(VLOOKUP(ROUNDDOWN(P50,0),'Aide calcul'!$B$2:$C$282,2,FALSE),O50+1),"")</f>
        <v/>
      </c>
      <c r="R50" s="115" t="str">
        <f t="shared" si="12"/>
        <v/>
      </c>
      <c r="S50" s="155"/>
      <c r="T50" s="155"/>
      <c r="U50" s="155"/>
      <c r="V50" s="155"/>
      <c r="W50" s="155"/>
      <c r="X50" s="155"/>
      <c r="Y50" s="155"/>
      <c r="Z50" s="78"/>
      <c r="AA50" s="78"/>
      <c r="AB50" s="116" t="str">
        <f>IF(C50="3111. Logements",ROUND(VLOOKUP(C50,'Informations générales'!$C$66:$D$70,2,FALSE)*(AK50/$AL$27)/12,0)*12,IF(C50="3112. Logements",ROUND(VLOOKUP(C50,'Informations générales'!$C$66:$D$70,2,FALSE)*(AK50/$AM$27)/12,0)*12,IF(C50="3113. Logements",ROUND(VLOOKUP(C50,'Informations générales'!$C$66:$D$70,2,FALSE)*(AK50/$AN$27)/12,0)*12,IF(C50="3114. Logements",ROUND(VLOOKUP(C50,'Informations générales'!$C$66:$D$70,2,FALSE)*(AK50/$AO$27)/12,0)*12,IF(C50="3115. Logements",ROUND(VLOOKUP(C50,'Informations générales'!$C$66:$D$70,2,FALSE)*(AK50/$AP$27)/12,0)*12,"")))))</f>
        <v/>
      </c>
      <c r="AC50" s="117"/>
      <c r="AD50" s="116">
        <f t="shared" si="13"/>
        <v>0</v>
      </c>
      <c r="AE50" s="117"/>
      <c r="AF50" s="116" t="str">
        <f>IF(C50="3111. Logements",ROUND(VLOOKUP(C50,'Informations générales'!$C$66:$G$70,5,FALSE)*(AK50/$AL$27)/12,0)*12,IF(C50="3112. Logements",ROUND(VLOOKUP(C50,'Informations générales'!$C$66:$G$70,5,FALSE)*(AK50/$AM$27)/12,0)*12,IF(C50="3113. Logements",ROUND(VLOOKUP(C50,'Informations générales'!$C$66:$G$70,5,FALSE)*(AK50/$AN$27)/12,0)*12,IF(C50="3114. Logements",ROUND(VLOOKUP(C50,'Informations générales'!$C$66:$G$70,5,FALSE)*(AK50/$AO$27)/12,0)*12,IF(C50="3115. Logements",ROUND(VLOOKUP(C50,'Informations générales'!$C$66:$G$70,5,FALSE)*(AK50/$AP$27)/12,0)*12,"")))))</f>
        <v/>
      </c>
      <c r="AG50" s="117"/>
      <c r="AH50" s="116" t="str">
        <f t="shared" si="14"/>
        <v/>
      </c>
      <c r="AI50" s="92"/>
      <c r="AJ50" s="78"/>
      <c r="AK50" s="60">
        <f t="shared" si="15"/>
        <v>0</v>
      </c>
      <c r="AL50" s="60"/>
      <c r="AM50" s="60"/>
      <c r="AN50" s="60"/>
      <c r="AO50" s="60"/>
      <c r="AP50" s="60"/>
      <c r="AQ50" s="60">
        <f t="shared" si="3"/>
        <v>0</v>
      </c>
      <c r="AR50" s="60">
        <f t="shared" si="4"/>
        <v>0</v>
      </c>
      <c r="AS50" s="60">
        <f t="shared" si="5"/>
        <v>0</v>
      </c>
      <c r="AT50" s="60">
        <f t="shared" si="6"/>
        <v>0</v>
      </c>
      <c r="AU50" s="60">
        <f t="shared" si="7"/>
        <v>0</v>
      </c>
      <c r="AV50" s="60">
        <f t="shared" si="8"/>
        <v>0</v>
      </c>
      <c r="AW50" s="60">
        <f t="shared" si="9"/>
        <v>0</v>
      </c>
      <c r="AX50" s="60">
        <f t="shared" si="16"/>
        <v>0</v>
      </c>
      <c r="AY50" s="64">
        <f t="shared" si="17"/>
        <v>0</v>
      </c>
      <c r="AZ50" s="65">
        <f t="shared" si="10"/>
        <v>0</v>
      </c>
      <c r="BA50" s="65">
        <f t="shared" si="11"/>
        <v>0</v>
      </c>
    </row>
    <row r="51" spans="3:53" s="17" customFormat="1" x14ac:dyDescent="0.25">
      <c r="C51" s="194"/>
      <c r="D51" s="195"/>
      <c r="E51" s="90"/>
      <c r="F51" s="198"/>
      <c r="G51" s="214"/>
      <c r="H51" s="199"/>
      <c r="I51" s="78"/>
      <c r="J51" s="79"/>
      <c r="K51" s="78"/>
      <c r="L51" s="80"/>
      <c r="M51" s="80"/>
      <c r="N51" s="78" t="s">
        <v>39</v>
      </c>
      <c r="O51" s="113"/>
      <c r="P51" s="155"/>
      <c r="Q51" s="114" t="str">
        <f>IFERROR(MIN(VLOOKUP(ROUNDDOWN(P51,0),'Aide calcul'!$B$2:$C$282,2,FALSE),O51+1),"")</f>
        <v/>
      </c>
      <c r="R51" s="115" t="str">
        <f t="shared" si="12"/>
        <v/>
      </c>
      <c r="S51" s="155"/>
      <c r="T51" s="155"/>
      <c r="U51" s="155"/>
      <c r="V51" s="155"/>
      <c r="W51" s="155"/>
      <c r="X51" s="155"/>
      <c r="Y51" s="155"/>
      <c r="Z51" s="78"/>
      <c r="AA51" s="78"/>
      <c r="AB51" s="116" t="str">
        <f>IF(C51="3111. Logements",ROUND(VLOOKUP(C51,'Informations générales'!$C$66:$D$70,2,FALSE)*(AK51/$AL$27)/12,0)*12,IF(C51="3112. Logements",ROUND(VLOOKUP(C51,'Informations générales'!$C$66:$D$70,2,FALSE)*(AK51/$AM$27)/12,0)*12,IF(C51="3113. Logements",ROUND(VLOOKUP(C51,'Informations générales'!$C$66:$D$70,2,FALSE)*(AK51/$AN$27)/12,0)*12,IF(C51="3114. Logements",ROUND(VLOOKUP(C51,'Informations générales'!$C$66:$D$70,2,FALSE)*(AK51/$AO$27)/12,0)*12,IF(C51="3115. Logements",ROUND(VLOOKUP(C51,'Informations générales'!$C$66:$D$70,2,FALSE)*(AK51/$AP$27)/12,0)*12,"")))))</f>
        <v/>
      </c>
      <c r="AC51" s="117"/>
      <c r="AD51" s="116">
        <f t="shared" si="13"/>
        <v>0</v>
      </c>
      <c r="AE51" s="117"/>
      <c r="AF51" s="116" t="str">
        <f>IF(C51="3111. Logements",ROUND(VLOOKUP(C51,'Informations générales'!$C$66:$G$70,5,FALSE)*(AK51/$AL$27)/12,0)*12,IF(C51="3112. Logements",ROUND(VLOOKUP(C51,'Informations générales'!$C$66:$G$70,5,FALSE)*(AK51/$AM$27)/12,0)*12,IF(C51="3113. Logements",ROUND(VLOOKUP(C51,'Informations générales'!$C$66:$G$70,5,FALSE)*(AK51/$AN$27)/12,0)*12,IF(C51="3114. Logements",ROUND(VLOOKUP(C51,'Informations générales'!$C$66:$G$70,5,FALSE)*(AK51/$AO$27)/12,0)*12,IF(C51="3115. Logements",ROUND(VLOOKUP(C51,'Informations générales'!$C$66:$G$70,5,FALSE)*(AK51/$AP$27)/12,0)*12,"")))))</f>
        <v/>
      </c>
      <c r="AG51" s="117"/>
      <c r="AH51" s="116" t="str">
        <f t="shared" si="14"/>
        <v/>
      </c>
      <c r="AI51" s="92"/>
      <c r="AJ51" s="78"/>
      <c r="AK51" s="60">
        <f t="shared" si="15"/>
        <v>0</v>
      </c>
      <c r="AL51" s="60"/>
      <c r="AM51" s="60"/>
      <c r="AN51" s="60"/>
      <c r="AO51" s="60"/>
      <c r="AP51" s="60"/>
      <c r="AQ51" s="60">
        <f t="shared" si="3"/>
        <v>0</v>
      </c>
      <c r="AR51" s="60">
        <f t="shared" si="4"/>
        <v>0</v>
      </c>
      <c r="AS51" s="60">
        <f t="shared" si="5"/>
        <v>0</v>
      </c>
      <c r="AT51" s="60">
        <f t="shared" si="6"/>
        <v>0</v>
      </c>
      <c r="AU51" s="60">
        <f t="shared" si="7"/>
        <v>0</v>
      </c>
      <c r="AV51" s="60">
        <f t="shared" si="8"/>
        <v>0</v>
      </c>
      <c r="AW51" s="60">
        <f t="shared" si="9"/>
        <v>0</v>
      </c>
      <c r="AX51" s="60">
        <f t="shared" si="16"/>
        <v>0</v>
      </c>
      <c r="AY51" s="64">
        <f t="shared" si="17"/>
        <v>0</v>
      </c>
      <c r="AZ51" s="65">
        <f t="shared" si="10"/>
        <v>0</v>
      </c>
      <c r="BA51" s="65">
        <f t="shared" si="11"/>
        <v>0</v>
      </c>
    </row>
    <row r="52" spans="3:53" s="17" customFormat="1" x14ac:dyDescent="0.25">
      <c r="C52" s="194"/>
      <c r="D52" s="195"/>
      <c r="E52" s="90"/>
      <c r="F52" s="198"/>
      <c r="G52" s="214"/>
      <c r="H52" s="199"/>
      <c r="I52" s="78"/>
      <c r="J52" s="79"/>
      <c r="K52" s="78"/>
      <c r="L52" s="80"/>
      <c r="M52" s="80"/>
      <c r="N52" s="78" t="s">
        <v>39</v>
      </c>
      <c r="O52" s="113"/>
      <c r="P52" s="155"/>
      <c r="Q52" s="114" t="str">
        <f>IFERROR(MIN(VLOOKUP(ROUNDDOWN(P52,0),'Aide calcul'!$B$2:$C$282,2,FALSE),O52+1),"")</f>
        <v/>
      </c>
      <c r="R52" s="115" t="str">
        <f t="shared" si="12"/>
        <v/>
      </c>
      <c r="S52" s="155"/>
      <c r="T52" s="155"/>
      <c r="U52" s="155"/>
      <c r="V52" s="155"/>
      <c r="W52" s="155"/>
      <c r="X52" s="155"/>
      <c r="Y52" s="155"/>
      <c r="Z52" s="78"/>
      <c r="AA52" s="78"/>
      <c r="AB52" s="116" t="str">
        <f>IF(C52="3111. Logements",ROUND(VLOOKUP(C52,'Informations générales'!$C$66:$D$70,2,FALSE)*(AK52/$AL$27)/12,0)*12,IF(C52="3112. Logements",ROUND(VLOOKUP(C52,'Informations générales'!$C$66:$D$70,2,FALSE)*(AK52/$AM$27)/12,0)*12,IF(C52="3113. Logements",ROUND(VLOOKUP(C52,'Informations générales'!$C$66:$D$70,2,FALSE)*(AK52/$AN$27)/12,0)*12,IF(C52="3114. Logements",ROUND(VLOOKUP(C52,'Informations générales'!$C$66:$D$70,2,FALSE)*(AK52/$AO$27)/12,0)*12,IF(C52="3115. Logements",ROUND(VLOOKUP(C52,'Informations générales'!$C$66:$D$70,2,FALSE)*(AK52/$AP$27)/12,0)*12,"")))))</f>
        <v/>
      </c>
      <c r="AC52" s="117"/>
      <c r="AD52" s="116">
        <f t="shared" si="13"/>
        <v>0</v>
      </c>
      <c r="AE52" s="117"/>
      <c r="AF52" s="116" t="str">
        <f>IF(C52="3111. Logements",ROUND(VLOOKUP(C52,'Informations générales'!$C$66:$G$70,5,FALSE)*(AK52/$AL$27)/12,0)*12,IF(C52="3112. Logements",ROUND(VLOOKUP(C52,'Informations générales'!$C$66:$G$70,5,FALSE)*(AK52/$AM$27)/12,0)*12,IF(C52="3113. Logements",ROUND(VLOOKUP(C52,'Informations générales'!$C$66:$G$70,5,FALSE)*(AK52/$AN$27)/12,0)*12,IF(C52="3114. Logements",ROUND(VLOOKUP(C52,'Informations générales'!$C$66:$G$70,5,FALSE)*(AK52/$AO$27)/12,0)*12,IF(C52="3115. Logements",ROUND(VLOOKUP(C52,'Informations générales'!$C$66:$G$70,5,FALSE)*(AK52/$AP$27)/12,0)*12,"")))))</f>
        <v/>
      </c>
      <c r="AG52" s="117"/>
      <c r="AH52" s="116" t="str">
        <f t="shared" si="14"/>
        <v/>
      </c>
      <c r="AI52" s="92"/>
      <c r="AJ52" s="78"/>
      <c r="AK52" s="60">
        <f t="shared" si="15"/>
        <v>0</v>
      </c>
      <c r="AL52" s="60"/>
      <c r="AM52" s="60"/>
      <c r="AN52" s="60"/>
      <c r="AO52" s="60"/>
      <c r="AP52" s="60"/>
      <c r="AQ52" s="60">
        <f t="shared" si="3"/>
        <v>0</v>
      </c>
      <c r="AR52" s="60">
        <f t="shared" si="4"/>
        <v>0</v>
      </c>
      <c r="AS52" s="60">
        <f t="shared" si="5"/>
        <v>0</v>
      </c>
      <c r="AT52" s="60">
        <f t="shared" si="6"/>
        <v>0</v>
      </c>
      <c r="AU52" s="60">
        <f t="shared" si="7"/>
        <v>0</v>
      </c>
      <c r="AV52" s="60">
        <f t="shared" si="8"/>
        <v>0</v>
      </c>
      <c r="AW52" s="60">
        <f t="shared" si="9"/>
        <v>0</v>
      </c>
      <c r="AX52" s="60">
        <f t="shared" si="16"/>
        <v>0</v>
      </c>
      <c r="AY52" s="64">
        <f t="shared" si="17"/>
        <v>0</v>
      </c>
      <c r="AZ52" s="65">
        <f t="shared" si="10"/>
        <v>0</v>
      </c>
      <c r="BA52" s="65">
        <f t="shared" si="11"/>
        <v>0</v>
      </c>
    </row>
    <row r="53" spans="3:53" s="17" customFormat="1" x14ac:dyDescent="0.25">
      <c r="C53" s="194"/>
      <c r="D53" s="195"/>
      <c r="E53" s="90"/>
      <c r="F53" s="198"/>
      <c r="G53" s="214"/>
      <c r="H53" s="199"/>
      <c r="I53" s="78"/>
      <c r="J53" s="79"/>
      <c r="K53" s="78"/>
      <c r="L53" s="80"/>
      <c r="M53" s="80"/>
      <c r="N53" s="78" t="s">
        <v>39</v>
      </c>
      <c r="O53" s="113"/>
      <c r="P53" s="155"/>
      <c r="Q53" s="114" t="str">
        <f>IFERROR(MIN(VLOOKUP(ROUNDDOWN(P53,0),'Aide calcul'!$B$2:$C$282,2,FALSE),O53+1),"")</f>
        <v/>
      </c>
      <c r="R53" s="115" t="str">
        <f t="shared" si="12"/>
        <v/>
      </c>
      <c r="S53" s="155"/>
      <c r="T53" s="155"/>
      <c r="U53" s="155"/>
      <c r="V53" s="155"/>
      <c r="W53" s="155"/>
      <c r="X53" s="155"/>
      <c r="Y53" s="155"/>
      <c r="Z53" s="78"/>
      <c r="AA53" s="78"/>
      <c r="AB53" s="116" t="str">
        <f>IF(C53="3111. Logements",ROUND(VLOOKUP(C53,'Informations générales'!$C$66:$D$70,2,FALSE)*(AK53/$AL$27)/12,0)*12,IF(C53="3112. Logements",ROUND(VLOOKUP(C53,'Informations générales'!$C$66:$D$70,2,FALSE)*(AK53/$AM$27)/12,0)*12,IF(C53="3113. Logements",ROUND(VLOOKUP(C53,'Informations générales'!$C$66:$D$70,2,FALSE)*(AK53/$AN$27)/12,0)*12,IF(C53="3114. Logements",ROUND(VLOOKUP(C53,'Informations générales'!$C$66:$D$70,2,FALSE)*(AK53/$AO$27)/12,0)*12,IF(C53="3115. Logements",ROUND(VLOOKUP(C53,'Informations générales'!$C$66:$D$70,2,FALSE)*(AK53/$AP$27)/12,0)*12,"")))))</f>
        <v/>
      </c>
      <c r="AC53" s="117"/>
      <c r="AD53" s="116">
        <f t="shared" si="13"/>
        <v>0</v>
      </c>
      <c r="AE53" s="117"/>
      <c r="AF53" s="116" t="str">
        <f>IF(C53="3111. Logements",ROUND(VLOOKUP(C53,'Informations générales'!$C$66:$G$70,5,FALSE)*(AK53/$AL$27)/12,0)*12,IF(C53="3112. Logements",ROUND(VLOOKUP(C53,'Informations générales'!$C$66:$G$70,5,FALSE)*(AK53/$AM$27)/12,0)*12,IF(C53="3113. Logements",ROUND(VLOOKUP(C53,'Informations générales'!$C$66:$G$70,5,FALSE)*(AK53/$AN$27)/12,0)*12,IF(C53="3114. Logements",ROUND(VLOOKUP(C53,'Informations générales'!$C$66:$G$70,5,FALSE)*(AK53/$AO$27)/12,0)*12,IF(C53="3115. Logements",ROUND(VLOOKUP(C53,'Informations générales'!$C$66:$G$70,5,FALSE)*(AK53/$AP$27)/12,0)*12,"")))))</f>
        <v/>
      </c>
      <c r="AG53" s="117"/>
      <c r="AH53" s="116" t="str">
        <f t="shared" si="14"/>
        <v/>
      </c>
      <c r="AI53" s="92"/>
      <c r="AJ53" s="78"/>
      <c r="AK53" s="60">
        <f t="shared" si="15"/>
        <v>0</v>
      </c>
      <c r="AL53" s="60"/>
      <c r="AM53" s="60"/>
      <c r="AN53" s="60"/>
      <c r="AO53" s="60"/>
      <c r="AP53" s="60"/>
      <c r="AQ53" s="60">
        <f t="shared" si="3"/>
        <v>0</v>
      </c>
      <c r="AR53" s="60">
        <f t="shared" si="4"/>
        <v>0</v>
      </c>
      <c r="AS53" s="60">
        <f t="shared" si="5"/>
        <v>0</v>
      </c>
      <c r="AT53" s="60">
        <f t="shared" si="6"/>
        <v>0</v>
      </c>
      <c r="AU53" s="60">
        <f t="shared" si="7"/>
        <v>0</v>
      </c>
      <c r="AV53" s="60">
        <f t="shared" si="8"/>
        <v>0</v>
      </c>
      <c r="AW53" s="60">
        <f t="shared" si="9"/>
        <v>0</v>
      </c>
      <c r="AX53" s="60">
        <f t="shared" si="16"/>
        <v>0</v>
      </c>
      <c r="AY53" s="64">
        <f t="shared" si="17"/>
        <v>0</v>
      </c>
      <c r="AZ53" s="65">
        <f t="shared" si="10"/>
        <v>0</v>
      </c>
      <c r="BA53" s="65">
        <f t="shared" si="11"/>
        <v>0</v>
      </c>
    </row>
    <row r="54" spans="3:53" s="17" customFormat="1" x14ac:dyDescent="0.25">
      <c r="C54" s="194"/>
      <c r="D54" s="195"/>
      <c r="E54" s="90"/>
      <c r="F54" s="198"/>
      <c r="G54" s="214"/>
      <c r="H54" s="199"/>
      <c r="I54" s="78"/>
      <c r="J54" s="79"/>
      <c r="K54" s="78"/>
      <c r="L54" s="80"/>
      <c r="M54" s="80"/>
      <c r="N54" s="78" t="s">
        <v>39</v>
      </c>
      <c r="O54" s="113"/>
      <c r="P54" s="155"/>
      <c r="Q54" s="114" t="str">
        <f>IFERROR(MIN(VLOOKUP(ROUNDDOWN(P54,0),'Aide calcul'!$B$2:$C$282,2,FALSE),O54+1),"")</f>
        <v/>
      </c>
      <c r="R54" s="115" t="str">
        <f t="shared" si="12"/>
        <v/>
      </c>
      <c r="S54" s="155"/>
      <c r="T54" s="155"/>
      <c r="U54" s="155"/>
      <c r="V54" s="155"/>
      <c r="W54" s="155"/>
      <c r="X54" s="155"/>
      <c r="Y54" s="155"/>
      <c r="Z54" s="78"/>
      <c r="AA54" s="78"/>
      <c r="AB54" s="116" t="str">
        <f>IF(C54="3111. Logements",ROUND(VLOOKUP(C54,'Informations générales'!$C$66:$D$70,2,FALSE)*(AK54/$AL$27)/12,0)*12,IF(C54="3112. Logements",ROUND(VLOOKUP(C54,'Informations générales'!$C$66:$D$70,2,FALSE)*(AK54/$AM$27)/12,0)*12,IF(C54="3113. Logements",ROUND(VLOOKUP(C54,'Informations générales'!$C$66:$D$70,2,FALSE)*(AK54/$AN$27)/12,0)*12,IF(C54="3114. Logements",ROUND(VLOOKUP(C54,'Informations générales'!$C$66:$D$70,2,FALSE)*(AK54/$AO$27)/12,0)*12,IF(C54="3115. Logements",ROUND(VLOOKUP(C54,'Informations générales'!$C$66:$D$70,2,FALSE)*(AK54/$AP$27)/12,0)*12,"")))))</f>
        <v/>
      </c>
      <c r="AC54" s="117"/>
      <c r="AD54" s="116">
        <f t="shared" si="13"/>
        <v>0</v>
      </c>
      <c r="AE54" s="117"/>
      <c r="AF54" s="116" t="str">
        <f>IF(C54="3111. Logements",ROUND(VLOOKUP(C54,'Informations générales'!$C$66:$G$70,5,FALSE)*(AK54/$AL$27)/12,0)*12,IF(C54="3112. Logements",ROUND(VLOOKUP(C54,'Informations générales'!$C$66:$G$70,5,FALSE)*(AK54/$AM$27)/12,0)*12,IF(C54="3113. Logements",ROUND(VLOOKUP(C54,'Informations générales'!$C$66:$G$70,5,FALSE)*(AK54/$AN$27)/12,0)*12,IF(C54="3114. Logements",ROUND(VLOOKUP(C54,'Informations générales'!$C$66:$G$70,5,FALSE)*(AK54/$AO$27)/12,0)*12,IF(C54="3115. Logements",ROUND(VLOOKUP(C54,'Informations générales'!$C$66:$G$70,5,FALSE)*(AK54/$AP$27)/12,0)*12,"")))))</f>
        <v/>
      </c>
      <c r="AG54" s="117"/>
      <c r="AH54" s="116" t="str">
        <f t="shared" si="14"/>
        <v/>
      </c>
      <c r="AI54" s="92"/>
      <c r="AJ54" s="78"/>
      <c r="AK54" s="60">
        <f t="shared" si="15"/>
        <v>0</v>
      </c>
      <c r="AL54" s="60"/>
      <c r="AM54" s="60"/>
      <c r="AN54" s="60"/>
      <c r="AO54" s="60"/>
      <c r="AP54" s="60"/>
      <c r="AQ54" s="60">
        <f t="shared" si="3"/>
        <v>0</v>
      </c>
      <c r="AR54" s="60">
        <f t="shared" si="4"/>
        <v>0</v>
      </c>
      <c r="AS54" s="60">
        <f t="shared" si="5"/>
        <v>0</v>
      </c>
      <c r="AT54" s="60">
        <f t="shared" si="6"/>
        <v>0</v>
      </c>
      <c r="AU54" s="60">
        <f t="shared" si="7"/>
        <v>0</v>
      </c>
      <c r="AV54" s="60">
        <f t="shared" si="8"/>
        <v>0</v>
      </c>
      <c r="AW54" s="60">
        <f t="shared" si="9"/>
        <v>0</v>
      </c>
      <c r="AX54" s="60">
        <f t="shared" si="16"/>
        <v>0</v>
      </c>
      <c r="AY54" s="64">
        <f t="shared" si="17"/>
        <v>0</v>
      </c>
      <c r="AZ54" s="65">
        <f t="shared" si="10"/>
        <v>0</v>
      </c>
      <c r="BA54" s="65">
        <f t="shared" si="11"/>
        <v>0</v>
      </c>
    </row>
    <row r="55" spans="3:53" s="17" customFormat="1" x14ac:dyDescent="0.25">
      <c r="C55" s="194"/>
      <c r="D55" s="195"/>
      <c r="E55" s="90"/>
      <c r="F55" s="198"/>
      <c r="G55" s="214"/>
      <c r="H55" s="199"/>
      <c r="I55" s="78"/>
      <c r="J55" s="79"/>
      <c r="K55" s="78"/>
      <c r="L55" s="80"/>
      <c r="M55" s="80"/>
      <c r="N55" s="78" t="s">
        <v>39</v>
      </c>
      <c r="O55" s="113"/>
      <c r="P55" s="155"/>
      <c r="Q55" s="114" t="str">
        <f>IFERROR(MIN(VLOOKUP(ROUNDDOWN(P55,0),'Aide calcul'!$B$2:$C$282,2,FALSE),O55+1),"")</f>
        <v/>
      </c>
      <c r="R55" s="115" t="str">
        <f t="shared" si="12"/>
        <v/>
      </c>
      <c r="S55" s="155"/>
      <c r="T55" s="155"/>
      <c r="U55" s="155"/>
      <c r="V55" s="155"/>
      <c r="W55" s="155"/>
      <c r="X55" s="155"/>
      <c r="Y55" s="155"/>
      <c r="Z55" s="78"/>
      <c r="AA55" s="78"/>
      <c r="AB55" s="116" t="str">
        <f>IF(C55="3111. Logements",ROUND(VLOOKUP(C55,'Informations générales'!$C$66:$D$70,2,FALSE)*(AK55/$AL$27)/12,0)*12,IF(C55="3112. Logements",ROUND(VLOOKUP(C55,'Informations générales'!$C$66:$D$70,2,FALSE)*(AK55/$AM$27)/12,0)*12,IF(C55="3113. Logements",ROUND(VLOOKUP(C55,'Informations générales'!$C$66:$D$70,2,FALSE)*(AK55/$AN$27)/12,0)*12,IF(C55="3114. Logements",ROUND(VLOOKUP(C55,'Informations générales'!$C$66:$D$70,2,FALSE)*(AK55/$AO$27)/12,0)*12,IF(C55="3115. Logements",ROUND(VLOOKUP(C55,'Informations générales'!$C$66:$D$70,2,FALSE)*(AK55/$AP$27)/12,0)*12,"")))))</f>
        <v/>
      </c>
      <c r="AC55" s="117"/>
      <c r="AD55" s="116">
        <f t="shared" si="13"/>
        <v>0</v>
      </c>
      <c r="AE55" s="117"/>
      <c r="AF55" s="116" t="str">
        <f>IF(C55="3111. Logements",ROUND(VLOOKUP(C55,'Informations générales'!$C$66:$G$70,5,FALSE)*(AK55/$AL$27)/12,0)*12,IF(C55="3112. Logements",ROUND(VLOOKUP(C55,'Informations générales'!$C$66:$G$70,5,FALSE)*(AK55/$AM$27)/12,0)*12,IF(C55="3113. Logements",ROUND(VLOOKUP(C55,'Informations générales'!$C$66:$G$70,5,FALSE)*(AK55/$AN$27)/12,0)*12,IF(C55="3114. Logements",ROUND(VLOOKUP(C55,'Informations générales'!$C$66:$G$70,5,FALSE)*(AK55/$AO$27)/12,0)*12,IF(C55="3115. Logements",ROUND(VLOOKUP(C55,'Informations générales'!$C$66:$G$70,5,FALSE)*(AK55/$AP$27)/12,0)*12,"")))))</f>
        <v/>
      </c>
      <c r="AG55" s="117"/>
      <c r="AH55" s="116" t="str">
        <f t="shared" si="14"/>
        <v/>
      </c>
      <c r="AI55" s="92"/>
      <c r="AJ55" s="78"/>
      <c r="AK55" s="60">
        <f t="shared" si="15"/>
        <v>0</v>
      </c>
      <c r="AL55" s="60"/>
      <c r="AM55" s="60"/>
      <c r="AN55" s="60"/>
      <c r="AO55" s="60"/>
      <c r="AP55" s="60"/>
      <c r="AQ55" s="60">
        <f t="shared" si="3"/>
        <v>0</v>
      </c>
      <c r="AR55" s="60">
        <f t="shared" si="4"/>
        <v>0</v>
      </c>
      <c r="AS55" s="60">
        <f t="shared" si="5"/>
        <v>0</v>
      </c>
      <c r="AT55" s="60">
        <f t="shared" si="6"/>
        <v>0</v>
      </c>
      <c r="AU55" s="60">
        <f t="shared" si="7"/>
        <v>0</v>
      </c>
      <c r="AV55" s="60">
        <f t="shared" si="8"/>
        <v>0</v>
      </c>
      <c r="AW55" s="60">
        <f t="shared" si="9"/>
        <v>0</v>
      </c>
      <c r="AX55" s="60">
        <f t="shared" si="16"/>
        <v>0</v>
      </c>
      <c r="AY55" s="64">
        <f t="shared" si="17"/>
        <v>0</v>
      </c>
      <c r="AZ55" s="65">
        <f t="shared" si="10"/>
        <v>0</v>
      </c>
      <c r="BA55" s="65">
        <f t="shared" si="11"/>
        <v>0</v>
      </c>
    </row>
    <row r="56" spans="3:53" s="17" customFormat="1" x14ac:dyDescent="0.25">
      <c r="C56" s="194"/>
      <c r="D56" s="195"/>
      <c r="E56" s="90"/>
      <c r="F56" s="198"/>
      <c r="G56" s="214"/>
      <c r="H56" s="199"/>
      <c r="I56" s="78"/>
      <c r="J56" s="79"/>
      <c r="K56" s="78"/>
      <c r="L56" s="80"/>
      <c r="M56" s="80"/>
      <c r="N56" s="78" t="s">
        <v>39</v>
      </c>
      <c r="O56" s="113"/>
      <c r="P56" s="155"/>
      <c r="Q56" s="114" t="str">
        <f>IFERROR(MIN(VLOOKUP(ROUNDDOWN(P56,0),'Aide calcul'!$B$2:$C$282,2,FALSE),O56+1),"")</f>
        <v/>
      </c>
      <c r="R56" s="115" t="str">
        <f t="shared" si="12"/>
        <v/>
      </c>
      <c r="S56" s="155"/>
      <c r="T56" s="155"/>
      <c r="U56" s="155"/>
      <c r="V56" s="155"/>
      <c r="W56" s="155"/>
      <c r="X56" s="155"/>
      <c r="Y56" s="155"/>
      <c r="Z56" s="78"/>
      <c r="AA56" s="78"/>
      <c r="AB56" s="116" t="str">
        <f>IF(C56="3111. Logements",ROUND(VLOOKUP(C56,'Informations générales'!$C$66:$D$70,2,FALSE)*(AK56/$AL$27)/12,0)*12,IF(C56="3112. Logements",ROUND(VLOOKUP(C56,'Informations générales'!$C$66:$D$70,2,FALSE)*(AK56/$AM$27)/12,0)*12,IF(C56="3113. Logements",ROUND(VLOOKUP(C56,'Informations générales'!$C$66:$D$70,2,FALSE)*(AK56/$AN$27)/12,0)*12,IF(C56="3114. Logements",ROUND(VLOOKUP(C56,'Informations générales'!$C$66:$D$70,2,FALSE)*(AK56/$AO$27)/12,0)*12,IF(C56="3115. Logements",ROUND(VLOOKUP(C56,'Informations générales'!$C$66:$D$70,2,FALSE)*(AK56/$AP$27)/12,0)*12,"")))))</f>
        <v/>
      </c>
      <c r="AC56" s="117"/>
      <c r="AD56" s="116">
        <f t="shared" si="13"/>
        <v>0</v>
      </c>
      <c r="AE56" s="117"/>
      <c r="AF56" s="116" t="str">
        <f>IF(C56="3111. Logements",ROUND(VLOOKUP(C56,'Informations générales'!$C$66:$G$70,5,FALSE)*(AK56/$AL$27)/12,0)*12,IF(C56="3112. Logements",ROUND(VLOOKUP(C56,'Informations générales'!$C$66:$G$70,5,FALSE)*(AK56/$AM$27)/12,0)*12,IF(C56="3113. Logements",ROUND(VLOOKUP(C56,'Informations générales'!$C$66:$G$70,5,FALSE)*(AK56/$AN$27)/12,0)*12,IF(C56="3114. Logements",ROUND(VLOOKUP(C56,'Informations générales'!$C$66:$G$70,5,FALSE)*(AK56/$AO$27)/12,0)*12,IF(C56="3115. Logements",ROUND(VLOOKUP(C56,'Informations générales'!$C$66:$G$70,5,FALSE)*(AK56/$AP$27)/12,0)*12,"")))))</f>
        <v/>
      </c>
      <c r="AG56" s="117"/>
      <c r="AH56" s="116" t="str">
        <f t="shared" si="14"/>
        <v/>
      </c>
      <c r="AI56" s="92"/>
      <c r="AJ56" s="78"/>
      <c r="AK56" s="60">
        <f t="shared" si="15"/>
        <v>0</v>
      </c>
      <c r="AL56" s="60"/>
      <c r="AM56" s="60"/>
      <c r="AN56" s="60"/>
      <c r="AO56" s="60"/>
      <c r="AP56" s="60"/>
      <c r="AQ56" s="60">
        <f t="shared" si="3"/>
        <v>0</v>
      </c>
      <c r="AR56" s="60">
        <f t="shared" si="4"/>
        <v>0</v>
      </c>
      <c r="AS56" s="60">
        <f t="shared" si="5"/>
        <v>0</v>
      </c>
      <c r="AT56" s="60">
        <f t="shared" si="6"/>
        <v>0</v>
      </c>
      <c r="AU56" s="60">
        <f t="shared" si="7"/>
        <v>0</v>
      </c>
      <c r="AV56" s="60">
        <f t="shared" si="8"/>
        <v>0</v>
      </c>
      <c r="AW56" s="60">
        <f t="shared" si="9"/>
        <v>0</v>
      </c>
      <c r="AX56" s="60">
        <f t="shared" si="16"/>
        <v>0</v>
      </c>
      <c r="AY56" s="64">
        <f t="shared" si="17"/>
        <v>0</v>
      </c>
      <c r="AZ56" s="65">
        <f t="shared" si="10"/>
        <v>0</v>
      </c>
      <c r="BA56" s="65">
        <f t="shared" si="11"/>
        <v>0</v>
      </c>
    </row>
    <row r="57" spans="3:53" s="17" customFormat="1" x14ac:dyDescent="0.25">
      <c r="C57" s="194"/>
      <c r="D57" s="195"/>
      <c r="E57" s="90"/>
      <c r="F57" s="198"/>
      <c r="G57" s="214"/>
      <c r="H57" s="199"/>
      <c r="I57" s="78"/>
      <c r="J57" s="79"/>
      <c r="K57" s="78"/>
      <c r="L57" s="80"/>
      <c r="M57" s="80"/>
      <c r="N57" s="78" t="s">
        <v>39</v>
      </c>
      <c r="O57" s="113"/>
      <c r="P57" s="155"/>
      <c r="Q57" s="114" t="str">
        <f>IFERROR(MIN(VLOOKUP(ROUNDDOWN(P57,0),'Aide calcul'!$B$2:$C$282,2,FALSE),O57+1),"")</f>
        <v/>
      </c>
      <c r="R57" s="115" t="str">
        <f t="shared" si="12"/>
        <v/>
      </c>
      <c r="S57" s="155"/>
      <c r="T57" s="155"/>
      <c r="U57" s="155"/>
      <c r="V57" s="155"/>
      <c r="W57" s="155"/>
      <c r="X57" s="155"/>
      <c r="Y57" s="155"/>
      <c r="Z57" s="78"/>
      <c r="AA57" s="78"/>
      <c r="AB57" s="116" t="str">
        <f>IF(C57="3111. Logements",ROUND(VLOOKUP(C57,'Informations générales'!$C$66:$D$70,2,FALSE)*(AK57/$AL$27)/12,0)*12,IF(C57="3112. Logements",ROUND(VLOOKUP(C57,'Informations générales'!$C$66:$D$70,2,FALSE)*(AK57/$AM$27)/12,0)*12,IF(C57="3113. Logements",ROUND(VLOOKUP(C57,'Informations générales'!$C$66:$D$70,2,FALSE)*(AK57/$AN$27)/12,0)*12,IF(C57="3114. Logements",ROUND(VLOOKUP(C57,'Informations générales'!$C$66:$D$70,2,FALSE)*(AK57/$AO$27)/12,0)*12,IF(C57="3115. Logements",ROUND(VLOOKUP(C57,'Informations générales'!$C$66:$D$70,2,FALSE)*(AK57/$AP$27)/12,0)*12,"")))))</f>
        <v/>
      </c>
      <c r="AC57" s="117"/>
      <c r="AD57" s="116">
        <f t="shared" si="13"/>
        <v>0</v>
      </c>
      <c r="AE57" s="117"/>
      <c r="AF57" s="116" t="str">
        <f>IF(C57="3111. Logements",ROUND(VLOOKUP(C57,'Informations générales'!$C$66:$G$70,5,FALSE)*(AK57/$AL$27)/12,0)*12,IF(C57="3112. Logements",ROUND(VLOOKUP(C57,'Informations générales'!$C$66:$G$70,5,FALSE)*(AK57/$AM$27)/12,0)*12,IF(C57="3113. Logements",ROUND(VLOOKUP(C57,'Informations générales'!$C$66:$G$70,5,FALSE)*(AK57/$AN$27)/12,0)*12,IF(C57="3114. Logements",ROUND(VLOOKUP(C57,'Informations générales'!$C$66:$G$70,5,FALSE)*(AK57/$AO$27)/12,0)*12,IF(C57="3115. Logements",ROUND(VLOOKUP(C57,'Informations générales'!$C$66:$G$70,5,FALSE)*(AK57/$AP$27)/12,0)*12,"")))))</f>
        <v/>
      </c>
      <c r="AG57" s="117"/>
      <c r="AH57" s="116" t="str">
        <f t="shared" si="14"/>
        <v/>
      </c>
      <c r="AI57" s="92"/>
      <c r="AJ57" s="78"/>
      <c r="AK57" s="60">
        <f t="shared" si="15"/>
        <v>0</v>
      </c>
      <c r="AL57" s="60"/>
      <c r="AM57" s="60"/>
      <c r="AN57" s="60"/>
      <c r="AO57" s="60"/>
      <c r="AP57" s="60"/>
      <c r="AQ57" s="60">
        <f t="shared" si="3"/>
        <v>0</v>
      </c>
      <c r="AR57" s="60">
        <f t="shared" si="4"/>
        <v>0</v>
      </c>
      <c r="AS57" s="60">
        <f t="shared" si="5"/>
        <v>0</v>
      </c>
      <c r="AT57" s="60">
        <f t="shared" si="6"/>
        <v>0</v>
      </c>
      <c r="AU57" s="60">
        <f t="shared" si="7"/>
        <v>0</v>
      </c>
      <c r="AV57" s="60">
        <f t="shared" si="8"/>
        <v>0</v>
      </c>
      <c r="AW57" s="60">
        <f t="shared" si="9"/>
        <v>0</v>
      </c>
      <c r="AX57" s="60">
        <f t="shared" si="16"/>
        <v>0</v>
      </c>
      <c r="AY57" s="64">
        <f t="shared" si="17"/>
        <v>0</v>
      </c>
      <c r="AZ57" s="65">
        <f t="shared" si="10"/>
        <v>0</v>
      </c>
      <c r="BA57" s="65">
        <f t="shared" si="11"/>
        <v>0</v>
      </c>
    </row>
    <row r="58" spans="3:53" s="17" customFormat="1" x14ac:dyDescent="0.25">
      <c r="C58" s="194"/>
      <c r="D58" s="195"/>
      <c r="E58" s="90"/>
      <c r="F58" s="198"/>
      <c r="G58" s="214"/>
      <c r="H58" s="199"/>
      <c r="I58" s="78"/>
      <c r="J58" s="79"/>
      <c r="K58" s="78"/>
      <c r="L58" s="80"/>
      <c r="M58" s="80"/>
      <c r="N58" s="78" t="s">
        <v>39</v>
      </c>
      <c r="O58" s="113"/>
      <c r="P58" s="155"/>
      <c r="Q58" s="114" t="str">
        <f>IFERROR(MIN(VLOOKUP(ROUNDDOWN(P58,0),'Aide calcul'!$B$2:$C$282,2,FALSE),O58+1),"")</f>
        <v/>
      </c>
      <c r="R58" s="115" t="str">
        <f t="shared" si="12"/>
        <v/>
      </c>
      <c r="S58" s="155"/>
      <c r="T58" s="155"/>
      <c r="U58" s="155"/>
      <c r="V58" s="155"/>
      <c r="W58" s="155"/>
      <c r="X58" s="155"/>
      <c r="Y58" s="155"/>
      <c r="Z58" s="78"/>
      <c r="AA58" s="78"/>
      <c r="AB58" s="116" t="str">
        <f>IF(C58="3111. Logements",ROUND(VLOOKUP(C58,'Informations générales'!$C$66:$D$70,2,FALSE)*(AK58/$AL$27)/12,0)*12,IF(C58="3112. Logements",ROUND(VLOOKUP(C58,'Informations générales'!$C$66:$D$70,2,FALSE)*(AK58/$AM$27)/12,0)*12,IF(C58="3113. Logements",ROUND(VLOOKUP(C58,'Informations générales'!$C$66:$D$70,2,FALSE)*(AK58/$AN$27)/12,0)*12,IF(C58="3114. Logements",ROUND(VLOOKUP(C58,'Informations générales'!$C$66:$D$70,2,FALSE)*(AK58/$AO$27)/12,0)*12,IF(C58="3115. Logements",ROUND(VLOOKUP(C58,'Informations générales'!$C$66:$D$70,2,FALSE)*(AK58/$AP$27)/12,0)*12,"")))))</f>
        <v/>
      </c>
      <c r="AC58" s="117"/>
      <c r="AD58" s="116">
        <f t="shared" si="13"/>
        <v>0</v>
      </c>
      <c r="AE58" s="117"/>
      <c r="AF58" s="116" t="str">
        <f>IF(C58="3111. Logements",ROUND(VLOOKUP(C58,'Informations générales'!$C$66:$G$70,5,FALSE)*(AK58/$AL$27)/12,0)*12,IF(C58="3112. Logements",ROUND(VLOOKUP(C58,'Informations générales'!$C$66:$G$70,5,FALSE)*(AK58/$AM$27)/12,0)*12,IF(C58="3113. Logements",ROUND(VLOOKUP(C58,'Informations générales'!$C$66:$G$70,5,FALSE)*(AK58/$AN$27)/12,0)*12,IF(C58="3114. Logements",ROUND(VLOOKUP(C58,'Informations générales'!$C$66:$G$70,5,FALSE)*(AK58/$AO$27)/12,0)*12,IF(C58="3115. Logements",ROUND(VLOOKUP(C58,'Informations générales'!$C$66:$G$70,5,FALSE)*(AK58/$AP$27)/12,0)*12,"")))))</f>
        <v/>
      </c>
      <c r="AG58" s="117"/>
      <c r="AH58" s="116" t="str">
        <f t="shared" si="14"/>
        <v/>
      </c>
      <c r="AI58" s="92"/>
      <c r="AJ58" s="78"/>
      <c r="AK58" s="60">
        <f t="shared" si="15"/>
        <v>0</v>
      </c>
      <c r="AL58" s="60"/>
      <c r="AM58" s="60"/>
      <c r="AN58" s="60"/>
      <c r="AO58" s="60"/>
      <c r="AP58" s="60"/>
      <c r="AQ58" s="60">
        <f t="shared" si="3"/>
        <v>0</v>
      </c>
      <c r="AR58" s="60">
        <f t="shared" si="4"/>
        <v>0</v>
      </c>
      <c r="AS58" s="60">
        <f t="shared" si="5"/>
        <v>0</v>
      </c>
      <c r="AT58" s="60">
        <f t="shared" si="6"/>
        <v>0</v>
      </c>
      <c r="AU58" s="60">
        <f t="shared" si="7"/>
        <v>0</v>
      </c>
      <c r="AV58" s="60">
        <f t="shared" si="8"/>
        <v>0</v>
      </c>
      <c r="AW58" s="60">
        <f t="shared" si="9"/>
        <v>0</v>
      </c>
      <c r="AX58" s="60">
        <f t="shared" si="16"/>
        <v>0</v>
      </c>
      <c r="AY58" s="64">
        <f t="shared" si="17"/>
        <v>0</v>
      </c>
      <c r="AZ58" s="65">
        <f t="shared" si="10"/>
        <v>0</v>
      </c>
      <c r="BA58" s="65">
        <f t="shared" si="11"/>
        <v>0</v>
      </c>
    </row>
    <row r="59" spans="3:53" s="17" customFormat="1" x14ac:dyDescent="0.25">
      <c r="C59" s="194"/>
      <c r="D59" s="195"/>
      <c r="E59" s="90"/>
      <c r="F59" s="198"/>
      <c r="G59" s="214"/>
      <c r="H59" s="199"/>
      <c r="I59" s="78"/>
      <c r="J59" s="79"/>
      <c r="K59" s="78"/>
      <c r="L59" s="80"/>
      <c r="M59" s="80"/>
      <c r="N59" s="78" t="s">
        <v>39</v>
      </c>
      <c r="O59" s="113"/>
      <c r="P59" s="155"/>
      <c r="Q59" s="114" t="str">
        <f>IFERROR(MIN(VLOOKUP(ROUNDDOWN(P59,0),'Aide calcul'!$B$2:$C$282,2,FALSE),O59+1),"")</f>
        <v/>
      </c>
      <c r="R59" s="115" t="str">
        <f t="shared" si="12"/>
        <v/>
      </c>
      <c r="S59" s="155"/>
      <c r="T59" s="155"/>
      <c r="U59" s="155"/>
      <c r="V59" s="155"/>
      <c r="W59" s="155"/>
      <c r="X59" s="155"/>
      <c r="Y59" s="155"/>
      <c r="Z59" s="78"/>
      <c r="AA59" s="78"/>
      <c r="AB59" s="116" t="str">
        <f>IF(C59="3111. Logements",ROUND(VLOOKUP(C59,'Informations générales'!$C$66:$D$70,2,FALSE)*(AK59/$AL$27)/12,0)*12,IF(C59="3112. Logements",ROUND(VLOOKUP(C59,'Informations générales'!$C$66:$D$70,2,FALSE)*(AK59/$AM$27)/12,0)*12,IF(C59="3113. Logements",ROUND(VLOOKUP(C59,'Informations générales'!$C$66:$D$70,2,FALSE)*(AK59/$AN$27)/12,0)*12,IF(C59="3114. Logements",ROUND(VLOOKUP(C59,'Informations générales'!$C$66:$D$70,2,FALSE)*(AK59/$AO$27)/12,0)*12,IF(C59="3115. Logements",ROUND(VLOOKUP(C59,'Informations générales'!$C$66:$D$70,2,FALSE)*(AK59/$AP$27)/12,0)*12,"")))))</f>
        <v/>
      </c>
      <c r="AC59" s="117"/>
      <c r="AD59" s="116">
        <f t="shared" si="13"/>
        <v>0</v>
      </c>
      <c r="AE59" s="117"/>
      <c r="AF59" s="116" t="str">
        <f>IF(C59="3111. Logements",ROUND(VLOOKUP(C59,'Informations générales'!$C$66:$G$70,5,FALSE)*(AK59/$AL$27)/12,0)*12,IF(C59="3112. Logements",ROUND(VLOOKUP(C59,'Informations générales'!$C$66:$G$70,5,FALSE)*(AK59/$AM$27)/12,0)*12,IF(C59="3113. Logements",ROUND(VLOOKUP(C59,'Informations générales'!$C$66:$G$70,5,FALSE)*(AK59/$AN$27)/12,0)*12,IF(C59="3114. Logements",ROUND(VLOOKUP(C59,'Informations générales'!$C$66:$G$70,5,FALSE)*(AK59/$AO$27)/12,0)*12,IF(C59="3115. Logements",ROUND(VLOOKUP(C59,'Informations générales'!$C$66:$G$70,5,FALSE)*(AK59/$AP$27)/12,0)*12,"")))))</f>
        <v/>
      </c>
      <c r="AG59" s="117"/>
      <c r="AH59" s="116" t="str">
        <f t="shared" si="14"/>
        <v/>
      </c>
      <c r="AI59" s="92"/>
      <c r="AJ59" s="78"/>
      <c r="AK59" s="60">
        <f t="shared" si="15"/>
        <v>0</v>
      </c>
      <c r="AL59" s="60"/>
      <c r="AM59" s="60"/>
      <c r="AN59" s="60"/>
      <c r="AO59" s="60"/>
      <c r="AP59" s="60"/>
      <c r="AQ59" s="60">
        <f t="shared" si="3"/>
        <v>0</v>
      </c>
      <c r="AR59" s="60">
        <f t="shared" si="4"/>
        <v>0</v>
      </c>
      <c r="AS59" s="60">
        <f t="shared" si="5"/>
        <v>0</v>
      </c>
      <c r="AT59" s="60">
        <f t="shared" si="6"/>
        <v>0</v>
      </c>
      <c r="AU59" s="60">
        <f t="shared" si="7"/>
        <v>0</v>
      </c>
      <c r="AV59" s="60">
        <f t="shared" si="8"/>
        <v>0</v>
      </c>
      <c r="AW59" s="60">
        <f t="shared" si="9"/>
        <v>0</v>
      </c>
      <c r="AX59" s="60">
        <f t="shared" si="16"/>
        <v>0</v>
      </c>
      <c r="AY59" s="64">
        <f t="shared" si="17"/>
        <v>0</v>
      </c>
      <c r="AZ59" s="65">
        <f t="shared" si="10"/>
        <v>0</v>
      </c>
      <c r="BA59" s="65">
        <f t="shared" si="11"/>
        <v>0</v>
      </c>
    </row>
    <row r="60" spans="3:53" s="17" customFormat="1" x14ac:dyDescent="0.25">
      <c r="C60" s="194"/>
      <c r="D60" s="195"/>
      <c r="E60" s="90"/>
      <c r="F60" s="198"/>
      <c r="G60" s="214"/>
      <c r="H60" s="199"/>
      <c r="I60" s="78"/>
      <c r="J60" s="79"/>
      <c r="K60" s="78"/>
      <c r="L60" s="80"/>
      <c r="M60" s="80"/>
      <c r="N60" s="78" t="s">
        <v>39</v>
      </c>
      <c r="O60" s="113"/>
      <c r="P60" s="155"/>
      <c r="Q60" s="114" t="str">
        <f>IFERROR(MIN(VLOOKUP(ROUNDDOWN(P60,0),'Aide calcul'!$B$2:$C$282,2,FALSE),O60+1),"")</f>
        <v/>
      </c>
      <c r="R60" s="115" t="str">
        <f t="shared" si="12"/>
        <v/>
      </c>
      <c r="S60" s="155"/>
      <c r="T60" s="155"/>
      <c r="U60" s="155"/>
      <c r="V60" s="155"/>
      <c r="W60" s="155"/>
      <c r="X60" s="155"/>
      <c r="Y60" s="155"/>
      <c r="Z60" s="78"/>
      <c r="AA60" s="78"/>
      <c r="AB60" s="116" t="str">
        <f>IF(C60="3111. Logements",ROUND(VLOOKUP(C60,'Informations générales'!$C$66:$D$70,2,FALSE)*(AK60/$AL$27)/12,0)*12,IF(C60="3112. Logements",ROUND(VLOOKUP(C60,'Informations générales'!$C$66:$D$70,2,FALSE)*(AK60/$AM$27)/12,0)*12,IF(C60="3113. Logements",ROUND(VLOOKUP(C60,'Informations générales'!$C$66:$D$70,2,FALSE)*(AK60/$AN$27)/12,0)*12,IF(C60="3114. Logements",ROUND(VLOOKUP(C60,'Informations générales'!$C$66:$D$70,2,FALSE)*(AK60/$AO$27)/12,0)*12,IF(C60="3115. Logements",ROUND(VLOOKUP(C60,'Informations générales'!$C$66:$D$70,2,FALSE)*(AK60/$AP$27)/12,0)*12,"")))))</f>
        <v/>
      </c>
      <c r="AC60" s="117"/>
      <c r="AD60" s="116">
        <f t="shared" si="13"/>
        <v>0</v>
      </c>
      <c r="AE60" s="117"/>
      <c r="AF60" s="116" t="str">
        <f>IF(C60="3111. Logements",ROUND(VLOOKUP(C60,'Informations générales'!$C$66:$G$70,5,FALSE)*(AK60/$AL$27)/12,0)*12,IF(C60="3112. Logements",ROUND(VLOOKUP(C60,'Informations générales'!$C$66:$G$70,5,FALSE)*(AK60/$AM$27)/12,0)*12,IF(C60="3113. Logements",ROUND(VLOOKUP(C60,'Informations générales'!$C$66:$G$70,5,FALSE)*(AK60/$AN$27)/12,0)*12,IF(C60="3114. Logements",ROUND(VLOOKUP(C60,'Informations générales'!$C$66:$G$70,5,FALSE)*(AK60/$AO$27)/12,0)*12,IF(C60="3115. Logements",ROUND(VLOOKUP(C60,'Informations générales'!$C$66:$G$70,5,FALSE)*(AK60/$AP$27)/12,0)*12,"")))))</f>
        <v/>
      </c>
      <c r="AG60" s="117"/>
      <c r="AH60" s="116" t="str">
        <f t="shared" si="14"/>
        <v/>
      </c>
      <c r="AI60" s="92"/>
      <c r="AJ60" s="78"/>
      <c r="AK60" s="60">
        <f t="shared" si="15"/>
        <v>0</v>
      </c>
      <c r="AL60" s="60"/>
      <c r="AM60" s="60"/>
      <c r="AN60" s="60"/>
      <c r="AO60" s="60"/>
      <c r="AP60" s="60"/>
      <c r="AQ60" s="60">
        <f t="shared" si="3"/>
        <v>0</v>
      </c>
      <c r="AR60" s="60">
        <f t="shared" si="4"/>
        <v>0</v>
      </c>
      <c r="AS60" s="60">
        <f t="shared" si="5"/>
        <v>0</v>
      </c>
      <c r="AT60" s="60">
        <f t="shared" si="6"/>
        <v>0</v>
      </c>
      <c r="AU60" s="60">
        <f t="shared" si="7"/>
        <v>0</v>
      </c>
      <c r="AV60" s="60">
        <f t="shared" si="8"/>
        <v>0</v>
      </c>
      <c r="AW60" s="60">
        <f t="shared" si="9"/>
        <v>0</v>
      </c>
      <c r="AX60" s="60">
        <f t="shared" si="16"/>
        <v>0</v>
      </c>
      <c r="AY60" s="64">
        <f t="shared" si="17"/>
        <v>0</v>
      </c>
      <c r="AZ60" s="65">
        <f t="shared" si="10"/>
        <v>0</v>
      </c>
      <c r="BA60" s="65">
        <f t="shared" si="11"/>
        <v>0</v>
      </c>
    </row>
    <row r="61" spans="3:53" s="17" customFormat="1" x14ac:dyDescent="0.25">
      <c r="C61" s="194"/>
      <c r="D61" s="195"/>
      <c r="E61" s="90"/>
      <c r="F61" s="198"/>
      <c r="G61" s="214"/>
      <c r="H61" s="199"/>
      <c r="I61" s="78"/>
      <c r="J61" s="79"/>
      <c r="K61" s="78"/>
      <c r="L61" s="80"/>
      <c r="M61" s="80"/>
      <c r="N61" s="78" t="s">
        <v>39</v>
      </c>
      <c r="O61" s="113"/>
      <c r="P61" s="155"/>
      <c r="Q61" s="114" t="str">
        <f>IFERROR(MIN(VLOOKUP(ROUNDDOWN(P61,0),'Aide calcul'!$B$2:$C$282,2,FALSE),O61+1),"")</f>
        <v/>
      </c>
      <c r="R61" s="115" t="str">
        <f t="shared" si="12"/>
        <v/>
      </c>
      <c r="S61" s="155"/>
      <c r="T61" s="155"/>
      <c r="U61" s="155"/>
      <c r="V61" s="155"/>
      <c r="W61" s="155"/>
      <c r="X61" s="155"/>
      <c r="Y61" s="155"/>
      <c r="Z61" s="78"/>
      <c r="AA61" s="78"/>
      <c r="AB61" s="116" t="str">
        <f>IF(C61="3111. Logements",ROUND(VLOOKUP(C61,'Informations générales'!$C$66:$D$70,2,FALSE)*(AK61/$AL$27)/12,0)*12,IF(C61="3112. Logements",ROUND(VLOOKUP(C61,'Informations générales'!$C$66:$D$70,2,FALSE)*(AK61/$AM$27)/12,0)*12,IF(C61="3113. Logements",ROUND(VLOOKUP(C61,'Informations générales'!$C$66:$D$70,2,FALSE)*(AK61/$AN$27)/12,0)*12,IF(C61="3114. Logements",ROUND(VLOOKUP(C61,'Informations générales'!$C$66:$D$70,2,FALSE)*(AK61/$AO$27)/12,0)*12,IF(C61="3115. Logements",ROUND(VLOOKUP(C61,'Informations générales'!$C$66:$D$70,2,FALSE)*(AK61/$AP$27)/12,0)*12,"")))))</f>
        <v/>
      </c>
      <c r="AC61" s="117"/>
      <c r="AD61" s="116">
        <f t="shared" si="13"/>
        <v>0</v>
      </c>
      <c r="AE61" s="117"/>
      <c r="AF61" s="116" t="str">
        <f>IF(C61="3111. Logements",ROUND(VLOOKUP(C61,'Informations générales'!$C$66:$G$70,5,FALSE)*(AK61/$AL$27)/12,0)*12,IF(C61="3112. Logements",ROUND(VLOOKUP(C61,'Informations générales'!$C$66:$G$70,5,FALSE)*(AK61/$AM$27)/12,0)*12,IF(C61="3113. Logements",ROUND(VLOOKUP(C61,'Informations générales'!$C$66:$G$70,5,FALSE)*(AK61/$AN$27)/12,0)*12,IF(C61="3114. Logements",ROUND(VLOOKUP(C61,'Informations générales'!$C$66:$G$70,5,FALSE)*(AK61/$AO$27)/12,0)*12,IF(C61="3115. Logements",ROUND(VLOOKUP(C61,'Informations générales'!$C$66:$G$70,5,FALSE)*(AK61/$AP$27)/12,0)*12,"")))))</f>
        <v/>
      </c>
      <c r="AG61" s="117"/>
      <c r="AH61" s="116" t="str">
        <f t="shared" si="14"/>
        <v/>
      </c>
      <c r="AI61" s="92"/>
      <c r="AJ61" s="78"/>
      <c r="AK61" s="60">
        <f t="shared" si="15"/>
        <v>0</v>
      </c>
      <c r="AL61" s="60"/>
      <c r="AM61" s="60"/>
      <c r="AN61" s="60"/>
      <c r="AO61" s="60"/>
      <c r="AP61" s="60"/>
      <c r="AQ61" s="60">
        <f t="shared" si="3"/>
        <v>0</v>
      </c>
      <c r="AR61" s="60">
        <f t="shared" si="4"/>
        <v>0</v>
      </c>
      <c r="AS61" s="60">
        <f t="shared" si="5"/>
        <v>0</v>
      </c>
      <c r="AT61" s="60">
        <f t="shared" si="6"/>
        <v>0</v>
      </c>
      <c r="AU61" s="60">
        <f t="shared" si="7"/>
        <v>0</v>
      </c>
      <c r="AV61" s="60">
        <f t="shared" si="8"/>
        <v>0</v>
      </c>
      <c r="AW61" s="60">
        <f t="shared" si="9"/>
        <v>0</v>
      </c>
      <c r="AX61" s="60">
        <f t="shared" si="16"/>
        <v>0</v>
      </c>
      <c r="AY61" s="64">
        <f t="shared" si="17"/>
        <v>0</v>
      </c>
      <c r="AZ61" s="65">
        <f t="shared" si="10"/>
        <v>0</v>
      </c>
      <c r="BA61" s="65">
        <f t="shared" si="11"/>
        <v>0</v>
      </c>
    </row>
    <row r="62" spans="3:53" s="17" customFormat="1" x14ac:dyDescent="0.25">
      <c r="C62" s="194"/>
      <c r="D62" s="195"/>
      <c r="E62" s="90"/>
      <c r="F62" s="198"/>
      <c r="G62" s="214"/>
      <c r="H62" s="199"/>
      <c r="I62" s="78"/>
      <c r="J62" s="79"/>
      <c r="K62" s="78"/>
      <c r="L62" s="80"/>
      <c r="M62" s="80"/>
      <c r="N62" s="78" t="s">
        <v>39</v>
      </c>
      <c r="O62" s="113"/>
      <c r="P62" s="155"/>
      <c r="Q62" s="114" t="str">
        <f>IFERROR(MIN(VLOOKUP(ROUNDDOWN(P62,0),'Aide calcul'!$B$2:$C$282,2,FALSE),O62+1),"")</f>
        <v/>
      </c>
      <c r="R62" s="115" t="str">
        <f t="shared" si="12"/>
        <v/>
      </c>
      <c r="S62" s="155"/>
      <c r="T62" s="155"/>
      <c r="U62" s="155"/>
      <c r="V62" s="155"/>
      <c r="W62" s="155"/>
      <c r="X62" s="155"/>
      <c r="Y62" s="155"/>
      <c r="Z62" s="78"/>
      <c r="AA62" s="78"/>
      <c r="AB62" s="116" t="str">
        <f>IF(C62="3111. Logements",ROUND(VLOOKUP(C62,'Informations générales'!$C$66:$D$70,2,FALSE)*(AK62/$AL$27)/12,0)*12,IF(C62="3112. Logements",ROUND(VLOOKUP(C62,'Informations générales'!$C$66:$D$70,2,FALSE)*(AK62/$AM$27)/12,0)*12,IF(C62="3113. Logements",ROUND(VLOOKUP(C62,'Informations générales'!$C$66:$D$70,2,FALSE)*(AK62/$AN$27)/12,0)*12,IF(C62="3114. Logements",ROUND(VLOOKUP(C62,'Informations générales'!$C$66:$D$70,2,FALSE)*(AK62/$AO$27)/12,0)*12,IF(C62="3115. Logements",ROUND(VLOOKUP(C62,'Informations générales'!$C$66:$D$70,2,FALSE)*(AK62/$AP$27)/12,0)*12,"")))))</f>
        <v/>
      </c>
      <c r="AC62" s="117"/>
      <c r="AD62" s="116">
        <f t="shared" si="13"/>
        <v>0</v>
      </c>
      <c r="AE62" s="117"/>
      <c r="AF62" s="116" t="str">
        <f>IF(C62="3111. Logements",ROUND(VLOOKUP(C62,'Informations générales'!$C$66:$G$70,5,FALSE)*(AK62/$AL$27)/12,0)*12,IF(C62="3112. Logements",ROUND(VLOOKUP(C62,'Informations générales'!$C$66:$G$70,5,FALSE)*(AK62/$AM$27)/12,0)*12,IF(C62="3113. Logements",ROUND(VLOOKUP(C62,'Informations générales'!$C$66:$G$70,5,FALSE)*(AK62/$AN$27)/12,0)*12,IF(C62="3114. Logements",ROUND(VLOOKUP(C62,'Informations générales'!$C$66:$G$70,5,FALSE)*(AK62/$AO$27)/12,0)*12,IF(C62="3115. Logements",ROUND(VLOOKUP(C62,'Informations générales'!$C$66:$G$70,5,FALSE)*(AK62/$AP$27)/12,0)*12,"")))))</f>
        <v/>
      </c>
      <c r="AG62" s="117"/>
      <c r="AH62" s="116" t="str">
        <f t="shared" si="14"/>
        <v/>
      </c>
      <c r="AI62" s="92"/>
      <c r="AJ62" s="78"/>
      <c r="AK62" s="60">
        <f t="shared" si="15"/>
        <v>0</v>
      </c>
      <c r="AL62" s="60"/>
      <c r="AM62" s="60"/>
      <c r="AN62" s="60"/>
      <c r="AO62" s="60"/>
      <c r="AP62" s="60"/>
      <c r="AQ62" s="60">
        <f t="shared" si="3"/>
        <v>0</v>
      </c>
      <c r="AR62" s="60">
        <f t="shared" si="4"/>
        <v>0</v>
      </c>
      <c r="AS62" s="60">
        <f t="shared" si="5"/>
        <v>0</v>
      </c>
      <c r="AT62" s="60">
        <f t="shared" si="6"/>
        <v>0</v>
      </c>
      <c r="AU62" s="60">
        <f t="shared" si="7"/>
        <v>0</v>
      </c>
      <c r="AV62" s="60">
        <f t="shared" si="8"/>
        <v>0</v>
      </c>
      <c r="AW62" s="60">
        <f t="shared" si="9"/>
        <v>0</v>
      </c>
      <c r="AX62" s="60">
        <f t="shared" si="16"/>
        <v>0</v>
      </c>
      <c r="AY62" s="64">
        <f t="shared" si="17"/>
        <v>0</v>
      </c>
      <c r="AZ62" s="65">
        <f t="shared" si="10"/>
        <v>0</v>
      </c>
      <c r="BA62" s="65">
        <f t="shared" si="11"/>
        <v>0</v>
      </c>
    </row>
    <row r="63" spans="3:53" s="17" customFormat="1" x14ac:dyDescent="0.25">
      <c r="C63" s="194"/>
      <c r="D63" s="195"/>
      <c r="E63" s="90"/>
      <c r="F63" s="198"/>
      <c r="G63" s="214"/>
      <c r="H63" s="199"/>
      <c r="I63" s="78"/>
      <c r="J63" s="79"/>
      <c r="K63" s="78"/>
      <c r="L63" s="80"/>
      <c r="M63" s="80"/>
      <c r="N63" s="78" t="s">
        <v>39</v>
      </c>
      <c r="O63" s="113"/>
      <c r="P63" s="155"/>
      <c r="Q63" s="114" t="str">
        <f>IFERROR(MIN(VLOOKUP(ROUNDDOWN(P63,0),'Aide calcul'!$B$2:$C$282,2,FALSE),O63+1),"")</f>
        <v/>
      </c>
      <c r="R63" s="115" t="str">
        <f t="shared" si="12"/>
        <v/>
      </c>
      <c r="S63" s="155"/>
      <c r="T63" s="155"/>
      <c r="U63" s="155"/>
      <c r="V63" s="155"/>
      <c r="W63" s="155"/>
      <c r="X63" s="155"/>
      <c r="Y63" s="155"/>
      <c r="Z63" s="78"/>
      <c r="AA63" s="78"/>
      <c r="AB63" s="116" t="str">
        <f>IF(C63="3111. Logements",ROUND(VLOOKUP(C63,'Informations générales'!$C$66:$D$70,2,FALSE)*(AK63/$AL$27)/12,0)*12,IF(C63="3112. Logements",ROUND(VLOOKUP(C63,'Informations générales'!$C$66:$D$70,2,FALSE)*(AK63/$AM$27)/12,0)*12,IF(C63="3113. Logements",ROUND(VLOOKUP(C63,'Informations générales'!$C$66:$D$70,2,FALSE)*(AK63/$AN$27)/12,0)*12,IF(C63="3114. Logements",ROUND(VLOOKUP(C63,'Informations générales'!$C$66:$D$70,2,FALSE)*(AK63/$AO$27)/12,0)*12,IF(C63="3115. Logements",ROUND(VLOOKUP(C63,'Informations générales'!$C$66:$D$70,2,FALSE)*(AK63/$AP$27)/12,0)*12,"")))))</f>
        <v/>
      </c>
      <c r="AC63" s="117"/>
      <c r="AD63" s="116">
        <f t="shared" si="13"/>
        <v>0</v>
      </c>
      <c r="AE63" s="117"/>
      <c r="AF63" s="116" t="str">
        <f>IF(C63="3111. Logements",ROUND(VLOOKUP(C63,'Informations générales'!$C$66:$G$70,5,FALSE)*(AK63/$AL$27)/12,0)*12,IF(C63="3112. Logements",ROUND(VLOOKUP(C63,'Informations générales'!$C$66:$G$70,5,FALSE)*(AK63/$AM$27)/12,0)*12,IF(C63="3113. Logements",ROUND(VLOOKUP(C63,'Informations générales'!$C$66:$G$70,5,FALSE)*(AK63/$AN$27)/12,0)*12,IF(C63="3114. Logements",ROUND(VLOOKUP(C63,'Informations générales'!$C$66:$G$70,5,FALSE)*(AK63/$AO$27)/12,0)*12,IF(C63="3115. Logements",ROUND(VLOOKUP(C63,'Informations générales'!$C$66:$G$70,5,FALSE)*(AK63/$AP$27)/12,0)*12,"")))))</f>
        <v/>
      </c>
      <c r="AG63" s="117"/>
      <c r="AH63" s="116" t="str">
        <f t="shared" si="14"/>
        <v/>
      </c>
      <c r="AI63" s="92"/>
      <c r="AJ63" s="78"/>
      <c r="AK63" s="60">
        <f t="shared" si="15"/>
        <v>0</v>
      </c>
      <c r="AL63" s="60"/>
      <c r="AM63" s="60"/>
      <c r="AN63" s="60"/>
      <c r="AO63" s="60"/>
      <c r="AP63" s="60"/>
      <c r="AQ63" s="60">
        <f t="shared" si="3"/>
        <v>0</v>
      </c>
      <c r="AR63" s="60">
        <f t="shared" si="4"/>
        <v>0</v>
      </c>
      <c r="AS63" s="60">
        <f t="shared" si="5"/>
        <v>0</v>
      </c>
      <c r="AT63" s="60">
        <f t="shared" si="6"/>
        <v>0</v>
      </c>
      <c r="AU63" s="60">
        <f t="shared" si="7"/>
        <v>0</v>
      </c>
      <c r="AV63" s="60">
        <f t="shared" si="8"/>
        <v>0</v>
      </c>
      <c r="AW63" s="60">
        <f t="shared" si="9"/>
        <v>0</v>
      </c>
      <c r="AX63" s="60">
        <f t="shared" si="16"/>
        <v>0</v>
      </c>
      <c r="AY63" s="64">
        <f t="shared" si="17"/>
        <v>0</v>
      </c>
      <c r="AZ63" s="65">
        <f t="shared" si="10"/>
        <v>0</v>
      </c>
      <c r="BA63" s="65">
        <f t="shared" si="11"/>
        <v>0</v>
      </c>
    </row>
    <row r="64" spans="3:53" s="17" customFormat="1" x14ac:dyDescent="0.25">
      <c r="C64" s="194"/>
      <c r="D64" s="195"/>
      <c r="E64" s="90"/>
      <c r="F64" s="198"/>
      <c r="G64" s="214"/>
      <c r="H64" s="199"/>
      <c r="I64" s="78"/>
      <c r="J64" s="79"/>
      <c r="K64" s="78"/>
      <c r="L64" s="80"/>
      <c r="M64" s="80"/>
      <c r="N64" s="78" t="s">
        <v>39</v>
      </c>
      <c r="O64" s="113"/>
      <c r="P64" s="155"/>
      <c r="Q64" s="114" t="str">
        <f>IFERROR(MIN(VLOOKUP(ROUNDDOWN(P64,0),'Aide calcul'!$B$2:$C$282,2,FALSE),O64+1),"")</f>
        <v/>
      </c>
      <c r="R64" s="115" t="str">
        <f t="shared" si="12"/>
        <v/>
      </c>
      <c r="S64" s="155"/>
      <c r="T64" s="155"/>
      <c r="U64" s="155"/>
      <c r="V64" s="155"/>
      <c r="W64" s="155"/>
      <c r="X64" s="155"/>
      <c r="Y64" s="155"/>
      <c r="Z64" s="78"/>
      <c r="AA64" s="78"/>
      <c r="AB64" s="116" t="str">
        <f>IF(C64="3111. Logements",ROUND(VLOOKUP(C64,'Informations générales'!$C$66:$D$70,2,FALSE)*(AK64/$AL$27)/12,0)*12,IF(C64="3112. Logements",ROUND(VLOOKUP(C64,'Informations générales'!$C$66:$D$70,2,FALSE)*(AK64/$AM$27)/12,0)*12,IF(C64="3113. Logements",ROUND(VLOOKUP(C64,'Informations générales'!$C$66:$D$70,2,FALSE)*(AK64/$AN$27)/12,0)*12,IF(C64="3114. Logements",ROUND(VLOOKUP(C64,'Informations générales'!$C$66:$D$70,2,FALSE)*(AK64/$AO$27)/12,0)*12,IF(C64="3115. Logements",ROUND(VLOOKUP(C64,'Informations générales'!$C$66:$D$70,2,FALSE)*(AK64/$AP$27)/12,0)*12,"")))))</f>
        <v/>
      </c>
      <c r="AC64" s="117"/>
      <c r="AD64" s="116">
        <f t="shared" si="13"/>
        <v>0</v>
      </c>
      <c r="AE64" s="117"/>
      <c r="AF64" s="116" t="str">
        <f>IF(C64="3111. Logements",ROUND(VLOOKUP(C64,'Informations générales'!$C$66:$G$70,5,FALSE)*(AK64/$AL$27)/12,0)*12,IF(C64="3112. Logements",ROUND(VLOOKUP(C64,'Informations générales'!$C$66:$G$70,5,FALSE)*(AK64/$AM$27)/12,0)*12,IF(C64="3113. Logements",ROUND(VLOOKUP(C64,'Informations générales'!$C$66:$G$70,5,FALSE)*(AK64/$AN$27)/12,0)*12,IF(C64="3114. Logements",ROUND(VLOOKUP(C64,'Informations générales'!$C$66:$G$70,5,FALSE)*(AK64/$AO$27)/12,0)*12,IF(C64="3115. Logements",ROUND(VLOOKUP(C64,'Informations générales'!$C$66:$G$70,5,FALSE)*(AK64/$AP$27)/12,0)*12,"")))))</f>
        <v/>
      </c>
      <c r="AG64" s="117"/>
      <c r="AH64" s="116" t="str">
        <f t="shared" si="14"/>
        <v/>
      </c>
      <c r="AI64" s="92"/>
      <c r="AJ64" s="78"/>
      <c r="AK64" s="60">
        <f t="shared" si="15"/>
        <v>0</v>
      </c>
      <c r="AL64" s="60"/>
      <c r="AM64" s="60"/>
      <c r="AN64" s="60"/>
      <c r="AO64" s="60"/>
      <c r="AP64" s="60"/>
      <c r="AQ64" s="60">
        <f t="shared" si="3"/>
        <v>0</v>
      </c>
      <c r="AR64" s="60">
        <f t="shared" si="4"/>
        <v>0</v>
      </c>
      <c r="AS64" s="60">
        <f t="shared" si="5"/>
        <v>0</v>
      </c>
      <c r="AT64" s="60">
        <f t="shared" si="6"/>
        <v>0</v>
      </c>
      <c r="AU64" s="60">
        <f t="shared" si="7"/>
        <v>0</v>
      </c>
      <c r="AV64" s="60">
        <f t="shared" si="8"/>
        <v>0</v>
      </c>
      <c r="AW64" s="60">
        <f t="shared" si="9"/>
        <v>0</v>
      </c>
      <c r="AX64" s="60">
        <f t="shared" si="16"/>
        <v>0</v>
      </c>
      <c r="AY64" s="64">
        <f t="shared" si="17"/>
        <v>0</v>
      </c>
      <c r="AZ64" s="65">
        <f t="shared" si="10"/>
        <v>0</v>
      </c>
      <c r="BA64" s="65">
        <f t="shared" si="11"/>
        <v>0</v>
      </c>
    </row>
    <row r="65" spans="3:53" s="17" customFormat="1" x14ac:dyDescent="0.25">
      <c r="C65" s="194"/>
      <c r="D65" s="195"/>
      <c r="E65" s="90"/>
      <c r="F65" s="198"/>
      <c r="G65" s="214"/>
      <c r="H65" s="199"/>
      <c r="I65" s="78"/>
      <c r="J65" s="79"/>
      <c r="K65" s="78"/>
      <c r="L65" s="80"/>
      <c r="M65" s="80"/>
      <c r="N65" s="78" t="s">
        <v>39</v>
      </c>
      <c r="O65" s="113"/>
      <c r="P65" s="155"/>
      <c r="Q65" s="114" t="str">
        <f>IFERROR(MIN(VLOOKUP(ROUNDDOWN(P65,0),'Aide calcul'!$B$2:$C$282,2,FALSE),O65+1),"")</f>
        <v/>
      </c>
      <c r="R65" s="115" t="str">
        <f t="shared" si="12"/>
        <v/>
      </c>
      <c r="S65" s="155"/>
      <c r="T65" s="155"/>
      <c r="U65" s="155"/>
      <c r="V65" s="155"/>
      <c r="W65" s="155"/>
      <c r="X65" s="155"/>
      <c r="Y65" s="155"/>
      <c r="Z65" s="78"/>
      <c r="AA65" s="78"/>
      <c r="AB65" s="116" t="str">
        <f>IF(C65="3111. Logements",ROUND(VLOOKUP(C65,'Informations générales'!$C$66:$D$70,2,FALSE)*(AK65/$AL$27)/12,0)*12,IF(C65="3112. Logements",ROUND(VLOOKUP(C65,'Informations générales'!$C$66:$D$70,2,FALSE)*(AK65/$AM$27)/12,0)*12,IF(C65="3113. Logements",ROUND(VLOOKUP(C65,'Informations générales'!$C$66:$D$70,2,FALSE)*(AK65/$AN$27)/12,0)*12,IF(C65="3114. Logements",ROUND(VLOOKUP(C65,'Informations générales'!$C$66:$D$70,2,FALSE)*(AK65/$AO$27)/12,0)*12,IF(C65="3115. Logements",ROUND(VLOOKUP(C65,'Informations générales'!$C$66:$D$70,2,FALSE)*(AK65/$AP$27)/12,0)*12,"")))))</f>
        <v/>
      </c>
      <c r="AC65" s="117"/>
      <c r="AD65" s="116">
        <f t="shared" si="13"/>
        <v>0</v>
      </c>
      <c r="AE65" s="117"/>
      <c r="AF65" s="116" t="str">
        <f>IF(C65="3111. Logements",ROUND(VLOOKUP(C65,'Informations générales'!$C$66:$G$70,5,FALSE)*(AK65/$AL$27)/12,0)*12,IF(C65="3112. Logements",ROUND(VLOOKUP(C65,'Informations générales'!$C$66:$G$70,5,FALSE)*(AK65/$AM$27)/12,0)*12,IF(C65="3113. Logements",ROUND(VLOOKUP(C65,'Informations générales'!$C$66:$G$70,5,FALSE)*(AK65/$AN$27)/12,0)*12,IF(C65="3114. Logements",ROUND(VLOOKUP(C65,'Informations générales'!$C$66:$G$70,5,FALSE)*(AK65/$AO$27)/12,0)*12,IF(C65="3115. Logements",ROUND(VLOOKUP(C65,'Informations générales'!$C$66:$G$70,5,FALSE)*(AK65/$AP$27)/12,0)*12,"")))))</f>
        <v/>
      </c>
      <c r="AG65" s="117"/>
      <c r="AH65" s="116" t="str">
        <f t="shared" si="14"/>
        <v/>
      </c>
      <c r="AI65" s="92"/>
      <c r="AJ65" s="78"/>
      <c r="AK65" s="60">
        <f t="shared" si="15"/>
        <v>0</v>
      </c>
      <c r="AL65" s="60"/>
      <c r="AM65" s="60"/>
      <c r="AN65" s="60"/>
      <c r="AO65" s="60"/>
      <c r="AP65" s="60"/>
      <c r="AQ65" s="60">
        <f t="shared" si="3"/>
        <v>0</v>
      </c>
      <c r="AR65" s="60">
        <f t="shared" si="4"/>
        <v>0</v>
      </c>
      <c r="AS65" s="60">
        <f t="shared" si="5"/>
        <v>0</v>
      </c>
      <c r="AT65" s="60">
        <f t="shared" si="6"/>
        <v>0</v>
      </c>
      <c r="AU65" s="60">
        <f t="shared" si="7"/>
        <v>0</v>
      </c>
      <c r="AV65" s="60">
        <f t="shared" si="8"/>
        <v>0</v>
      </c>
      <c r="AW65" s="60">
        <f t="shared" si="9"/>
        <v>0</v>
      </c>
      <c r="AX65" s="60">
        <f t="shared" si="16"/>
        <v>0</v>
      </c>
      <c r="AY65" s="64">
        <f t="shared" si="17"/>
        <v>0</v>
      </c>
      <c r="AZ65" s="65">
        <f t="shared" si="10"/>
        <v>0</v>
      </c>
      <c r="BA65" s="65">
        <f t="shared" si="11"/>
        <v>0</v>
      </c>
    </row>
    <row r="66" spans="3:53" s="17" customFormat="1" x14ac:dyDescent="0.25">
      <c r="C66" s="194"/>
      <c r="D66" s="195"/>
      <c r="E66" s="90"/>
      <c r="F66" s="198"/>
      <c r="G66" s="214"/>
      <c r="H66" s="199"/>
      <c r="I66" s="78"/>
      <c r="J66" s="79"/>
      <c r="K66" s="78"/>
      <c r="L66" s="80"/>
      <c r="M66" s="80"/>
      <c r="N66" s="78" t="s">
        <v>39</v>
      </c>
      <c r="O66" s="113"/>
      <c r="P66" s="155"/>
      <c r="Q66" s="114" t="str">
        <f>IFERROR(MIN(VLOOKUP(ROUNDDOWN(P66,0),'Aide calcul'!$B$2:$C$282,2,FALSE),O66+1),"")</f>
        <v/>
      </c>
      <c r="R66" s="115" t="str">
        <f t="shared" si="12"/>
        <v/>
      </c>
      <c r="S66" s="155"/>
      <c r="T66" s="155"/>
      <c r="U66" s="155"/>
      <c r="V66" s="155"/>
      <c r="W66" s="155"/>
      <c r="X66" s="155"/>
      <c r="Y66" s="155"/>
      <c r="Z66" s="78"/>
      <c r="AA66" s="78"/>
      <c r="AB66" s="116" t="str">
        <f>IF(C66="3111. Logements",ROUND(VLOOKUP(C66,'Informations générales'!$C$66:$D$70,2,FALSE)*(AK66/$AL$27)/12,0)*12,IF(C66="3112. Logements",ROUND(VLOOKUP(C66,'Informations générales'!$C$66:$D$70,2,FALSE)*(AK66/$AM$27)/12,0)*12,IF(C66="3113. Logements",ROUND(VLOOKUP(C66,'Informations générales'!$C$66:$D$70,2,FALSE)*(AK66/$AN$27)/12,0)*12,IF(C66="3114. Logements",ROUND(VLOOKUP(C66,'Informations générales'!$C$66:$D$70,2,FALSE)*(AK66/$AO$27)/12,0)*12,IF(C66="3115. Logements",ROUND(VLOOKUP(C66,'Informations générales'!$C$66:$D$70,2,FALSE)*(AK66/$AP$27)/12,0)*12,"")))))</f>
        <v/>
      </c>
      <c r="AC66" s="117"/>
      <c r="AD66" s="116">
        <f t="shared" si="13"/>
        <v>0</v>
      </c>
      <c r="AE66" s="117"/>
      <c r="AF66" s="116" t="str">
        <f>IF(C66="3111. Logements",ROUND(VLOOKUP(C66,'Informations générales'!$C$66:$G$70,5,FALSE)*(AK66/$AL$27)/12,0)*12,IF(C66="3112. Logements",ROUND(VLOOKUP(C66,'Informations générales'!$C$66:$G$70,5,FALSE)*(AK66/$AM$27)/12,0)*12,IF(C66="3113. Logements",ROUND(VLOOKUP(C66,'Informations générales'!$C$66:$G$70,5,FALSE)*(AK66/$AN$27)/12,0)*12,IF(C66="3114. Logements",ROUND(VLOOKUP(C66,'Informations générales'!$C$66:$G$70,5,FALSE)*(AK66/$AO$27)/12,0)*12,IF(C66="3115. Logements",ROUND(VLOOKUP(C66,'Informations générales'!$C$66:$G$70,5,FALSE)*(AK66/$AP$27)/12,0)*12,"")))))</f>
        <v/>
      </c>
      <c r="AG66" s="117"/>
      <c r="AH66" s="116" t="str">
        <f t="shared" si="14"/>
        <v/>
      </c>
      <c r="AI66" s="92"/>
      <c r="AJ66" s="78"/>
      <c r="AK66" s="60">
        <f t="shared" si="15"/>
        <v>0</v>
      </c>
      <c r="AL66" s="60"/>
      <c r="AM66" s="60"/>
      <c r="AN66" s="60"/>
      <c r="AO66" s="60"/>
      <c r="AP66" s="60"/>
      <c r="AQ66" s="60">
        <f t="shared" si="3"/>
        <v>0</v>
      </c>
      <c r="AR66" s="60">
        <f t="shared" si="4"/>
        <v>0</v>
      </c>
      <c r="AS66" s="60">
        <f t="shared" si="5"/>
        <v>0</v>
      </c>
      <c r="AT66" s="60">
        <f t="shared" si="6"/>
        <v>0</v>
      </c>
      <c r="AU66" s="60">
        <f t="shared" si="7"/>
        <v>0</v>
      </c>
      <c r="AV66" s="60">
        <f t="shared" si="8"/>
        <v>0</v>
      </c>
      <c r="AW66" s="60">
        <f t="shared" si="9"/>
        <v>0</v>
      </c>
      <c r="AX66" s="60">
        <f t="shared" si="16"/>
        <v>0</v>
      </c>
      <c r="AY66" s="64">
        <f t="shared" si="17"/>
        <v>0</v>
      </c>
      <c r="AZ66" s="65">
        <f t="shared" si="10"/>
        <v>0</v>
      </c>
      <c r="BA66" s="65">
        <f t="shared" si="11"/>
        <v>0</v>
      </c>
    </row>
    <row r="67" spans="3:53" s="17" customFormat="1" x14ac:dyDescent="0.25">
      <c r="C67" s="194"/>
      <c r="D67" s="195"/>
      <c r="E67" s="90"/>
      <c r="F67" s="198"/>
      <c r="G67" s="214"/>
      <c r="H67" s="199"/>
      <c r="I67" s="78"/>
      <c r="J67" s="79"/>
      <c r="K67" s="78"/>
      <c r="L67" s="80"/>
      <c r="M67" s="80"/>
      <c r="N67" s="78" t="s">
        <v>39</v>
      </c>
      <c r="O67" s="113"/>
      <c r="P67" s="155"/>
      <c r="Q67" s="114" t="str">
        <f>IFERROR(MIN(VLOOKUP(ROUNDDOWN(P67,0),'Aide calcul'!$B$2:$C$282,2,FALSE),O67+1),"")</f>
        <v/>
      </c>
      <c r="R67" s="115" t="str">
        <f t="shared" si="12"/>
        <v/>
      </c>
      <c r="S67" s="155"/>
      <c r="T67" s="155"/>
      <c r="U67" s="155"/>
      <c r="V67" s="155"/>
      <c r="W67" s="155"/>
      <c r="X67" s="155"/>
      <c r="Y67" s="155"/>
      <c r="Z67" s="78"/>
      <c r="AA67" s="78"/>
      <c r="AB67" s="116" t="str">
        <f>IF(C67="3111. Logements",ROUND(VLOOKUP(C67,'Informations générales'!$C$66:$D$70,2,FALSE)*(AK67/$AL$27)/12,0)*12,IF(C67="3112. Logements",ROUND(VLOOKUP(C67,'Informations générales'!$C$66:$D$70,2,FALSE)*(AK67/$AM$27)/12,0)*12,IF(C67="3113. Logements",ROUND(VLOOKUP(C67,'Informations générales'!$C$66:$D$70,2,FALSE)*(AK67/$AN$27)/12,0)*12,IF(C67="3114. Logements",ROUND(VLOOKUP(C67,'Informations générales'!$C$66:$D$70,2,FALSE)*(AK67/$AO$27)/12,0)*12,IF(C67="3115. Logements",ROUND(VLOOKUP(C67,'Informations générales'!$C$66:$D$70,2,FALSE)*(AK67/$AP$27)/12,0)*12,"")))))</f>
        <v/>
      </c>
      <c r="AC67" s="117"/>
      <c r="AD67" s="116">
        <f t="shared" si="13"/>
        <v>0</v>
      </c>
      <c r="AE67" s="117"/>
      <c r="AF67" s="116" t="str">
        <f>IF(C67="3111. Logements",ROUND(VLOOKUP(C67,'Informations générales'!$C$66:$G$70,5,FALSE)*(AK67/$AL$27)/12,0)*12,IF(C67="3112. Logements",ROUND(VLOOKUP(C67,'Informations générales'!$C$66:$G$70,5,FALSE)*(AK67/$AM$27)/12,0)*12,IF(C67="3113. Logements",ROUND(VLOOKUP(C67,'Informations générales'!$C$66:$G$70,5,FALSE)*(AK67/$AN$27)/12,0)*12,IF(C67="3114. Logements",ROUND(VLOOKUP(C67,'Informations générales'!$C$66:$G$70,5,FALSE)*(AK67/$AO$27)/12,0)*12,IF(C67="3115. Logements",ROUND(VLOOKUP(C67,'Informations générales'!$C$66:$G$70,5,FALSE)*(AK67/$AP$27)/12,0)*12,"")))))</f>
        <v/>
      </c>
      <c r="AG67" s="117"/>
      <c r="AH67" s="116" t="str">
        <f t="shared" si="14"/>
        <v/>
      </c>
      <c r="AI67" s="92"/>
      <c r="AJ67" s="78"/>
      <c r="AK67" s="60">
        <f t="shared" si="15"/>
        <v>0</v>
      </c>
      <c r="AL67" s="60"/>
      <c r="AM67" s="60"/>
      <c r="AN67" s="60"/>
      <c r="AO67" s="60"/>
      <c r="AP67" s="60"/>
      <c r="AQ67" s="60">
        <f t="shared" si="3"/>
        <v>0</v>
      </c>
      <c r="AR67" s="60">
        <f t="shared" si="4"/>
        <v>0</v>
      </c>
      <c r="AS67" s="60">
        <f t="shared" si="5"/>
        <v>0</v>
      </c>
      <c r="AT67" s="60">
        <f t="shared" si="6"/>
        <v>0</v>
      </c>
      <c r="AU67" s="60">
        <f t="shared" si="7"/>
        <v>0</v>
      </c>
      <c r="AV67" s="60">
        <f t="shared" si="8"/>
        <v>0</v>
      </c>
      <c r="AW67" s="60">
        <f t="shared" si="9"/>
        <v>0</v>
      </c>
      <c r="AX67" s="60">
        <f t="shared" si="16"/>
        <v>0</v>
      </c>
      <c r="AY67" s="64">
        <f t="shared" si="17"/>
        <v>0</v>
      </c>
      <c r="AZ67" s="65">
        <f t="shared" si="10"/>
        <v>0</v>
      </c>
      <c r="BA67" s="65">
        <f t="shared" si="11"/>
        <v>0</v>
      </c>
    </row>
    <row r="68" spans="3:53" s="17" customFormat="1" x14ac:dyDescent="0.25">
      <c r="C68" s="194"/>
      <c r="D68" s="195"/>
      <c r="E68" s="90"/>
      <c r="F68" s="198"/>
      <c r="G68" s="214"/>
      <c r="H68" s="199"/>
      <c r="I68" s="78"/>
      <c r="J68" s="79"/>
      <c r="K68" s="78"/>
      <c r="L68" s="80"/>
      <c r="M68" s="80"/>
      <c r="N68" s="78" t="s">
        <v>39</v>
      </c>
      <c r="O68" s="113"/>
      <c r="P68" s="155"/>
      <c r="Q68" s="114" t="str">
        <f>IFERROR(MIN(VLOOKUP(ROUNDDOWN(P68,0),'Aide calcul'!$B$2:$C$282,2,FALSE),O68+1),"")</f>
        <v/>
      </c>
      <c r="R68" s="115" t="str">
        <f t="shared" si="12"/>
        <v/>
      </c>
      <c r="S68" s="155"/>
      <c r="T68" s="155"/>
      <c r="U68" s="155"/>
      <c r="V68" s="155"/>
      <c r="W68" s="155"/>
      <c r="X68" s="155"/>
      <c r="Y68" s="155"/>
      <c r="Z68" s="78"/>
      <c r="AA68" s="78"/>
      <c r="AB68" s="116" t="str">
        <f>IF(C68="3111. Logements",ROUND(VLOOKUP(C68,'Informations générales'!$C$66:$D$70,2,FALSE)*(AK68/$AL$27)/12,0)*12,IF(C68="3112. Logements",ROUND(VLOOKUP(C68,'Informations générales'!$C$66:$D$70,2,FALSE)*(AK68/$AM$27)/12,0)*12,IF(C68="3113. Logements",ROUND(VLOOKUP(C68,'Informations générales'!$C$66:$D$70,2,FALSE)*(AK68/$AN$27)/12,0)*12,IF(C68="3114. Logements",ROUND(VLOOKUP(C68,'Informations générales'!$C$66:$D$70,2,FALSE)*(AK68/$AO$27)/12,0)*12,IF(C68="3115. Logements",ROUND(VLOOKUP(C68,'Informations générales'!$C$66:$D$70,2,FALSE)*(AK68/$AP$27)/12,0)*12,"")))))</f>
        <v/>
      </c>
      <c r="AC68" s="117"/>
      <c r="AD68" s="116">
        <f t="shared" si="13"/>
        <v>0</v>
      </c>
      <c r="AE68" s="117"/>
      <c r="AF68" s="116" t="str">
        <f>IF(C68="3111. Logements",ROUND(VLOOKUP(C68,'Informations générales'!$C$66:$G$70,5,FALSE)*(AK68/$AL$27)/12,0)*12,IF(C68="3112. Logements",ROUND(VLOOKUP(C68,'Informations générales'!$C$66:$G$70,5,FALSE)*(AK68/$AM$27)/12,0)*12,IF(C68="3113. Logements",ROUND(VLOOKUP(C68,'Informations générales'!$C$66:$G$70,5,FALSE)*(AK68/$AN$27)/12,0)*12,IF(C68="3114. Logements",ROUND(VLOOKUP(C68,'Informations générales'!$C$66:$G$70,5,FALSE)*(AK68/$AO$27)/12,0)*12,IF(C68="3115. Logements",ROUND(VLOOKUP(C68,'Informations générales'!$C$66:$G$70,5,FALSE)*(AK68/$AP$27)/12,0)*12,"")))))</f>
        <v/>
      </c>
      <c r="AG68" s="117"/>
      <c r="AH68" s="116" t="str">
        <f t="shared" si="14"/>
        <v/>
      </c>
      <c r="AI68" s="92"/>
      <c r="AJ68" s="78"/>
      <c r="AK68" s="60">
        <f t="shared" si="15"/>
        <v>0</v>
      </c>
      <c r="AL68" s="60"/>
      <c r="AM68" s="60"/>
      <c r="AN68" s="60"/>
      <c r="AO68" s="60"/>
      <c r="AP68" s="60"/>
      <c r="AQ68" s="60">
        <f t="shared" si="3"/>
        <v>0</v>
      </c>
      <c r="AR68" s="60">
        <f t="shared" si="4"/>
        <v>0</v>
      </c>
      <c r="AS68" s="60">
        <f t="shared" si="5"/>
        <v>0</v>
      </c>
      <c r="AT68" s="60">
        <f t="shared" si="6"/>
        <v>0</v>
      </c>
      <c r="AU68" s="60">
        <f t="shared" si="7"/>
        <v>0</v>
      </c>
      <c r="AV68" s="60">
        <f t="shared" si="8"/>
        <v>0</v>
      </c>
      <c r="AW68" s="60">
        <f t="shared" si="9"/>
        <v>0</v>
      </c>
      <c r="AX68" s="60">
        <f t="shared" si="16"/>
        <v>0</v>
      </c>
      <c r="AY68" s="64">
        <f t="shared" si="17"/>
        <v>0</v>
      </c>
      <c r="AZ68" s="65">
        <f t="shared" si="10"/>
        <v>0</v>
      </c>
      <c r="BA68" s="65">
        <f t="shared" si="11"/>
        <v>0</v>
      </c>
    </row>
    <row r="69" spans="3:53" s="17" customFormat="1" x14ac:dyDescent="0.25">
      <c r="C69" s="194"/>
      <c r="D69" s="195"/>
      <c r="E69" s="90"/>
      <c r="F69" s="198"/>
      <c r="G69" s="214"/>
      <c r="H69" s="199"/>
      <c r="I69" s="78"/>
      <c r="J69" s="79"/>
      <c r="K69" s="78"/>
      <c r="L69" s="80"/>
      <c r="M69" s="80"/>
      <c r="N69" s="78" t="s">
        <v>39</v>
      </c>
      <c r="O69" s="113"/>
      <c r="P69" s="155"/>
      <c r="Q69" s="114" t="str">
        <f>IFERROR(MIN(VLOOKUP(ROUNDDOWN(P69,0),'Aide calcul'!$B$2:$C$282,2,FALSE),O69+1),"")</f>
        <v/>
      </c>
      <c r="R69" s="115" t="str">
        <f t="shared" si="12"/>
        <v/>
      </c>
      <c r="S69" s="155"/>
      <c r="T69" s="155"/>
      <c r="U69" s="155"/>
      <c r="V69" s="155"/>
      <c r="W69" s="155"/>
      <c r="X69" s="155"/>
      <c r="Y69" s="155"/>
      <c r="Z69" s="78"/>
      <c r="AA69" s="78"/>
      <c r="AB69" s="116" t="str">
        <f>IF(C69="3111. Logements",ROUND(VLOOKUP(C69,'Informations générales'!$C$66:$D$70,2,FALSE)*(AK69/$AL$27)/12,0)*12,IF(C69="3112. Logements",ROUND(VLOOKUP(C69,'Informations générales'!$C$66:$D$70,2,FALSE)*(AK69/$AM$27)/12,0)*12,IF(C69="3113. Logements",ROUND(VLOOKUP(C69,'Informations générales'!$C$66:$D$70,2,FALSE)*(AK69/$AN$27)/12,0)*12,IF(C69="3114. Logements",ROUND(VLOOKUP(C69,'Informations générales'!$C$66:$D$70,2,FALSE)*(AK69/$AO$27)/12,0)*12,IF(C69="3115. Logements",ROUND(VLOOKUP(C69,'Informations générales'!$C$66:$D$70,2,FALSE)*(AK69/$AP$27)/12,0)*12,"")))))</f>
        <v/>
      </c>
      <c r="AC69" s="117"/>
      <c r="AD69" s="116">
        <f t="shared" si="13"/>
        <v>0</v>
      </c>
      <c r="AE69" s="117"/>
      <c r="AF69" s="116" t="str">
        <f>IF(C69="3111. Logements",ROUND(VLOOKUP(C69,'Informations générales'!$C$66:$G$70,5,FALSE)*(AK69/$AL$27)/12,0)*12,IF(C69="3112. Logements",ROUND(VLOOKUP(C69,'Informations générales'!$C$66:$G$70,5,FALSE)*(AK69/$AM$27)/12,0)*12,IF(C69="3113. Logements",ROUND(VLOOKUP(C69,'Informations générales'!$C$66:$G$70,5,FALSE)*(AK69/$AN$27)/12,0)*12,IF(C69="3114. Logements",ROUND(VLOOKUP(C69,'Informations générales'!$C$66:$G$70,5,FALSE)*(AK69/$AO$27)/12,0)*12,IF(C69="3115. Logements",ROUND(VLOOKUP(C69,'Informations générales'!$C$66:$G$70,5,FALSE)*(AK69/$AP$27)/12,0)*12,"")))))</f>
        <v/>
      </c>
      <c r="AG69" s="117"/>
      <c r="AH69" s="116" t="str">
        <f t="shared" si="14"/>
        <v/>
      </c>
      <c r="AI69" s="92"/>
      <c r="AJ69" s="78"/>
      <c r="AK69" s="60">
        <f t="shared" si="15"/>
        <v>0</v>
      </c>
      <c r="AL69" s="60"/>
      <c r="AM69" s="60"/>
      <c r="AN69" s="60"/>
      <c r="AO69" s="60"/>
      <c r="AP69" s="60"/>
      <c r="AQ69" s="60">
        <f t="shared" si="3"/>
        <v>0</v>
      </c>
      <c r="AR69" s="60">
        <f t="shared" si="4"/>
        <v>0</v>
      </c>
      <c r="AS69" s="60">
        <f t="shared" si="5"/>
        <v>0</v>
      </c>
      <c r="AT69" s="60">
        <f t="shared" si="6"/>
        <v>0</v>
      </c>
      <c r="AU69" s="60">
        <f t="shared" si="7"/>
        <v>0</v>
      </c>
      <c r="AV69" s="60">
        <f t="shared" si="8"/>
        <v>0</v>
      </c>
      <c r="AW69" s="60">
        <f t="shared" si="9"/>
        <v>0</v>
      </c>
      <c r="AX69" s="60">
        <f t="shared" si="16"/>
        <v>0</v>
      </c>
      <c r="AY69" s="64">
        <f t="shared" si="17"/>
        <v>0</v>
      </c>
      <c r="AZ69" s="65">
        <f t="shared" si="10"/>
        <v>0</v>
      </c>
      <c r="BA69" s="65">
        <f t="shared" si="11"/>
        <v>0</v>
      </c>
    </row>
    <row r="70" spans="3:53" s="17" customFormat="1" x14ac:dyDescent="0.25">
      <c r="C70" s="194"/>
      <c r="D70" s="195"/>
      <c r="E70" s="90"/>
      <c r="F70" s="198"/>
      <c r="G70" s="214"/>
      <c r="H70" s="199"/>
      <c r="I70" s="78"/>
      <c r="J70" s="79"/>
      <c r="K70" s="78"/>
      <c r="L70" s="80"/>
      <c r="M70" s="80"/>
      <c r="N70" s="78" t="s">
        <v>39</v>
      </c>
      <c r="O70" s="113"/>
      <c r="P70" s="155"/>
      <c r="Q70" s="114" t="str">
        <f>IFERROR(MIN(VLOOKUP(ROUNDDOWN(P70,0),'Aide calcul'!$B$2:$C$282,2,FALSE),O70+1),"")</f>
        <v/>
      </c>
      <c r="R70" s="115" t="str">
        <f t="shared" si="12"/>
        <v/>
      </c>
      <c r="S70" s="155"/>
      <c r="T70" s="155"/>
      <c r="U70" s="155"/>
      <c r="V70" s="155"/>
      <c r="W70" s="155"/>
      <c r="X70" s="155"/>
      <c r="Y70" s="155"/>
      <c r="Z70" s="78"/>
      <c r="AA70" s="78"/>
      <c r="AB70" s="116" t="str">
        <f>IF(C70="3111. Logements",ROUND(VLOOKUP(C70,'Informations générales'!$C$66:$D$70,2,FALSE)*(AK70/$AL$27)/12,0)*12,IF(C70="3112. Logements",ROUND(VLOOKUP(C70,'Informations générales'!$C$66:$D$70,2,FALSE)*(AK70/$AM$27)/12,0)*12,IF(C70="3113. Logements",ROUND(VLOOKUP(C70,'Informations générales'!$C$66:$D$70,2,FALSE)*(AK70/$AN$27)/12,0)*12,IF(C70="3114. Logements",ROUND(VLOOKUP(C70,'Informations générales'!$C$66:$D$70,2,FALSE)*(AK70/$AO$27)/12,0)*12,IF(C70="3115. Logements",ROUND(VLOOKUP(C70,'Informations générales'!$C$66:$D$70,2,FALSE)*(AK70/$AP$27)/12,0)*12,"")))))</f>
        <v/>
      </c>
      <c r="AC70" s="117"/>
      <c r="AD70" s="116">
        <f t="shared" si="13"/>
        <v>0</v>
      </c>
      <c r="AE70" s="117"/>
      <c r="AF70" s="116" t="str">
        <f>IF(C70="3111. Logements",ROUND(VLOOKUP(C70,'Informations générales'!$C$66:$G$70,5,FALSE)*(AK70/$AL$27)/12,0)*12,IF(C70="3112. Logements",ROUND(VLOOKUP(C70,'Informations générales'!$C$66:$G$70,5,FALSE)*(AK70/$AM$27)/12,0)*12,IF(C70="3113. Logements",ROUND(VLOOKUP(C70,'Informations générales'!$C$66:$G$70,5,FALSE)*(AK70/$AN$27)/12,0)*12,IF(C70="3114. Logements",ROUND(VLOOKUP(C70,'Informations générales'!$C$66:$G$70,5,FALSE)*(AK70/$AO$27)/12,0)*12,IF(C70="3115. Logements",ROUND(VLOOKUP(C70,'Informations générales'!$C$66:$G$70,5,FALSE)*(AK70/$AP$27)/12,0)*12,"")))))</f>
        <v/>
      </c>
      <c r="AG70" s="117"/>
      <c r="AH70" s="116" t="str">
        <f t="shared" si="14"/>
        <v/>
      </c>
      <c r="AI70" s="92"/>
      <c r="AJ70" s="78"/>
      <c r="AK70" s="60">
        <f t="shared" si="15"/>
        <v>0</v>
      </c>
      <c r="AL70" s="60"/>
      <c r="AM70" s="60"/>
      <c r="AN70" s="60"/>
      <c r="AO70" s="60"/>
      <c r="AP70" s="60"/>
      <c r="AQ70" s="60">
        <f t="shared" si="3"/>
        <v>0</v>
      </c>
      <c r="AR70" s="60">
        <f t="shared" si="4"/>
        <v>0</v>
      </c>
      <c r="AS70" s="60">
        <f t="shared" si="5"/>
        <v>0</v>
      </c>
      <c r="AT70" s="60">
        <f t="shared" si="6"/>
        <v>0</v>
      </c>
      <c r="AU70" s="60">
        <f t="shared" si="7"/>
        <v>0</v>
      </c>
      <c r="AV70" s="60">
        <f t="shared" si="8"/>
        <v>0</v>
      </c>
      <c r="AW70" s="60">
        <f t="shared" si="9"/>
        <v>0</v>
      </c>
      <c r="AX70" s="60">
        <f t="shared" si="16"/>
        <v>0</v>
      </c>
      <c r="AY70" s="64">
        <f t="shared" si="17"/>
        <v>0</v>
      </c>
      <c r="AZ70" s="65">
        <f t="shared" si="10"/>
        <v>0</v>
      </c>
      <c r="BA70" s="65">
        <f t="shared" si="11"/>
        <v>0</v>
      </c>
    </row>
    <row r="71" spans="3:53" s="17" customFormat="1" x14ac:dyDescent="0.25">
      <c r="C71" s="194"/>
      <c r="D71" s="195"/>
      <c r="E71" s="90"/>
      <c r="F71" s="198"/>
      <c r="G71" s="214"/>
      <c r="H71" s="199"/>
      <c r="I71" s="78"/>
      <c r="J71" s="79"/>
      <c r="K71" s="78"/>
      <c r="L71" s="80"/>
      <c r="M71" s="80"/>
      <c r="N71" s="78" t="s">
        <v>39</v>
      </c>
      <c r="O71" s="113"/>
      <c r="P71" s="155"/>
      <c r="Q71" s="114" t="str">
        <f>IFERROR(MIN(VLOOKUP(ROUNDDOWN(P71,0),'Aide calcul'!$B$2:$C$282,2,FALSE),O71+1),"")</f>
        <v/>
      </c>
      <c r="R71" s="115" t="str">
        <f t="shared" si="12"/>
        <v/>
      </c>
      <c r="S71" s="155"/>
      <c r="T71" s="155"/>
      <c r="U71" s="155"/>
      <c r="V71" s="155"/>
      <c r="W71" s="155"/>
      <c r="X71" s="155"/>
      <c r="Y71" s="155"/>
      <c r="Z71" s="78"/>
      <c r="AA71" s="78"/>
      <c r="AB71" s="116" t="str">
        <f>IF(C71="3111. Logements",ROUND(VLOOKUP(C71,'Informations générales'!$C$66:$D$70,2,FALSE)*(AK71/$AL$27)/12,0)*12,IF(C71="3112. Logements",ROUND(VLOOKUP(C71,'Informations générales'!$C$66:$D$70,2,FALSE)*(AK71/$AM$27)/12,0)*12,IF(C71="3113. Logements",ROUND(VLOOKUP(C71,'Informations générales'!$C$66:$D$70,2,FALSE)*(AK71/$AN$27)/12,0)*12,IF(C71="3114. Logements",ROUND(VLOOKUP(C71,'Informations générales'!$C$66:$D$70,2,FALSE)*(AK71/$AO$27)/12,0)*12,IF(C71="3115. Logements",ROUND(VLOOKUP(C71,'Informations générales'!$C$66:$D$70,2,FALSE)*(AK71/$AP$27)/12,0)*12,"")))))</f>
        <v/>
      </c>
      <c r="AC71" s="117"/>
      <c r="AD71" s="116">
        <f t="shared" si="13"/>
        <v>0</v>
      </c>
      <c r="AE71" s="117"/>
      <c r="AF71" s="116" t="str">
        <f>IF(C71="3111. Logements",ROUND(VLOOKUP(C71,'Informations générales'!$C$66:$G$70,5,FALSE)*(AK71/$AL$27)/12,0)*12,IF(C71="3112. Logements",ROUND(VLOOKUP(C71,'Informations générales'!$C$66:$G$70,5,FALSE)*(AK71/$AM$27)/12,0)*12,IF(C71="3113. Logements",ROUND(VLOOKUP(C71,'Informations générales'!$C$66:$G$70,5,FALSE)*(AK71/$AN$27)/12,0)*12,IF(C71="3114. Logements",ROUND(VLOOKUP(C71,'Informations générales'!$C$66:$G$70,5,FALSE)*(AK71/$AO$27)/12,0)*12,IF(C71="3115. Logements",ROUND(VLOOKUP(C71,'Informations générales'!$C$66:$G$70,5,FALSE)*(AK71/$AP$27)/12,0)*12,"")))))</f>
        <v/>
      </c>
      <c r="AG71" s="117"/>
      <c r="AH71" s="116" t="str">
        <f t="shared" si="14"/>
        <v/>
      </c>
      <c r="AI71" s="92"/>
      <c r="AJ71" s="78"/>
      <c r="AK71" s="60">
        <f t="shared" si="15"/>
        <v>0</v>
      </c>
      <c r="AL71" s="60"/>
      <c r="AM71" s="60"/>
      <c r="AN71" s="60"/>
      <c r="AO71" s="60"/>
      <c r="AP71" s="60"/>
      <c r="AQ71" s="60">
        <f t="shared" si="3"/>
        <v>0</v>
      </c>
      <c r="AR71" s="60">
        <f t="shared" si="4"/>
        <v>0</v>
      </c>
      <c r="AS71" s="60">
        <f t="shared" si="5"/>
        <v>0</v>
      </c>
      <c r="AT71" s="60">
        <f t="shared" si="6"/>
        <v>0</v>
      </c>
      <c r="AU71" s="60">
        <f t="shared" si="7"/>
        <v>0</v>
      </c>
      <c r="AV71" s="60">
        <f t="shared" si="8"/>
        <v>0</v>
      </c>
      <c r="AW71" s="60">
        <f t="shared" si="9"/>
        <v>0</v>
      </c>
      <c r="AX71" s="60">
        <f t="shared" si="16"/>
        <v>0</v>
      </c>
      <c r="AY71" s="64">
        <f t="shared" si="17"/>
        <v>0</v>
      </c>
      <c r="AZ71" s="65">
        <f t="shared" si="10"/>
        <v>0</v>
      </c>
      <c r="BA71" s="65">
        <f t="shared" si="11"/>
        <v>0</v>
      </c>
    </row>
    <row r="72" spans="3:53" s="17" customFormat="1" x14ac:dyDescent="0.25">
      <c r="C72" s="194"/>
      <c r="D72" s="195"/>
      <c r="E72" s="90"/>
      <c r="F72" s="198"/>
      <c r="G72" s="214"/>
      <c r="H72" s="199"/>
      <c r="I72" s="78"/>
      <c r="J72" s="79"/>
      <c r="K72" s="78"/>
      <c r="L72" s="80"/>
      <c r="M72" s="80"/>
      <c r="N72" s="78" t="s">
        <v>39</v>
      </c>
      <c r="O72" s="113"/>
      <c r="P72" s="155"/>
      <c r="Q72" s="114" t="str">
        <f>IFERROR(MIN(VLOOKUP(ROUNDDOWN(P72,0),'Aide calcul'!$B$2:$C$282,2,FALSE),O72+1),"")</f>
        <v/>
      </c>
      <c r="R72" s="115" t="str">
        <f t="shared" si="12"/>
        <v/>
      </c>
      <c r="S72" s="155"/>
      <c r="T72" s="155"/>
      <c r="U72" s="155"/>
      <c r="V72" s="155"/>
      <c r="W72" s="155"/>
      <c r="X72" s="155"/>
      <c r="Y72" s="155"/>
      <c r="Z72" s="78"/>
      <c r="AA72" s="78"/>
      <c r="AB72" s="116" t="str">
        <f>IF(C72="3111. Logements",ROUND(VLOOKUP(C72,'Informations générales'!$C$66:$D$70,2,FALSE)*(AK72/$AL$27)/12,0)*12,IF(C72="3112. Logements",ROUND(VLOOKUP(C72,'Informations générales'!$C$66:$D$70,2,FALSE)*(AK72/$AM$27)/12,0)*12,IF(C72="3113. Logements",ROUND(VLOOKUP(C72,'Informations générales'!$C$66:$D$70,2,FALSE)*(AK72/$AN$27)/12,0)*12,IF(C72="3114. Logements",ROUND(VLOOKUP(C72,'Informations générales'!$C$66:$D$70,2,FALSE)*(AK72/$AO$27)/12,0)*12,IF(C72="3115. Logements",ROUND(VLOOKUP(C72,'Informations générales'!$C$66:$D$70,2,FALSE)*(AK72/$AP$27)/12,0)*12,"")))))</f>
        <v/>
      </c>
      <c r="AC72" s="117"/>
      <c r="AD72" s="116">
        <f t="shared" si="13"/>
        <v>0</v>
      </c>
      <c r="AE72" s="117"/>
      <c r="AF72" s="116" t="str">
        <f>IF(C72="3111. Logements",ROUND(VLOOKUP(C72,'Informations générales'!$C$66:$G$70,5,FALSE)*(AK72/$AL$27)/12,0)*12,IF(C72="3112. Logements",ROUND(VLOOKUP(C72,'Informations générales'!$C$66:$G$70,5,FALSE)*(AK72/$AM$27)/12,0)*12,IF(C72="3113. Logements",ROUND(VLOOKUP(C72,'Informations générales'!$C$66:$G$70,5,FALSE)*(AK72/$AN$27)/12,0)*12,IF(C72="3114. Logements",ROUND(VLOOKUP(C72,'Informations générales'!$C$66:$G$70,5,FALSE)*(AK72/$AO$27)/12,0)*12,IF(C72="3115. Logements",ROUND(VLOOKUP(C72,'Informations générales'!$C$66:$G$70,5,FALSE)*(AK72/$AP$27)/12,0)*12,"")))))</f>
        <v/>
      </c>
      <c r="AG72" s="117"/>
      <c r="AH72" s="116" t="str">
        <f t="shared" si="14"/>
        <v/>
      </c>
      <c r="AI72" s="92"/>
      <c r="AJ72" s="78"/>
      <c r="AK72" s="60">
        <f t="shared" si="15"/>
        <v>0</v>
      </c>
      <c r="AL72" s="60"/>
      <c r="AM72" s="60"/>
      <c r="AN72" s="60"/>
      <c r="AO72" s="60"/>
      <c r="AP72" s="60"/>
      <c r="AQ72" s="60">
        <f t="shared" si="3"/>
        <v>0</v>
      </c>
      <c r="AR72" s="60">
        <f t="shared" si="4"/>
        <v>0</v>
      </c>
      <c r="AS72" s="60">
        <f t="shared" si="5"/>
        <v>0</v>
      </c>
      <c r="AT72" s="60">
        <f t="shared" si="6"/>
        <v>0</v>
      </c>
      <c r="AU72" s="60">
        <f t="shared" si="7"/>
        <v>0</v>
      </c>
      <c r="AV72" s="60">
        <f t="shared" si="8"/>
        <v>0</v>
      </c>
      <c r="AW72" s="60">
        <f t="shared" si="9"/>
        <v>0</v>
      </c>
      <c r="AX72" s="60">
        <f t="shared" si="16"/>
        <v>0</v>
      </c>
      <c r="AY72" s="64">
        <f t="shared" si="17"/>
        <v>0</v>
      </c>
      <c r="AZ72" s="65">
        <f t="shared" si="10"/>
        <v>0</v>
      </c>
      <c r="BA72" s="65">
        <f t="shared" si="11"/>
        <v>0</v>
      </c>
    </row>
    <row r="73" spans="3:53" s="17" customFormat="1" x14ac:dyDescent="0.25">
      <c r="C73" s="194"/>
      <c r="D73" s="195"/>
      <c r="E73" s="90"/>
      <c r="F73" s="198"/>
      <c r="G73" s="214"/>
      <c r="H73" s="199"/>
      <c r="I73" s="78"/>
      <c r="J73" s="79"/>
      <c r="K73" s="78"/>
      <c r="L73" s="80"/>
      <c r="M73" s="80"/>
      <c r="N73" s="78" t="s">
        <v>39</v>
      </c>
      <c r="O73" s="113"/>
      <c r="P73" s="155"/>
      <c r="Q73" s="114" t="str">
        <f>IFERROR(MIN(VLOOKUP(ROUNDDOWN(P73,0),'Aide calcul'!$B$2:$C$282,2,FALSE),O73+1),"")</f>
        <v/>
      </c>
      <c r="R73" s="115" t="str">
        <f t="shared" si="12"/>
        <v/>
      </c>
      <c r="S73" s="155"/>
      <c r="T73" s="155"/>
      <c r="U73" s="155"/>
      <c r="V73" s="155"/>
      <c r="W73" s="155"/>
      <c r="X73" s="155"/>
      <c r="Y73" s="155"/>
      <c r="Z73" s="78"/>
      <c r="AA73" s="78"/>
      <c r="AB73" s="116" t="str">
        <f>IF(C73="3111. Logements",ROUND(VLOOKUP(C73,'Informations générales'!$C$66:$D$70,2,FALSE)*(AK73/$AL$27)/12,0)*12,IF(C73="3112. Logements",ROUND(VLOOKUP(C73,'Informations générales'!$C$66:$D$70,2,FALSE)*(AK73/$AM$27)/12,0)*12,IF(C73="3113. Logements",ROUND(VLOOKUP(C73,'Informations générales'!$C$66:$D$70,2,FALSE)*(AK73/$AN$27)/12,0)*12,IF(C73="3114. Logements",ROUND(VLOOKUP(C73,'Informations générales'!$C$66:$D$70,2,FALSE)*(AK73/$AO$27)/12,0)*12,IF(C73="3115. Logements",ROUND(VLOOKUP(C73,'Informations générales'!$C$66:$D$70,2,FALSE)*(AK73/$AP$27)/12,0)*12,"")))))</f>
        <v/>
      </c>
      <c r="AC73" s="117"/>
      <c r="AD73" s="116">
        <f t="shared" si="13"/>
        <v>0</v>
      </c>
      <c r="AE73" s="117"/>
      <c r="AF73" s="116" t="str">
        <f>IF(C73="3111. Logements",ROUND(VLOOKUP(C73,'Informations générales'!$C$66:$G$70,5,FALSE)*(AK73/$AL$27)/12,0)*12,IF(C73="3112. Logements",ROUND(VLOOKUP(C73,'Informations générales'!$C$66:$G$70,5,FALSE)*(AK73/$AM$27)/12,0)*12,IF(C73="3113. Logements",ROUND(VLOOKUP(C73,'Informations générales'!$C$66:$G$70,5,FALSE)*(AK73/$AN$27)/12,0)*12,IF(C73="3114. Logements",ROUND(VLOOKUP(C73,'Informations générales'!$C$66:$G$70,5,FALSE)*(AK73/$AO$27)/12,0)*12,IF(C73="3115. Logements",ROUND(VLOOKUP(C73,'Informations générales'!$C$66:$G$70,5,FALSE)*(AK73/$AP$27)/12,0)*12,"")))))</f>
        <v/>
      </c>
      <c r="AG73" s="117"/>
      <c r="AH73" s="116" t="str">
        <f t="shared" si="14"/>
        <v/>
      </c>
      <c r="AI73" s="92"/>
      <c r="AJ73" s="78"/>
      <c r="AK73" s="60">
        <f t="shared" si="15"/>
        <v>0</v>
      </c>
      <c r="AL73" s="60"/>
      <c r="AM73" s="60"/>
      <c r="AN73" s="60"/>
      <c r="AO73" s="60"/>
      <c r="AP73" s="60"/>
      <c r="AQ73" s="60">
        <f t="shared" si="3"/>
        <v>0</v>
      </c>
      <c r="AR73" s="60">
        <f t="shared" si="4"/>
        <v>0</v>
      </c>
      <c r="AS73" s="60">
        <f t="shared" si="5"/>
        <v>0</v>
      </c>
      <c r="AT73" s="60">
        <f t="shared" si="6"/>
        <v>0</v>
      </c>
      <c r="AU73" s="60">
        <f t="shared" si="7"/>
        <v>0</v>
      </c>
      <c r="AV73" s="60">
        <f t="shared" si="8"/>
        <v>0</v>
      </c>
      <c r="AW73" s="60">
        <f t="shared" si="9"/>
        <v>0</v>
      </c>
      <c r="AX73" s="60">
        <f t="shared" si="16"/>
        <v>0</v>
      </c>
      <c r="AY73" s="64">
        <f t="shared" si="17"/>
        <v>0</v>
      </c>
      <c r="AZ73" s="65">
        <f t="shared" si="10"/>
        <v>0</v>
      </c>
      <c r="BA73" s="65">
        <f t="shared" si="11"/>
        <v>0</v>
      </c>
    </row>
    <row r="74" spans="3:53" s="17" customFormat="1" x14ac:dyDescent="0.25">
      <c r="C74" s="194"/>
      <c r="D74" s="195"/>
      <c r="E74" s="90"/>
      <c r="F74" s="198"/>
      <c r="G74" s="214"/>
      <c r="H74" s="199"/>
      <c r="I74" s="78"/>
      <c r="J74" s="79"/>
      <c r="K74" s="78"/>
      <c r="L74" s="80"/>
      <c r="M74" s="80"/>
      <c r="N74" s="78" t="s">
        <v>39</v>
      </c>
      <c r="O74" s="113"/>
      <c r="P74" s="155"/>
      <c r="Q74" s="114" t="str">
        <f>IFERROR(MIN(VLOOKUP(ROUNDDOWN(P74,0),'Aide calcul'!$B$2:$C$282,2,FALSE),O74+1),"")</f>
        <v/>
      </c>
      <c r="R74" s="115" t="str">
        <f t="shared" si="12"/>
        <v/>
      </c>
      <c r="S74" s="155"/>
      <c r="T74" s="155"/>
      <c r="U74" s="155"/>
      <c r="V74" s="155"/>
      <c r="W74" s="155"/>
      <c r="X74" s="155"/>
      <c r="Y74" s="155"/>
      <c r="Z74" s="78"/>
      <c r="AA74" s="78"/>
      <c r="AB74" s="116" t="str">
        <f>IF(C74="3111. Logements",ROUND(VLOOKUP(C74,'Informations générales'!$C$66:$D$70,2,FALSE)*(AK74/$AL$27)/12,0)*12,IF(C74="3112. Logements",ROUND(VLOOKUP(C74,'Informations générales'!$C$66:$D$70,2,FALSE)*(AK74/$AM$27)/12,0)*12,IF(C74="3113. Logements",ROUND(VLOOKUP(C74,'Informations générales'!$C$66:$D$70,2,FALSE)*(AK74/$AN$27)/12,0)*12,IF(C74="3114. Logements",ROUND(VLOOKUP(C74,'Informations générales'!$C$66:$D$70,2,FALSE)*(AK74/$AO$27)/12,0)*12,IF(C74="3115. Logements",ROUND(VLOOKUP(C74,'Informations générales'!$C$66:$D$70,2,FALSE)*(AK74/$AP$27)/12,0)*12,"")))))</f>
        <v/>
      </c>
      <c r="AC74" s="117"/>
      <c r="AD74" s="116">
        <f t="shared" si="13"/>
        <v>0</v>
      </c>
      <c r="AE74" s="117"/>
      <c r="AF74" s="116" t="str">
        <f>IF(C74="3111. Logements",ROUND(VLOOKUP(C74,'Informations générales'!$C$66:$G$70,5,FALSE)*(AK74/$AL$27)/12,0)*12,IF(C74="3112. Logements",ROUND(VLOOKUP(C74,'Informations générales'!$C$66:$G$70,5,FALSE)*(AK74/$AM$27)/12,0)*12,IF(C74="3113. Logements",ROUND(VLOOKUP(C74,'Informations générales'!$C$66:$G$70,5,FALSE)*(AK74/$AN$27)/12,0)*12,IF(C74="3114. Logements",ROUND(VLOOKUP(C74,'Informations générales'!$C$66:$G$70,5,FALSE)*(AK74/$AO$27)/12,0)*12,IF(C74="3115. Logements",ROUND(VLOOKUP(C74,'Informations générales'!$C$66:$G$70,5,FALSE)*(AK74/$AP$27)/12,0)*12,"")))))</f>
        <v/>
      </c>
      <c r="AG74" s="117"/>
      <c r="AH74" s="116" t="str">
        <f t="shared" si="14"/>
        <v/>
      </c>
      <c r="AI74" s="92"/>
      <c r="AJ74" s="78"/>
      <c r="AK74" s="60">
        <f t="shared" si="15"/>
        <v>0</v>
      </c>
      <c r="AL74" s="60"/>
      <c r="AM74" s="60"/>
      <c r="AN74" s="60"/>
      <c r="AO74" s="60"/>
      <c r="AP74" s="60"/>
      <c r="AQ74" s="60">
        <f t="shared" si="3"/>
        <v>0</v>
      </c>
      <c r="AR74" s="60">
        <f t="shared" si="4"/>
        <v>0</v>
      </c>
      <c r="AS74" s="60">
        <f t="shared" si="5"/>
        <v>0</v>
      </c>
      <c r="AT74" s="60">
        <f t="shared" si="6"/>
        <v>0</v>
      </c>
      <c r="AU74" s="60">
        <f t="shared" si="7"/>
        <v>0</v>
      </c>
      <c r="AV74" s="60">
        <f t="shared" si="8"/>
        <v>0</v>
      </c>
      <c r="AW74" s="60">
        <f t="shared" si="9"/>
        <v>0</v>
      </c>
      <c r="AX74" s="60">
        <f t="shared" si="16"/>
        <v>0</v>
      </c>
      <c r="AY74" s="64">
        <f t="shared" si="17"/>
        <v>0</v>
      </c>
      <c r="AZ74" s="65">
        <f t="shared" si="10"/>
        <v>0</v>
      </c>
      <c r="BA74" s="65">
        <f t="shared" si="11"/>
        <v>0</v>
      </c>
    </row>
    <row r="75" spans="3:53" s="17" customFormat="1" x14ac:dyDescent="0.25">
      <c r="C75" s="194"/>
      <c r="D75" s="195"/>
      <c r="E75" s="90"/>
      <c r="F75" s="198"/>
      <c r="G75" s="214"/>
      <c r="H75" s="199"/>
      <c r="I75" s="78"/>
      <c r="J75" s="79"/>
      <c r="K75" s="78"/>
      <c r="L75" s="80"/>
      <c r="M75" s="80"/>
      <c r="N75" s="78" t="s">
        <v>39</v>
      </c>
      <c r="O75" s="113"/>
      <c r="P75" s="155"/>
      <c r="Q75" s="114" t="str">
        <f>IFERROR(MIN(VLOOKUP(ROUNDDOWN(P75,0),'Aide calcul'!$B$2:$C$282,2,FALSE),O75+1),"")</f>
        <v/>
      </c>
      <c r="R75" s="115" t="str">
        <f t="shared" si="12"/>
        <v/>
      </c>
      <c r="S75" s="155"/>
      <c r="T75" s="155"/>
      <c r="U75" s="155"/>
      <c r="V75" s="155"/>
      <c r="W75" s="155"/>
      <c r="X75" s="155"/>
      <c r="Y75" s="155"/>
      <c r="Z75" s="78"/>
      <c r="AA75" s="78"/>
      <c r="AB75" s="116" t="str">
        <f>IF(C75="3111. Logements",ROUND(VLOOKUP(C75,'Informations générales'!$C$66:$D$70,2,FALSE)*(AK75/$AL$27)/12,0)*12,IF(C75="3112. Logements",ROUND(VLOOKUP(C75,'Informations générales'!$C$66:$D$70,2,FALSE)*(AK75/$AM$27)/12,0)*12,IF(C75="3113. Logements",ROUND(VLOOKUP(C75,'Informations générales'!$C$66:$D$70,2,FALSE)*(AK75/$AN$27)/12,0)*12,IF(C75="3114. Logements",ROUND(VLOOKUP(C75,'Informations générales'!$C$66:$D$70,2,FALSE)*(AK75/$AO$27)/12,0)*12,IF(C75="3115. Logements",ROUND(VLOOKUP(C75,'Informations générales'!$C$66:$D$70,2,FALSE)*(AK75/$AP$27)/12,0)*12,"")))))</f>
        <v/>
      </c>
      <c r="AC75" s="117"/>
      <c r="AD75" s="116">
        <f t="shared" si="13"/>
        <v>0</v>
      </c>
      <c r="AE75" s="117"/>
      <c r="AF75" s="116" t="str">
        <f>IF(C75="3111. Logements",ROUND(VLOOKUP(C75,'Informations générales'!$C$66:$G$70,5,FALSE)*(AK75/$AL$27)/12,0)*12,IF(C75="3112. Logements",ROUND(VLOOKUP(C75,'Informations générales'!$C$66:$G$70,5,FALSE)*(AK75/$AM$27)/12,0)*12,IF(C75="3113. Logements",ROUND(VLOOKUP(C75,'Informations générales'!$C$66:$G$70,5,FALSE)*(AK75/$AN$27)/12,0)*12,IF(C75="3114. Logements",ROUND(VLOOKUP(C75,'Informations générales'!$C$66:$G$70,5,FALSE)*(AK75/$AO$27)/12,0)*12,IF(C75="3115. Logements",ROUND(VLOOKUP(C75,'Informations générales'!$C$66:$G$70,5,FALSE)*(AK75/$AP$27)/12,0)*12,"")))))</f>
        <v/>
      </c>
      <c r="AG75" s="117"/>
      <c r="AH75" s="116" t="str">
        <f t="shared" si="14"/>
        <v/>
      </c>
      <c r="AI75" s="92"/>
      <c r="AJ75" s="78"/>
      <c r="AK75" s="60">
        <f t="shared" si="15"/>
        <v>0</v>
      </c>
      <c r="AL75" s="60"/>
      <c r="AM75" s="60"/>
      <c r="AN75" s="60"/>
      <c r="AO75" s="60"/>
      <c r="AP75" s="60"/>
      <c r="AQ75" s="60">
        <f t="shared" si="3"/>
        <v>0</v>
      </c>
      <c r="AR75" s="60">
        <f t="shared" si="4"/>
        <v>0</v>
      </c>
      <c r="AS75" s="60">
        <f t="shared" si="5"/>
        <v>0</v>
      </c>
      <c r="AT75" s="60">
        <f t="shared" si="6"/>
        <v>0</v>
      </c>
      <c r="AU75" s="60">
        <f t="shared" si="7"/>
        <v>0</v>
      </c>
      <c r="AV75" s="60">
        <f t="shared" si="8"/>
        <v>0</v>
      </c>
      <c r="AW75" s="60">
        <f t="shared" si="9"/>
        <v>0</v>
      </c>
      <c r="AX75" s="60">
        <f t="shared" si="16"/>
        <v>0</v>
      </c>
      <c r="AY75" s="64">
        <f t="shared" si="17"/>
        <v>0</v>
      </c>
      <c r="AZ75" s="65">
        <f t="shared" si="10"/>
        <v>0</v>
      </c>
      <c r="BA75" s="65">
        <f t="shared" si="11"/>
        <v>0</v>
      </c>
    </row>
    <row r="76" spans="3:53" s="17" customFormat="1" x14ac:dyDescent="0.25">
      <c r="C76" s="194"/>
      <c r="D76" s="195"/>
      <c r="E76" s="90"/>
      <c r="F76" s="198"/>
      <c r="G76" s="214"/>
      <c r="H76" s="199"/>
      <c r="I76" s="78"/>
      <c r="J76" s="79"/>
      <c r="K76" s="78"/>
      <c r="L76" s="80"/>
      <c r="M76" s="80"/>
      <c r="N76" s="78" t="s">
        <v>39</v>
      </c>
      <c r="O76" s="113"/>
      <c r="P76" s="155"/>
      <c r="Q76" s="114" t="str">
        <f>IFERROR(MIN(VLOOKUP(ROUNDDOWN(P76,0),'Aide calcul'!$B$2:$C$282,2,FALSE),O76+1),"")</f>
        <v/>
      </c>
      <c r="R76" s="115" t="str">
        <f t="shared" si="12"/>
        <v/>
      </c>
      <c r="S76" s="155"/>
      <c r="T76" s="155"/>
      <c r="U76" s="155"/>
      <c r="V76" s="155"/>
      <c r="W76" s="155"/>
      <c r="X76" s="155"/>
      <c r="Y76" s="155"/>
      <c r="Z76" s="78"/>
      <c r="AA76" s="78"/>
      <c r="AB76" s="116" t="str">
        <f>IF(C76="3111. Logements",ROUND(VLOOKUP(C76,'Informations générales'!$C$66:$D$70,2,FALSE)*(AK76/$AL$27)/12,0)*12,IF(C76="3112. Logements",ROUND(VLOOKUP(C76,'Informations générales'!$C$66:$D$70,2,FALSE)*(AK76/$AM$27)/12,0)*12,IF(C76="3113. Logements",ROUND(VLOOKUP(C76,'Informations générales'!$C$66:$D$70,2,FALSE)*(AK76/$AN$27)/12,0)*12,IF(C76="3114. Logements",ROUND(VLOOKUP(C76,'Informations générales'!$C$66:$D$70,2,FALSE)*(AK76/$AO$27)/12,0)*12,IF(C76="3115. Logements",ROUND(VLOOKUP(C76,'Informations générales'!$C$66:$D$70,2,FALSE)*(AK76/$AP$27)/12,0)*12,"")))))</f>
        <v/>
      </c>
      <c r="AC76" s="117"/>
      <c r="AD76" s="116">
        <f t="shared" si="13"/>
        <v>0</v>
      </c>
      <c r="AE76" s="117"/>
      <c r="AF76" s="116" t="str">
        <f>IF(C76="3111. Logements",ROUND(VLOOKUP(C76,'Informations générales'!$C$66:$G$70,5,FALSE)*(AK76/$AL$27)/12,0)*12,IF(C76="3112. Logements",ROUND(VLOOKUP(C76,'Informations générales'!$C$66:$G$70,5,FALSE)*(AK76/$AM$27)/12,0)*12,IF(C76="3113. Logements",ROUND(VLOOKUP(C76,'Informations générales'!$C$66:$G$70,5,FALSE)*(AK76/$AN$27)/12,0)*12,IF(C76="3114. Logements",ROUND(VLOOKUP(C76,'Informations générales'!$C$66:$G$70,5,FALSE)*(AK76/$AO$27)/12,0)*12,IF(C76="3115. Logements",ROUND(VLOOKUP(C76,'Informations générales'!$C$66:$G$70,5,FALSE)*(AK76/$AP$27)/12,0)*12,"")))))</f>
        <v/>
      </c>
      <c r="AG76" s="117"/>
      <c r="AH76" s="116" t="str">
        <f t="shared" si="14"/>
        <v/>
      </c>
      <c r="AI76" s="92"/>
      <c r="AJ76" s="78"/>
      <c r="AK76" s="60">
        <f t="shared" si="15"/>
        <v>0</v>
      </c>
      <c r="AL76" s="60"/>
      <c r="AM76" s="60"/>
      <c r="AN76" s="60"/>
      <c r="AO76" s="60"/>
      <c r="AP76" s="60"/>
      <c r="AQ76" s="60">
        <f t="shared" si="3"/>
        <v>0</v>
      </c>
      <c r="AR76" s="60">
        <f t="shared" si="4"/>
        <v>0</v>
      </c>
      <c r="AS76" s="60">
        <f t="shared" si="5"/>
        <v>0</v>
      </c>
      <c r="AT76" s="60">
        <f t="shared" si="6"/>
        <v>0</v>
      </c>
      <c r="AU76" s="60">
        <f t="shared" si="7"/>
        <v>0</v>
      </c>
      <c r="AV76" s="60">
        <f t="shared" si="8"/>
        <v>0</v>
      </c>
      <c r="AW76" s="60">
        <f t="shared" si="9"/>
        <v>0</v>
      </c>
      <c r="AX76" s="60">
        <f t="shared" si="16"/>
        <v>0</v>
      </c>
      <c r="AY76" s="64">
        <f t="shared" si="17"/>
        <v>0</v>
      </c>
      <c r="AZ76" s="65">
        <f t="shared" si="10"/>
        <v>0</v>
      </c>
      <c r="BA76" s="65">
        <f t="shared" si="11"/>
        <v>0</v>
      </c>
    </row>
    <row r="77" spans="3:53" s="17" customFormat="1" x14ac:dyDescent="0.25">
      <c r="C77" s="194"/>
      <c r="D77" s="195"/>
      <c r="E77" s="90"/>
      <c r="F77" s="198"/>
      <c r="G77" s="214"/>
      <c r="H77" s="199"/>
      <c r="I77" s="78"/>
      <c r="J77" s="79"/>
      <c r="K77" s="78"/>
      <c r="L77" s="80"/>
      <c r="M77" s="80"/>
      <c r="N77" s="78" t="s">
        <v>39</v>
      </c>
      <c r="O77" s="113"/>
      <c r="P77" s="155"/>
      <c r="Q77" s="114" t="str">
        <f>IFERROR(MIN(VLOOKUP(ROUNDDOWN(P77,0),'Aide calcul'!$B$2:$C$282,2,FALSE),O77+1),"")</f>
        <v/>
      </c>
      <c r="R77" s="115" t="str">
        <f t="shared" si="12"/>
        <v/>
      </c>
      <c r="S77" s="155"/>
      <c r="T77" s="155"/>
      <c r="U77" s="155"/>
      <c r="V77" s="155"/>
      <c r="W77" s="155"/>
      <c r="X77" s="155"/>
      <c r="Y77" s="155"/>
      <c r="Z77" s="78"/>
      <c r="AA77" s="78"/>
      <c r="AB77" s="116" t="str">
        <f>IF(C77="3111. Logements",ROUND(VLOOKUP(C77,'Informations générales'!$C$66:$D$70,2,FALSE)*(AK77/$AL$27)/12,0)*12,IF(C77="3112. Logements",ROUND(VLOOKUP(C77,'Informations générales'!$C$66:$D$70,2,FALSE)*(AK77/$AM$27)/12,0)*12,IF(C77="3113. Logements",ROUND(VLOOKUP(C77,'Informations générales'!$C$66:$D$70,2,FALSE)*(AK77/$AN$27)/12,0)*12,IF(C77="3114. Logements",ROUND(VLOOKUP(C77,'Informations générales'!$C$66:$D$70,2,FALSE)*(AK77/$AO$27)/12,0)*12,IF(C77="3115. Logements",ROUND(VLOOKUP(C77,'Informations générales'!$C$66:$D$70,2,FALSE)*(AK77/$AP$27)/12,0)*12,"")))))</f>
        <v/>
      </c>
      <c r="AC77" s="117"/>
      <c r="AD77" s="116">
        <f t="shared" si="13"/>
        <v>0</v>
      </c>
      <c r="AE77" s="117"/>
      <c r="AF77" s="116" t="str">
        <f>IF(C77="3111. Logements",ROUND(VLOOKUP(C77,'Informations générales'!$C$66:$G$70,5,FALSE)*(AK77/$AL$27)/12,0)*12,IF(C77="3112. Logements",ROUND(VLOOKUP(C77,'Informations générales'!$C$66:$G$70,5,FALSE)*(AK77/$AM$27)/12,0)*12,IF(C77="3113. Logements",ROUND(VLOOKUP(C77,'Informations générales'!$C$66:$G$70,5,FALSE)*(AK77/$AN$27)/12,0)*12,IF(C77="3114. Logements",ROUND(VLOOKUP(C77,'Informations générales'!$C$66:$G$70,5,FALSE)*(AK77/$AO$27)/12,0)*12,IF(C77="3115. Logements",ROUND(VLOOKUP(C77,'Informations générales'!$C$66:$G$70,5,FALSE)*(AK77/$AP$27)/12,0)*12,"")))))</f>
        <v/>
      </c>
      <c r="AG77" s="117"/>
      <c r="AH77" s="116" t="str">
        <f t="shared" si="14"/>
        <v/>
      </c>
      <c r="AI77" s="92"/>
      <c r="AJ77" s="78"/>
      <c r="AK77" s="60">
        <f t="shared" si="15"/>
        <v>0</v>
      </c>
      <c r="AL77" s="60"/>
      <c r="AM77" s="60"/>
      <c r="AN77" s="60"/>
      <c r="AO77" s="60"/>
      <c r="AP77" s="60"/>
      <c r="AQ77" s="60">
        <f t="shared" si="3"/>
        <v>0</v>
      </c>
      <c r="AR77" s="60">
        <f t="shared" si="4"/>
        <v>0</v>
      </c>
      <c r="AS77" s="60">
        <f t="shared" si="5"/>
        <v>0</v>
      </c>
      <c r="AT77" s="60">
        <f t="shared" si="6"/>
        <v>0</v>
      </c>
      <c r="AU77" s="60">
        <f t="shared" si="7"/>
        <v>0</v>
      </c>
      <c r="AV77" s="60">
        <f t="shared" si="8"/>
        <v>0</v>
      </c>
      <c r="AW77" s="60">
        <f t="shared" si="9"/>
        <v>0</v>
      </c>
      <c r="AX77" s="60">
        <f t="shared" si="16"/>
        <v>0</v>
      </c>
      <c r="AY77" s="64">
        <f t="shared" si="17"/>
        <v>0</v>
      </c>
      <c r="AZ77" s="65">
        <f t="shared" si="10"/>
        <v>0</v>
      </c>
      <c r="BA77" s="65">
        <f t="shared" si="11"/>
        <v>0</v>
      </c>
    </row>
    <row r="78" spans="3:53" s="17" customFormat="1" x14ac:dyDescent="0.25">
      <c r="C78" s="194"/>
      <c r="D78" s="195"/>
      <c r="E78" s="90"/>
      <c r="F78" s="198"/>
      <c r="G78" s="214"/>
      <c r="H78" s="199"/>
      <c r="I78" s="78"/>
      <c r="J78" s="79"/>
      <c r="K78" s="78"/>
      <c r="L78" s="80"/>
      <c r="M78" s="80"/>
      <c r="N78" s="78" t="s">
        <v>39</v>
      </c>
      <c r="O78" s="113"/>
      <c r="P78" s="155"/>
      <c r="Q78" s="114" t="str">
        <f>IFERROR(MIN(VLOOKUP(ROUNDDOWN(P78,0),'Aide calcul'!$B$2:$C$282,2,FALSE),O78+1),"")</f>
        <v/>
      </c>
      <c r="R78" s="115" t="str">
        <f t="shared" si="12"/>
        <v/>
      </c>
      <c r="S78" s="155"/>
      <c r="T78" s="155"/>
      <c r="U78" s="155"/>
      <c r="V78" s="155"/>
      <c r="W78" s="155"/>
      <c r="X78" s="155"/>
      <c r="Y78" s="155"/>
      <c r="Z78" s="78"/>
      <c r="AA78" s="78"/>
      <c r="AB78" s="116" t="str">
        <f>IF(C78="3111. Logements",ROUND(VLOOKUP(C78,'Informations générales'!$C$66:$D$70,2,FALSE)*(AK78/$AL$27)/12,0)*12,IF(C78="3112. Logements",ROUND(VLOOKUP(C78,'Informations générales'!$C$66:$D$70,2,FALSE)*(AK78/$AM$27)/12,0)*12,IF(C78="3113. Logements",ROUND(VLOOKUP(C78,'Informations générales'!$C$66:$D$70,2,FALSE)*(AK78/$AN$27)/12,0)*12,IF(C78="3114. Logements",ROUND(VLOOKUP(C78,'Informations générales'!$C$66:$D$70,2,FALSE)*(AK78/$AO$27)/12,0)*12,IF(C78="3115. Logements",ROUND(VLOOKUP(C78,'Informations générales'!$C$66:$D$70,2,FALSE)*(AK78/$AP$27)/12,0)*12,"")))))</f>
        <v/>
      </c>
      <c r="AC78" s="117"/>
      <c r="AD78" s="116">
        <f t="shared" si="13"/>
        <v>0</v>
      </c>
      <c r="AE78" s="117"/>
      <c r="AF78" s="116" t="str">
        <f>IF(C78="3111. Logements",ROUND(VLOOKUP(C78,'Informations générales'!$C$66:$G$70,5,FALSE)*(AK78/$AL$27)/12,0)*12,IF(C78="3112. Logements",ROUND(VLOOKUP(C78,'Informations générales'!$C$66:$G$70,5,FALSE)*(AK78/$AM$27)/12,0)*12,IF(C78="3113. Logements",ROUND(VLOOKUP(C78,'Informations générales'!$C$66:$G$70,5,FALSE)*(AK78/$AN$27)/12,0)*12,IF(C78="3114. Logements",ROUND(VLOOKUP(C78,'Informations générales'!$C$66:$G$70,5,FALSE)*(AK78/$AO$27)/12,0)*12,IF(C78="3115. Logements",ROUND(VLOOKUP(C78,'Informations générales'!$C$66:$G$70,5,FALSE)*(AK78/$AP$27)/12,0)*12,"")))))</f>
        <v/>
      </c>
      <c r="AG78" s="117"/>
      <c r="AH78" s="116" t="str">
        <f t="shared" si="14"/>
        <v/>
      </c>
      <c r="AI78" s="92"/>
      <c r="AJ78" s="78"/>
      <c r="AK78" s="60">
        <f t="shared" si="15"/>
        <v>0</v>
      </c>
      <c r="AL78" s="60"/>
      <c r="AM78" s="60"/>
      <c r="AN78" s="60"/>
      <c r="AO78" s="60"/>
      <c r="AP78" s="60"/>
      <c r="AQ78" s="60">
        <f t="shared" si="3"/>
        <v>0</v>
      </c>
      <c r="AR78" s="60">
        <f t="shared" si="4"/>
        <v>0</v>
      </c>
      <c r="AS78" s="60">
        <f t="shared" si="5"/>
        <v>0</v>
      </c>
      <c r="AT78" s="60">
        <f t="shared" si="6"/>
        <v>0</v>
      </c>
      <c r="AU78" s="60">
        <f t="shared" si="7"/>
        <v>0</v>
      </c>
      <c r="AV78" s="60">
        <f t="shared" si="8"/>
        <v>0</v>
      </c>
      <c r="AW78" s="60">
        <f t="shared" si="9"/>
        <v>0</v>
      </c>
      <c r="AX78" s="60">
        <f t="shared" si="16"/>
        <v>0</v>
      </c>
      <c r="AY78" s="64">
        <f t="shared" si="17"/>
        <v>0</v>
      </c>
      <c r="AZ78" s="65">
        <f t="shared" si="10"/>
        <v>0</v>
      </c>
      <c r="BA78" s="65">
        <f t="shared" si="11"/>
        <v>0</v>
      </c>
    </row>
    <row r="79" spans="3:53" s="17" customFormat="1" x14ac:dyDescent="0.25">
      <c r="C79" s="194"/>
      <c r="D79" s="195"/>
      <c r="E79" s="90"/>
      <c r="F79" s="198"/>
      <c r="G79" s="214"/>
      <c r="H79" s="199"/>
      <c r="I79" s="78"/>
      <c r="J79" s="79"/>
      <c r="K79" s="78"/>
      <c r="L79" s="80"/>
      <c r="M79" s="80"/>
      <c r="N79" s="78" t="s">
        <v>39</v>
      </c>
      <c r="O79" s="113"/>
      <c r="P79" s="155"/>
      <c r="Q79" s="114" t="str">
        <f>IFERROR(MIN(VLOOKUP(ROUNDDOWN(P79,0),'Aide calcul'!$B$2:$C$282,2,FALSE),O79+1),"")</f>
        <v/>
      </c>
      <c r="R79" s="115" t="str">
        <f t="shared" si="12"/>
        <v/>
      </c>
      <c r="S79" s="155"/>
      <c r="T79" s="155"/>
      <c r="U79" s="155"/>
      <c r="V79" s="155"/>
      <c r="W79" s="155"/>
      <c r="X79" s="155"/>
      <c r="Y79" s="155"/>
      <c r="Z79" s="78"/>
      <c r="AA79" s="78"/>
      <c r="AB79" s="116" t="str">
        <f>IF(C79="3111. Logements",ROUND(VLOOKUP(C79,'Informations générales'!$C$66:$D$70,2,FALSE)*(AK79/$AL$27)/12,0)*12,IF(C79="3112. Logements",ROUND(VLOOKUP(C79,'Informations générales'!$C$66:$D$70,2,FALSE)*(AK79/$AM$27)/12,0)*12,IF(C79="3113. Logements",ROUND(VLOOKUP(C79,'Informations générales'!$C$66:$D$70,2,FALSE)*(AK79/$AN$27)/12,0)*12,IF(C79="3114. Logements",ROUND(VLOOKUP(C79,'Informations générales'!$C$66:$D$70,2,FALSE)*(AK79/$AO$27)/12,0)*12,IF(C79="3115. Logements",ROUND(VLOOKUP(C79,'Informations générales'!$C$66:$D$70,2,FALSE)*(AK79/$AP$27)/12,0)*12,"")))))</f>
        <v/>
      </c>
      <c r="AC79" s="117"/>
      <c r="AD79" s="116">
        <f t="shared" si="13"/>
        <v>0</v>
      </c>
      <c r="AE79" s="117"/>
      <c r="AF79" s="116" t="str">
        <f>IF(C79="3111. Logements",ROUND(VLOOKUP(C79,'Informations générales'!$C$66:$G$70,5,FALSE)*(AK79/$AL$27)/12,0)*12,IF(C79="3112. Logements",ROUND(VLOOKUP(C79,'Informations générales'!$C$66:$G$70,5,FALSE)*(AK79/$AM$27)/12,0)*12,IF(C79="3113. Logements",ROUND(VLOOKUP(C79,'Informations générales'!$C$66:$G$70,5,FALSE)*(AK79/$AN$27)/12,0)*12,IF(C79="3114. Logements",ROUND(VLOOKUP(C79,'Informations générales'!$C$66:$G$70,5,FALSE)*(AK79/$AO$27)/12,0)*12,IF(C79="3115. Logements",ROUND(VLOOKUP(C79,'Informations générales'!$C$66:$G$70,5,FALSE)*(AK79/$AP$27)/12,0)*12,"")))))</f>
        <v/>
      </c>
      <c r="AG79" s="117"/>
      <c r="AH79" s="116" t="str">
        <f t="shared" si="14"/>
        <v/>
      </c>
      <c r="AI79" s="92"/>
      <c r="AJ79" s="78"/>
      <c r="AK79" s="60">
        <f t="shared" si="15"/>
        <v>0</v>
      </c>
      <c r="AL79" s="60"/>
      <c r="AM79" s="60"/>
      <c r="AN79" s="60"/>
      <c r="AO79" s="60"/>
      <c r="AP79" s="60"/>
      <c r="AQ79" s="60">
        <f t="shared" si="3"/>
        <v>0</v>
      </c>
      <c r="AR79" s="60">
        <f t="shared" si="4"/>
        <v>0</v>
      </c>
      <c r="AS79" s="60">
        <f t="shared" si="5"/>
        <v>0</v>
      </c>
      <c r="AT79" s="60">
        <f t="shared" si="6"/>
        <v>0</v>
      </c>
      <c r="AU79" s="60">
        <f t="shared" si="7"/>
        <v>0</v>
      </c>
      <c r="AV79" s="60">
        <f t="shared" si="8"/>
        <v>0</v>
      </c>
      <c r="AW79" s="60">
        <f t="shared" si="9"/>
        <v>0</v>
      </c>
      <c r="AX79" s="60">
        <f t="shared" si="16"/>
        <v>0</v>
      </c>
      <c r="AY79" s="64">
        <f t="shared" si="17"/>
        <v>0</v>
      </c>
      <c r="AZ79" s="65">
        <f t="shared" si="10"/>
        <v>0</v>
      </c>
      <c r="BA79" s="65">
        <f t="shared" si="11"/>
        <v>0</v>
      </c>
    </row>
    <row r="80" spans="3:53" s="17" customFormat="1" x14ac:dyDescent="0.25">
      <c r="C80" s="194"/>
      <c r="D80" s="195"/>
      <c r="E80" s="90"/>
      <c r="F80" s="198"/>
      <c r="G80" s="214"/>
      <c r="H80" s="199"/>
      <c r="I80" s="78"/>
      <c r="J80" s="79"/>
      <c r="K80" s="78"/>
      <c r="L80" s="80"/>
      <c r="M80" s="80"/>
      <c r="N80" s="78" t="s">
        <v>39</v>
      </c>
      <c r="O80" s="113"/>
      <c r="P80" s="155"/>
      <c r="Q80" s="114" t="str">
        <f>IFERROR(MIN(VLOOKUP(ROUNDDOWN(P80,0),'Aide calcul'!$B$2:$C$282,2,FALSE),O80+1),"")</f>
        <v/>
      </c>
      <c r="R80" s="115" t="str">
        <f t="shared" si="12"/>
        <v/>
      </c>
      <c r="S80" s="155"/>
      <c r="T80" s="155"/>
      <c r="U80" s="155"/>
      <c r="V80" s="155"/>
      <c r="W80" s="155"/>
      <c r="X80" s="155"/>
      <c r="Y80" s="155"/>
      <c r="Z80" s="78"/>
      <c r="AA80" s="78"/>
      <c r="AB80" s="116" t="str">
        <f>IF(C80="3111. Logements",ROUND(VLOOKUP(C80,'Informations générales'!$C$66:$D$70,2,FALSE)*(AK80/$AL$27)/12,0)*12,IF(C80="3112. Logements",ROUND(VLOOKUP(C80,'Informations générales'!$C$66:$D$70,2,FALSE)*(AK80/$AM$27)/12,0)*12,IF(C80="3113. Logements",ROUND(VLOOKUP(C80,'Informations générales'!$C$66:$D$70,2,FALSE)*(AK80/$AN$27)/12,0)*12,IF(C80="3114. Logements",ROUND(VLOOKUP(C80,'Informations générales'!$C$66:$D$70,2,FALSE)*(AK80/$AO$27)/12,0)*12,IF(C80="3115. Logements",ROUND(VLOOKUP(C80,'Informations générales'!$C$66:$D$70,2,FALSE)*(AK80/$AP$27)/12,0)*12,"")))))</f>
        <v/>
      </c>
      <c r="AC80" s="117"/>
      <c r="AD80" s="116">
        <f t="shared" si="13"/>
        <v>0</v>
      </c>
      <c r="AE80" s="117"/>
      <c r="AF80" s="116" t="str">
        <f>IF(C80="3111. Logements",ROUND(VLOOKUP(C80,'Informations générales'!$C$66:$G$70,5,FALSE)*(AK80/$AL$27)/12,0)*12,IF(C80="3112. Logements",ROUND(VLOOKUP(C80,'Informations générales'!$C$66:$G$70,5,FALSE)*(AK80/$AM$27)/12,0)*12,IF(C80="3113. Logements",ROUND(VLOOKUP(C80,'Informations générales'!$C$66:$G$70,5,FALSE)*(AK80/$AN$27)/12,0)*12,IF(C80="3114. Logements",ROUND(VLOOKUP(C80,'Informations générales'!$C$66:$G$70,5,FALSE)*(AK80/$AO$27)/12,0)*12,IF(C80="3115. Logements",ROUND(VLOOKUP(C80,'Informations générales'!$C$66:$G$70,5,FALSE)*(AK80/$AP$27)/12,0)*12,"")))))</f>
        <v/>
      </c>
      <c r="AG80" s="117"/>
      <c r="AH80" s="116" t="str">
        <f t="shared" si="14"/>
        <v/>
      </c>
      <c r="AI80" s="92"/>
      <c r="AJ80" s="78"/>
      <c r="AK80" s="60">
        <f t="shared" si="15"/>
        <v>0</v>
      </c>
      <c r="AL80" s="60"/>
      <c r="AM80" s="60"/>
      <c r="AN80" s="60"/>
      <c r="AO80" s="60"/>
      <c r="AP80" s="60"/>
      <c r="AQ80" s="60">
        <f t="shared" si="3"/>
        <v>0</v>
      </c>
      <c r="AR80" s="60">
        <f t="shared" si="4"/>
        <v>0</v>
      </c>
      <c r="AS80" s="60">
        <f t="shared" si="5"/>
        <v>0</v>
      </c>
      <c r="AT80" s="60">
        <f t="shared" si="6"/>
        <v>0</v>
      </c>
      <c r="AU80" s="60">
        <f t="shared" si="7"/>
        <v>0</v>
      </c>
      <c r="AV80" s="60">
        <f t="shared" si="8"/>
        <v>0</v>
      </c>
      <c r="AW80" s="60">
        <f t="shared" si="9"/>
        <v>0</v>
      </c>
      <c r="AX80" s="60">
        <f t="shared" si="16"/>
        <v>0</v>
      </c>
      <c r="AY80" s="64">
        <f t="shared" si="17"/>
        <v>0</v>
      </c>
      <c r="AZ80" s="65">
        <f t="shared" si="10"/>
        <v>0</v>
      </c>
      <c r="BA80" s="65">
        <f t="shared" si="11"/>
        <v>0</v>
      </c>
    </row>
    <row r="81" spans="3:53" s="17" customFormat="1" x14ac:dyDescent="0.25">
      <c r="C81" s="194"/>
      <c r="D81" s="195"/>
      <c r="E81" s="90"/>
      <c r="F81" s="198"/>
      <c r="G81" s="214"/>
      <c r="H81" s="199"/>
      <c r="I81" s="78"/>
      <c r="J81" s="79"/>
      <c r="K81" s="78"/>
      <c r="L81" s="80"/>
      <c r="M81" s="80"/>
      <c r="N81" s="78" t="s">
        <v>39</v>
      </c>
      <c r="O81" s="113"/>
      <c r="P81" s="155"/>
      <c r="Q81" s="114" t="str">
        <f>IFERROR(MIN(VLOOKUP(ROUNDDOWN(P81,0),'Aide calcul'!$B$2:$C$282,2,FALSE),O81+1),"")</f>
        <v/>
      </c>
      <c r="R81" s="115" t="str">
        <f t="shared" si="12"/>
        <v/>
      </c>
      <c r="S81" s="155"/>
      <c r="T81" s="155"/>
      <c r="U81" s="155"/>
      <c r="V81" s="155"/>
      <c r="W81" s="155"/>
      <c r="X81" s="155"/>
      <c r="Y81" s="155"/>
      <c r="Z81" s="78"/>
      <c r="AA81" s="78"/>
      <c r="AB81" s="116" t="str">
        <f>IF(C81="3111. Logements",ROUND(VLOOKUP(C81,'Informations générales'!$C$66:$D$70,2,FALSE)*(AK81/$AL$27)/12,0)*12,IF(C81="3112. Logements",ROUND(VLOOKUP(C81,'Informations générales'!$C$66:$D$70,2,FALSE)*(AK81/$AM$27)/12,0)*12,IF(C81="3113. Logements",ROUND(VLOOKUP(C81,'Informations générales'!$C$66:$D$70,2,FALSE)*(AK81/$AN$27)/12,0)*12,IF(C81="3114. Logements",ROUND(VLOOKUP(C81,'Informations générales'!$C$66:$D$70,2,FALSE)*(AK81/$AO$27)/12,0)*12,IF(C81="3115. Logements",ROUND(VLOOKUP(C81,'Informations générales'!$C$66:$D$70,2,FALSE)*(AK81/$AP$27)/12,0)*12,"")))))</f>
        <v/>
      </c>
      <c r="AC81" s="117"/>
      <c r="AD81" s="116">
        <f t="shared" si="13"/>
        <v>0</v>
      </c>
      <c r="AE81" s="117"/>
      <c r="AF81" s="116" t="str">
        <f>IF(C81="3111. Logements",ROUND(VLOOKUP(C81,'Informations générales'!$C$66:$G$70,5,FALSE)*(AK81/$AL$27)/12,0)*12,IF(C81="3112. Logements",ROUND(VLOOKUP(C81,'Informations générales'!$C$66:$G$70,5,FALSE)*(AK81/$AM$27)/12,0)*12,IF(C81="3113. Logements",ROUND(VLOOKUP(C81,'Informations générales'!$C$66:$G$70,5,FALSE)*(AK81/$AN$27)/12,0)*12,IF(C81="3114. Logements",ROUND(VLOOKUP(C81,'Informations générales'!$C$66:$G$70,5,FALSE)*(AK81/$AO$27)/12,0)*12,IF(C81="3115. Logements",ROUND(VLOOKUP(C81,'Informations générales'!$C$66:$G$70,5,FALSE)*(AK81/$AP$27)/12,0)*12,"")))))</f>
        <v/>
      </c>
      <c r="AG81" s="117"/>
      <c r="AH81" s="116" t="str">
        <f t="shared" si="14"/>
        <v/>
      </c>
      <c r="AI81" s="92"/>
      <c r="AJ81" s="78"/>
      <c r="AK81" s="60">
        <f t="shared" si="15"/>
        <v>0</v>
      </c>
      <c r="AL81" s="60"/>
      <c r="AM81" s="60"/>
      <c r="AN81" s="60"/>
      <c r="AO81" s="60"/>
      <c r="AP81" s="60"/>
      <c r="AQ81" s="60">
        <f t="shared" si="3"/>
        <v>0</v>
      </c>
      <c r="AR81" s="60">
        <f t="shared" si="4"/>
        <v>0</v>
      </c>
      <c r="AS81" s="60">
        <f t="shared" si="5"/>
        <v>0</v>
      </c>
      <c r="AT81" s="60">
        <f t="shared" si="6"/>
        <v>0</v>
      </c>
      <c r="AU81" s="60">
        <f t="shared" si="7"/>
        <v>0</v>
      </c>
      <c r="AV81" s="60">
        <f t="shared" si="8"/>
        <v>0</v>
      </c>
      <c r="AW81" s="60">
        <f t="shared" si="9"/>
        <v>0</v>
      </c>
      <c r="AX81" s="60">
        <f t="shared" si="16"/>
        <v>0</v>
      </c>
      <c r="AY81" s="64">
        <f t="shared" si="17"/>
        <v>0</v>
      </c>
      <c r="AZ81" s="65">
        <f t="shared" si="10"/>
        <v>0</v>
      </c>
      <c r="BA81" s="65">
        <f t="shared" si="11"/>
        <v>0</v>
      </c>
    </row>
    <row r="82" spans="3:53" s="17" customFormat="1" x14ac:dyDescent="0.25">
      <c r="C82" s="194"/>
      <c r="D82" s="195"/>
      <c r="E82" s="90"/>
      <c r="F82" s="198"/>
      <c r="G82" s="214"/>
      <c r="H82" s="199"/>
      <c r="I82" s="78"/>
      <c r="J82" s="79"/>
      <c r="K82" s="78"/>
      <c r="L82" s="80"/>
      <c r="M82" s="80"/>
      <c r="N82" s="78" t="s">
        <v>39</v>
      </c>
      <c r="O82" s="113"/>
      <c r="P82" s="155"/>
      <c r="Q82" s="114" t="str">
        <f>IFERROR(MIN(VLOOKUP(ROUNDDOWN(P82,0),'Aide calcul'!$B$2:$C$282,2,FALSE),O82+1),"")</f>
        <v/>
      </c>
      <c r="R82" s="115" t="str">
        <f t="shared" si="12"/>
        <v/>
      </c>
      <c r="S82" s="155"/>
      <c r="T82" s="155"/>
      <c r="U82" s="155"/>
      <c r="V82" s="155"/>
      <c r="W82" s="155"/>
      <c r="X82" s="155"/>
      <c r="Y82" s="155"/>
      <c r="Z82" s="78"/>
      <c r="AA82" s="78"/>
      <c r="AB82" s="116" t="str">
        <f>IF(C82="3111. Logements",ROUND(VLOOKUP(C82,'Informations générales'!$C$66:$D$70,2,FALSE)*(AK82/$AL$27)/12,0)*12,IF(C82="3112. Logements",ROUND(VLOOKUP(C82,'Informations générales'!$C$66:$D$70,2,FALSE)*(AK82/$AM$27)/12,0)*12,IF(C82="3113. Logements",ROUND(VLOOKUP(C82,'Informations générales'!$C$66:$D$70,2,FALSE)*(AK82/$AN$27)/12,0)*12,IF(C82="3114. Logements",ROUND(VLOOKUP(C82,'Informations générales'!$C$66:$D$70,2,FALSE)*(AK82/$AO$27)/12,0)*12,IF(C82="3115. Logements",ROUND(VLOOKUP(C82,'Informations générales'!$C$66:$D$70,2,FALSE)*(AK82/$AP$27)/12,0)*12,"")))))</f>
        <v/>
      </c>
      <c r="AC82" s="117"/>
      <c r="AD82" s="116">
        <f t="shared" si="13"/>
        <v>0</v>
      </c>
      <c r="AE82" s="117"/>
      <c r="AF82" s="116" t="str">
        <f>IF(C82="3111. Logements",ROUND(VLOOKUP(C82,'Informations générales'!$C$66:$G$70,5,FALSE)*(AK82/$AL$27)/12,0)*12,IF(C82="3112. Logements",ROUND(VLOOKUP(C82,'Informations générales'!$C$66:$G$70,5,FALSE)*(AK82/$AM$27)/12,0)*12,IF(C82="3113. Logements",ROUND(VLOOKUP(C82,'Informations générales'!$C$66:$G$70,5,FALSE)*(AK82/$AN$27)/12,0)*12,IF(C82="3114. Logements",ROUND(VLOOKUP(C82,'Informations générales'!$C$66:$G$70,5,FALSE)*(AK82/$AO$27)/12,0)*12,IF(C82="3115. Logements",ROUND(VLOOKUP(C82,'Informations générales'!$C$66:$G$70,5,FALSE)*(AK82/$AP$27)/12,0)*12,"")))))</f>
        <v/>
      </c>
      <c r="AG82" s="117"/>
      <c r="AH82" s="116" t="str">
        <f t="shared" si="14"/>
        <v/>
      </c>
      <c r="AI82" s="92"/>
      <c r="AJ82" s="78"/>
      <c r="AK82" s="60">
        <f t="shared" si="15"/>
        <v>0</v>
      </c>
      <c r="AL82" s="60"/>
      <c r="AM82" s="60"/>
      <c r="AN82" s="60"/>
      <c r="AO82" s="60"/>
      <c r="AP82" s="60"/>
      <c r="AQ82" s="60">
        <f t="shared" si="3"/>
        <v>0</v>
      </c>
      <c r="AR82" s="60">
        <f t="shared" si="4"/>
        <v>0</v>
      </c>
      <c r="AS82" s="60">
        <f t="shared" si="5"/>
        <v>0</v>
      </c>
      <c r="AT82" s="60">
        <f t="shared" si="6"/>
        <v>0</v>
      </c>
      <c r="AU82" s="60">
        <f t="shared" si="7"/>
        <v>0</v>
      </c>
      <c r="AV82" s="60">
        <f t="shared" si="8"/>
        <v>0</v>
      </c>
      <c r="AW82" s="60">
        <f t="shared" si="9"/>
        <v>0</v>
      </c>
      <c r="AX82" s="60">
        <f t="shared" si="16"/>
        <v>0</v>
      </c>
      <c r="AY82" s="64">
        <f t="shared" si="17"/>
        <v>0</v>
      </c>
      <c r="AZ82" s="65">
        <f t="shared" si="10"/>
        <v>0</v>
      </c>
      <c r="BA82" s="65">
        <f t="shared" si="11"/>
        <v>0</v>
      </c>
    </row>
    <row r="83" spans="3:53" s="17" customFormat="1" x14ac:dyDescent="0.25">
      <c r="C83" s="194"/>
      <c r="D83" s="195"/>
      <c r="E83" s="90"/>
      <c r="F83" s="198"/>
      <c r="G83" s="214"/>
      <c r="H83" s="199"/>
      <c r="I83" s="78"/>
      <c r="J83" s="79"/>
      <c r="K83" s="78"/>
      <c r="L83" s="80"/>
      <c r="M83" s="80"/>
      <c r="N83" s="78" t="s">
        <v>39</v>
      </c>
      <c r="O83" s="113"/>
      <c r="P83" s="155"/>
      <c r="Q83" s="114" t="str">
        <f>IFERROR(MIN(VLOOKUP(ROUNDDOWN(P83,0),'Aide calcul'!$B$2:$C$282,2,FALSE),O83+1),"")</f>
        <v/>
      </c>
      <c r="R83" s="115" t="str">
        <f t="shared" si="12"/>
        <v/>
      </c>
      <c r="S83" s="155"/>
      <c r="T83" s="155"/>
      <c r="U83" s="155"/>
      <c r="V83" s="155"/>
      <c r="W83" s="155"/>
      <c r="X83" s="155"/>
      <c r="Y83" s="155"/>
      <c r="Z83" s="78"/>
      <c r="AA83" s="78"/>
      <c r="AB83" s="116" t="str">
        <f>IF(C83="3111. Logements",ROUND(VLOOKUP(C83,'Informations générales'!$C$66:$D$70,2,FALSE)*(AK83/$AL$27)/12,0)*12,IF(C83="3112. Logements",ROUND(VLOOKUP(C83,'Informations générales'!$C$66:$D$70,2,FALSE)*(AK83/$AM$27)/12,0)*12,IF(C83="3113. Logements",ROUND(VLOOKUP(C83,'Informations générales'!$C$66:$D$70,2,FALSE)*(AK83/$AN$27)/12,0)*12,IF(C83="3114. Logements",ROUND(VLOOKUP(C83,'Informations générales'!$C$66:$D$70,2,FALSE)*(AK83/$AO$27)/12,0)*12,IF(C83="3115. Logements",ROUND(VLOOKUP(C83,'Informations générales'!$C$66:$D$70,2,FALSE)*(AK83/$AP$27)/12,0)*12,"")))))</f>
        <v/>
      </c>
      <c r="AC83" s="117"/>
      <c r="AD83" s="116">
        <f t="shared" si="13"/>
        <v>0</v>
      </c>
      <c r="AE83" s="117"/>
      <c r="AF83" s="116" t="str">
        <f>IF(C83="3111. Logements",ROUND(VLOOKUP(C83,'Informations générales'!$C$66:$G$70,5,FALSE)*(AK83/$AL$27)/12,0)*12,IF(C83="3112. Logements",ROUND(VLOOKUP(C83,'Informations générales'!$C$66:$G$70,5,FALSE)*(AK83/$AM$27)/12,0)*12,IF(C83="3113. Logements",ROUND(VLOOKUP(C83,'Informations générales'!$C$66:$G$70,5,FALSE)*(AK83/$AN$27)/12,0)*12,IF(C83="3114. Logements",ROUND(VLOOKUP(C83,'Informations générales'!$C$66:$G$70,5,FALSE)*(AK83/$AO$27)/12,0)*12,IF(C83="3115. Logements",ROUND(VLOOKUP(C83,'Informations générales'!$C$66:$G$70,5,FALSE)*(AK83/$AP$27)/12,0)*12,"")))))</f>
        <v/>
      </c>
      <c r="AG83" s="117"/>
      <c r="AH83" s="116" t="str">
        <f t="shared" si="14"/>
        <v/>
      </c>
      <c r="AI83" s="92"/>
      <c r="AJ83" s="78"/>
      <c r="AK83" s="60">
        <f t="shared" si="15"/>
        <v>0</v>
      </c>
      <c r="AL83" s="60"/>
      <c r="AM83" s="60"/>
      <c r="AN83" s="60"/>
      <c r="AO83" s="60"/>
      <c r="AP83" s="60"/>
      <c r="AQ83" s="60">
        <f t="shared" si="3"/>
        <v>0</v>
      </c>
      <c r="AR83" s="60">
        <f t="shared" si="4"/>
        <v>0</v>
      </c>
      <c r="AS83" s="60">
        <f t="shared" si="5"/>
        <v>0</v>
      </c>
      <c r="AT83" s="60">
        <f t="shared" si="6"/>
        <v>0</v>
      </c>
      <c r="AU83" s="60">
        <f t="shared" si="7"/>
        <v>0</v>
      </c>
      <c r="AV83" s="60">
        <f t="shared" si="8"/>
        <v>0</v>
      </c>
      <c r="AW83" s="60">
        <f t="shared" si="9"/>
        <v>0</v>
      </c>
      <c r="AX83" s="60">
        <f t="shared" si="16"/>
        <v>0</v>
      </c>
      <c r="AY83" s="64">
        <f t="shared" si="17"/>
        <v>0</v>
      </c>
      <c r="AZ83" s="65">
        <f t="shared" si="10"/>
        <v>0</v>
      </c>
      <c r="BA83" s="65">
        <f t="shared" si="11"/>
        <v>0</v>
      </c>
    </row>
    <row r="84" spans="3:53" s="17" customFormat="1" x14ac:dyDescent="0.25">
      <c r="C84" s="194"/>
      <c r="D84" s="195"/>
      <c r="E84" s="90"/>
      <c r="F84" s="198"/>
      <c r="G84" s="214"/>
      <c r="H84" s="199"/>
      <c r="I84" s="78"/>
      <c r="J84" s="79"/>
      <c r="K84" s="78"/>
      <c r="L84" s="80"/>
      <c r="M84" s="80"/>
      <c r="N84" s="78" t="s">
        <v>39</v>
      </c>
      <c r="O84" s="113"/>
      <c r="P84" s="155"/>
      <c r="Q84" s="114" t="str">
        <f>IFERROR(MIN(VLOOKUP(ROUNDDOWN(P84,0),'Aide calcul'!$B$2:$C$282,2,FALSE),O84+1),"")</f>
        <v/>
      </c>
      <c r="R84" s="115" t="str">
        <f t="shared" si="12"/>
        <v/>
      </c>
      <c r="S84" s="155"/>
      <c r="T84" s="155"/>
      <c r="U84" s="155"/>
      <c r="V84" s="155"/>
      <c r="W84" s="155"/>
      <c r="X84" s="155"/>
      <c r="Y84" s="155"/>
      <c r="Z84" s="78"/>
      <c r="AA84" s="78"/>
      <c r="AB84" s="116" t="str">
        <f>IF(C84="3111. Logements",ROUND(VLOOKUP(C84,'Informations générales'!$C$66:$D$70,2,FALSE)*(AK84/$AL$27)/12,0)*12,IF(C84="3112. Logements",ROUND(VLOOKUP(C84,'Informations générales'!$C$66:$D$70,2,FALSE)*(AK84/$AM$27)/12,0)*12,IF(C84="3113. Logements",ROUND(VLOOKUP(C84,'Informations générales'!$C$66:$D$70,2,FALSE)*(AK84/$AN$27)/12,0)*12,IF(C84="3114. Logements",ROUND(VLOOKUP(C84,'Informations générales'!$C$66:$D$70,2,FALSE)*(AK84/$AO$27)/12,0)*12,IF(C84="3115. Logements",ROUND(VLOOKUP(C84,'Informations générales'!$C$66:$D$70,2,FALSE)*(AK84/$AP$27)/12,0)*12,"")))))</f>
        <v/>
      </c>
      <c r="AC84" s="117"/>
      <c r="AD84" s="116">
        <f t="shared" si="13"/>
        <v>0</v>
      </c>
      <c r="AE84" s="117"/>
      <c r="AF84" s="116" t="str">
        <f>IF(C84="3111. Logements",ROUND(VLOOKUP(C84,'Informations générales'!$C$66:$G$70,5,FALSE)*(AK84/$AL$27)/12,0)*12,IF(C84="3112. Logements",ROUND(VLOOKUP(C84,'Informations générales'!$C$66:$G$70,5,FALSE)*(AK84/$AM$27)/12,0)*12,IF(C84="3113. Logements",ROUND(VLOOKUP(C84,'Informations générales'!$C$66:$G$70,5,FALSE)*(AK84/$AN$27)/12,0)*12,IF(C84="3114. Logements",ROUND(VLOOKUP(C84,'Informations générales'!$C$66:$G$70,5,FALSE)*(AK84/$AO$27)/12,0)*12,IF(C84="3115. Logements",ROUND(VLOOKUP(C84,'Informations générales'!$C$66:$G$70,5,FALSE)*(AK84/$AP$27)/12,0)*12,"")))))</f>
        <v/>
      </c>
      <c r="AG84" s="117"/>
      <c r="AH84" s="116" t="str">
        <f t="shared" si="14"/>
        <v/>
      </c>
      <c r="AI84" s="92"/>
      <c r="AJ84" s="78"/>
      <c r="AK84" s="60">
        <f t="shared" si="15"/>
        <v>0</v>
      </c>
      <c r="AL84" s="60"/>
      <c r="AM84" s="60"/>
      <c r="AN84" s="60"/>
      <c r="AO84" s="60"/>
      <c r="AP84" s="60"/>
      <c r="AQ84" s="60">
        <f t="shared" si="3"/>
        <v>0</v>
      </c>
      <c r="AR84" s="60">
        <f t="shared" si="4"/>
        <v>0</v>
      </c>
      <c r="AS84" s="60">
        <f t="shared" si="5"/>
        <v>0</v>
      </c>
      <c r="AT84" s="60">
        <f t="shared" si="6"/>
        <v>0</v>
      </c>
      <c r="AU84" s="60">
        <f t="shared" si="7"/>
        <v>0</v>
      </c>
      <c r="AV84" s="60">
        <f t="shared" si="8"/>
        <v>0</v>
      </c>
      <c r="AW84" s="60">
        <f t="shared" si="9"/>
        <v>0</v>
      </c>
      <c r="AX84" s="60">
        <f t="shared" si="16"/>
        <v>0</v>
      </c>
      <c r="AY84" s="64">
        <f t="shared" si="17"/>
        <v>0</v>
      </c>
      <c r="AZ84" s="65">
        <f t="shared" si="10"/>
        <v>0</v>
      </c>
      <c r="BA84" s="65">
        <f t="shared" si="11"/>
        <v>0</v>
      </c>
    </row>
    <row r="85" spans="3:53" s="17" customFormat="1" x14ac:dyDescent="0.25">
      <c r="C85" s="194"/>
      <c r="D85" s="195"/>
      <c r="E85" s="90"/>
      <c r="F85" s="198"/>
      <c r="G85" s="214"/>
      <c r="H85" s="199"/>
      <c r="I85" s="78"/>
      <c r="J85" s="79"/>
      <c r="K85" s="78"/>
      <c r="L85" s="80"/>
      <c r="M85" s="80"/>
      <c r="N85" s="78" t="s">
        <v>39</v>
      </c>
      <c r="O85" s="113"/>
      <c r="P85" s="155"/>
      <c r="Q85" s="114" t="str">
        <f>IFERROR(MIN(VLOOKUP(ROUNDDOWN(P85,0),'Aide calcul'!$B$2:$C$282,2,FALSE),O85+1),"")</f>
        <v/>
      </c>
      <c r="R85" s="115" t="str">
        <f t="shared" si="12"/>
        <v/>
      </c>
      <c r="S85" s="155"/>
      <c r="T85" s="155"/>
      <c r="U85" s="155"/>
      <c r="V85" s="155"/>
      <c r="W85" s="155"/>
      <c r="X85" s="155"/>
      <c r="Y85" s="155"/>
      <c r="Z85" s="78"/>
      <c r="AA85" s="78"/>
      <c r="AB85" s="116" t="str">
        <f>IF(C85="3111. Logements",ROUND(VLOOKUP(C85,'Informations générales'!$C$66:$D$70,2,FALSE)*(AK85/$AL$27)/12,0)*12,IF(C85="3112. Logements",ROUND(VLOOKUP(C85,'Informations générales'!$C$66:$D$70,2,FALSE)*(AK85/$AM$27)/12,0)*12,IF(C85="3113. Logements",ROUND(VLOOKUP(C85,'Informations générales'!$C$66:$D$70,2,FALSE)*(AK85/$AN$27)/12,0)*12,IF(C85="3114. Logements",ROUND(VLOOKUP(C85,'Informations générales'!$C$66:$D$70,2,FALSE)*(AK85/$AO$27)/12,0)*12,IF(C85="3115. Logements",ROUND(VLOOKUP(C85,'Informations générales'!$C$66:$D$70,2,FALSE)*(AK85/$AP$27)/12,0)*12,"")))))</f>
        <v/>
      </c>
      <c r="AC85" s="117"/>
      <c r="AD85" s="116">
        <f t="shared" si="13"/>
        <v>0</v>
      </c>
      <c r="AE85" s="117"/>
      <c r="AF85" s="116" t="str">
        <f>IF(C85="3111. Logements",ROUND(VLOOKUP(C85,'Informations générales'!$C$66:$G$70,5,FALSE)*(AK85/$AL$27)/12,0)*12,IF(C85="3112. Logements",ROUND(VLOOKUP(C85,'Informations générales'!$C$66:$G$70,5,FALSE)*(AK85/$AM$27)/12,0)*12,IF(C85="3113. Logements",ROUND(VLOOKUP(C85,'Informations générales'!$C$66:$G$70,5,FALSE)*(AK85/$AN$27)/12,0)*12,IF(C85="3114. Logements",ROUND(VLOOKUP(C85,'Informations générales'!$C$66:$G$70,5,FALSE)*(AK85/$AO$27)/12,0)*12,IF(C85="3115. Logements",ROUND(VLOOKUP(C85,'Informations générales'!$C$66:$G$70,5,FALSE)*(AK85/$AP$27)/12,0)*12,"")))))</f>
        <v/>
      </c>
      <c r="AG85" s="117"/>
      <c r="AH85" s="116" t="str">
        <f t="shared" si="14"/>
        <v/>
      </c>
      <c r="AI85" s="92"/>
      <c r="AJ85" s="78"/>
      <c r="AK85" s="60">
        <f t="shared" si="15"/>
        <v>0</v>
      </c>
      <c r="AL85" s="60"/>
      <c r="AM85" s="60"/>
      <c r="AN85" s="60"/>
      <c r="AO85" s="60"/>
      <c r="AP85" s="60"/>
      <c r="AQ85" s="60">
        <f t="shared" si="3"/>
        <v>0</v>
      </c>
      <c r="AR85" s="60">
        <f t="shared" si="4"/>
        <v>0</v>
      </c>
      <c r="AS85" s="60">
        <f t="shared" si="5"/>
        <v>0</v>
      </c>
      <c r="AT85" s="60">
        <f t="shared" si="6"/>
        <v>0</v>
      </c>
      <c r="AU85" s="60">
        <f t="shared" si="7"/>
        <v>0</v>
      </c>
      <c r="AV85" s="60">
        <f t="shared" si="8"/>
        <v>0</v>
      </c>
      <c r="AW85" s="60">
        <f t="shared" si="9"/>
        <v>0</v>
      </c>
      <c r="AX85" s="60">
        <f t="shared" si="16"/>
        <v>0</v>
      </c>
      <c r="AY85" s="64">
        <f t="shared" si="17"/>
        <v>0</v>
      </c>
      <c r="AZ85" s="65">
        <f t="shared" si="10"/>
        <v>0</v>
      </c>
      <c r="BA85" s="65">
        <f t="shared" si="11"/>
        <v>0</v>
      </c>
    </row>
    <row r="86" spans="3:53" s="17" customFormat="1" x14ac:dyDescent="0.25">
      <c r="C86" s="194"/>
      <c r="D86" s="195"/>
      <c r="E86" s="90"/>
      <c r="F86" s="198"/>
      <c r="G86" s="214"/>
      <c r="H86" s="199"/>
      <c r="I86" s="78"/>
      <c r="J86" s="79"/>
      <c r="K86" s="78"/>
      <c r="L86" s="80"/>
      <c r="M86" s="80"/>
      <c r="N86" s="78" t="s">
        <v>39</v>
      </c>
      <c r="O86" s="113"/>
      <c r="P86" s="155"/>
      <c r="Q86" s="114" t="str">
        <f>IFERROR(MIN(VLOOKUP(ROUNDDOWN(P86,0),'Aide calcul'!$B$2:$C$282,2,FALSE),O86+1),"")</f>
        <v/>
      </c>
      <c r="R86" s="115" t="str">
        <f t="shared" si="12"/>
        <v/>
      </c>
      <c r="S86" s="155"/>
      <c r="T86" s="155"/>
      <c r="U86" s="155"/>
      <c r="V86" s="155"/>
      <c r="W86" s="155"/>
      <c r="X86" s="155"/>
      <c r="Y86" s="155"/>
      <c r="Z86" s="78"/>
      <c r="AA86" s="78"/>
      <c r="AB86" s="116" t="str">
        <f>IF(C86="3111. Logements",ROUND(VLOOKUP(C86,'Informations générales'!$C$66:$D$70,2,FALSE)*(AK86/$AL$27)/12,0)*12,IF(C86="3112. Logements",ROUND(VLOOKUP(C86,'Informations générales'!$C$66:$D$70,2,FALSE)*(AK86/$AM$27)/12,0)*12,IF(C86="3113. Logements",ROUND(VLOOKUP(C86,'Informations générales'!$C$66:$D$70,2,FALSE)*(AK86/$AN$27)/12,0)*12,IF(C86="3114. Logements",ROUND(VLOOKUP(C86,'Informations générales'!$C$66:$D$70,2,FALSE)*(AK86/$AO$27)/12,0)*12,IF(C86="3115. Logements",ROUND(VLOOKUP(C86,'Informations générales'!$C$66:$D$70,2,FALSE)*(AK86/$AP$27)/12,0)*12,"")))))</f>
        <v/>
      </c>
      <c r="AC86" s="117"/>
      <c r="AD86" s="116">
        <f t="shared" si="13"/>
        <v>0</v>
      </c>
      <c r="AE86" s="117"/>
      <c r="AF86" s="116" t="str">
        <f>IF(C86="3111. Logements",ROUND(VLOOKUP(C86,'Informations générales'!$C$66:$G$70,5,FALSE)*(AK86/$AL$27)/12,0)*12,IF(C86="3112. Logements",ROUND(VLOOKUP(C86,'Informations générales'!$C$66:$G$70,5,FALSE)*(AK86/$AM$27)/12,0)*12,IF(C86="3113. Logements",ROUND(VLOOKUP(C86,'Informations générales'!$C$66:$G$70,5,FALSE)*(AK86/$AN$27)/12,0)*12,IF(C86="3114. Logements",ROUND(VLOOKUP(C86,'Informations générales'!$C$66:$G$70,5,FALSE)*(AK86/$AO$27)/12,0)*12,IF(C86="3115. Logements",ROUND(VLOOKUP(C86,'Informations générales'!$C$66:$G$70,5,FALSE)*(AK86/$AP$27)/12,0)*12,"")))))</f>
        <v/>
      </c>
      <c r="AG86" s="117"/>
      <c r="AH86" s="116" t="str">
        <f t="shared" si="14"/>
        <v/>
      </c>
      <c r="AI86" s="92"/>
      <c r="AJ86" s="78"/>
      <c r="AK86" s="60">
        <f t="shared" si="15"/>
        <v>0</v>
      </c>
      <c r="AL86" s="60"/>
      <c r="AM86" s="60"/>
      <c r="AN86" s="60"/>
      <c r="AO86" s="60"/>
      <c r="AP86" s="60"/>
      <c r="AQ86" s="60">
        <f t="shared" si="3"/>
        <v>0</v>
      </c>
      <c r="AR86" s="60">
        <f t="shared" si="4"/>
        <v>0</v>
      </c>
      <c r="AS86" s="60">
        <f t="shared" si="5"/>
        <v>0</v>
      </c>
      <c r="AT86" s="60">
        <f t="shared" si="6"/>
        <v>0</v>
      </c>
      <c r="AU86" s="60">
        <f t="shared" si="7"/>
        <v>0</v>
      </c>
      <c r="AV86" s="60">
        <f t="shared" si="8"/>
        <v>0</v>
      </c>
      <c r="AW86" s="60">
        <f t="shared" si="9"/>
        <v>0</v>
      </c>
      <c r="AX86" s="60">
        <f t="shared" si="16"/>
        <v>0</v>
      </c>
      <c r="AY86" s="64">
        <f t="shared" si="17"/>
        <v>0</v>
      </c>
      <c r="AZ86" s="65">
        <f t="shared" si="10"/>
        <v>0</v>
      </c>
      <c r="BA86" s="65">
        <f t="shared" si="11"/>
        <v>0</v>
      </c>
    </row>
    <row r="87" spans="3:53" s="17" customFormat="1" x14ac:dyDescent="0.25">
      <c r="C87" s="194"/>
      <c r="D87" s="195"/>
      <c r="E87" s="90"/>
      <c r="F87" s="198"/>
      <c r="G87" s="214"/>
      <c r="H87" s="199"/>
      <c r="I87" s="78"/>
      <c r="J87" s="79"/>
      <c r="K87" s="78"/>
      <c r="L87" s="80"/>
      <c r="M87" s="80"/>
      <c r="N87" s="78" t="s">
        <v>39</v>
      </c>
      <c r="O87" s="113"/>
      <c r="P87" s="155"/>
      <c r="Q87" s="114" t="str">
        <f>IFERROR(MIN(VLOOKUP(ROUNDDOWN(P87,0),'Aide calcul'!$B$2:$C$282,2,FALSE),O87+1),"")</f>
        <v/>
      </c>
      <c r="R87" s="115" t="str">
        <f t="shared" si="12"/>
        <v/>
      </c>
      <c r="S87" s="155"/>
      <c r="T87" s="155"/>
      <c r="U87" s="155"/>
      <c r="V87" s="155"/>
      <c r="W87" s="155"/>
      <c r="X87" s="155"/>
      <c r="Y87" s="155"/>
      <c r="Z87" s="78"/>
      <c r="AA87" s="78"/>
      <c r="AB87" s="116" t="str">
        <f>IF(C87="3111. Logements",ROUND(VLOOKUP(C87,'Informations générales'!$C$66:$D$70,2,FALSE)*(AK87/$AL$27)/12,0)*12,IF(C87="3112. Logements",ROUND(VLOOKUP(C87,'Informations générales'!$C$66:$D$70,2,FALSE)*(AK87/$AM$27)/12,0)*12,IF(C87="3113. Logements",ROUND(VLOOKUP(C87,'Informations générales'!$C$66:$D$70,2,FALSE)*(AK87/$AN$27)/12,0)*12,IF(C87="3114. Logements",ROUND(VLOOKUP(C87,'Informations générales'!$C$66:$D$70,2,FALSE)*(AK87/$AO$27)/12,0)*12,IF(C87="3115. Logements",ROUND(VLOOKUP(C87,'Informations générales'!$C$66:$D$70,2,FALSE)*(AK87/$AP$27)/12,0)*12,"")))))</f>
        <v/>
      </c>
      <c r="AC87" s="117"/>
      <c r="AD87" s="116">
        <f t="shared" si="13"/>
        <v>0</v>
      </c>
      <c r="AE87" s="117"/>
      <c r="AF87" s="116" t="str">
        <f>IF(C87="3111. Logements",ROUND(VLOOKUP(C87,'Informations générales'!$C$66:$G$70,5,FALSE)*(AK87/$AL$27)/12,0)*12,IF(C87="3112. Logements",ROUND(VLOOKUP(C87,'Informations générales'!$C$66:$G$70,5,FALSE)*(AK87/$AM$27)/12,0)*12,IF(C87="3113. Logements",ROUND(VLOOKUP(C87,'Informations générales'!$C$66:$G$70,5,FALSE)*(AK87/$AN$27)/12,0)*12,IF(C87="3114. Logements",ROUND(VLOOKUP(C87,'Informations générales'!$C$66:$G$70,5,FALSE)*(AK87/$AO$27)/12,0)*12,IF(C87="3115. Logements",ROUND(VLOOKUP(C87,'Informations générales'!$C$66:$G$70,5,FALSE)*(AK87/$AP$27)/12,0)*12,"")))))</f>
        <v/>
      </c>
      <c r="AG87" s="117"/>
      <c r="AH87" s="116" t="str">
        <f t="shared" si="14"/>
        <v/>
      </c>
      <c r="AI87" s="92"/>
      <c r="AJ87" s="78"/>
      <c r="AK87" s="60">
        <f t="shared" si="15"/>
        <v>0</v>
      </c>
      <c r="AL87" s="60"/>
      <c r="AM87" s="60"/>
      <c r="AN87" s="60"/>
      <c r="AO87" s="60"/>
      <c r="AP87" s="60"/>
      <c r="AQ87" s="60">
        <f t="shared" si="3"/>
        <v>0</v>
      </c>
      <c r="AR87" s="60">
        <f t="shared" si="4"/>
        <v>0</v>
      </c>
      <c r="AS87" s="60">
        <f t="shared" si="5"/>
        <v>0</v>
      </c>
      <c r="AT87" s="60">
        <f t="shared" si="6"/>
        <v>0</v>
      </c>
      <c r="AU87" s="60">
        <f t="shared" si="7"/>
        <v>0</v>
      </c>
      <c r="AV87" s="60">
        <f t="shared" si="8"/>
        <v>0</v>
      </c>
      <c r="AW87" s="60">
        <f t="shared" si="9"/>
        <v>0</v>
      </c>
      <c r="AX87" s="60">
        <f t="shared" si="16"/>
        <v>0</v>
      </c>
      <c r="AY87" s="64">
        <f t="shared" si="17"/>
        <v>0</v>
      </c>
      <c r="AZ87" s="65">
        <f t="shared" si="10"/>
        <v>0</v>
      </c>
      <c r="BA87" s="65">
        <f t="shared" si="11"/>
        <v>0</v>
      </c>
    </row>
    <row r="88" spans="3:53" s="17" customFormat="1" x14ac:dyDescent="0.25">
      <c r="C88" s="194"/>
      <c r="D88" s="195"/>
      <c r="E88" s="90"/>
      <c r="F88" s="198"/>
      <c r="G88" s="214"/>
      <c r="H88" s="199"/>
      <c r="I88" s="78"/>
      <c r="J88" s="79"/>
      <c r="K88" s="78"/>
      <c r="L88" s="80"/>
      <c r="M88" s="80"/>
      <c r="N88" s="78" t="s">
        <v>39</v>
      </c>
      <c r="O88" s="113"/>
      <c r="P88" s="155"/>
      <c r="Q88" s="114" t="str">
        <f>IFERROR(MIN(VLOOKUP(ROUNDDOWN(P88,0),'Aide calcul'!$B$2:$C$282,2,FALSE),O88+1),"")</f>
        <v/>
      </c>
      <c r="R88" s="115" t="str">
        <f t="shared" si="12"/>
        <v/>
      </c>
      <c r="S88" s="155"/>
      <c r="T88" s="155"/>
      <c r="U88" s="155"/>
      <c r="V88" s="155"/>
      <c r="W88" s="155"/>
      <c r="X88" s="155"/>
      <c r="Y88" s="155"/>
      <c r="Z88" s="78"/>
      <c r="AA88" s="78"/>
      <c r="AB88" s="116" t="str">
        <f>IF(C88="3111. Logements",ROUND(VLOOKUP(C88,'Informations générales'!$C$66:$D$70,2,FALSE)*(AK88/$AL$27)/12,0)*12,IF(C88="3112. Logements",ROUND(VLOOKUP(C88,'Informations générales'!$C$66:$D$70,2,FALSE)*(AK88/$AM$27)/12,0)*12,IF(C88="3113. Logements",ROUND(VLOOKUP(C88,'Informations générales'!$C$66:$D$70,2,FALSE)*(AK88/$AN$27)/12,0)*12,IF(C88="3114. Logements",ROUND(VLOOKUP(C88,'Informations générales'!$C$66:$D$70,2,FALSE)*(AK88/$AO$27)/12,0)*12,IF(C88="3115. Logements",ROUND(VLOOKUP(C88,'Informations générales'!$C$66:$D$70,2,FALSE)*(AK88/$AP$27)/12,0)*12,"")))))</f>
        <v/>
      </c>
      <c r="AC88" s="117"/>
      <c r="AD88" s="116">
        <f t="shared" si="13"/>
        <v>0</v>
      </c>
      <c r="AE88" s="117"/>
      <c r="AF88" s="116" t="str">
        <f>IF(C88="3111. Logements",ROUND(VLOOKUP(C88,'Informations générales'!$C$66:$G$70,5,FALSE)*(AK88/$AL$27)/12,0)*12,IF(C88="3112. Logements",ROUND(VLOOKUP(C88,'Informations générales'!$C$66:$G$70,5,FALSE)*(AK88/$AM$27)/12,0)*12,IF(C88="3113. Logements",ROUND(VLOOKUP(C88,'Informations générales'!$C$66:$G$70,5,FALSE)*(AK88/$AN$27)/12,0)*12,IF(C88="3114. Logements",ROUND(VLOOKUP(C88,'Informations générales'!$C$66:$G$70,5,FALSE)*(AK88/$AO$27)/12,0)*12,IF(C88="3115. Logements",ROUND(VLOOKUP(C88,'Informations générales'!$C$66:$G$70,5,FALSE)*(AK88/$AP$27)/12,0)*12,"")))))</f>
        <v/>
      </c>
      <c r="AG88" s="117"/>
      <c r="AH88" s="116" t="str">
        <f t="shared" si="14"/>
        <v/>
      </c>
      <c r="AI88" s="92"/>
      <c r="AJ88" s="78"/>
      <c r="AK88" s="60">
        <f t="shared" si="15"/>
        <v>0</v>
      </c>
      <c r="AL88" s="60"/>
      <c r="AM88" s="60"/>
      <c r="AN88" s="60"/>
      <c r="AO88" s="60"/>
      <c r="AP88" s="60"/>
      <c r="AQ88" s="60">
        <f t="shared" si="3"/>
        <v>0</v>
      </c>
      <c r="AR88" s="60">
        <f t="shared" si="4"/>
        <v>0</v>
      </c>
      <c r="AS88" s="60">
        <f t="shared" si="5"/>
        <v>0</v>
      </c>
      <c r="AT88" s="60">
        <f t="shared" si="6"/>
        <v>0</v>
      </c>
      <c r="AU88" s="60">
        <f t="shared" si="7"/>
        <v>0</v>
      </c>
      <c r="AV88" s="60">
        <f t="shared" si="8"/>
        <v>0</v>
      </c>
      <c r="AW88" s="60">
        <f t="shared" si="9"/>
        <v>0</v>
      </c>
      <c r="AX88" s="60">
        <f t="shared" si="16"/>
        <v>0</v>
      </c>
      <c r="AY88" s="64">
        <f t="shared" si="17"/>
        <v>0</v>
      </c>
      <c r="AZ88" s="65">
        <f t="shared" si="10"/>
        <v>0</v>
      </c>
      <c r="BA88" s="65">
        <f t="shared" si="11"/>
        <v>0</v>
      </c>
    </row>
    <row r="89" spans="3:53" s="17" customFormat="1" x14ac:dyDescent="0.25">
      <c r="C89" s="194"/>
      <c r="D89" s="195"/>
      <c r="E89" s="90"/>
      <c r="F89" s="198"/>
      <c r="G89" s="214"/>
      <c r="H89" s="199"/>
      <c r="I89" s="78"/>
      <c r="J89" s="79"/>
      <c r="K89" s="78"/>
      <c r="L89" s="80"/>
      <c r="M89" s="80"/>
      <c r="N89" s="78" t="s">
        <v>39</v>
      </c>
      <c r="O89" s="113"/>
      <c r="P89" s="155"/>
      <c r="Q89" s="114" t="str">
        <f>IFERROR(MIN(VLOOKUP(ROUNDDOWN(P89,0),'Aide calcul'!$B$2:$C$282,2,FALSE),O89+1),"")</f>
        <v/>
      </c>
      <c r="R89" s="115" t="str">
        <f t="shared" si="12"/>
        <v/>
      </c>
      <c r="S89" s="155"/>
      <c r="T89" s="155"/>
      <c r="U89" s="155"/>
      <c r="V89" s="155"/>
      <c r="W89" s="155"/>
      <c r="X89" s="155"/>
      <c r="Y89" s="155"/>
      <c r="Z89" s="78"/>
      <c r="AA89" s="78"/>
      <c r="AB89" s="116" t="str">
        <f>IF(C89="3111. Logements",ROUND(VLOOKUP(C89,'Informations générales'!$C$66:$D$70,2,FALSE)*(AK89/$AL$27)/12,0)*12,IF(C89="3112. Logements",ROUND(VLOOKUP(C89,'Informations générales'!$C$66:$D$70,2,FALSE)*(AK89/$AM$27)/12,0)*12,IF(C89="3113. Logements",ROUND(VLOOKUP(C89,'Informations générales'!$C$66:$D$70,2,FALSE)*(AK89/$AN$27)/12,0)*12,IF(C89="3114. Logements",ROUND(VLOOKUP(C89,'Informations générales'!$C$66:$D$70,2,FALSE)*(AK89/$AO$27)/12,0)*12,IF(C89="3115. Logements",ROUND(VLOOKUP(C89,'Informations générales'!$C$66:$D$70,2,FALSE)*(AK89/$AP$27)/12,0)*12,"")))))</f>
        <v/>
      </c>
      <c r="AC89" s="117"/>
      <c r="AD89" s="116">
        <f t="shared" si="13"/>
        <v>0</v>
      </c>
      <c r="AE89" s="117"/>
      <c r="AF89" s="116" t="str">
        <f>IF(C89="3111. Logements",ROUND(VLOOKUP(C89,'Informations générales'!$C$66:$G$70,5,FALSE)*(AK89/$AL$27)/12,0)*12,IF(C89="3112. Logements",ROUND(VLOOKUP(C89,'Informations générales'!$C$66:$G$70,5,FALSE)*(AK89/$AM$27)/12,0)*12,IF(C89="3113. Logements",ROUND(VLOOKUP(C89,'Informations générales'!$C$66:$G$70,5,FALSE)*(AK89/$AN$27)/12,0)*12,IF(C89="3114. Logements",ROUND(VLOOKUP(C89,'Informations générales'!$C$66:$G$70,5,FALSE)*(AK89/$AO$27)/12,0)*12,IF(C89="3115. Logements",ROUND(VLOOKUP(C89,'Informations générales'!$C$66:$G$70,5,FALSE)*(AK89/$AP$27)/12,0)*12,"")))))</f>
        <v/>
      </c>
      <c r="AG89" s="117"/>
      <c r="AH89" s="116" t="str">
        <f t="shared" si="14"/>
        <v/>
      </c>
      <c r="AI89" s="92"/>
      <c r="AJ89" s="78"/>
      <c r="AK89" s="60">
        <f t="shared" si="15"/>
        <v>0</v>
      </c>
      <c r="AL89" s="60"/>
      <c r="AM89" s="60"/>
      <c r="AN89" s="60"/>
      <c r="AO89" s="60"/>
      <c r="AP89" s="60"/>
      <c r="AQ89" s="60">
        <f t="shared" si="3"/>
        <v>0</v>
      </c>
      <c r="AR89" s="60">
        <f t="shared" si="4"/>
        <v>0</v>
      </c>
      <c r="AS89" s="60">
        <f t="shared" si="5"/>
        <v>0</v>
      </c>
      <c r="AT89" s="60">
        <f t="shared" si="6"/>
        <v>0</v>
      </c>
      <c r="AU89" s="60">
        <f t="shared" si="7"/>
        <v>0</v>
      </c>
      <c r="AV89" s="60">
        <f t="shared" si="8"/>
        <v>0</v>
      </c>
      <c r="AW89" s="60">
        <f t="shared" si="9"/>
        <v>0</v>
      </c>
      <c r="AX89" s="60">
        <f t="shared" si="16"/>
        <v>0</v>
      </c>
      <c r="AY89" s="64">
        <f t="shared" si="17"/>
        <v>0</v>
      </c>
      <c r="AZ89" s="65">
        <f t="shared" si="10"/>
        <v>0</v>
      </c>
      <c r="BA89" s="65">
        <f t="shared" si="11"/>
        <v>0</v>
      </c>
    </row>
    <row r="90" spans="3:53" s="17" customFormat="1" x14ac:dyDescent="0.25">
      <c r="C90" s="194"/>
      <c r="D90" s="195"/>
      <c r="E90" s="90"/>
      <c r="F90" s="198"/>
      <c r="G90" s="214"/>
      <c r="H90" s="199"/>
      <c r="I90" s="78"/>
      <c r="J90" s="79"/>
      <c r="K90" s="78"/>
      <c r="L90" s="80"/>
      <c r="M90" s="80"/>
      <c r="N90" s="78" t="s">
        <v>39</v>
      </c>
      <c r="O90" s="113"/>
      <c r="P90" s="155"/>
      <c r="Q90" s="114" t="str">
        <f>IFERROR(MIN(VLOOKUP(ROUNDDOWN(P90,0),'Aide calcul'!$B$2:$C$282,2,FALSE),O90+1),"")</f>
        <v/>
      </c>
      <c r="R90" s="115" t="str">
        <f t="shared" si="12"/>
        <v/>
      </c>
      <c r="S90" s="155"/>
      <c r="T90" s="155"/>
      <c r="U90" s="155"/>
      <c r="V90" s="155"/>
      <c r="W90" s="155"/>
      <c r="X90" s="155"/>
      <c r="Y90" s="155"/>
      <c r="Z90" s="78"/>
      <c r="AA90" s="78"/>
      <c r="AB90" s="116" t="str">
        <f>IF(C90="3111. Logements",ROUND(VLOOKUP(C90,'Informations générales'!$C$66:$D$70,2,FALSE)*(AK90/$AL$27)/12,0)*12,IF(C90="3112. Logements",ROUND(VLOOKUP(C90,'Informations générales'!$C$66:$D$70,2,FALSE)*(AK90/$AM$27)/12,0)*12,IF(C90="3113. Logements",ROUND(VLOOKUP(C90,'Informations générales'!$C$66:$D$70,2,FALSE)*(AK90/$AN$27)/12,0)*12,IF(C90="3114. Logements",ROUND(VLOOKUP(C90,'Informations générales'!$C$66:$D$70,2,FALSE)*(AK90/$AO$27)/12,0)*12,IF(C90="3115. Logements",ROUND(VLOOKUP(C90,'Informations générales'!$C$66:$D$70,2,FALSE)*(AK90/$AP$27)/12,0)*12,"")))))</f>
        <v/>
      </c>
      <c r="AC90" s="117"/>
      <c r="AD90" s="116">
        <f t="shared" si="13"/>
        <v>0</v>
      </c>
      <c r="AE90" s="117"/>
      <c r="AF90" s="116" t="str">
        <f>IF(C90="3111. Logements",ROUND(VLOOKUP(C90,'Informations générales'!$C$66:$G$70,5,FALSE)*(AK90/$AL$27)/12,0)*12,IF(C90="3112. Logements",ROUND(VLOOKUP(C90,'Informations générales'!$C$66:$G$70,5,FALSE)*(AK90/$AM$27)/12,0)*12,IF(C90="3113. Logements",ROUND(VLOOKUP(C90,'Informations générales'!$C$66:$G$70,5,FALSE)*(AK90/$AN$27)/12,0)*12,IF(C90="3114. Logements",ROUND(VLOOKUP(C90,'Informations générales'!$C$66:$G$70,5,FALSE)*(AK90/$AO$27)/12,0)*12,IF(C90="3115. Logements",ROUND(VLOOKUP(C90,'Informations générales'!$C$66:$G$70,5,FALSE)*(AK90/$AP$27)/12,0)*12,"")))))</f>
        <v/>
      </c>
      <c r="AG90" s="117"/>
      <c r="AH90" s="116" t="str">
        <f t="shared" si="14"/>
        <v/>
      </c>
      <c r="AI90" s="92"/>
      <c r="AJ90" s="78"/>
      <c r="AK90" s="60">
        <f t="shared" si="15"/>
        <v>0</v>
      </c>
      <c r="AL90" s="60"/>
      <c r="AM90" s="60"/>
      <c r="AN90" s="60"/>
      <c r="AO90" s="60"/>
      <c r="AP90" s="60"/>
      <c r="AQ90" s="60">
        <f t="shared" si="3"/>
        <v>0</v>
      </c>
      <c r="AR90" s="60">
        <f t="shared" si="4"/>
        <v>0</v>
      </c>
      <c r="AS90" s="60">
        <f t="shared" si="5"/>
        <v>0</v>
      </c>
      <c r="AT90" s="60">
        <f t="shared" si="6"/>
        <v>0</v>
      </c>
      <c r="AU90" s="60">
        <f t="shared" si="7"/>
        <v>0</v>
      </c>
      <c r="AV90" s="60">
        <f t="shared" si="8"/>
        <v>0</v>
      </c>
      <c r="AW90" s="60">
        <f t="shared" si="9"/>
        <v>0</v>
      </c>
      <c r="AX90" s="60">
        <f t="shared" si="16"/>
        <v>0</v>
      </c>
      <c r="AY90" s="64">
        <f t="shared" si="17"/>
        <v>0</v>
      </c>
      <c r="AZ90" s="65">
        <f t="shared" si="10"/>
        <v>0</v>
      </c>
      <c r="BA90" s="65">
        <f t="shared" si="11"/>
        <v>0</v>
      </c>
    </row>
    <row r="91" spans="3:53" s="17" customFormat="1" x14ac:dyDescent="0.25">
      <c r="C91" s="194"/>
      <c r="D91" s="195"/>
      <c r="E91" s="90"/>
      <c r="F91" s="198"/>
      <c r="G91" s="214"/>
      <c r="H91" s="199"/>
      <c r="I91" s="78"/>
      <c r="J91" s="79"/>
      <c r="K91" s="78"/>
      <c r="L91" s="80"/>
      <c r="M91" s="80"/>
      <c r="N91" s="78" t="s">
        <v>39</v>
      </c>
      <c r="O91" s="113"/>
      <c r="P91" s="155"/>
      <c r="Q91" s="114" t="str">
        <f>IFERROR(MIN(VLOOKUP(ROUNDDOWN(P91,0),'Aide calcul'!$B$2:$C$282,2,FALSE),O91+1),"")</f>
        <v/>
      </c>
      <c r="R91" s="115" t="str">
        <f t="shared" si="12"/>
        <v/>
      </c>
      <c r="S91" s="155"/>
      <c r="T91" s="155"/>
      <c r="U91" s="155"/>
      <c r="V91" s="155"/>
      <c r="W91" s="155"/>
      <c r="X91" s="155"/>
      <c r="Y91" s="155"/>
      <c r="Z91" s="78"/>
      <c r="AA91" s="78"/>
      <c r="AB91" s="116" t="str">
        <f>IF(C91="3111. Logements",ROUND(VLOOKUP(C91,'Informations générales'!$C$66:$D$70,2,FALSE)*(AK91/$AL$27)/12,0)*12,IF(C91="3112. Logements",ROUND(VLOOKUP(C91,'Informations générales'!$C$66:$D$70,2,FALSE)*(AK91/$AM$27)/12,0)*12,IF(C91="3113. Logements",ROUND(VLOOKUP(C91,'Informations générales'!$C$66:$D$70,2,FALSE)*(AK91/$AN$27)/12,0)*12,IF(C91="3114. Logements",ROUND(VLOOKUP(C91,'Informations générales'!$C$66:$D$70,2,FALSE)*(AK91/$AO$27)/12,0)*12,IF(C91="3115. Logements",ROUND(VLOOKUP(C91,'Informations générales'!$C$66:$D$70,2,FALSE)*(AK91/$AP$27)/12,0)*12,"")))))</f>
        <v/>
      </c>
      <c r="AC91" s="117"/>
      <c r="AD91" s="116">
        <f t="shared" si="13"/>
        <v>0</v>
      </c>
      <c r="AE91" s="117"/>
      <c r="AF91" s="116" t="str">
        <f>IF(C91="3111. Logements",ROUND(VLOOKUP(C91,'Informations générales'!$C$66:$G$70,5,FALSE)*(AK91/$AL$27)/12,0)*12,IF(C91="3112. Logements",ROUND(VLOOKUP(C91,'Informations générales'!$C$66:$G$70,5,FALSE)*(AK91/$AM$27)/12,0)*12,IF(C91="3113. Logements",ROUND(VLOOKUP(C91,'Informations générales'!$C$66:$G$70,5,FALSE)*(AK91/$AN$27)/12,0)*12,IF(C91="3114. Logements",ROUND(VLOOKUP(C91,'Informations générales'!$C$66:$G$70,5,FALSE)*(AK91/$AO$27)/12,0)*12,IF(C91="3115. Logements",ROUND(VLOOKUP(C91,'Informations générales'!$C$66:$G$70,5,FALSE)*(AK91/$AP$27)/12,0)*12,"")))))</f>
        <v/>
      </c>
      <c r="AG91" s="117"/>
      <c r="AH91" s="116" t="str">
        <f t="shared" si="14"/>
        <v/>
      </c>
      <c r="AI91" s="92"/>
      <c r="AJ91" s="78"/>
      <c r="AK91" s="60">
        <f t="shared" si="15"/>
        <v>0</v>
      </c>
      <c r="AL91" s="60"/>
      <c r="AM91" s="60"/>
      <c r="AN91" s="60"/>
      <c r="AO91" s="60"/>
      <c r="AP91" s="60"/>
      <c r="AQ91" s="60">
        <f t="shared" ref="AQ91:AQ154" si="18">S91*$E$13</f>
        <v>0</v>
      </c>
      <c r="AR91" s="60">
        <f t="shared" ref="AR91:AR154" si="19">T91*$E$14</f>
        <v>0</v>
      </c>
      <c r="AS91" s="60">
        <f t="shared" ref="AS91:AS154" si="20">U91*$E$15</f>
        <v>0</v>
      </c>
      <c r="AT91" s="60">
        <f t="shared" ref="AT91:AT154" si="21">V91*$E$16</f>
        <v>0</v>
      </c>
      <c r="AU91" s="60">
        <f t="shared" ref="AU91:AU154" si="22">W91*$E$17</f>
        <v>0</v>
      </c>
      <c r="AV91" s="60">
        <f t="shared" ref="AV91:AV154" si="23">X91*$E$18</f>
        <v>0</v>
      </c>
      <c r="AW91" s="60">
        <f t="shared" ref="AW91:AW154" si="24">Y91*$E$19</f>
        <v>0</v>
      </c>
      <c r="AX91" s="60">
        <f t="shared" si="16"/>
        <v>0</v>
      </c>
      <c r="AY91" s="64">
        <f t="shared" si="17"/>
        <v>0</v>
      </c>
      <c r="AZ91" s="65">
        <f t="shared" ref="AZ91:AZ154" si="25">IFERROR(VLOOKUP(Z91,$H$12:$I$22,2,FALSE),0)</f>
        <v>0</v>
      </c>
      <c r="BA91" s="65">
        <f t="shared" ref="BA91:BA154" si="26">IFERROR(VLOOKUP(AA91,$L$12:$N$19,3,FALSE),0)</f>
        <v>0</v>
      </c>
    </row>
    <row r="92" spans="3:53" s="17" customFormat="1" x14ac:dyDescent="0.25">
      <c r="C92" s="194"/>
      <c r="D92" s="195"/>
      <c r="E92" s="90"/>
      <c r="F92" s="198"/>
      <c r="G92" s="214"/>
      <c r="H92" s="199"/>
      <c r="I92" s="78"/>
      <c r="J92" s="79"/>
      <c r="K92" s="78"/>
      <c r="L92" s="80"/>
      <c r="M92" s="80"/>
      <c r="N92" s="78" t="s">
        <v>39</v>
      </c>
      <c r="O92" s="113"/>
      <c r="P92" s="155"/>
      <c r="Q92" s="114" t="str">
        <f>IFERROR(MIN(VLOOKUP(ROUNDDOWN(P92,0),'Aide calcul'!$B$2:$C$282,2,FALSE),O92+1),"")</f>
        <v/>
      </c>
      <c r="R92" s="115" t="str">
        <f t="shared" ref="R92:R155" si="27">IFERROR(TRUNC(Q92-0.5),"")</f>
        <v/>
      </c>
      <c r="S92" s="155"/>
      <c r="T92" s="155"/>
      <c r="U92" s="155"/>
      <c r="V92" s="155"/>
      <c r="W92" s="155"/>
      <c r="X92" s="155"/>
      <c r="Y92" s="155"/>
      <c r="Z92" s="78"/>
      <c r="AA92" s="78"/>
      <c r="AB92" s="116" t="str">
        <f>IF(C92="3111. Logements",ROUND(VLOOKUP(C92,'Informations générales'!$C$66:$D$70,2,FALSE)*(AK92/$AL$27)/12,0)*12,IF(C92="3112. Logements",ROUND(VLOOKUP(C92,'Informations générales'!$C$66:$D$70,2,FALSE)*(AK92/$AM$27)/12,0)*12,IF(C92="3113. Logements",ROUND(VLOOKUP(C92,'Informations générales'!$C$66:$D$70,2,FALSE)*(AK92/$AN$27)/12,0)*12,IF(C92="3114. Logements",ROUND(VLOOKUP(C92,'Informations générales'!$C$66:$D$70,2,FALSE)*(AK92/$AO$27)/12,0)*12,IF(C92="3115. Logements",ROUND(VLOOKUP(C92,'Informations générales'!$C$66:$D$70,2,FALSE)*(AK92/$AP$27)/12,0)*12,"")))))</f>
        <v/>
      </c>
      <c r="AC92" s="117"/>
      <c r="AD92" s="116">
        <f t="shared" ref="AD92:AD155" si="28">MIN(AB92,AC92)</f>
        <v>0</v>
      </c>
      <c r="AE92" s="117"/>
      <c r="AF92" s="116" t="str">
        <f>IF(C92="3111. Logements",ROUND(VLOOKUP(C92,'Informations générales'!$C$66:$G$70,5,FALSE)*(AK92/$AL$27)/12,0)*12,IF(C92="3112. Logements",ROUND(VLOOKUP(C92,'Informations générales'!$C$66:$G$70,5,FALSE)*(AK92/$AM$27)/12,0)*12,IF(C92="3113. Logements",ROUND(VLOOKUP(C92,'Informations générales'!$C$66:$G$70,5,FALSE)*(AK92/$AN$27)/12,0)*12,IF(C92="3114. Logements",ROUND(VLOOKUP(C92,'Informations générales'!$C$66:$G$70,5,FALSE)*(AK92/$AO$27)/12,0)*12,IF(C92="3115. Logements",ROUND(VLOOKUP(C92,'Informations générales'!$C$66:$G$70,5,FALSE)*(AK92/$AP$27)/12,0)*12,"")))))</f>
        <v/>
      </c>
      <c r="AG92" s="117"/>
      <c r="AH92" s="116" t="str">
        <f t="shared" ref="AH92:AH155" si="29">IFERROR(IF(AE92/S92&lt;&gt;0,AE92/S92,AB92/S92),"")</f>
        <v/>
      </c>
      <c r="AI92" s="92"/>
      <c r="AJ92" s="78"/>
      <c r="AK92" s="60">
        <f t="shared" ref="AK92:AK155" si="30">AX92*(SUM(1,AY92,AZ92,BA92))</f>
        <v>0</v>
      </c>
      <c r="AL92" s="60"/>
      <c r="AM92" s="60"/>
      <c r="AN92" s="60"/>
      <c r="AO92" s="60"/>
      <c r="AP92" s="60"/>
      <c r="AQ92" s="60">
        <f t="shared" si="18"/>
        <v>0</v>
      </c>
      <c r="AR92" s="60">
        <f t="shared" si="19"/>
        <v>0</v>
      </c>
      <c r="AS92" s="60">
        <f t="shared" si="20"/>
        <v>0</v>
      </c>
      <c r="AT92" s="60">
        <f t="shared" si="21"/>
        <v>0</v>
      </c>
      <c r="AU92" s="60">
        <f t="shared" si="22"/>
        <v>0</v>
      </c>
      <c r="AV92" s="60">
        <f t="shared" si="23"/>
        <v>0</v>
      </c>
      <c r="AW92" s="60">
        <f t="shared" si="24"/>
        <v>0</v>
      </c>
      <c r="AX92" s="60">
        <f t="shared" ref="AX92:AX155" si="31">SUM(AQ92:AW92)</f>
        <v>0</v>
      </c>
      <c r="AY92" s="64">
        <f t="shared" ref="AY92:AY155" si="32">IFERROR(I92*$E$12,0)</f>
        <v>0</v>
      </c>
      <c r="AZ92" s="65">
        <f t="shared" si="25"/>
        <v>0</v>
      </c>
      <c r="BA92" s="65">
        <f t="shared" si="26"/>
        <v>0</v>
      </c>
    </row>
    <row r="93" spans="3:53" s="17" customFormat="1" x14ac:dyDescent="0.25">
      <c r="C93" s="194"/>
      <c r="D93" s="195"/>
      <c r="E93" s="90"/>
      <c r="F93" s="198"/>
      <c r="G93" s="214"/>
      <c r="H93" s="199"/>
      <c r="I93" s="78"/>
      <c r="J93" s="79"/>
      <c r="K93" s="78"/>
      <c r="L93" s="80"/>
      <c r="M93" s="80"/>
      <c r="N93" s="78" t="s">
        <v>39</v>
      </c>
      <c r="O93" s="113"/>
      <c r="P93" s="155"/>
      <c r="Q93" s="114" t="str">
        <f>IFERROR(MIN(VLOOKUP(ROUNDDOWN(P93,0),'Aide calcul'!$B$2:$C$282,2,FALSE),O93+1),"")</f>
        <v/>
      </c>
      <c r="R93" s="115" t="str">
        <f t="shared" si="27"/>
        <v/>
      </c>
      <c r="S93" s="155"/>
      <c r="T93" s="155"/>
      <c r="U93" s="155"/>
      <c r="V93" s="155"/>
      <c r="W93" s="155"/>
      <c r="X93" s="155"/>
      <c r="Y93" s="155"/>
      <c r="Z93" s="78"/>
      <c r="AA93" s="78"/>
      <c r="AB93" s="116" t="str">
        <f>IF(C93="3111. Logements",ROUND(VLOOKUP(C93,'Informations générales'!$C$66:$D$70,2,FALSE)*(AK93/$AL$27)/12,0)*12,IF(C93="3112. Logements",ROUND(VLOOKUP(C93,'Informations générales'!$C$66:$D$70,2,FALSE)*(AK93/$AM$27)/12,0)*12,IF(C93="3113. Logements",ROUND(VLOOKUP(C93,'Informations générales'!$C$66:$D$70,2,FALSE)*(AK93/$AN$27)/12,0)*12,IF(C93="3114. Logements",ROUND(VLOOKUP(C93,'Informations générales'!$C$66:$D$70,2,FALSE)*(AK93/$AO$27)/12,0)*12,IF(C93="3115. Logements",ROUND(VLOOKUP(C93,'Informations générales'!$C$66:$D$70,2,FALSE)*(AK93/$AP$27)/12,0)*12,"")))))</f>
        <v/>
      </c>
      <c r="AC93" s="117"/>
      <c r="AD93" s="116">
        <f t="shared" si="28"/>
        <v>0</v>
      </c>
      <c r="AE93" s="117"/>
      <c r="AF93" s="116" t="str">
        <f>IF(C93="3111. Logements",ROUND(VLOOKUP(C93,'Informations générales'!$C$66:$G$70,5,FALSE)*(AK93/$AL$27)/12,0)*12,IF(C93="3112. Logements",ROUND(VLOOKUP(C93,'Informations générales'!$C$66:$G$70,5,FALSE)*(AK93/$AM$27)/12,0)*12,IF(C93="3113. Logements",ROUND(VLOOKUP(C93,'Informations générales'!$C$66:$G$70,5,FALSE)*(AK93/$AN$27)/12,0)*12,IF(C93="3114. Logements",ROUND(VLOOKUP(C93,'Informations générales'!$C$66:$G$70,5,FALSE)*(AK93/$AO$27)/12,0)*12,IF(C93="3115. Logements",ROUND(VLOOKUP(C93,'Informations générales'!$C$66:$G$70,5,FALSE)*(AK93/$AP$27)/12,0)*12,"")))))</f>
        <v/>
      </c>
      <c r="AG93" s="117"/>
      <c r="AH93" s="116" t="str">
        <f t="shared" si="29"/>
        <v/>
      </c>
      <c r="AI93" s="92"/>
      <c r="AJ93" s="78"/>
      <c r="AK93" s="60">
        <f t="shared" si="30"/>
        <v>0</v>
      </c>
      <c r="AL93" s="60"/>
      <c r="AM93" s="60"/>
      <c r="AN93" s="60"/>
      <c r="AO93" s="60"/>
      <c r="AP93" s="60"/>
      <c r="AQ93" s="60">
        <f t="shared" si="18"/>
        <v>0</v>
      </c>
      <c r="AR93" s="60">
        <f t="shared" si="19"/>
        <v>0</v>
      </c>
      <c r="AS93" s="60">
        <f t="shared" si="20"/>
        <v>0</v>
      </c>
      <c r="AT93" s="60">
        <f t="shared" si="21"/>
        <v>0</v>
      </c>
      <c r="AU93" s="60">
        <f t="shared" si="22"/>
        <v>0</v>
      </c>
      <c r="AV93" s="60">
        <f t="shared" si="23"/>
        <v>0</v>
      </c>
      <c r="AW93" s="60">
        <f t="shared" si="24"/>
        <v>0</v>
      </c>
      <c r="AX93" s="60">
        <f t="shared" si="31"/>
        <v>0</v>
      </c>
      <c r="AY93" s="64">
        <f t="shared" si="32"/>
        <v>0</v>
      </c>
      <c r="AZ93" s="65">
        <f t="shared" si="25"/>
        <v>0</v>
      </c>
      <c r="BA93" s="65">
        <f t="shared" si="26"/>
        <v>0</v>
      </c>
    </row>
    <row r="94" spans="3:53" s="17" customFormat="1" x14ac:dyDescent="0.25">
      <c r="C94" s="194"/>
      <c r="D94" s="195"/>
      <c r="E94" s="90"/>
      <c r="F94" s="198"/>
      <c r="G94" s="214"/>
      <c r="H94" s="199"/>
      <c r="I94" s="78"/>
      <c r="J94" s="79"/>
      <c r="K94" s="78"/>
      <c r="L94" s="80"/>
      <c r="M94" s="80"/>
      <c r="N94" s="78" t="s">
        <v>39</v>
      </c>
      <c r="O94" s="113"/>
      <c r="P94" s="155"/>
      <c r="Q94" s="114" t="str">
        <f>IFERROR(MIN(VLOOKUP(ROUNDDOWN(P94,0),'Aide calcul'!$B$2:$C$282,2,FALSE),O94+1),"")</f>
        <v/>
      </c>
      <c r="R94" s="115" t="str">
        <f t="shared" si="27"/>
        <v/>
      </c>
      <c r="S94" s="155"/>
      <c r="T94" s="155"/>
      <c r="U94" s="155"/>
      <c r="V94" s="155"/>
      <c r="W94" s="155"/>
      <c r="X94" s="155"/>
      <c r="Y94" s="155"/>
      <c r="Z94" s="78"/>
      <c r="AA94" s="78"/>
      <c r="AB94" s="116" t="str">
        <f>IF(C94="3111. Logements",ROUND(VLOOKUP(C94,'Informations générales'!$C$66:$D$70,2,FALSE)*(AK94/$AL$27)/12,0)*12,IF(C94="3112. Logements",ROUND(VLOOKUP(C94,'Informations générales'!$C$66:$D$70,2,FALSE)*(AK94/$AM$27)/12,0)*12,IF(C94="3113. Logements",ROUND(VLOOKUP(C94,'Informations générales'!$C$66:$D$70,2,FALSE)*(AK94/$AN$27)/12,0)*12,IF(C94="3114. Logements",ROUND(VLOOKUP(C94,'Informations générales'!$C$66:$D$70,2,FALSE)*(AK94/$AO$27)/12,0)*12,IF(C94="3115. Logements",ROUND(VLOOKUP(C94,'Informations générales'!$C$66:$D$70,2,FALSE)*(AK94/$AP$27)/12,0)*12,"")))))</f>
        <v/>
      </c>
      <c r="AC94" s="117"/>
      <c r="AD94" s="116">
        <f t="shared" si="28"/>
        <v>0</v>
      </c>
      <c r="AE94" s="117"/>
      <c r="AF94" s="116" t="str">
        <f>IF(C94="3111. Logements",ROUND(VLOOKUP(C94,'Informations générales'!$C$66:$G$70,5,FALSE)*(AK94/$AL$27)/12,0)*12,IF(C94="3112. Logements",ROUND(VLOOKUP(C94,'Informations générales'!$C$66:$G$70,5,FALSE)*(AK94/$AM$27)/12,0)*12,IF(C94="3113. Logements",ROUND(VLOOKUP(C94,'Informations générales'!$C$66:$G$70,5,FALSE)*(AK94/$AN$27)/12,0)*12,IF(C94="3114. Logements",ROUND(VLOOKUP(C94,'Informations générales'!$C$66:$G$70,5,FALSE)*(AK94/$AO$27)/12,0)*12,IF(C94="3115. Logements",ROUND(VLOOKUP(C94,'Informations générales'!$C$66:$G$70,5,FALSE)*(AK94/$AP$27)/12,0)*12,"")))))</f>
        <v/>
      </c>
      <c r="AG94" s="117"/>
      <c r="AH94" s="116" t="str">
        <f t="shared" si="29"/>
        <v/>
      </c>
      <c r="AI94" s="92"/>
      <c r="AJ94" s="78"/>
      <c r="AK94" s="60">
        <f t="shared" si="30"/>
        <v>0</v>
      </c>
      <c r="AL94" s="60"/>
      <c r="AM94" s="60"/>
      <c r="AN94" s="60"/>
      <c r="AO94" s="60"/>
      <c r="AP94" s="60"/>
      <c r="AQ94" s="60">
        <f t="shared" si="18"/>
        <v>0</v>
      </c>
      <c r="AR94" s="60">
        <f t="shared" si="19"/>
        <v>0</v>
      </c>
      <c r="AS94" s="60">
        <f t="shared" si="20"/>
        <v>0</v>
      </c>
      <c r="AT94" s="60">
        <f t="shared" si="21"/>
        <v>0</v>
      </c>
      <c r="AU94" s="60">
        <f t="shared" si="22"/>
        <v>0</v>
      </c>
      <c r="AV94" s="60">
        <f t="shared" si="23"/>
        <v>0</v>
      </c>
      <c r="AW94" s="60">
        <f t="shared" si="24"/>
        <v>0</v>
      </c>
      <c r="AX94" s="60">
        <f t="shared" si="31"/>
        <v>0</v>
      </c>
      <c r="AY94" s="64">
        <f t="shared" si="32"/>
        <v>0</v>
      </c>
      <c r="AZ94" s="65">
        <f t="shared" si="25"/>
        <v>0</v>
      </c>
      <c r="BA94" s="65">
        <f t="shared" si="26"/>
        <v>0</v>
      </c>
    </row>
    <row r="95" spans="3:53" s="17" customFormat="1" x14ac:dyDescent="0.25">
      <c r="C95" s="194"/>
      <c r="D95" s="195"/>
      <c r="E95" s="90"/>
      <c r="F95" s="198"/>
      <c r="G95" s="214"/>
      <c r="H95" s="199"/>
      <c r="I95" s="78"/>
      <c r="J95" s="79"/>
      <c r="K95" s="78"/>
      <c r="L95" s="80"/>
      <c r="M95" s="80"/>
      <c r="N95" s="78" t="s">
        <v>39</v>
      </c>
      <c r="O95" s="113"/>
      <c r="P95" s="155"/>
      <c r="Q95" s="114" t="str">
        <f>IFERROR(MIN(VLOOKUP(ROUNDDOWN(P95,0),'Aide calcul'!$B$2:$C$282,2,FALSE),O95+1),"")</f>
        <v/>
      </c>
      <c r="R95" s="115" t="str">
        <f t="shared" si="27"/>
        <v/>
      </c>
      <c r="S95" s="155"/>
      <c r="T95" s="155"/>
      <c r="U95" s="155"/>
      <c r="V95" s="155"/>
      <c r="W95" s="155"/>
      <c r="X95" s="155"/>
      <c r="Y95" s="155"/>
      <c r="Z95" s="78"/>
      <c r="AA95" s="78"/>
      <c r="AB95" s="116" t="str">
        <f>IF(C95="3111. Logements",ROUND(VLOOKUP(C95,'Informations générales'!$C$66:$D$70,2,FALSE)*(AK95/$AL$27)/12,0)*12,IF(C95="3112. Logements",ROUND(VLOOKUP(C95,'Informations générales'!$C$66:$D$70,2,FALSE)*(AK95/$AM$27)/12,0)*12,IF(C95="3113. Logements",ROUND(VLOOKUP(C95,'Informations générales'!$C$66:$D$70,2,FALSE)*(AK95/$AN$27)/12,0)*12,IF(C95="3114. Logements",ROUND(VLOOKUP(C95,'Informations générales'!$C$66:$D$70,2,FALSE)*(AK95/$AO$27)/12,0)*12,IF(C95="3115. Logements",ROUND(VLOOKUP(C95,'Informations générales'!$C$66:$D$70,2,FALSE)*(AK95/$AP$27)/12,0)*12,"")))))</f>
        <v/>
      </c>
      <c r="AC95" s="117"/>
      <c r="AD95" s="116">
        <f t="shared" si="28"/>
        <v>0</v>
      </c>
      <c r="AE95" s="117"/>
      <c r="AF95" s="116" t="str">
        <f>IF(C95="3111. Logements",ROUND(VLOOKUP(C95,'Informations générales'!$C$66:$G$70,5,FALSE)*(AK95/$AL$27)/12,0)*12,IF(C95="3112. Logements",ROUND(VLOOKUP(C95,'Informations générales'!$C$66:$G$70,5,FALSE)*(AK95/$AM$27)/12,0)*12,IF(C95="3113. Logements",ROUND(VLOOKUP(C95,'Informations générales'!$C$66:$G$70,5,FALSE)*(AK95/$AN$27)/12,0)*12,IF(C95="3114. Logements",ROUND(VLOOKUP(C95,'Informations générales'!$C$66:$G$70,5,FALSE)*(AK95/$AO$27)/12,0)*12,IF(C95="3115. Logements",ROUND(VLOOKUP(C95,'Informations générales'!$C$66:$G$70,5,FALSE)*(AK95/$AP$27)/12,0)*12,"")))))</f>
        <v/>
      </c>
      <c r="AG95" s="117"/>
      <c r="AH95" s="116" t="str">
        <f t="shared" si="29"/>
        <v/>
      </c>
      <c r="AI95" s="92"/>
      <c r="AJ95" s="78"/>
      <c r="AK95" s="60">
        <f t="shared" si="30"/>
        <v>0</v>
      </c>
      <c r="AL95" s="60"/>
      <c r="AM95" s="60"/>
      <c r="AN95" s="60"/>
      <c r="AO95" s="60"/>
      <c r="AP95" s="60"/>
      <c r="AQ95" s="60">
        <f t="shared" si="18"/>
        <v>0</v>
      </c>
      <c r="AR95" s="60">
        <f t="shared" si="19"/>
        <v>0</v>
      </c>
      <c r="AS95" s="60">
        <f t="shared" si="20"/>
        <v>0</v>
      </c>
      <c r="AT95" s="60">
        <f t="shared" si="21"/>
        <v>0</v>
      </c>
      <c r="AU95" s="60">
        <f t="shared" si="22"/>
        <v>0</v>
      </c>
      <c r="AV95" s="60">
        <f t="shared" si="23"/>
        <v>0</v>
      </c>
      <c r="AW95" s="60">
        <f t="shared" si="24"/>
        <v>0</v>
      </c>
      <c r="AX95" s="60">
        <f t="shared" si="31"/>
        <v>0</v>
      </c>
      <c r="AY95" s="64">
        <f t="shared" si="32"/>
        <v>0</v>
      </c>
      <c r="AZ95" s="65">
        <f t="shared" si="25"/>
        <v>0</v>
      </c>
      <c r="BA95" s="65">
        <f t="shared" si="26"/>
        <v>0</v>
      </c>
    </row>
    <row r="96" spans="3:53" s="17" customFormat="1" x14ac:dyDescent="0.25">
      <c r="C96" s="194"/>
      <c r="D96" s="195"/>
      <c r="E96" s="90"/>
      <c r="F96" s="198"/>
      <c r="G96" s="214"/>
      <c r="H96" s="199"/>
      <c r="I96" s="78"/>
      <c r="J96" s="79"/>
      <c r="K96" s="78"/>
      <c r="L96" s="80"/>
      <c r="M96" s="80"/>
      <c r="N96" s="78" t="s">
        <v>39</v>
      </c>
      <c r="O96" s="113"/>
      <c r="P96" s="155"/>
      <c r="Q96" s="114" t="str">
        <f>IFERROR(MIN(VLOOKUP(ROUNDDOWN(P96,0),'Aide calcul'!$B$2:$C$282,2,FALSE),O96+1),"")</f>
        <v/>
      </c>
      <c r="R96" s="115" t="str">
        <f t="shared" si="27"/>
        <v/>
      </c>
      <c r="S96" s="155"/>
      <c r="T96" s="155"/>
      <c r="U96" s="155"/>
      <c r="V96" s="155"/>
      <c r="W96" s="155"/>
      <c r="X96" s="155"/>
      <c r="Y96" s="155"/>
      <c r="Z96" s="78"/>
      <c r="AA96" s="78"/>
      <c r="AB96" s="116" t="str">
        <f>IF(C96="3111. Logements",ROUND(VLOOKUP(C96,'Informations générales'!$C$66:$D$70,2,FALSE)*(AK96/$AL$27)/12,0)*12,IF(C96="3112. Logements",ROUND(VLOOKUP(C96,'Informations générales'!$C$66:$D$70,2,FALSE)*(AK96/$AM$27)/12,0)*12,IF(C96="3113. Logements",ROUND(VLOOKUP(C96,'Informations générales'!$C$66:$D$70,2,FALSE)*(AK96/$AN$27)/12,0)*12,IF(C96="3114. Logements",ROUND(VLOOKUP(C96,'Informations générales'!$C$66:$D$70,2,FALSE)*(AK96/$AO$27)/12,0)*12,IF(C96="3115. Logements",ROUND(VLOOKUP(C96,'Informations générales'!$C$66:$D$70,2,FALSE)*(AK96/$AP$27)/12,0)*12,"")))))</f>
        <v/>
      </c>
      <c r="AC96" s="117"/>
      <c r="AD96" s="116">
        <f t="shared" si="28"/>
        <v>0</v>
      </c>
      <c r="AE96" s="117"/>
      <c r="AF96" s="116" t="str">
        <f>IF(C96="3111. Logements",ROUND(VLOOKUP(C96,'Informations générales'!$C$66:$G$70,5,FALSE)*(AK96/$AL$27)/12,0)*12,IF(C96="3112. Logements",ROUND(VLOOKUP(C96,'Informations générales'!$C$66:$G$70,5,FALSE)*(AK96/$AM$27)/12,0)*12,IF(C96="3113. Logements",ROUND(VLOOKUP(C96,'Informations générales'!$C$66:$G$70,5,FALSE)*(AK96/$AN$27)/12,0)*12,IF(C96="3114. Logements",ROUND(VLOOKUP(C96,'Informations générales'!$C$66:$G$70,5,FALSE)*(AK96/$AO$27)/12,0)*12,IF(C96="3115. Logements",ROUND(VLOOKUP(C96,'Informations générales'!$C$66:$G$70,5,FALSE)*(AK96/$AP$27)/12,0)*12,"")))))</f>
        <v/>
      </c>
      <c r="AG96" s="117"/>
      <c r="AH96" s="116" t="str">
        <f t="shared" si="29"/>
        <v/>
      </c>
      <c r="AI96" s="92"/>
      <c r="AJ96" s="78"/>
      <c r="AK96" s="60">
        <f t="shared" si="30"/>
        <v>0</v>
      </c>
      <c r="AL96" s="60"/>
      <c r="AM96" s="60"/>
      <c r="AN96" s="60"/>
      <c r="AO96" s="60"/>
      <c r="AP96" s="60"/>
      <c r="AQ96" s="60">
        <f t="shared" si="18"/>
        <v>0</v>
      </c>
      <c r="AR96" s="60">
        <f t="shared" si="19"/>
        <v>0</v>
      </c>
      <c r="AS96" s="60">
        <f t="shared" si="20"/>
        <v>0</v>
      </c>
      <c r="AT96" s="60">
        <f t="shared" si="21"/>
        <v>0</v>
      </c>
      <c r="AU96" s="60">
        <f t="shared" si="22"/>
        <v>0</v>
      </c>
      <c r="AV96" s="60">
        <f t="shared" si="23"/>
        <v>0</v>
      </c>
      <c r="AW96" s="60">
        <f t="shared" si="24"/>
        <v>0</v>
      </c>
      <c r="AX96" s="60">
        <f t="shared" si="31"/>
        <v>0</v>
      </c>
      <c r="AY96" s="64">
        <f t="shared" si="32"/>
        <v>0</v>
      </c>
      <c r="AZ96" s="65">
        <f t="shared" si="25"/>
        <v>0</v>
      </c>
      <c r="BA96" s="65">
        <f t="shared" si="26"/>
        <v>0</v>
      </c>
    </row>
    <row r="97" spans="3:53" s="17" customFormat="1" x14ac:dyDescent="0.25">
      <c r="C97" s="194"/>
      <c r="D97" s="195"/>
      <c r="E97" s="90"/>
      <c r="F97" s="198"/>
      <c r="G97" s="214"/>
      <c r="H97" s="199"/>
      <c r="I97" s="78"/>
      <c r="J97" s="79"/>
      <c r="K97" s="78"/>
      <c r="L97" s="80"/>
      <c r="M97" s="80"/>
      <c r="N97" s="78" t="s">
        <v>39</v>
      </c>
      <c r="O97" s="113"/>
      <c r="P97" s="155"/>
      <c r="Q97" s="114" t="str">
        <f>IFERROR(MIN(VLOOKUP(ROUNDDOWN(P97,0),'Aide calcul'!$B$2:$C$282,2,FALSE),O97+1),"")</f>
        <v/>
      </c>
      <c r="R97" s="115" t="str">
        <f t="shared" si="27"/>
        <v/>
      </c>
      <c r="S97" s="155"/>
      <c r="T97" s="155"/>
      <c r="U97" s="155"/>
      <c r="V97" s="155"/>
      <c r="W97" s="155"/>
      <c r="X97" s="155"/>
      <c r="Y97" s="155"/>
      <c r="Z97" s="78"/>
      <c r="AA97" s="78"/>
      <c r="AB97" s="116" t="str">
        <f>IF(C97="3111. Logements",ROUND(VLOOKUP(C97,'Informations générales'!$C$66:$D$70,2,FALSE)*(AK97/$AL$27)/12,0)*12,IF(C97="3112. Logements",ROUND(VLOOKUP(C97,'Informations générales'!$C$66:$D$70,2,FALSE)*(AK97/$AM$27)/12,0)*12,IF(C97="3113. Logements",ROUND(VLOOKUP(C97,'Informations générales'!$C$66:$D$70,2,FALSE)*(AK97/$AN$27)/12,0)*12,IF(C97="3114. Logements",ROUND(VLOOKUP(C97,'Informations générales'!$C$66:$D$70,2,FALSE)*(AK97/$AO$27)/12,0)*12,IF(C97="3115. Logements",ROUND(VLOOKUP(C97,'Informations générales'!$C$66:$D$70,2,FALSE)*(AK97/$AP$27)/12,0)*12,"")))))</f>
        <v/>
      </c>
      <c r="AC97" s="117"/>
      <c r="AD97" s="116">
        <f t="shared" si="28"/>
        <v>0</v>
      </c>
      <c r="AE97" s="117"/>
      <c r="AF97" s="116" t="str">
        <f>IF(C97="3111. Logements",ROUND(VLOOKUP(C97,'Informations générales'!$C$66:$G$70,5,FALSE)*(AK97/$AL$27)/12,0)*12,IF(C97="3112. Logements",ROUND(VLOOKUP(C97,'Informations générales'!$C$66:$G$70,5,FALSE)*(AK97/$AM$27)/12,0)*12,IF(C97="3113. Logements",ROUND(VLOOKUP(C97,'Informations générales'!$C$66:$G$70,5,FALSE)*(AK97/$AN$27)/12,0)*12,IF(C97="3114. Logements",ROUND(VLOOKUP(C97,'Informations générales'!$C$66:$G$70,5,FALSE)*(AK97/$AO$27)/12,0)*12,IF(C97="3115. Logements",ROUND(VLOOKUP(C97,'Informations générales'!$C$66:$G$70,5,FALSE)*(AK97/$AP$27)/12,0)*12,"")))))</f>
        <v/>
      </c>
      <c r="AG97" s="117"/>
      <c r="AH97" s="116" t="str">
        <f t="shared" si="29"/>
        <v/>
      </c>
      <c r="AI97" s="92"/>
      <c r="AJ97" s="78"/>
      <c r="AK97" s="60">
        <f t="shared" si="30"/>
        <v>0</v>
      </c>
      <c r="AL97" s="60"/>
      <c r="AM97" s="60"/>
      <c r="AN97" s="60"/>
      <c r="AO97" s="60"/>
      <c r="AP97" s="60"/>
      <c r="AQ97" s="60">
        <f t="shared" si="18"/>
        <v>0</v>
      </c>
      <c r="AR97" s="60">
        <f t="shared" si="19"/>
        <v>0</v>
      </c>
      <c r="AS97" s="60">
        <f t="shared" si="20"/>
        <v>0</v>
      </c>
      <c r="AT97" s="60">
        <f t="shared" si="21"/>
        <v>0</v>
      </c>
      <c r="AU97" s="60">
        <f t="shared" si="22"/>
        <v>0</v>
      </c>
      <c r="AV97" s="60">
        <f t="shared" si="23"/>
        <v>0</v>
      </c>
      <c r="AW97" s="60">
        <f t="shared" si="24"/>
        <v>0</v>
      </c>
      <c r="AX97" s="60">
        <f t="shared" si="31"/>
        <v>0</v>
      </c>
      <c r="AY97" s="64">
        <f t="shared" si="32"/>
        <v>0</v>
      </c>
      <c r="AZ97" s="65">
        <f t="shared" si="25"/>
        <v>0</v>
      </c>
      <c r="BA97" s="65">
        <f t="shared" si="26"/>
        <v>0</v>
      </c>
    </row>
    <row r="98" spans="3:53" s="17" customFormat="1" x14ac:dyDescent="0.25">
      <c r="C98" s="194"/>
      <c r="D98" s="195"/>
      <c r="E98" s="90"/>
      <c r="F98" s="198"/>
      <c r="G98" s="214"/>
      <c r="H98" s="199"/>
      <c r="I98" s="78"/>
      <c r="J98" s="79"/>
      <c r="K98" s="78"/>
      <c r="L98" s="80"/>
      <c r="M98" s="80"/>
      <c r="N98" s="78" t="s">
        <v>39</v>
      </c>
      <c r="O98" s="113"/>
      <c r="P98" s="155"/>
      <c r="Q98" s="114" t="str">
        <f>IFERROR(MIN(VLOOKUP(ROUNDDOWN(P98,0),'Aide calcul'!$B$2:$C$282,2,FALSE),O98+1),"")</f>
        <v/>
      </c>
      <c r="R98" s="115" t="str">
        <f t="shared" si="27"/>
        <v/>
      </c>
      <c r="S98" s="155"/>
      <c r="T98" s="155"/>
      <c r="U98" s="155"/>
      <c r="V98" s="155"/>
      <c r="W98" s="155"/>
      <c r="X98" s="155"/>
      <c r="Y98" s="155"/>
      <c r="Z98" s="78"/>
      <c r="AA98" s="78"/>
      <c r="AB98" s="116" t="str">
        <f>IF(C98="3111. Logements",ROUND(VLOOKUP(C98,'Informations générales'!$C$66:$D$70,2,FALSE)*(AK98/$AL$27)/12,0)*12,IF(C98="3112. Logements",ROUND(VLOOKUP(C98,'Informations générales'!$C$66:$D$70,2,FALSE)*(AK98/$AM$27)/12,0)*12,IF(C98="3113. Logements",ROUND(VLOOKUP(C98,'Informations générales'!$C$66:$D$70,2,FALSE)*(AK98/$AN$27)/12,0)*12,IF(C98="3114. Logements",ROUND(VLOOKUP(C98,'Informations générales'!$C$66:$D$70,2,FALSE)*(AK98/$AO$27)/12,0)*12,IF(C98="3115. Logements",ROUND(VLOOKUP(C98,'Informations générales'!$C$66:$D$70,2,FALSE)*(AK98/$AP$27)/12,0)*12,"")))))</f>
        <v/>
      </c>
      <c r="AC98" s="117"/>
      <c r="AD98" s="116">
        <f t="shared" si="28"/>
        <v>0</v>
      </c>
      <c r="AE98" s="117"/>
      <c r="AF98" s="116" t="str">
        <f>IF(C98="3111. Logements",ROUND(VLOOKUP(C98,'Informations générales'!$C$66:$G$70,5,FALSE)*(AK98/$AL$27)/12,0)*12,IF(C98="3112. Logements",ROUND(VLOOKUP(C98,'Informations générales'!$C$66:$G$70,5,FALSE)*(AK98/$AM$27)/12,0)*12,IF(C98="3113. Logements",ROUND(VLOOKUP(C98,'Informations générales'!$C$66:$G$70,5,FALSE)*(AK98/$AN$27)/12,0)*12,IF(C98="3114. Logements",ROUND(VLOOKUP(C98,'Informations générales'!$C$66:$G$70,5,FALSE)*(AK98/$AO$27)/12,0)*12,IF(C98="3115. Logements",ROUND(VLOOKUP(C98,'Informations générales'!$C$66:$G$70,5,FALSE)*(AK98/$AP$27)/12,0)*12,"")))))</f>
        <v/>
      </c>
      <c r="AG98" s="117"/>
      <c r="AH98" s="116" t="str">
        <f t="shared" si="29"/>
        <v/>
      </c>
      <c r="AI98" s="92"/>
      <c r="AJ98" s="78"/>
      <c r="AK98" s="60">
        <f t="shared" si="30"/>
        <v>0</v>
      </c>
      <c r="AL98" s="60"/>
      <c r="AM98" s="60"/>
      <c r="AN98" s="60"/>
      <c r="AO98" s="60"/>
      <c r="AP98" s="60"/>
      <c r="AQ98" s="60">
        <f t="shared" si="18"/>
        <v>0</v>
      </c>
      <c r="AR98" s="60">
        <f t="shared" si="19"/>
        <v>0</v>
      </c>
      <c r="AS98" s="60">
        <f t="shared" si="20"/>
        <v>0</v>
      </c>
      <c r="AT98" s="60">
        <f t="shared" si="21"/>
        <v>0</v>
      </c>
      <c r="AU98" s="60">
        <f t="shared" si="22"/>
        <v>0</v>
      </c>
      <c r="AV98" s="60">
        <f t="shared" si="23"/>
        <v>0</v>
      </c>
      <c r="AW98" s="60">
        <f t="shared" si="24"/>
        <v>0</v>
      </c>
      <c r="AX98" s="60">
        <f t="shared" si="31"/>
        <v>0</v>
      </c>
      <c r="AY98" s="64">
        <f t="shared" si="32"/>
        <v>0</v>
      </c>
      <c r="AZ98" s="65">
        <f t="shared" si="25"/>
        <v>0</v>
      </c>
      <c r="BA98" s="65">
        <f t="shared" si="26"/>
        <v>0</v>
      </c>
    </row>
    <row r="99" spans="3:53" s="17" customFormat="1" x14ac:dyDescent="0.25">
      <c r="C99" s="194"/>
      <c r="D99" s="195"/>
      <c r="E99" s="90"/>
      <c r="F99" s="198"/>
      <c r="G99" s="214"/>
      <c r="H99" s="199"/>
      <c r="I99" s="78"/>
      <c r="J99" s="79"/>
      <c r="K99" s="78"/>
      <c r="L99" s="80"/>
      <c r="M99" s="80"/>
      <c r="N99" s="78" t="s">
        <v>39</v>
      </c>
      <c r="O99" s="113"/>
      <c r="P99" s="155"/>
      <c r="Q99" s="114" t="str">
        <f>IFERROR(MIN(VLOOKUP(ROUNDDOWN(P99,0),'Aide calcul'!$B$2:$C$282,2,FALSE),O99+1),"")</f>
        <v/>
      </c>
      <c r="R99" s="115" t="str">
        <f t="shared" si="27"/>
        <v/>
      </c>
      <c r="S99" s="155"/>
      <c r="T99" s="155"/>
      <c r="U99" s="155"/>
      <c r="V99" s="155"/>
      <c r="W99" s="155"/>
      <c r="X99" s="155"/>
      <c r="Y99" s="155"/>
      <c r="Z99" s="78"/>
      <c r="AA99" s="78"/>
      <c r="AB99" s="116" t="str">
        <f>IF(C99="3111. Logements",ROUND(VLOOKUP(C99,'Informations générales'!$C$66:$D$70,2,FALSE)*(AK99/$AL$27)/12,0)*12,IF(C99="3112. Logements",ROUND(VLOOKUP(C99,'Informations générales'!$C$66:$D$70,2,FALSE)*(AK99/$AM$27)/12,0)*12,IF(C99="3113. Logements",ROUND(VLOOKUP(C99,'Informations générales'!$C$66:$D$70,2,FALSE)*(AK99/$AN$27)/12,0)*12,IF(C99="3114. Logements",ROUND(VLOOKUP(C99,'Informations générales'!$C$66:$D$70,2,FALSE)*(AK99/$AO$27)/12,0)*12,IF(C99="3115. Logements",ROUND(VLOOKUP(C99,'Informations générales'!$C$66:$D$70,2,FALSE)*(AK99/$AP$27)/12,0)*12,"")))))</f>
        <v/>
      </c>
      <c r="AC99" s="117"/>
      <c r="AD99" s="116">
        <f t="shared" si="28"/>
        <v>0</v>
      </c>
      <c r="AE99" s="117"/>
      <c r="AF99" s="116" t="str">
        <f>IF(C99="3111. Logements",ROUND(VLOOKUP(C99,'Informations générales'!$C$66:$G$70,5,FALSE)*(AK99/$AL$27)/12,0)*12,IF(C99="3112. Logements",ROUND(VLOOKUP(C99,'Informations générales'!$C$66:$G$70,5,FALSE)*(AK99/$AM$27)/12,0)*12,IF(C99="3113. Logements",ROUND(VLOOKUP(C99,'Informations générales'!$C$66:$G$70,5,FALSE)*(AK99/$AN$27)/12,0)*12,IF(C99="3114. Logements",ROUND(VLOOKUP(C99,'Informations générales'!$C$66:$G$70,5,FALSE)*(AK99/$AO$27)/12,0)*12,IF(C99="3115. Logements",ROUND(VLOOKUP(C99,'Informations générales'!$C$66:$G$70,5,FALSE)*(AK99/$AP$27)/12,0)*12,"")))))</f>
        <v/>
      </c>
      <c r="AG99" s="117"/>
      <c r="AH99" s="116" t="str">
        <f t="shared" si="29"/>
        <v/>
      </c>
      <c r="AI99" s="92"/>
      <c r="AJ99" s="78"/>
      <c r="AK99" s="60">
        <f t="shared" si="30"/>
        <v>0</v>
      </c>
      <c r="AL99" s="60"/>
      <c r="AM99" s="60"/>
      <c r="AN99" s="60"/>
      <c r="AO99" s="60"/>
      <c r="AP99" s="60"/>
      <c r="AQ99" s="60">
        <f t="shared" si="18"/>
        <v>0</v>
      </c>
      <c r="AR99" s="60">
        <f t="shared" si="19"/>
        <v>0</v>
      </c>
      <c r="AS99" s="60">
        <f t="shared" si="20"/>
        <v>0</v>
      </c>
      <c r="AT99" s="60">
        <f t="shared" si="21"/>
        <v>0</v>
      </c>
      <c r="AU99" s="60">
        <f t="shared" si="22"/>
        <v>0</v>
      </c>
      <c r="AV99" s="60">
        <f t="shared" si="23"/>
        <v>0</v>
      </c>
      <c r="AW99" s="60">
        <f t="shared" si="24"/>
        <v>0</v>
      </c>
      <c r="AX99" s="60">
        <f t="shared" si="31"/>
        <v>0</v>
      </c>
      <c r="AY99" s="64">
        <f t="shared" si="32"/>
        <v>0</v>
      </c>
      <c r="AZ99" s="65">
        <f t="shared" si="25"/>
        <v>0</v>
      </c>
      <c r="BA99" s="65">
        <f t="shared" si="26"/>
        <v>0</v>
      </c>
    </row>
    <row r="100" spans="3:53" s="17" customFormat="1" x14ac:dyDescent="0.25">
      <c r="C100" s="194"/>
      <c r="D100" s="195"/>
      <c r="E100" s="90"/>
      <c r="F100" s="198"/>
      <c r="G100" s="214"/>
      <c r="H100" s="199"/>
      <c r="I100" s="78"/>
      <c r="J100" s="79"/>
      <c r="K100" s="78"/>
      <c r="L100" s="80"/>
      <c r="M100" s="80"/>
      <c r="N100" s="78" t="s">
        <v>39</v>
      </c>
      <c r="O100" s="113"/>
      <c r="P100" s="155"/>
      <c r="Q100" s="114" t="str">
        <f>IFERROR(MIN(VLOOKUP(ROUNDDOWN(P100,0),'Aide calcul'!$B$2:$C$282,2,FALSE),O100+1),"")</f>
        <v/>
      </c>
      <c r="R100" s="115" t="str">
        <f t="shared" si="27"/>
        <v/>
      </c>
      <c r="S100" s="155"/>
      <c r="T100" s="155"/>
      <c r="U100" s="155"/>
      <c r="V100" s="155"/>
      <c r="W100" s="155"/>
      <c r="X100" s="155"/>
      <c r="Y100" s="155"/>
      <c r="Z100" s="78"/>
      <c r="AA100" s="78"/>
      <c r="AB100" s="116" t="str">
        <f>IF(C100="3111. Logements",ROUND(VLOOKUP(C100,'Informations générales'!$C$66:$D$70,2,FALSE)*(AK100/$AL$27)/12,0)*12,IF(C100="3112. Logements",ROUND(VLOOKUP(C100,'Informations générales'!$C$66:$D$70,2,FALSE)*(AK100/$AM$27)/12,0)*12,IF(C100="3113. Logements",ROUND(VLOOKUP(C100,'Informations générales'!$C$66:$D$70,2,FALSE)*(AK100/$AN$27)/12,0)*12,IF(C100="3114. Logements",ROUND(VLOOKUP(C100,'Informations générales'!$C$66:$D$70,2,FALSE)*(AK100/$AO$27)/12,0)*12,IF(C100="3115. Logements",ROUND(VLOOKUP(C100,'Informations générales'!$C$66:$D$70,2,FALSE)*(AK100/$AP$27)/12,0)*12,"")))))</f>
        <v/>
      </c>
      <c r="AC100" s="117"/>
      <c r="AD100" s="116">
        <f t="shared" si="28"/>
        <v>0</v>
      </c>
      <c r="AE100" s="117"/>
      <c r="AF100" s="116" t="str">
        <f>IF(C100="3111. Logements",ROUND(VLOOKUP(C100,'Informations générales'!$C$66:$G$70,5,FALSE)*(AK100/$AL$27)/12,0)*12,IF(C100="3112. Logements",ROUND(VLOOKUP(C100,'Informations générales'!$C$66:$G$70,5,FALSE)*(AK100/$AM$27)/12,0)*12,IF(C100="3113. Logements",ROUND(VLOOKUP(C100,'Informations générales'!$C$66:$G$70,5,FALSE)*(AK100/$AN$27)/12,0)*12,IF(C100="3114. Logements",ROUND(VLOOKUP(C100,'Informations générales'!$C$66:$G$70,5,FALSE)*(AK100/$AO$27)/12,0)*12,IF(C100="3115. Logements",ROUND(VLOOKUP(C100,'Informations générales'!$C$66:$G$70,5,FALSE)*(AK100/$AP$27)/12,0)*12,"")))))</f>
        <v/>
      </c>
      <c r="AG100" s="117"/>
      <c r="AH100" s="116" t="str">
        <f t="shared" si="29"/>
        <v/>
      </c>
      <c r="AI100" s="92"/>
      <c r="AJ100" s="78"/>
      <c r="AK100" s="60">
        <f t="shared" si="30"/>
        <v>0</v>
      </c>
      <c r="AL100" s="60"/>
      <c r="AM100" s="60"/>
      <c r="AN100" s="60"/>
      <c r="AO100" s="60"/>
      <c r="AP100" s="60"/>
      <c r="AQ100" s="60">
        <f t="shared" si="18"/>
        <v>0</v>
      </c>
      <c r="AR100" s="60">
        <f t="shared" si="19"/>
        <v>0</v>
      </c>
      <c r="AS100" s="60">
        <f t="shared" si="20"/>
        <v>0</v>
      </c>
      <c r="AT100" s="60">
        <f t="shared" si="21"/>
        <v>0</v>
      </c>
      <c r="AU100" s="60">
        <f t="shared" si="22"/>
        <v>0</v>
      </c>
      <c r="AV100" s="60">
        <f t="shared" si="23"/>
        <v>0</v>
      </c>
      <c r="AW100" s="60">
        <f t="shared" si="24"/>
        <v>0</v>
      </c>
      <c r="AX100" s="60">
        <f t="shared" si="31"/>
        <v>0</v>
      </c>
      <c r="AY100" s="64">
        <f t="shared" si="32"/>
        <v>0</v>
      </c>
      <c r="AZ100" s="65">
        <f t="shared" si="25"/>
        <v>0</v>
      </c>
      <c r="BA100" s="65">
        <f t="shared" si="26"/>
        <v>0</v>
      </c>
    </row>
    <row r="101" spans="3:53" s="17" customFormat="1" x14ac:dyDescent="0.25">
      <c r="C101" s="194"/>
      <c r="D101" s="195"/>
      <c r="E101" s="90"/>
      <c r="F101" s="198"/>
      <c r="G101" s="214"/>
      <c r="H101" s="199"/>
      <c r="I101" s="78"/>
      <c r="J101" s="79"/>
      <c r="K101" s="78"/>
      <c r="L101" s="80"/>
      <c r="M101" s="80"/>
      <c r="N101" s="78" t="s">
        <v>39</v>
      </c>
      <c r="O101" s="113"/>
      <c r="P101" s="155"/>
      <c r="Q101" s="114" t="str">
        <f>IFERROR(MIN(VLOOKUP(ROUNDDOWN(P101,0),'Aide calcul'!$B$2:$C$282,2,FALSE),O101+1),"")</f>
        <v/>
      </c>
      <c r="R101" s="115" t="str">
        <f t="shared" si="27"/>
        <v/>
      </c>
      <c r="S101" s="155"/>
      <c r="T101" s="155"/>
      <c r="U101" s="155"/>
      <c r="V101" s="155"/>
      <c r="W101" s="155"/>
      <c r="X101" s="155"/>
      <c r="Y101" s="155"/>
      <c r="Z101" s="78"/>
      <c r="AA101" s="78"/>
      <c r="AB101" s="116" t="str">
        <f>IF(C101="3111. Logements",ROUND(VLOOKUP(C101,'Informations générales'!$C$66:$D$70,2,FALSE)*(AK101/$AL$27)/12,0)*12,IF(C101="3112. Logements",ROUND(VLOOKUP(C101,'Informations générales'!$C$66:$D$70,2,FALSE)*(AK101/$AM$27)/12,0)*12,IF(C101="3113. Logements",ROUND(VLOOKUP(C101,'Informations générales'!$C$66:$D$70,2,FALSE)*(AK101/$AN$27)/12,0)*12,IF(C101="3114. Logements",ROUND(VLOOKUP(C101,'Informations générales'!$C$66:$D$70,2,FALSE)*(AK101/$AO$27)/12,0)*12,IF(C101="3115. Logements",ROUND(VLOOKUP(C101,'Informations générales'!$C$66:$D$70,2,FALSE)*(AK101/$AP$27)/12,0)*12,"")))))</f>
        <v/>
      </c>
      <c r="AC101" s="117"/>
      <c r="AD101" s="116">
        <f t="shared" si="28"/>
        <v>0</v>
      </c>
      <c r="AE101" s="117"/>
      <c r="AF101" s="116" t="str">
        <f>IF(C101="3111. Logements",ROUND(VLOOKUP(C101,'Informations générales'!$C$66:$G$70,5,FALSE)*(AK101/$AL$27)/12,0)*12,IF(C101="3112. Logements",ROUND(VLOOKUP(C101,'Informations générales'!$C$66:$G$70,5,FALSE)*(AK101/$AM$27)/12,0)*12,IF(C101="3113. Logements",ROUND(VLOOKUP(C101,'Informations générales'!$C$66:$G$70,5,FALSE)*(AK101/$AN$27)/12,0)*12,IF(C101="3114. Logements",ROUND(VLOOKUP(C101,'Informations générales'!$C$66:$G$70,5,FALSE)*(AK101/$AO$27)/12,0)*12,IF(C101="3115. Logements",ROUND(VLOOKUP(C101,'Informations générales'!$C$66:$G$70,5,FALSE)*(AK101/$AP$27)/12,0)*12,"")))))</f>
        <v/>
      </c>
      <c r="AG101" s="117"/>
      <c r="AH101" s="116" t="str">
        <f t="shared" si="29"/>
        <v/>
      </c>
      <c r="AI101" s="92"/>
      <c r="AJ101" s="78"/>
      <c r="AK101" s="60">
        <f t="shared" si="30"/>
        <v>0</v>
      </c>
      <c r="AL101" s="60"/>
      <c r="AM101" s="60"/>
      <c r="AN101" s="60"/>
      <c r="AO101" s="60"/>
      <c r="AP101" s="60"/>
      <c r="AQ101" s="60">
        <f t="shared" si="18"/>
        <v>0</v>
      </c>
      <c r="AR101" s="60">
        <f t="shared" si="19"/>
        <v>0</v>
      </c>
      <c r="AS101" s="60">
        <f t="shared" si="20"/>
        <v>0</v>
      </c>
      <c r="AT101" s="60">
        <f t="shared" si="21"/>
        <v>0</v>
      </c>
      <c r="AU101" s="60">
        <f t="shared" si="22"/>
        <v>0</v>
      </c>
      <c r="AV101" s="60">
        <f t="shared" si="23"/>
        <v>0</v>
      </c>
      <c r="AW101" s="60">
        <f t="shared" si="24"/>
        <v>0</v>
      </c>
      <c r="AX101" s="60">
        <f t="shared" si="31"/>
        <v>0</v>
      </c>
      <c r="AY101" s="64">
        <f t="shared" si="32"/>
        <v>0</v>
      </c>
      <c r="AZ101" s="65">
        <f t="shared" si="25"/>
        <v>0</v>
      </c>
      <c r="BA101" s="65">
        <f t="shared" si="26"/>
        <v>0</v>
      </c>
    </row>
    <row r="102" spans="3:53" s="17" customFormat="1" x14ac:dyDescent="0.25">
      <c r="C102" s="194"/>
      <c r="D102" s="195"/>
      <c r="E102" s="90"/>
      <c r="F102" s="198"/>
      <c r="G102" s="214"/>
      <c r="H102" s="199"/>
      <c r="I102" s="78"/>
      <c r="J102" s="79"/>
      <c r="K102" s="78"/>
      <c r="L102" s="80"/>
      <c r="M102" s="80"/>
      <c r="N102" s="78" t="s">
        <v>39</v>
      </c>
      <c r="O102" s="113"/>
      <c r="P102" s="155"/>
      <c r="Q102" s="114" t="str">
        <f>IFERROR(MIN(VLOOKUP(ROUNDDOWN(P102,0),'Aide calcul'!$B$2:$C$282,2,FALSE),O102+1),"")</f>
        <v/>
      </c>
      <c r="R102" s="115" t="str">
        <f t="shared" si="27"/>
        <v/>
      </c>
      <c r="S102" s="155"/>
      <c r="T102" s="155"/>
      <c r="U102" s="155"/>
      <c r="V102" s="155"/>
      <c r="W102" s="155"/>
      <c r="X102" s="155"/>
      <c r="Y102" s="155"/>
      <c r="Z102" s="78"/>
      <c r="AA102" s="78"/>
      <c r="AB102" s="116" t="str">
        <f>IF(C102="3111. Logements",ROUND(VLOOKUP(C102,'Informations générales'!$C$66:$D$70,2,FALSE)*(AK102/$AL$27)/12,0)*12,IF(C102="3112. Logements",ROUND(VLOOKUP(C102,'Informations générales'!$C$66:$D$70,2,FALSE)*(AK102/$AM$27)/12,0)*12,IF(C102="3113. Logements",ROUND(VLOOKUP(C102,'Informations générales'!$C$66:$D$70,2,FALSE)*(AK102/$AN$27)/12,0)*12,IF(C102="3114. Logements",ROUND(VLOOKUP(C102,'Informations générales'!$C$66:$D$70,2,FALSE)*(AK102/$AO$27)/12,0)*12,IF(C102="3115. Logements",ROUND(VLOOKUP(C102,'Informations générales'!$C$66:$D$70,2,FALSE)*(AK102/$AP$27)/12,0)*12,"")))))</f>
        <v/>
      </c>
      <c r="AC102" s="117"/>
      <c r="AD102" s="116">
        <f t="shared" si="28"/>
        <v>0</v>
      </c>
      <c r="AE102" s="117"/>
      <c r="AF102" s="116" t="str">
        <f>IF(C102="3111. Logements",ROUND(VLOOKUP(C102,'Informations générales'!$C$66:$G$70,5,FALSE)*(AK102/$AL$27)/12,0)*12,IF(C102="3112. Logements",ROUND(VLOOKUP(C102,'Informations générales'!$C$66:$G$70,5,FALSE)*(AK102/$AM$27)/12,0)*12,IF(C102="3113. Logements",ROUND(VLOOKUP(C102,'Informations générales'!$C$66:$G$70,5,FALSE)*(AK102/$AN$27)/12,0)*12,IF(C102="3114. Logements",ROUND(VLOOKUP(C102,'Informations générales'!$C$66:$G$70,5,FALSE)*(AK102/$AO$27)/12,0)*12,IF(C102="3115. Logements",ROUND(VLOOKUP(C102,'Informations générales'!$C$66:$G$70,5,FALSE)*(AK102/$AP$27)/12,0)*12,"")))))</f>
        <v/>
      </c>
      <c r="AG102" s="117"/>
      <c r="AH102" s="116" t="str">
        <f t="shared" si="29"/>
        <v/>
      </c>
      <c r="AI102" s="92"/>
      <c r="AJ102" s="78"/>
      <c r="AK102" s="60">
        <f t="shared" si="30"/>
        <v>0</v>
      </c>
      <c r="AL102" s="60"/>
      <c r="AM102" s="60"/>
      <c r="AN102" s="60"/>
      <c r="AO102" s="60"/>
      <c r="AP102" s="60"/>
      <c r="AQ102" s="60">
        <f t="shared" si="18"/>
        <v>0</v>
      </c>
      <c r="AR102" s="60">
        <f t="shared" si="19"/>
        <v>0</v>
      </c>
      <c r="AS102" s="60">
        <f t="shared" si="20"/>
        <v>0</v>
      </c>
      <c r="AT102" s="60">
        <f t="shared" si="21"/>
        <v>0</v>
      </c>
      <c r="AU102" s="60">
        <f t="shared" si="22"/>
        <v>0</v>
      </c>
      <c r="AV102" s="60">
        <f t="shared" si="23"/>
        <v>0</v>
      </c>
      <c r="AW102" s="60">
        <f t="shared" si="24"/>
        <v>0</v>
      </c>
      <c r="AX102" s="60">
        <f t="shared" si="31"/>
        <v>0</v>
      </c>
      <c r="AY102" s="64">
        <f t="shared" si="32"/>
        <v>0</v>
      </c>
      <c r="AZ102" s="65">
        <f t="shared" si="25"/>
        <v>0</v>
      </c>
      <c r="BA102" s="65">
        <f t="shared" si="26"/>
        <v>0</v>
      </c>
    </row>
    <row r="103" spans="3:53" s="17" customFormat="1" x14ac:dyDescent="0.25">
      <c r="C103" s="194"/>
      <c r="D103" s="195"/>
      <c r="E103" s="90"/>
      <c r="F103" s="198"/>
      <c r="G103" s="214"/>
      <c r="H103" s="199"/>
      <c r="I103" s="78"/>
      <c r="J103" s="79"/>
      <c r="K103" s="78"/>
      <c r="L103" s="80"/>
      <c r="M103" s="80"/>
      <c r="N103" s="78" t="s">
        <v>39</v>
      </c>
      <c r="O103" s="113"/>
      <c r="P103" s="155"/>
      <c r="Q103" s="114" t="str">
        <f>IFERROR(MIN(VLOOKUP(ROUNDDOWN(P103,0),'Aide calcul'!$B$2:$C$282,2,FALSE),O103+1),"")</f>
        <v/>
      </c>
      <c r="R103" s="115" t="str">
        <f t="shared" si="27"/>
        <v/>
      </c>
      <c r="S103" s="155"/>
      <c r="T103" s="155"/>
      <c r="U103" s="155"/>
      <c r="V103" s="155"/>
      <c r="W103" s="155"/>
      <c r="X103" s="155"/>
      <c r="Y103" s="155"/>
      <c r="Z103" s="78"/>
      <c r="AA103" s="78"/>
      <c r="AB103" s="116" t="str">
        <f>IF(C103="3111. Logements",ROUND(VLOOKUP(C103,'Informations générales'!$C$66:$D$70,2,FALSE)*(AK103/$AL$27)/12,0)*12,IF(C103="3112. Logements",ROUND(VLOOKUP(C103,'Informations générales'!$C$66:$D$70,2,FALSE)*(AK103/$AM$27)/12,0)*12,IF(C103="3113. Logements",ROUND(VLOOKUP(C103,'Informations générales'!$C$66:$D$70,2,FALSE)*(AK103/$AN$27)/12,0)*12,IF(C103="3114. Logements",ROUND(VLOOKUP(C103,'Informations générales'!$C$66:$D$70,2,FALSE)*(AK103/$AO$27)/12,0)*12,IF(C103="3115. Logements",ROUND(VLOOKUP(C103,'Informations générales'!$C$66:$D$70,2,FALSE)*(AK103/$AP$27)/12,0)*12,"")))))</f>
        <v/>
      </c>
      <c r="AC103" s="117"/>
      <c r="AD103" s="116">
        <f t="shared" si="28"/>
        <v>0</v>
      </c>
      <c r="AE103" s="117"/>
      <c r="AF103" s="116" t="str">
        <f>IF(C103="3111. Logements",ROUND(VLOOKUP(C103,'Informations générales'!$C$66:$G$70,5,FALSE)*(AK103/$AL$27)/12,0)*12,IF(C103="3112. Logements",ROUND(VLOOKUP(C103,'Informations générales'!$C$66:$G$70,5,FALSE)*(AK103/$AM$27)/12,0)*12,IF(C103="3113. Logements",ROUND(VLOOKUP(C103,'Informations générales'!$C$66:$G$70,5,FALSE)*(AK103/$AN$27)/12,0)*12,IF(C103="3114. Logements",ROUND(VLOOKUP(C103,'Informations générales'!$C$66:$G$70,5,FALSE)*(AK103/$AO$27)/12,0)*12,IF(C103="3115. Logements",ROUND(VLOOKUP(C103,'Informations générales'!$C$66:$G$70,5,FALSE)*(AK103/$AP$27)/12,0)*12,"")))))</f>
        <v/>
      </c>
      <c r="AG103" s="117"/>
      <c r="AH103" s="116" t="str">
        <f t="shared" si="29"/>
        <v/>
      </c>
      <c r="AI103" s="92"/>
      <c r="AJ103" s="78"/>
      <c r="AK103" s="60">
        <f t="shared" si="30"/>
        <v>0</v>
      </c>
      <c r="AL103" s="60"/>
      <c r="AM103" s="60"/>
      <c r="AN103" s="60"/>
      <c r="AO103" s="60"/>
      <c r="AP103" s="60"/>
      <c r="AQ103" s="60">
        <f t="shared" si="18"/>
        <v>0</v>
      </c>
      <c r="AR103" s="60">
        <f t="shared" si="19"/>
        <v>0</v>
      </c>
      <c r="AS103" s="60">
        <f t="shared" si="20"/>
        <v>0</v>
      </c>
      <c r="AT103" s="60">
        <f t="shared" si="21"/>
        <v>0</v>
      </c>
      <c r="AU103" s="60">
        <f t="shared" si="22"/>
        <v>0</v>
      </c>
      <c r="AV103" s="60">
        <f t="shared" si="23"/>
        <v>0</v>
      </c>
      <c r="AW103" s="60">
        <f t="shared" si="24"/>
        <v>0</v>
      </c>
      <c r="AX103" s="60">
        <f t="shared" si="31"/>
        <v>0</v>
      </c>
      <c r="AY103" s="64">
        <f t="shared" si="32"/>
        <v>0</v>
      </c>
      <c r="AZ103" s="65">
        <f t="shared" si="25"/>
        <v>0</v>
      </c>
      <c r="BA103" s="65">
        <f t="shared" si="26"/>
        <v>0</v>
      </c>
    </row>
    <row r="104" spans="3:53" s="17" customFormat="1" x14ac:dyDescent="0.25">
      <c r="C104" s="194"/>
      <c r="D104" s="195"/>
      <c r="E104" s="90"/>
      <c r="F104" s="198"/>
      <c r="G104" s="214"/>
      <c r="H104" s="199"/>
      <c r="I104" s="78"/>
      <c r="J104" s="79"/>
      <c r="K104" s="78"/>
      <c r="L104" s="80"/>
      <c r="M104" s="80"/>
      <c r="N104" s="78" t="s">
        <v>39</v>
      </c>
      <c r="O104" s="113"/>
      <c r="P104" s="155"/>
      <c r="Q104" s="114" t="str">
        <f>IFERROR(MIN(VLOOKUP(ROUNDDOWN(P104,0),'Aide calcul'!$B$2:$C$282,2,FALSE),O104+1),"")</f>
        <v/>
      </c>
      <c r="R104" s="115" t="str">
        <f t="shared" si="27"/>
        <v/>
      </c>
      <c r="S104" s="155"/>
      <c r="T104" s="155"/>
      <c r="U104" s="155"/>
      <c r="V104" s="155"/>
      <c r="W104" s="155"/>
      <c r="X104" s="155"/>
      <c r="Y104" s="155"/>
      <c r="Z104" s="78"/>
      <c r="AA104" s="78"/>
      <c r="AB104" s="116" t="str">
        <f>IF(C104="3111. Logements",ROUND(VLOOKUP(C104,'Informations générales'!$C$66:$D$70,2,FALSE)*(AK104/$AL$27)/12,0)*12,IF(C104="3112. Logements",ROUND(VLOOKUP(C104,'Informations générales'!$C$66:$D$70,2,FALSE)*(AK104/$AM$27)/12,0)*12,IF(C104="3113. Logements",ROUND(VLOOKUP(C104,'Informations générales'!$C$66:$D$70,2,FALSE)*(AK104/$AN$27)/12,0)*12,IF(C104="3114. Logements",ROUND(VLOOKUP(C104,'Informations générales'!$C$66:$D$70,2,FALSE)*(AK104/$AO$27)/12,0)*12,IF(C104="3115. Logements",ROUND(VLOOKUP(C104,'Informations générales'!$C$66:$D$70,2,FALSE)*(AK104/$AP$27)/12,0)*12,"")))))</f>
        <v/>
      </c>
      <c r="AC104" s="117"/>
      <c r="AD104" s="116">
        <f t="shared" si="28"/>
        <v>0</v>
      </c>
      <c r="AE104" s="117"/>
      <c r="AF104" s="116" t="str">
        <f>IF(C104="3111. Logements",ROUND(VLOOKUP(C104,'Informations générales'!$C$66:$G$70,5,FALSE)*(AK104/$AL$27)/12,0)*12,IF(C104="3112. Logements",ROUND(VLOOKUP(C104,'Informations générales'!$C$66:$G$70,5,FALSE)*(AK104/$AM$27)/12,0)*12,IF(C104="3113. Logements",ROUND(VLOOKUP(C104,'Informations générales'!$C$66:$G$70,5,FALSE)*(AK104/$AN$27)/12,0)*12,IF(C104="3114. Logements",ROUND(VLOOKUP(C104,'Informations générales'!$C$66:$G$70,5,FALSE)*(AK104/$AO$27)/12,0)*12,IF(C104="3115. Logements",ROUND(VLOOKUP(C104,'Informations générales'!$C$66:$G$70,5,FALSE)*(AK104/$AP$27)/12,0)*12,"")))))</f>
        <v/>
      </c>
      <c r="AG104" s="117"/>
      <c r="AH104" s="116" t="str">
        <f t="shared" si="29"/>
        <v/>
      </c>
      <c r="AI104" s="92"/>
      <c r="AJ104" s="78"/>
      <c r="AK104" s="60">
        <f t="shared" si="30"/>
        <v>0</v>
      </c>
      <c r="AL104" s="60"/>
      <c r="AM104" s="60"/>
      <c r="AN104" s="60"/>
      <c r="AO104" s="60"/>
      <c r="AP104" s="60"/>
      <c r="AQ104" s="60">
        <f t="shared" si="18"/>
        <v>0</v>
      </c>
      <c r="AR104" s="60">
        <f t="shared" si="19"/>
        <v>0</v>
      </c>
      <c r="AS104" s="60">
        <f t="shared" si="20"/>
        <v>0</v>
      </c>
      <c r="AT104" s="60">
        <f t="shared" si="21"/>
        <v>0</v>
      </c>
      <c r="AU104" s="60">
        <f t="shared" si="22"/>
        <v>0</v>
      </c>
      <c r="AV104" s="60">
        <f t="shared" si="23"/>
        <v>0</v>
      </c>
      <c r="AW104" s="60">
        <f t="shared" si="24"/>
        <v>0</v>
      </c>
      <c r="AX104" s="60">
        <f t="shared" si="31"/>
        <v>0</v>
      </c>
      <c r="AY104" s="64">
        <f t="shared" si="32"/>
        <v>0</v>
      </c>
      <c r="AZ104" s="65">
        <f t="shared" si="25"/>
        <v>0</v>
      </c>
      <c r="BA104" s="65">
        <f t="shared" si="26"/>
        <v>0</v>
      </c>
    </row>
    <row r="105" spans="3:53" s="17" customFormat="1" x14ac:dyDescent="0.25">
      <c r="C105" s="194"/>
      <c r="D105" s="195"/>
      <c r="E105" s="90"/>
      <c r="F105" s="198"/>
      <c r="G105" s="214"/>
      <c r="H105" s="199"/>
      <c r="I105" s="78"/>
      <c r="J105" s="79"/>
      <c r="K105" s="78"/>
      <c r="L105" s="80"/>
      <c r="M105" s="80"/>
      <c r="N105" s="78" t="s">
        <v>39</v>
      </c>
      <c r="O105" s="113"/>
      <c r="P105" s="155"/>
      <c r="Q105" s="114" t="str">
        <f>IFERROR(MIN(VLOOKUP(ROUNDDOWN(P105,0),'Aide calcul'!$B$2:$C$282,2,FALSE),O105+1),"")</f>
        <v/>
      </c>
      <c r="R105" s="115" t="str">
        <f t="shared" si="27"/>
        <v/>
      </c>
      <c r="S105" s="155"/>
      <c r="T105" s="155"/>
      <c r="U105" s="155"/>
      <c r="V105" s="155"/>
      <c r="W105" s="155"/>
      <c r="X105" s="155"/>
      <c r="Y105" s="155"/>
      <c r="Z105" s="78"/>
      <c r="AA105" s="78"/>
      <c r="AB105" s="116" t="str">
        <f>IF(C105="3111. Logements",ROUND(VLOOKUP(C105,'Informations générales'!$C$66:$D$70,2,FALSE)*(AK105/$AL$27)/12,0)*12,IF(C105="3112. Logements",ROUND(VLOOKUP(C105,'Informations générales'!$C$66:$D$70,2,FALSE)*(AK105/$AM$27)/12,0)*12,IF(C105="3113. Logements",ROUND(VLOOKUP(C105,'Informations générales'!$C$66:$D$70,2,FALSE)*(AK105/$AN$27)/12,0)*12,IF(C105="3114. Logements",ROUND(VLOOKUP(C105,'Informations générales'!$C$66:$D$70,2,FALSE)*(AK105/$AO$27)/12,0)*12,IF(C105="3115. Logements",ROUND(VLOOKUP(C105,'Informations générales'!$C$66:$D$70,2,FALSE)*(AK105/$AP$27)/12,0)*12,"")))))</f>
        <v/>
      </c>
      <c r="AC105" s="117"/>
      <c r="AD105" s="116">
        <f t="shared" si="28"/>
        <v>0</v>
      </c>
      <c r="AE105" s="117"/>
      <c r="AF105" s="116" t="str">
        <f>IF(C105="3111. Logements",ROUND(VLOOKUP(C105,'Informations générales'!$C$66:$G$70,5,FALSE)*(AK105/$AL$27)/12,0)*12,IF(C105="3112. Logements",ROUND(VLOOKUP(C105,'Informations générales'!$C$66:$G$70,5,FALSE)*(AK105/$AM$27)/12,0)*12,IF(C105="3113. Logements",ROUND(VLOOKUP(C105,'Informations générales'!$C$66:$G$70,5,FALSE)*(AK105/$AN$27)/12,0)*12,IF(C105="3114. Logements",ROUND(VLOOKUP(C105,'Informations générales'!$C$66:$G$70,5,FALSE)*(AK105/$AO$27)/12,0)*12,IF(C105="3115. Logements",ROUND(VLOOKUP(C105,'Informations générales'!$C$66:$G$70,5,FALSE)*(AK105/$AP$27)/12,0)*12,"")))))</f>
        <v/>
      </c>
      <c r="AG105" s="117"/>
      <c r="AH105" s="116" t="str">
        <f t="shared" si="29"/>
        <v/>
      </c>
      <c r="AI105" s="92"/>
      <c r="AJ105" s="78"/>
      <c r="AK105" s="60">
        <f t="shared" si="30"/>
        <v>0</v>
      </c>
      <c r="AL105" s="60"/>
      <c r="AM105" s="60"/>
      <c r="AN105" s="60"/>
      <c r="AO105" s="60"/>
      <c r="AP105" s="60"/>
      <c r="AQ105" s="60">
        <f t="shared" si="18"/>
        <v>0</v>
      </c>
      <c r="AR105" s="60">
        <f t="shared" si="19"/>
        <v>0</v>
      </c>
      <c r="AS105" s="60">
        <f t="shared" si="20"/>
        <v>0</v>
      </c>
      <c r="AT105" s="60">
        <f t="shared" si="21"/>
        <v>0</v>
      </c>
      <c r="AU105" s="60">
        <f t="shared" si="22"/>
        <v>0</v>
      </c>
      <c r="AV105" s="60">
        <f t="shared" si="23"/>
        <v>0</v>
      </c>
      <c r="AW105" s="60">
        <f t="shared" si="24"/>
        <v>0</v>
      </c>
      <c r="AX105" s="60">
        <f t="shared" si="31"/>
        <v>0</v>
      </c>
      <c r="AY105" s="64">
        <f t="shared" si="32"/>
        <v>0</v>
      </c>
      <c r="AZ105" s="65">
        <f t="shared" si="25"/>
        <v>0</v>
      </c>
      <c r="BA105" s="65">
        <f t="shared" si="26"/>
        <v>0</v>
      </c>
    </row>
    <row r="106" spans="3:53" s="17" customFormat="1" x14ac:dyDescent="0.25">
      <c r="C106" s="194"/>
      <c r="D106" s="195"/>
      <c r="E106" s="90"/>
      <c r="F106" s="198"/>
      <c r="G106" s="214"/>
      <c r="H106" s="199"/>
      <c r="I106" s="78"/>
      <c r="J106" s="79"/>
      <c r="K106" s="78"/>
      <c r="L106" s="80"/>
      <c r="M106" s="80"/>
      <c r="N106" s="78" t="s">
        <v>39</v>
      </c>
      <c r="O106" s="113"/>
      <c r="P106" s="155"/>
      <c r="Q106" s="114" t="str">
        <f>IFERROR(MIN(VLOOKUP(ROUNDDOWN(P106,0),'Aide calcul'!$B$2:$C$282,2,FALSE),O106+1),"")</f>
        <v/>
      </c>
      <c r="R106" s="115" t="str">
        <f t="shared" si="27"/>
        <v/>
      </c>
      <c r="S106" s="155"/>
      <c r="T106" s="155"/>
      <c r="U106" s="155"/>
      <c r="V106" s="155"/>
      <c r="W106" s="155"/>
      <c r="X106" s="155"/>
      <c r="Y106" s="155"/>
      <c r="Z106" s="78"/>
      <c r="AA106" s="78"/>
      <c r="AB106" s="116" t="str">
        <f>IF(C106="3111. Logements",ROUND(VLOOKUP(C106,'Informations générales'!$C$66:$D$70,2,FALSE)*(AK106/$AL$27)/12,0)*12,IF(C106="3112. Logements",ROUND(VLOOKUP(C106,'Informations générales'!$C$66:$D$70,2,FALSE)*(AK106/$AM$27)/12,0)*12,IF(C106="3113. Logements",ROUND(VLOOKUP(C106,'Informations générales'!$C$66:$D$70,2,FALSE)*(AK106/$AN$27)/12,0)*12,IF(C106="3114. Logements",ROUND(VLOOKUP(C106,'Informations générales'!$C$66:$D$70,2,FALSE)*(AK106/$AO$27)/12,0)*12,IF(C106="3115. Logements",ROUND(VLOOKUP(C106,'Informations générales'!$C$66:$D$70,2,FALSE)*(AK106/$AP$27)/12,0)*12,"")))))</f>
        <v/>
      </c>
      <c r="AC106" s="117"/>
      <c r="AD106" s="116">
        <f t="shared" si="28"/>
        <v>0</v>
      </c>
      <c r="AE106" s="117"/>
      <c r="AF106" s="116" t="str">
        <f>IF(C106="3111. Logements",ROUND(VLOOKUP(C106,'Informations générales'!$C$66:$G$70,5,FALSE)*(AK106/$AL$27)/12,0)*12,IF(C106="3112. Logements",ROUND(VLOOKUP(C106,'Informations générales'!$C$66:$G$70,5,FALSE)*(AK106/$AM$27)/12,0)*12,IF(C106="3113. Logements",ROUND(VLOOKUP(C106,'Informations générales'!$C$66:$G$70,5,FALSE)*(AK106/$AN$27)/12,0)*12,IF(C106="3114. Logements",ROUND(VLOOKUP(C106,'Informations générales'!$C$66:$G$70,5,FALSE)*(AK106/$AO$27)/12,0)*12,IF(C106="3115. Logements",ROUND(VLOOKUP(C106,'Informations générales'!$C$66:$G$70,5,FALSE)*(AK106/$AP$27)/12,0)*12,"")))))</f>
        <v/>
      </c>
      <c r="AG106" s="117"/>
      <c r="AH106" s="116" t="str">
        <f t="shared" si="29"/>
        <v/>
      </c>
      <c r="AI106" s="92"/>
      <c r="AJ106" s="78"/>
      <c r="AK106" s="60">
        <f t="shared" si="30"/>
        <v>0</v>
      </c>
      <c r="AL106" s="60"/>
      <c r="AM106" s="60"/>
      <c r="AN106" s="60"/>
      <c r="AO106" s="60"/>
      <c r="AP106" s="60"/>
      <c r="AQ106" s="60">
        <f t="shared" si="18"/>
        <v>0</v>
      </c>
      <c r="AR106" s="60">
        <f t="shared" si="19"/>
        <v>0</v>
      </c>
      <c r="AS106" s="60">
        <f t="shared" si="20"/>
        <v>0</v>
      </c>
      <c r="AT106" s="60">
        <f t="shared" si="21"/>
        <v>0</v>
      </c>
      <c r="AU106" s="60">
        <f t="shared" si="22"/>
        <v>0</v>
      </c>
      <c r="AV106" s="60">
        <f t="shared" si="23"/>
        <v>0</v>
      </c>
      <c r="AW106" s="60">
        <f t="shared" si="24"/>
        <v>0</v>
      </c>
      <c r="AX106" s="60">
        <f t="shared" si="31"/>
        <v>0</v>
      </c>
      <c r="AY106" s="64">
        <f t="shared" si="32"/>
        <v>0</v>
      </c>
      <c r="AZ106" s="65">
        <f t="shared" si="25"/>
        <v>0</v>
      </c>
      <c r="BA106" s="65">
        <f t="shared" si="26"/>
        <v>0</v>
      </c>
    </row>
    <row r="107" spans="3:53" s="17" customFormat="1" x14ac:dyDescent="0.25">
      <c r="C107" s="194"/>
      <c r="D107" s="195"/>
      <c r="E107" s="90"/>
      <c r="F107" s="198"/>
      <c r="G107" s="214"/>
      <c r="H107" s="199"/>
      <c r="I107" s="78"/>
      <c r="J107" s="79"/>
      <c r="K107" s="78"/>
      <c r="L107" s="80"/>
      <c r="M107" s="80"/>
      <c r="N107" s="78" t="s">
        <v>39</v>
      </c>
      <c r="O107" s="113"/>
      <c r="P107" s="155"/>
      <c r="Q107" s="114" t="str">
        <f>IFERROR(MIN(VLOOKUP(ROUNDDOWN(P107,0),'Aide calcul'!$B$2:$C$282,2,FALSE),O107+1),"")</f>
        <v/>
      </c>
      <c r="R107" s="115" t="str">
        <f t="shared" si="27"/>
        <v/>
      </c>
      <c r="S107" s="155"/>
      <c r="T107" s="155"/>
      <c r="U107" s="155"/>
      <c r="V107" s="155"/>
      <c r="W107" s="155"/>
      <c r="X107" s="155"/>
      <c r="Y107" s="155"/>
      <c r="Z107" s="78"/>
      <c r="AA107" s="78"/>
      <c r="AB107" s="116" t="str">
        <f>IF(C107="3111. Logements",ROUND(VLOOKUP(C107,'Informations générales'!$C$66:$D$70,2,FALSE)*(AK107/$AL$27)/12,0)*12,IF(C107="3112. Logements",ROUND(VLOOKUP(C107,'Informations générales'!$C$66:$D$70,2,FALSE)*(AK107/$AM$27)/12,0)*12,IF(C107="3113. Logements",ROUND(VLOOKUP(C107,'Informations générales'!$C$66:$D$70,2,FALSE)*(AK107/$AN$27)/12,0)*12,IF(C107="3114. Logements",ROUND(VLOOKUP(C107,'Informations générales'!$C$66:$D$70,2,FALSE)*(AK107/$AO$27)/12,0)*12,IF(C107="3115. Logements",ROUND(VLOOKUP(C107,'Informations générales'!$C$66:$D$70,2,FALSE)*(AK107/$AP$27)/12,0)*12,"")))))</f>
        <v/>
      </c>
      <c r="AC107" s="117"/>
      <c r="AD107" s="116">
        <f t="shared" si="28"/>
        <v>0</v>
      </c>
      <c r="AE107" s="117"/>
      <c r="AF107" s="116" t="str">
        <f>IF(C107="3111. Logements",ROUND(VLOOKUP(C107,'Informations générales'!$C$66:$G$70,5,FALSE)*(AK107/$AL$27)/12,0)*12,IF(C107="3112. Logements",ROUND(VLOOKUP(C107,'Informations générales'!$C$66:$G$70,5,FALSE)*(AK107/$AM$27)/12,0)*12,IF(C107="3113. Logements",ROUND(VLOOKUP(C107,'Informations générales'!$C$66:$G$70,5,FALSE)*(AK107/$AN$27)/12,0)*12,IF(C107="3114. Logements",ROUND(VLOOKUP(C107,'Informations générales'!$C$66:$G$70,5,FALSE)*(AK107/$AO$27)/12,0)*12,IF(C107="3115. Logements",ROUND(VLOOKUP(C107,'Informations générales'!$C$66:$G$70,5,FALSE)*(AK107/$AP$27)/12,0)*12,"")))))</f>
        <v/>
      </c>
      <c r="AG107" s="117"/>
      <c r="AH107" s="116" t="str">
        <f t="shared" si="29"/>
        <v/>
      </c>
      <c r="AI107" s="92"/>
      <c r="AJ107" s="78"/>
      <c r="AK107" s="60">
        <f t="shared" si="30"/>
        <v>0</v>
      </c>
      <c r="AL107" s="60"/>
      <c r="AM107" s="60"/>
      <c r="AN107" s="60"/>
      <c r="AO107" s="60"/>
      <c r="AP107" s="60"/>
      <c r="AQ107" s="60">
        <f t="shared" si="18"/>
        <v>0</v>
      </c>
      <c r="AR107" s="60">
        <f t="shared" si="19"/>
        <v>0</v>
      </c>
      <c r="AS107" s="60">
        <f t="shared" si="20"/>
        <v>0</v>
      </c>
      <c r="AT107" s="60">
        <f t="shared" si="21"/>
        <v>0</v>
      </c>
      <c r="AU107" s="60">
        <f t="shared" si="22"/>
        <v>0</v>
      </c>
      <c r="AV107" s="60">
        <f t="shared" si="23"/>
        <v>0</v>
      </c>
      <c r="AW107" s="60">
        <f t="shared" si="24"/>
        <v>0</v>
      </c>
      <c r="AX107" s="60">
        <f t="shared" si="31"/>
        <v>0</v>
      </c>
      <c r="AY107" s="64">
        <f t="shared" si="32"/>
        <v>0</v>
      </c>
      <c r="AZ107" s="65">
        <f t="shared" si="25"/>
        <v>0</v>
      </c>
      <c r="BA107" s="65">
        <f t="shared" si="26"/>
        <v>0</v>
      </c>
    </row>
    <row r="108" spans="3:53" s="17" customFormat="1" x14ac:dyDescent="0.25">
      <c r="C108" s="194"/>
      <c r="D108" s="195"/>
      <c r="E108" s="90"/>
      <c r="F108" s="198"/>
      <c r="G108" s="214"/>
      <c r="H108" s="199"/>
      <c r="I108" s="78"/>
      <c r="J108" s="79"/>
      <c r="K108" s="78"/>
      <c r="L108" s="80"/>
      <c r="M108" s="80"/>
      <c r="N108" s="78" t="s">
        <v>39</v>
      </c>
      <c r="O108" s="113"/>
      <c r="P108" s="155"/>
      <c r="Q108" s="114" t="str">
        <f>IFERROR(MIN(VLOOKUP(ROUNDDOWN(P108,0),'Aide calcul'!$B$2:$C$282,2,FALSE),O108+1),"")</f>
        <v/>
      </c>
      <c r="R108" s="115" t="str">
        <f t="shared" si="27"/>
        <v/>
      </c>
      <c r="S108" s="155"/>
      <c r="T108" s="155"/>
      <c r="U108" s="155"/>
      <c r="V108" s="155"/>
      <c r="W108" s="155"/>
      <c r="X108" s="155"/>
      <c r="Y108" s="155"/>
      <c r="Z108" s="78"/>
      <c r="AA108" s="78"/>
      <c r="AB108" s="116" t="str">
        <f>IF(C108="3111. Logements",ROUND(VLOOKUP(C108,'Informations générales'!$C$66:$D$70,2,FALSE)*(AK108/$AL$27)/12,0)*12,IF(C108="3112. Logements",ROUND(VLOOKUP(C108,'Informations générales'!$C$66:$D$70,2,FALSE)*(AK108/$AM$27)/12,0)*12,IF(C108="3113. Logements",ROUND(VLOOKUP(C108,'Informations générales'!$C$66:$D$70,2,FALSE)*(AK108/$AN$27)/12,0)*12,IF(C108="3114. Logements",ROUND(VLOOKUP(C108,'Informations générales'!$C$66:$D$70,2,FALSE)*(AK108/$AO$27)/12,0)*12,IF(C108="3115. Logements",ROUND(VLOOKUP(C108,'Informations générales'!$C$66:$D$70,2,FALSE)*(AK108/$AP$27)/12,0)*12,"")))))</f>
        <v/>
      </c>
      <c r="AC108" s="117"/>
      <c r="AD108" s="116">
        <f t="shared" si="28"/>
        <v>0</v>
      </c>
      <c r="AE108" s="117"/>
      <c r="AF108" s="116" t="str">
        <f>IF(C108="3111. Logements",ROUND(VLOOKUP(C108,'Informations générales'!$C$66:$G$70,5,FALSE)*(AK108/$AL$27)/12,0)*12,IF(C108="3112. Logements",ROUND(VLOOKUP(C108,'Informations générales'!$C$66:$G$70,5,FALSE)*(AK108/$AM$27)/12,0)*12,IF(C108="3113. Logements",ROUND(VLOOKUP(C108,'Informations générales'!$C$66:$G$70,5,FALSE)*(AK108/$AN$27)/12,0)*12,IF(C108="3114. Logements",ROUND(VLOOKUP(C108,'Informations générales'!$C$66:$G$70,5,FALSE)*(AK108/$AO$27)/12,0)*12,IF(C108="3115. Logements",ROUND(VLOOKUP(C108,'Informations générales'!$C$66:$G$70,5,FALSE)*(AK108/$AP$27)/12,0)*12,"")))))</f>
        <v/>
      </c>
      <c r="AG108" s="117"/>
      <c r="AH108" s="116" t="str">
        <f t="shared" si="29"/>
        <v/>
      </c>
      <c r="AI108" s="92"/>
      <c r="AJ108" s="78"/>
      <c r="AK108" s="60">
        <f t="shared" si="30"/>
        <v>0</v>
      </c>
      <c r="AL108" s="60"/>
      <c r="AM108" s="60"/>
      <c r="AN108" s="60"/>
      <c r="AO108" s="60"/>
      <c r="AP108" s="60"/>
      <c r="AQ108" s="60">
        <f t="shared" si="18"/>
        <v>0</v>
      </c>
      <c r="AR108" s="60">
        <f t="shared" si="19"/>
        <v>0</v>
      </c>
      <c r="AS108" s="60">
        <f t="shared" si="20"/>
        <v>0</v>
      </c>
      <c r="AT108" s="60">
        <f t="shared" si="21"/>
        <v>0</v>
      </c>
      <c r="AU108" s="60">
        <f t="shared" si="22"/>
        <v>0</v>
      </c>
      <c r="AV108" s="60">
        <f t="shared" si="23"/>
        <v>0</v>
      </c>
      <c r="AW108" s="60">
        <f t="shared" si="24"/>
        <v>0</v>
      </c>
      <c r="AX108" s="60">
        <f t="shared" si="31"/>
        <v>0</v>
      </c>
      <c r="AY108" s="64">
        <f t="shared" si="32"/>
        <v>0</v>
      </c>
      <c r="AZ108" s="65">
        <f t="shared" si="25"/>
        <v>0</v>
      </c>
      <c r="BA108" s="65">
        <f t="shared" si="26"/>
        <v>0</v>
      </c>
    </row>
    <row r="109" spans="3:53" s="17" customFormat="1" x14ac:dyDescent="0.25">
      <c r="C109" s="194"/>
      <c r="D109" s="195"/>
      <c r="E109" s="90"/>
      <c r="F109" s="198"/>
      <c r="G109" s="214"/>
      <c r="H109" s="199"/>
      <c r="I109" s="78"/>
      <c r="J109" s="79"/>
      <c r="K109" s="78"/>
      <c r="L109" s="80"/>
      <c r="M109" s="80"/>
      <c r="N109" s="78" t="s">
        <v>39</v>
      </c>
      <c r="O109" s="113"/>
      <c r="P109" s="155"/>
      <c r="Q109" s="114" t="str">
        <f>IFERROR(MIN(VLOOKUP(ROUNDDOWN(P109,0),'Aide calcul'!$B$2:$C$282,2,FALSE),O109+1),"")</f>
        <v/>
      </c>
      <c r="R109" s="115" t="str">
        <f t="shared" si="27"/>
        <v/>
      </c>
      <c r="S109" s="155"/>
      <c r="T109" s="155"/>
      <c r="U109" s="155"/>
      <c r="V109" s="155"/>
      <c r="W109" s="155"/>
      <c r="X109" s="155"/>
      <c r="Y109" s="155"/>
      <c r="Z109" s="78"/>
      <c r="AA109" s="78"/>
      <c r="AB109" s="116" t="str">
        <f>IF(C109="3111. Logements",ROUND(VLOOKUP(C109,'Informations générales'!$C$66:$D$70,2,FALSE)*(AK109/$AL$27)/12,0)*12,IF(C109="3112. Logements",ROUND(VLOOKUP(C109,'Informations générales'!$C$66:$D$70,2,FALSE)*(AK109/$AM$27)/12,0)*12,IF(C109="3113. Logements",ROUND(VLOOKUP(C109,'Informations générales'!$C$66:$D$70,2,FALSE)*(AK109/$AN$27)/12,0)*12,IF(C109="3114. Logements",ROUND(VLOOKUP(C109,'Informations générales'!$C$66:$D$70,2,FALSE)*(AK109/$AO$27)/12,0)*12,IF(C109="3115. Logements",ROUND(VLOOKUP(C109,'Informations générales'!$C$66:$D$70,2,FALSE)*(AK109/$AP$27)/12,0)*12,"")))))</f>
        <v/>
      </c>
      <c r="AC109" s="117"/>
      <c r="AD109" s="116">
        <f t="shared" si="28"/>
        <v>0</v>
      </c>
      <c r="AE109" s="117"/>
      <c r="AF109" s="116" t="str">
        <f>IF(C109="3111. Logements",ROUND(VLOOKUP(C109,'Informations générales'!$C$66:$G$70,5,FALSE)*(AK109/$AL$27)/12,0)*12,IF(C109="3112. Logements",ROUND(VLOOKUP(C109,'Informations générales'!$C$66:$G$70,5,FALSE)*(AK109/$AM$27)/12,0)*12,IF(C109="3113. Logements",ROUND(VLOOKUP(C109,'Informations générales'!$C$66:$G$70,5,FALSE)*(AK109/$AN$27)/12,0)*12,IF(C109="3114. Logements",ROUND(VLOOKUP(C109,'Informations générales'!$C$66:$G$70,5,FALSE)*(AK109/$AO$27)/12,0)*12,IF(C109="3115. Logements",ROUND(VLOOKUP(C109,'Informations générales'!$C$66:$G$70,5,FALSE)*(AK109/$AP$27)/12,0)*12,"")))))</f>
        <v/>
      </c>
      <c r="AG109" s="117"/>
      <c r="AH109" s="116" t="str">
        <f t="shared" si="29"/>
        <v/>
      </c>
      <c r="AI109" s="92"/>
      <c r="AJ109" s="78"/>
      <c r="AK109" s="60">
        <f t="shared" si="30"/>
        <v>0</v>
      </c>
      <c r="AL109" s="60"/>
      <c r="AM109" s="60"/>
      <c r="AN109" s="60"/>
      <c r="AO109" s="60"/>
      <c r="AP109" s="60"/>
      <c r="AQ109" s="60">
        <f t="shared" si="18"/>
        <v>0</v>
      </c>
      <c r="AR109" s="60">
        <f t="shared" si="19"/>
        <v>0</v>
      </c>
      <c r="AS109" s="60">
        <f t="shared" si="20"/>
        <v>0</v>
      </c>
      <c r="AT109" s="60">
        <f t="shared" si="21"/>
        <v>0</v>
      </c>
      <c r="AU109" s="60">
        <f t="shared" si="22"/>
        <v>0</v>
      </c>
      <c r="AV109" s="60">
        <f t="shared" si="23"/>
        <v>0</v>
      </c>
      <c r="AW109" s="60">
        <f t="shared" si="24"/>
        <v>0</v>
      </c>
      <c r="AX109" s="60">
        <f t="shared" si="31"/>
        <v>0</v>
      </c>
      <c r="AY109" s="64">
        <f t="shared" si="32"/>
        <v>0</v>
      </c>
      <c r="AZ109" s="65">
        <f t="shared" si="25"/>
        <v>0</v>
      </c>
      <c r="BA109" s="65">
        <f t="shared" si="26"/>
        <v>0</v>
      </c>
    </row>
    <row r="110" spans="3:53" s="17" customFormat="1" x14ac:dyDescent="0.25">
      <c r="C110" s="194"/>
      <c r="D110" s="195"/>
      <c r="E110" s="90"/>
      <c r="F110" s="198"/>
      <c r="G110" s="214"/>
      <c r="H110" s="199"/>
      <c r="I110" s="78"/>
      <c r="J110" s="79"/>
      <c r="K110" s="78"/>
      <c r="L110" s="80"/>
      <c r="M110" s="80"/>
      <c r="N110" s="78" t="s">
        <v>39</v>
      </c>
      <c r="O110" s="113"/>
      <c r="P110" s="155"/>
      <c r="Q110" s="114" t="str">
        <f>IFERROR(MIN(VLOOKUP(ROUNDDOWN(P110,0),'Aide calcul'!$B$2:$C$282,2,FALSE),O110+1),"")</f>
        <v/>
      </c>
      <c r="R110" s="115" t="str">
        <f t="shared" si="27"/>
        <v/>
      </c>
      <c r="S110" s="155"/>
      <c r="T110" s="155"/>
      <c r="U110" s="155"/>
      <c r="V110" s="155"/>
      <c r="W110" s="155"/>
      <c r="X110" s="155"/>
      <c r="Y110" s="155"/>
      <c r="Z110" s="78"/>
      <c r="AA110" s="78"/>
      <c r="AB110" s="116" t="str">
        <f>IF(C110="3111. Logements",ROUND(VLOOKUP(C110,'Informations générales'!$C$66:$D$70,2,FALSE)*(AK110/$AL$27)/12,0)*12,IF(C110="3112. Logements",ROUND(VLOOKUP(C110,'Informations générales'!$C$66:$D$70,2,FALSE)*(AK110/$AM$27)/12,0)*12,IF(C110="3113. Logements",ROUND(VLOOKUP(C110,'Informations générales'!$C$66:$D$70,2,FALSE)*(AK110/$AN$27)/12,0)*12,IF(C110="3114. Logements",ROUND(VLOOKUP(C110,'Informations générales'!$C$66:$D$70,2,FALSE)*(AK110/$AO$27)/12,0)*12,IF(C110="3115. Logements",ROUND(VLOOKUP(C110,'Informations générales'!$C$66:$D$70,2,FALSE)*(AK110/$AP$27)/12,0)*12,"")))))</f>
        <v/>
      </c>
      <c r="AC110" s="117"/>
      <c r="AD110" s="116">
        <f t="shared" si="28"/>
        <v>0</v>
      </c>
      <c r="AE110" s="117"/>
      <c r="AF110" s="116" t="str">
        <f>IF(C110="3111. Logements",ROUND(VLOOKUP(C110,'Informations générales'!$C$66:$G$70,5,FALSE)*(AK110/$AL$27)/12,0)*12,IF(C110="3112. Logements",ROUND(VLOOKUP(C110,'Informations générales'!$C$66:$G$70,5,FALSE)*(AK110/$AM$27)/12,0)*12,IF(C110="3113. Logements",ROUND(VLOOKUP(C110,'Informations générales'!$C$66:$G$70,5,FALSE)*(AK110/$AN$27)/12,0)*12,IF(C110="3114. Logements",ROUND(VLOOKUP(C110,'Informations générales'!$C$66:$G$70,5,FALSE)*(AK110/$AO$27)/12,0)*12,IF(C110="3115. Logements",ROUND(VLOOKUP(C110,'Informations générales'!$C$66:$G$70,5,FALSE)*(AK110/$AP$27)/12,0)*12,"")))))</f>
        <v/>
      </c>
      <c r="AG110" s="117"/>
      <c r="AH110" s="116" t="str">
        <f t="shared" si="29"/>
        <v/>
      </c>
      <c r="AI110" s="92"/>
      <c r="AJ110" s="78"/>
      <c r="AK110" s="60">
        <f t="shared" si="30"/>
        <v>0</v>
      </c>
      <c r="AL110" s="60"/>
      <c r="AM110" s="60"/>
      <c r="AN110" s="60"/>
      <c r="AO110" s="60"/>
      <c r="AP110" s="60"/>
      <c r="AQ110" s="60">
        <f t="shared" si="18"/>
        <v>0</v>
      </c>
      <c r="AR110" s="60">
        <f t="shared" si="19"/>
        <v>0</v>
      </c>
      <c r="AS110" s="60">
        <f t="shared" si="20"/>
        <v>0</v>
      </c>
      <c r="AT110" s="60">
        <f t="shared" si="21"/>
        <v>0</v>
      </c>
      <c r="AU110" s="60">
        <f t="shared" si="22"/>
        <v>0</v>
      </c>
      <c r="AV110" s="60">
        <f t="shared" si="23"/>
        <v>0</v>
      </c>
      <c r="AW110" s="60">
        <f t="shared" si="24"/>
        <v>0</v>
      </c>
      <c r="AX110" s="60">
        <f t="shared" si="31"/>
        <v>0</v>
      </c>
      <c r="AY110" s="64">
        <f t="shared" si="32"/>
        <v>0</v>
      </c>
      <c r="AZ110" s="65">
        <f t="shared" si="25"/>
        <v>0</v>
      </c>
      <c r="BA110" s="65">
        <f t="shared" si="26"/>
        <v>0</v>
      </c>
    </row>
    <row r="111" spans="3:53" s="17" customFormat="1" x14ac:dyDescent="0.25">
      <c r="C111" s="194"/>
      <c r="D111" s="195"/>
      <c r="E111" s="90"/>
      <c r="F111" s="198"/>
      <c r="G111" s="214"/>
      <c r="H111" s="199"/>
      <c r="I111" s="78"/>
      <c r="J111" s="79"/>
      <c r="K111" s="78"/>
      <c r="L111" s="80"/>
      <c r="M111" s="80"/>
      <c r="N111" s="78" t="s">
        <v>39</v>
      </c>
      <c r="O111" s="113"/>
      <c r="P111" s="155"/>
      <c r="Q111" s="114" t="str">
        <f>IFERROR(MIN(VLOOKUP(ROUNDDOWN(P111,0),'Aide calcul'!$B$2:$C$282,2,FALSE),O111+1),"")</f>
        <v/>
      </c>
      <c r="R111" s="115" t="str">
        <f t="shared" si="27"/>
        <v/>
      </c>
      <c r="S111" s="155"/>
      <c r="T111" s="155"/>
      <c r="U111" s="155"/>
      <c r="V111" s="155"/>
      <c r="W111" s="155"/>
      <c r="X111" s="155"/>
      <c r="Y111" s="155"/>
      <c r="Z111" s="78"/>
      <c r="AA111" s="78"/>
      <c r="AB111" s="116" t="str">
        <f>IF(C111="3111. Logements",ROUND(VLOOKUP(C111,'Informations générales'!$C$66:$D$70,2,FALSE)*(AK111/$AL$27)/12,0)*12,IF(C111="3112. Logements",ROUND(VLOOKUP(C111,'Informations générales'!$C$66:$D$70,2,FALSE)*(AK111/$AM$27)/12,0)*12,IF(C111="3113. Logements",ROUND(VLOOKUP(C111,'Informations générales'!$C$66:$D$70,2,FALSE)*(AK111/$AN$27)/12,0)*12,IF(C111="3114. Logements",ROUND(VLOOKUP(C111,'Informations générales'!$C$66:$D$70,2,FALSE)*(AK111/$AO$27)/12,0)*12,IF(C111="3115. Logements",ROUND(VLOOKUP(C111,'Informations générales'!$C$66:$D$70,2,FALSE)*(AK111/$AP$27)/12,0)*12,"")))))</f>
        <v/>
      </c>
      <c r="AC111" s="117"/>
      <c r="AD111" s="116">
        <f t="shared" si="28"/>
        <v>0</v>
      </c>
      <c r="AE111" s="117"/>
      <c r="AF111" s="116" t="str">
        <f>IF(C111="3111. Logements",ROUND(VLOOKUP(C111,'Informations générales'!$C$66:$G$70,5,FALSE)*(AK111/$AL$27)/12,0)*12,IF(C111="3112. Logements",ROUND(VLOOKUP(C111,'Informations générales'!$C$66:$G$70,5,FALSE)*(AK111/$AM$27)/12,0)*12,IF(C111="3113. Logements",ROUND(VLOOKUP(C111,'Informations générales'!$C$66:$G$70,5,FALSE)*(AK111/$AN$27)/12,0)*12,IF(C111="3114. Logements",ROUND(VLOOKUP(C111,'Informations générales'!$C$66:$G$70,5,FALSE)*(AK111/$AO$27)/12,0)*12,IF(C111="3115. Logements",ROUND(VLOOKUP(C111,'Informations générales'!$C$66:$G$70,5,FALSE)*(AK111/$AP$27)/12,0)*12,"")))))</f>
        <v/>
      </c>
      <c r="AG111" s="117"/>
      <c r="AH111" s="116" t="str">
        <f t="shared" si="29"/>
        <v/>
      </c>
      <c r="AI111" s="92"/>
      <c r="AJ111" s="78"/>
      <c r="AK111" s="60">
        <f t="shared" si="30"/>
        <v>0</v>
      </c>
      <c r="AL111" s="60"/>
      <c r="AM111" s="60"/>
      <c r="AN111" s="60"/>
      <c r="AO111" s="60"/>
      <c r="AP111" s="60"/>
      <c r="AQ111" s="60">
        <f t="shared" si="18"/>
        <v>0</v>
      </c>
      <c r="AR111" s="60">
        <f t="shared" si="19"/>
        <v>0</v>
      </c>
      <c r="AS111" s="60">
        <f t="shared" si="20"/>
        <v>0</v>
      </c>
      <c r="AT111" s="60">
        <f t="shared" si="21"/>
        <v>0</v>
      </c>
      <c r="AU111" s="60">
        <f t="shared" si="22"/>
        <v>0</v>
      </c>
      <c r="AV111" s="60">
        <f t="shared" si="23"/>
        <v>0</v>
      </c>
      <c r="AW111" s="60">
        <f t="shared" si="24"/>
        <v>0</v>
      </c>
      <c r="AX111" s="60">
        <f t="shared" si="31"/>
        <v>0</v>
      </c>
      <c r="AY111" s="64">
        <f t="shared" si="32"/>
        <v>0</v>
      </c>
      <c r="AZ111" s="65">
        <f t="shared" si="25"/>
        <v>0</v>
      </c>
      <c r="BA111" s="65">
        <f t="shared" si="26"/>
        <v>0</v>
      </c>
    </row>
    <row r="112" spans="3:53" s="17" customFormat="1" x14ac:dyDescent="0.25">
      <c r="C112" s="194"/>
      <c r="D112" s="195"/>
      <c r="E112" s="90"/>
      <c r="F112" s="198"/>
      <c r="G112" s="214"/>
      <c r="H112" s="199"/>
      <c r="I112" s="78"/>
      <c r="J112" s="79"/>
      <c r="K112" s="78"/>
      <c r="L112" s="80"/>
      <c r="M112" s="80"/>
      <c r="N112" s="78" t="s">
        <v>39</v>
      </c>
      <c r="O112" s="113"/>
      <c r="P112" s="155"/>
      <c r="Q112" s="114" t="str">
        <f>IFERROR(MIN(VLOOKUP(ROUNDDOWN(P112,0),'Aide calcul'!$B$2:$C$282,2,FALSE),O112+1),"")</f>
        <v/>
      </c>
      <c r="R112" s="115" t="str">
        <f t="shared" si="27"/>
        <v/>
      </c>
      <c r="S112" s="155"/>
      <c r="T112" s="155"/>
      <c r="U112" s="155"/>
      <c r="V112" s="155"/>
      <c r="W112" s="155"/>
      <c r="X112" s="155"/>
      <c r="Y112" s="155"/>
      <c r="Z112" s="78"/>
      <c r="AA112" s="78"/>
      <c r="AB112" s="116" t="str">
        <f>IF(C112="3111. Logements",ROUND(VLOOKUP(C112,'Informations générales'!$C$66:$D$70,2,FALSE)*(AK112/$AL$27)/12,0)*12,IF(C112="3112. Logements",ROUND(VLOOKUP(C112,'Informations générales'!$C$66:$D$70,2,FALSE)*(AK112/$AM$27)/12,0)*12,IF(C112="3113. Logements",ROUND(VLOOKUP(C112,'Informations générales'!$C$66:$D$70,2,FALSE)*(AK112/$AN$27)/12,0)*12,IF(C112="3114. Logements",ROUND(VLOOKUP(C112,'Informations générales'!$C$66:$D$70,2,FALSE)*(AK112/$AO$27)/12,0)*12,IF(C112="3115. Logements",ROUND(VLOOKUP(C112,'Informations générales'!$C$66:$D$70,2,FALSE)*(AK112/$AP$27)/12,0)*12,"")))))</f>
        <v/>
      </c>
      <c r="AC112" s="117"/>
      <c r="AD112" s="116">
        <f t="shared" si="28"/>
        <v>0</v>
      </c>
      <c r="AE112" s="117"/>
      <c r="AF112" s="116" t="str">
        <f>IF(C112="3111. Logements",ROUND(VLOOKUP(C112,'Informations générales'!$C$66:$G$70,5,FALSE)*(AK112/$AL$27)/12,0)*12,IF(C112="3112. Logements",ROUND(VLOOKUP(C112,'Informations générales'!$C$66:$G$70,5,FALSE)*(AK112/$AM$27)/12,0)*12,IF(C112="3113. Logements",ROUND(VLOOKUP(C112,'Informations générales'!$C$66:$G$70,5,FALSE)*(AK112/$AN$27)/12,0)*12,IF(C112="3114. Logements",ROUND(VLOOKUP(C112,'Informations générales'!$C$66:$G$70,5,FALSE)*(AK112/$AO$27)/12,0)*12,IF(C112="3115. Logements",ROUND(VLOOKUP(C112,'Informations générales'!$C$66:$G$70,5,FALSE)*(AK112/$AP$27)/12,0)*12,"")))))</f>
        <v/>
      </c>
      <c r="AG112" s="117"/>
      <c r="AH112" s="116" t="str">
        <f t="shared" si="29"/>
        <v/>
      </c>
      <c r="AI112" s="92"/>
      <c r="AJ112" s="78"/>
      <c r="AK112" s="60">
        <f t="shared" si="30"/>
        <v>0</v>
      </c>
      <c r="AL112" s="60"/>
      <c r="AM112" s="60"/>
      <c r="AN112" s="60"/>
      <c r="AO112" s="60"/>
      <c r="AP112" s="60"/>
      <c r="AQ112" s="60">
        <f t="shared" si="18"/>
        <v>0</v>
      </c>
      <c r="AR112" s="60">
        <f t="shared" si="19"/>
        <v>0</v>
      </c>
      <c r="AS112" s="60">
        <f t="shared" si="20"/>
        <v>0</v>
      </c>
      <c r="AT112" s="60">
        <f t="shared" si="21"/>
        <v>0</v>
      </c>
      <c r="AU112" s="60">
        <f t="shared" si="22"/>
        <v>0</v>
      </c>
      <c r="AV112" s="60">
        <f t="shared" si="23"/>
        <v>0</v>
      </c>
      <c r="AW112" s="60">
        <f t="shared" si="24"/>
        <v>0</v>
      </c>
      <c r="AX112" s="60">
        <f t="shared" si="31"/>
        <v>0</v>
      </c>
      <c r="AY112" s="64">
        <f t="shared" si="32"/>
        <v>0</v>
      </c>
      <c r="AZ112" s="65">
        <f t="shared" si="25"/>
        <v>0</v>
      </c>
      <c r="BA112" s="65">
        <f t="shared" si="26"/>
        <v>0</v>
      </c>
    </row>
    <row r="113" spans="3:53" s="17" customFormat="1" x14ac:dyDescent="0.25">
      <c r="C113" s="194"/>
      <c r="D113" s="195"/>
      <c r="E113" s="90"/>
      <c r="F113" s="198"/>
      <c r="G113" s="214"/>
      <c r="H113" s="199"/>
      <c r="I113" s="78"/>
      <c r="J113" s="79"/>
      <c r="K113" s="78"/>
      <c r="L113" s="80"/>
      <c r="M113" s="80"/>
      <c r="N113" s="78" t="s">
        <v>39</v>
      </c>
      <c r="O113" s="113"/>
      <c r="P113" s="155"/>
      <c r="Q113" s="114" t="str">
        <f>IFERROR(MIN(VLOOKUP(ROUNDDOWN(P113,0),'Aide calcul'!$B$2:$C$282,2,FALSE),O113+1),"")</f>
        <v/>
      </c>
      <c r="R113" s="115" t="str">
        <f t="shared" si="27"/>
        <v/>
      </c>
      <c r="S113" s="155"/>
      <c r="T113" s="155"/>
      <c r="U113" s="155"/>
      <c r="V113" s="155"/>
      <c r="W113" s="155"/>
      <c r="X113" s="155"/>
      <c r="Y113" s="155"/>
      <c r="Z113" s="78"/>
      <c r="AA113" s="78"/>
      <c r="AB113" s="116" t="str">
        <f>IF(C113="3111. Logements",ROUND(VLOOKUP(C113,'Informations générales'!$C$66:$D$70,2,FALSE)*(AK113/$AL$27)/12,0)*12,IF(C113="3112. Logements",ROUND(VLOOKUP(C113,'Informations générales'!$C$66:$D$70,2,FALSE)*(AK113/$AM$27)/12,0)*12,IF(C113="3113. Logements",ROUND(VLOOKUP(C113,'Informations générales'!$C$66:$D$70,2,FALSE)*(AK113/$AN$27)/12,0)*12,IF(C113="3114. Logements",ROUND(VLOOKUP(C113,'Informations générales'!$C$66:$D$70,2,FALSE)*(AK113/$AO$27)/12,0)*12,IF(C113="3115. Logements",ROUND(VLOOKUP(C113,'Informations générales'!$C$66:$D$70,2,FALSE)*(AK113/$AP$27)/12,0)*12,"")))))</f>
        <v/>
      </c>
      <c r="AC113" s="117"/>
      <c r="AD113" s="116">
        <f t="shared" si="28"/>
        <v>0</v>
      </c>
      <c r="AE113" s="117"/>
      <c r="AF113" s="116" t="str">
        <f>IF(C113="3111. Logements",ROUND(VLOOKUP(C113,'Informations générales'!$C$66:$G$70,5,FALSE)*(AK113/$AL$27)/12,0)*12,IF(C113="3112. Logements",ROUND(VLOOKUP(C113,'Informations générales'!$C$66:$G$70,5,FALSE)*(AK113/$AM$27)/12,0)*12,IF(C113="3113. Logements",ROUND(VLOOKUP(C113,'Informations générales'!$C$66:$G$70,5,FALSE)*(AK113/$AN$27)/12,0)*12,IF(C113="3114. Logements",ROUND(VLOOKUP(C113,'Informations générales'!$C$66:$G$70,5,FALSE)*(AK113/$AO$27)/12,0)*12,IF(C113="3115. Logements",ROUND(VLOOKUP(C113,'Informations générales'!$C$66:$G$70,5,FALSE)*(AK113/$AP$27)/12,0)*12,"")))))</f>
        <v/>
      </c>
      <c r="AG113" s="117"/>
      <c r="AH113" s="116" t="str">
        <f t="shared" si="29"/>
        <v/>
      </c>
      <c r="AI113" s="92"/>
      <c r="AJ113" s="78"/>
      <c r="AK113" s="60">
        <f t="shared" si="30"/>
        <v>0</v>
      </c>
      <c r="AL113" s="60"/>
      <c r="AM113" s="60"/>
      <c r="AN113" s="60"/>
      <c r="AO113" s="60"/>
      <c r="AP113" s="60"/>
      <c r="AQ113" s="60">
        <f t="shared" si="18"/>
        <v>0</v>
      </c>
      <c r="AR113" s="60">
        <f t="shared" si="19"/>
        <v>0</v>
      </c>
      <c r="AS113" s="60">
        <f t="shared" si="20"/>
        <v>0</v>
      </c>
      <c r="AT113" s="60">
        <f t="shared" si="21"/>
        <v>0</v>
      </c>
      <c r="AU113" s="60">
        <f t="shared" si="22"/>
        <v>0</v>
      </c>
      <c r="AV113" s="60">
        <f t="shared" si="23"/>
        <v>0</v>
      </c>
      <c r="AW113" s="60">
        <f t="shared" si="24"/>
        <v>0</v>
      </c>
      <c r="AX113" s="60">
        <f t="shared" si="31"/>
        <v>0</v>
      </c>
      <c r="AY113" s="64">
        <f t="shared" si="32"/>
        <v>0</v>
      </c>
      <c r="AZ113" s="65">
        <f t="shared" si="25"/>
        <v>0</v>
      </c>
      <c r="BA113" s="65">
        <f t="shared" si="26"/>
        <v>0</v>
      </c>
    </row>
    <row r="114" spans="3:53" s="17" customFormat="1" x14ac:dyDescent="0.25">
      <c r="C114" s="194"/>
      <c r="D114" s="195"/>
      <c r="E114" s="90"/>
      <c r="F114" s="198"/>
      <c r="G114" s="214"/>
      <c r="H114" s="199"/>
      <c r="I114" s="78"/>
      <c r="J114" s="79"/>
      <c r="K114" s="78"/>
      <c r="L114" s="80"/>
      <c r="M114" s="80"/>
      <c r="N114" s="78" t="s">
        <v>39</v>
      </c>
      <c r="O114" s="113"/>
      <c r="P114" s="155"/>
      <c r="Q114" s="114" t="str">
        <f>IFERROR(MIN(VLOOKUP(ROUNDDOWN(P114,0),'Aide calcul'!$B$2:$C$282,2,FALSE),O114+1),"")</f>
        <v/>
      </c>
      <c r="R114" s="115" t="str">
        <f t="shared" si="27"/>
        <v/>
      </c>
      <c r="S114" s="155"/>
      <c r="T114" s="155"/>
      <c r="U114" s="155"/>
      <c r="V114" s="155"/>
      <c r="W114" s="155"/>
      <c r="X114" s="155"/>
      <c r="Y114" s="155"/>
      <c r="Z114" s="78"/>
      <c r="AA114" s="78"/>
      <c r="AB114" s="116" t="str">
        <f>IF(C114="3111. Logements",ROUND(VLOOKUP(C114,'Informations générales'!$C$66:$D$70,2,FALSE)*(AK114/$AL$27)/12,0)*12,IF(C114="3112. Logements",ROUND(VLOOKUP(C114,'Informations générales'!$C$66:$D$70,2,FALSE)*(AK114/$AM$27)/12,0)*12,IF(C114="3113. Logements",ROUND(VLOOKUP(C114,'Informations générales'!$C$66:$D$70,2,FALSE)*(AK114/$AN$27)/12,0)*12,IF(C114="3114. Logements",ROUND(VLOOKUP(C114,'Informations générales'!$C$66:$D$70,2,FALSE)*(AK114/$AO$27)/12,0)*12,IF(C114="3115. Logements",ROUND(VLOOKUP(C114,'Informations générales'!$C$66:$D$70,2,FALSE)*(AK114/$AP$27)/12,0)*12,"")))))</f>
        <v/>
      </c>
      <c r="AC114" s="117"/>
      <c r="AD114" s="116">
        <f t="shared" si="28"/>
        <v>0</v>
      </c>
      <c r="AE114" s="117"/>
      <c r="AF114" s="116" t="str">
        <f>IF(C114="3111. Logements",ROUND(VLOOKUP(C114,'Informations générales'!$C$66:$G$70,5,FALSE)*(AK114/$AL$27)/12,0)*12,IF(C114="3112. Logements",ROUND(VLOOKUP(C114,'Informations générales'!$C$66:$G$70,5,FALSE)*(AK114/$AM$27)/12,0)*12,IF(C114="3113. Logements",ROUND(VLOOKUP(C114,'Informations générales'!$C$66:$G$70,5,FALSE)*(AK114/$AN$27)/12,0)*12,IF(C114="3114. Logements",ROUND(VLOOKUP(C114,'Informations générales'!$C$66:$G$70,5,FALSE)*(AK114/$AO$27)/12,0)*12,IF(C114="3115. Logements",ROUND(VLOOKUP(C114,'Informations générales'!$C$66:$G$70,5,FALSE)*(AK114/$AP$27)/12,0)*12,"")))))</f>
        <v/>
      </c>
      <c r="AG114" s="117"/>
      <c r="AH114" s="116" t="str">
        <f t="shared" si="29"/>
        <v/>
      </c>
      <c r="AI114" s="92"/>
      <c r="AJ114" s="78"/>
      <c r="AK114" s="60">
        <f t="shared" si="30"/>
        <v>0</v>
      </c>
      <c r="AL114" s="60"/>
      <c r="AM114" s="60"/>
      <c r="AN114" s="60"/>
      <c r="AO114" s="60"/>
      <c r="AP114" s="60"/>
      <c r="AQ114" s="60">
        <f t="shared" si="18"/>
        <v>0</v>
      </c>
      <c r="AR114" s="60">
        <f t="shared" si="19"/>
        <v>0</v>
      </c>
      <c r="AS114" s="60">
        <f t="shared" si="20"/>
        <v>0</v>
      </c>
      <c r="AT114" s="60">
        <f t="shared" si="21"/>
        <v>0</v>
      </c>
      <c r="AU114" s="60">
        <f t="shared" si="22"/>
        <v>0</v>
      </c>
      <c r="AV114" s="60">
        <f t="shared" si="23"/>
        <v>0</v>
      </c>
      <c r="AW114" s="60">
        <f t="shared" si="24"/>
        <v>0</v>
      </c>
      <c r="AX114" s="60">
        <f t="shared" si="31"/>
        <v>0</v>
      </c>
      <c r="AY114" s="64">
        <f t="shared" si="32"/>
        <v>0</v>
      </c>
      <c r="AZ114" s="65">
        <f t="shared" si="25"/>
        <v>0</v>
      </c>
      <c r="BA114" s="65">
        <f t="shared" si="26"/>
        <v>0</v>
      </c>
    </row>
    <row r="115" spans="3:53" s="17" customFormat="1" x14ac:dyDescent="0.25">
      <c r="C115" s="194"/>
      <c r="D115" s="195"/>
      <c r="E115" s="90"/>
      <c r="F115" s="198"/>
      <c r="G115" s="214"/>
      <c r="H115" s="199"/>
      <c r="I115" s="78"/>
      <c r="J115" s="79"/>
      <c r="K115" s="78"/>
      <c r="L115" s="80"/>
      <c r="M115" s="80"/>
      <c r="N115" s="78" t="s">
        <v>39</v>
      </c>
      <c r="O115" s="113"/>
      <c r="P115" s="155"/>
      <c r="Q115" s="114" t="str">
        <f>IFERROR(MIN(VLOOKUP(ROUNDDOWN(P115,0),'Aide calcul'!$B$2:$C$282,2,FALSE),O115+1),"")</f>
        <v/>
      </c>
      <c r="R115" s="115" t="str">
        <f t="shared" si="27"/>
        <v/>
      </c>
      <c r="S115" s="155"/>
      <c r="T115" s="155"/>
      <c r="U115" s="155"/>
      <c r="V115" s="155"/>
      <c r="W115" s="155"/>
      <c r="X115" s="155"/>
      <c r="Y115" s="155"/>
      <c r="Z115" s="78"/>
      <c r="AA115" s="78"/>
      <c r="AB115" s="116" t="str">
        <f>IF(C115="3111. Logements",ROUND(VLOOKUP(C115,'Informations générales'!$C$66:$D$70,2,FALSE)*(AK115/$AL$27)/12,0)*12,IF(C115="3112. Logements",ROUND(VLOOKUP(C115,'Informations générales'!$C$66:$D$70,2,FALSE)*(AK115/$AM$27)/12,0)*12,IF(C115="3113. Logements",ROUND(VLOOKUP(C115,'Informations générales'!$C$66:$D$70,2,FALSE)*(AK115/$AN$27)/12,0)*12,IF(C115="3114. Logements",ROUND(VLOOKUP(C115,'Informations générales'!$C$66:$D$70,2,FALSE)*(AK115/$AO$27)/12,0)*12,IF(C115="3115. Logements",ROUND(VLOOKUP(C115,'Informations générales'!$C$66:$D$70,2,FALSE)*(AK115/$AP$27)/12,0)*12,"")))))</f>
        <v/>
      </c>
      <c r="AC115" s="117"/>
      <c r="AD115" s="116">
        <f t="shared" si="28"/>
        <v>0</v>
      </c>
      <c r="AE115" s="117"/>
      <c r="AF115" s="116" t="str">
        <f>IF(C115="3111. Logements",ROUND(VLOOKUP(C115,'Informations générales'!$C$66:$G$70,5,FALSE)*(AK115/$AL$27)/12,0)*12,IF(C115="3112. Logements",ROUND(VLOOKUP(C115,'Informations générales'!$C$66:$G$70,5,FALSE)*(AK115/$AM$27)/12,0)*12,IF(C115="3113. Logements",ROUND(VLOOKUP(C115,'Informations générales'!$C$66:$G$70,5,FALSE)*(AK115/$AN$27)/12,0)*12,IF(C115="3114. Logements",ROUND(VLOOKUP(C115,'Informations générales'!$C$66:$G$70,5,FALSE)*(AK115/$AO$27)/12,0)*12,IF(C115="3115. Logements",ROUND(VLOOKUP(C115,'Informations générales'!$C$66:$G$70,5,FALSE)*(AK115/$AP$27)/12,0)*12,"")))))</f>
        <v/>
      </c>
      <c r="AG115" s="117"/>
      <c r="AH115" s="116" t="str">
        <f t="shared" si="29"/>
        <v/>
      </c>
      <c r="AI115" s="92"/>
      <c r="AJ115" s="78"/>
      <c r="AK115" s="60">
        <f t="shared" si="30"/>
        <v>0</v>
      </c>
      <c r="AL115" s="60"/>
      <c r="AM115" s="60"/>
      <c r="AN115" s="60"/>
      <c r="AO115" s="60"/>
      <c r="AP115" s="60"/>
      <c r="AQ115" s="60">
        <f t="shared" si="18"/>
        <v>0</v>
      </c>
      <c r="AR115" s="60">
        <f t="shared" si="19"/>
        <v>0</v>
      </c>
      <c r="AS115" s="60">
        <f t="shared" si="20"/>
        <v>0</v>
      </c>
      <c r="AT115" s="60">
        <f t="shared" si="21"/>
        <v>0</v>
      </c>
      <c r="AU115" s="60">
        <f t="shared" si="22"/>
        <v>0</v>
      </c>
      <c r="AV115" s="60">
        <f t="shared" si="23"/>
        <v>0</v>
      </c>
      <c r="AW115" s="60">
        <f t="shared" si="24"/>
        <v>0</v>
      </c>
      <c r="AX115" s="60">
        <f t="shared" si="31"/>
        <v>0</v>
      </c>
      <c r="AY115" s="64">
        <f t="shared" si="32"/>
        <v>0</v>
      </c>
      <c r="AZ115" s="65">
        <f t="shared" si="25"/>
        <v>0</v>
      </c>
      <c r="BA115" s="65">
        <f t="shared" si="26"/>
        <v>0</v>
      </c>
    </row>
    <row r="116" spans="3:53" s="17" customFormat="1" x14ac:dyDescent="0.25">
      <c r="C116" s="194"/>
      <c r="D116" s="195"/>
      <c r="E116" s="90"/>
      <c r="F116" s="198"/>
      <c r="G116" s="214"/>
      <c r="H116" s="199"/>
      <c r="I116" s="78"/>
      <c r="J116" s="79"/>
      <c r="K116" s="78"/>
      <c r="L116" s="80"/>
      <c r="M116" s="80"/>
      <c r="N116" s="78" t="s">
        <v>39</v>
      </c>
      <c r="O116" s="113"/>
      <c r="P116" s="155"/>
      <c r="Q116" s="114" t="str">
        <f>IFERROR(MIN(VLOOKUP(ROUNDDOWN(P116,0),'Aide calcul'!$B$2:$C$282,2,FALSE),O116+1),"")</f>
        <v/>
      </c>
      <c r="R116" s="115" t="str">
        <f t="shared" si="27"/>
        <v/>
      </c>
      <c r="S116" s="155"/>
      <c r="T116" s="155"/>
      <c r="U116" s="155"/>
      <c r="V116" s="155"/>
      <c r="W116" s="155"/>
      <c r="X116" s="155"/>
      <c r="Y116" s="155"/>
      <c r="Z116" s="78"/>
      <c r="AA116" s="78"/>
      <c r="AB116" s="116" t="str">
        <f>IF(C116="3111. Logements",ROUND(VLOOKUP(C116,'Informations générales'!$C$66:$D$70,2,FALSE)*(AK116/$AL$27)/12,0)*12,IF(C116="3112. Logements",ROUND(VLOOKUP(C116,'Informations générales'!$C$66:$D$70,2,FALSE)*(AK116/$AM$27)/12,0)*12,IF(C116="3113. Logements",ROUND(VLOOKUP(C116,'Informations générales'!$C$66:$D$70,2,FALSE)*(AK116/$AN$27)/12,0)*12,IF(C116="3114. Logements",ROUND(VLOOKUP(C116,'Informations générales'!$C$66:$D$70,2,FALSE)*(AK116/$AO$27)/12,0)*12,IF(C116="3115. Logements",ROUND(VLOOKUP(C116,'Informations générales'!$C$66:$D$70,2,FALSE)*(AK116/$AP$27)/12,0)*12,"")))))</f>
        <v/>
      </c>
      <c r="AC116" s="117"/>
      <c r="AD116" s="116">
        <f t="shared" si="28"/>
        <v>0</v>
      </c>
      <c r="AE116" s="117"/>
      <c r="AF116" s="116" t="str">
        <f>IF(C116="3111. Logements",ROUND(VLOOKUP(C116,'Informations générales'!$C$66:$G$70,5,FALSE)*(AK116/$AL$27)/12,0)*12,IF(C116="3112. Logements",ROUND(VLOOKUP(C116,'Informations générales'!$C$66:$G$70,5,FALSE)*(AK116/$AM$27)/12,0)*12,IF(C116="3113. Logements",ROUND(VLOOKUP(C116,'Informations générales'!$C$66:$G$70,5,FALSE)*(AK116/$AN$27)/12,0)*12,IF(C116="3114. Logements",ROUND(VLOOKUP(C116,'Informations générales'!$C$66:$G$70,5,FALSE)*(AK116/$AO$27)/12,0)*12,IF(C116="3115. Logements",ROUND(VLOOKUP(C116,'Informations générales'!$C$66:$G$70,5,FALSE)*(AK116/$AP$27)/12,0)*12,"")))))</f>
        <v/>
      </c>
      <c r="AG116" s="117"/>
      <c r="AH116" s="116" t="str">
        <f t="shared" si="29"/>
        <v/>
      </c>
      <c r="AI116" s="92"/>
      <c r="AJ116" s="78"/>
      <c r="AK116" s="60">
        <f t="shared" si="30"/>
        <v>0</v>
      </c>
      <c r="AL116" s="60"/>
      <c r="AM116" s="60"/>
      <c r="AN116" s="60"/>
      <c r="AO116" s="60"/>
      <c r="AP116" s="60"/>
      <c r="AQ116" s="60">
        <f t="shared" si="18"/>
        <v>0</v>
      </c>
      <c r="AR116" s="60">
        <f t="shared" si="19"/>
        <v>0</v>
      </c>
      <c r="AS116" s="60">
        <f t="shared" si="20"/>
        <v>0</v>
      </c>
      <c r="AT116" s="60">
        <f t="shared" si="21"/>
        <v>0</v>
      </c>
      <c r="AU116" s="60">
        <f t="shared" si="22"/>
        <v>0</v>
      </c>
      <c r="AV116" s="60">
        <f t="shared" si="23"/>
        <v>0</v>
      </c>
      <c r="AW116" s="60">
        <f t="shared" si="24"/>
        <v>0</v>
      </c>
      <c r="AX116" s="60">
        <f t="shared" si="31"/>
        <v>0</v>
      </c>
      <c r="AY116" s="64">
        <f t="shared" si="32"/>
        <v>0</v>
      </c>
      <c r="AZ116" s="65">
        <f t="shared" si="25"/>
        <v>0</v>
      </c>
      <c r="BA116" s="65">
        <f t="shared" si="26"/>
        <v>0</v>
      </c>
    </row>
    <row r="117" spans="3:53" s="17" customFormat="1" x14ac:dyDescent="0.25">
      <c r="C117" s="194"/>
      <c r="D117" s="195"/>
      <c r="E117" s="90"/>
      <c r="F117" s="198"/>
      <c r="G117" s="214"/>
      <c r="H117" s="199"/>
      <c r="I117" s="78"/>
      <c r="J117" s="79"/>
      <c r="K117" s="78"/>
      <c r="L117" s="80"/>
      <c r="M117" s="80"/>
      <c r="N117" s="78" t="s">
        <v>39</v>
      </c>
      <c r="O117" s="113"/>
      <c r="P117" s="155"/>
      <c r="Q117" s="114" t="str">
        <f>IFERROR(MIN(VLOOKUP(ROUNDDOWN(P117,0),'Aide calcul'!$B$2:$C$282,2,FALSE),O117+1),"")</f>
        <v/>
      </c>
      <c r="R117" s="115" t="str">
        <f t="shared" si="27"/>
        <v/>
      </c>
      <c r="S117" s="155"/>
      <c r="T117" s="155"/>
      <c r="U117" s="155"/>
      <c r="V117" s="155"/>
      <c r="W117" s="155"/>
      <c r="X117" s="155"/>
      <c r="Y117" s="155"/>
      <c r="Z117" s="78"/>
      <c r="AA117" s="78"/>
      <c r="AB117" s="116" t="str">
        <f>IF(C117="3111. Logements",ROUND(VLOOKUP(C117,'Informations générales'!$C$66:$D$70,2,FALSE)*(AK117/$AL$27)/12,0)*12,IF(C117="3112. Logements",ROUND(VLOOKUP(C117,'Informations générales'!$C$66:$D$70,2,FALSE)*(AK117/$AM$27)/12,0)*12,IF(C117="3113. Logements",ROUND(VLOOKUP(C117,'Informations générales'!$C$66:$D$70,2,FALSE)*(AK117/$AN$27)/12,0)*12,IF(C117="3114. Logements",ROUND(VLOOKUP(C117,'Informations générales'!$C$66:$D$70,2,FALSE)*(AK117/$AO$27)/12,0)*12,IF(C117="3115. Logements",ROUND(VLOOKUP(C117,'Informations générales'!$C$66:$D$70,2,FALSE)*(AK117/$AP$27)/12,0)*12,"")))))</f>
        <v/>
      </c>
      <c r="AC117" s="117"/>
      <c r="AD117" s="116">
        <f t="shared" si="28"/>
        <v>0</v>
      </c>
      <c r="AE117" s="117"/>
      <c r="AF117" s="116" t="str">
        <f>IF(C117="3111. Logements",ROUND(VLOOKUP(C117,'Informations générales'!$C$66:$G$70,5,FALSE)*(AK117/$AL$27)/12,0)*12,IF(C117="3112. Logements",ROUND(VLOOKUP(C117,'Informations générales'!$C$66:$G$70,5,FALSE)*(AK117/$AM$27)/12,0)*12,IF(C117="3113. Logements",ROUND(VLOOKUP(C117,'Informations générales'!$C$66:$G$70,5,FALSE)*(AK117/$AN$27)/12,0)*12,IF(C117="3114. Logements",ROUND(VLOOKUP(C117,'Informations générales'!$C$66:$G$70,5,FALSE)*(AK117/$AO$27)/12,0)*12,IF(C117="3115. Logements",ROUND(VLOOKUP(C117,'Informations générales'!$C$66:$G$70,5,FALSE)*(AK117/$AP$27)/12,0)*12,"")))))</f>
        <v/>
      </c>
      <c r="AG117" s="117"/>
      <c r="AH117" s="116" t="str">
        <f t="shared" si="29"/>
        <v/>
      </c>
      <c r="AI117" s="92"/>
      <c r="AJ117" s="78"/>
      <c r="AK117" s="60">
        <f t="shared" si="30"/>
        <v>0</v>
      </c>
      <c r="AL117" s="60"/>
      <c r="AM117" s="60"/>
      <c r="AN117" s="60"/>
      <c r="AO117" s="60"/>
      <c r="AP117" s="60"/>
      <c r="AQ117" s="60">
        <f t="shared" si="18"/>
        <v>0</v>
      </c>
      <c r="AR117" s="60">
        <f t="shared" si="19"/>
        <v>0</v>
      </c>
      <c r="AS117" s="60">
        <f t="shared" si="20"/>
        <v>0</v>
      </c>
      <c r="AT117" s="60">
        <f t="shared" si="21"/>
        <v>0</v>
      </c>
      <c r="AU117" s="60">
        <f t="shared" si="22"/>
        <v>0</v>
      </c>
      <c r="AV117" s="60">
        <f t="shared" si="23"/>
        <v>0</v>
      </c>
      <c r="AW117" s="60">
        <f t="shared" si="24"/>
        <v>0</v>
      </c>
      <c r="AX117" s="60">
        <f t="shared" si="31"/>
        <v>0</v>
      </c>
      <c r="AY117" s="64">
        <f t="shared" si="32"/>
        <v>0</v>
      </c>
      <c r="AZ117" s="65">
        <f t="shared" si="25"/>
        <v>0</v>
      </c>
      <c r="BA117" s="65">
        <f t="shared" si="26"/>
        <v>0</v>
      </c>
    </row>
    <row r="118" spans="3:53" s="17" customFormat="1" x14ac:dyDescent="0.25">
      <c r="C118" s="194"/>
      <c r="D118" s="195"/>
      <c r="E118" s="90"/>
      <c r="F118" s="198"/>
      <c r="G118" s="214"/>
      <c r="H118" s="199"/>
      <c r="I118" s="78"/>
      <c r="J118" s="79"/>
      <c r="K118" s="78"/>
      <c r="L118" s="80"/>
      <c r="M118" s="80"/>
      <c r="N118" s="78" t="s">
        <v>39</v>
      </c>
      <c r="O118" s="113"/>
      <c r="P118" s="155"/>
      <c r="Q118" s="114" t="str">
        <f>IFERROR(MIN(VLOOKUP(ROUNDDOWN(P118,0),'Aide calcul'!$B$2:$C$282,2,FALSE),O118+1),"")</f>
        <v/>
      </c>
      <c r="R118" s="115" t="str">
        <f t="shared" si="27"/>
        <v/>
      </c>
      <c r="S118" s="155"/>
      <c r="T118" s="155"/>
      <c r="U118" s="155"/>
      <c r="V118" s="155"/>
      <c r="W118" s="155"/>
      <c r="X118" s="155"/>
      <c r="Y118" s="155"/>
      <c r="Z118" s="78"/>
      <c r="AA118" s="78"/>
      <c r="AB118" s="116" t="str">
        <f>IF(C118="3111. Logements",ROUND(VLOOKUP(C118,'Informations générales'!$C$66:$D$70,2,FALSE)*(AK118/$AL$27)/12,0)*12,IF(C118="3112. Logements",ROUND(VLOOKUP(C118,'Informations générales'!$C$66:$D$70,2,FALSE)*(AK118/$AM$27)/12,0)*12,IF(C118="3113. Logements",ROUND(VLOOKUP(C118,'Informations générales'!$C$66:$D$70,2,FALSE)*(AK118/$AN$27)/12,0)*12,IF(C118="3114. Logements",ROUND(VLOOKUP(C118,'Informations générales'!$C$66:$D$70,2,FALSE)*(AK118/$AO$27)/12,0)*12,IF(C118="3115. Logements",ROUND(VLOOKUP(C118,'Informations générales'!$C$66:$D$70,2,FALSE)*(AK118/$AP$27)/12,0)*12,"")))))</f>
        <v/>
      </c>
      <c r="AC118" s="117"/>
      <c r="AD118" s="116">
        <f t="shared" si="28"/>
        <v>0</v>
      </c>
      <c r="AE118" s="117"/>
      <c r="AF118" s="116" t="str">
        <f>IF(C118="3111. Logements",ROUND(VLOOKUP(C118,'Informations générales'!$C$66:$G$70,5,FALSE)*(AK118/$AL$27)/12,0)*12,IF(C118="3112. Logements",ROUND(VLOOKUP(C118,'Informations générales'!$C$66:$G$70,5,FALSE)*(AK118/$AM$27)/12,0)*12,IF(C118="3113. Logements",ROUND(VLOOKUP(C118,'Informations générales'!$C$66:$G$70,5,FALSE)*(AK118/$AN$27)/12,0)*12,IF(C118="3114. Logements",ROUND(VLOOKUP(C118,'Informations générales'!$C$66:$G$70,5,FALSE)*(AK118/$AO$27)/12,0)*12,IF(C118="3115. Logements",ROUND(VLOOKUP(C118,'Informations générales'!$C$66:$G$70,5,FALSE)*(AK118/$AP$27)/12,0)*12,"")))))</f>
        <v/>
      </c>
      <c r="AG118" s="117"/>
      <c r="AH118" s="116" t="str">
        <f t="shared" si="29"/>
        <v/>
      </c>
      <c r="AI118" s="92"/>
      <c r="AJ118" s="78"/>
      <c r="AK118" s="60">
        <f t="shared" si="30"/>
        <v>0</v>
      </c>
      <c r="AL118" s="60"/>
      <c r="AM118" s="60"/>
      <c r="AN118" s="60"/>
      <c r="AO118" s="60"/>
      <c r="AP118" s="60"/>
      <c r="AQ118" s="60">
        <f t="shared" si="18"/>
        <v>0</v>
      </c>
      <c r="AR118" s="60">
        <f t="shared" si="19"/>
        <v>0</v>
      </c>
      <c r="AS118" s="60">
        <f t="shared" si="20"/>
        <v>0</v>
      </c>
      <c r="AT118" s="60">
        <f t="shared" si="21"/>
        <v>0</v>
      </c>
      <c r="AU118" s="60">
        <f t="shared" si="22"/>
        <v>0</v>
      </c>
      <c r="AV118" s="60">
        <f t="shared" si="23"/>
        <v>0</v>
      </c>
      <c r="AW118" s="60">
        <f t="shared" si="24"/>
        <v>0</v>
      </c>
      <c r="AX118" s="60">
        <f t="shared" si="31"/>
        <v>0</v>
      </c>
      <c r="AY118" s="64">
        <f t="shared" si="32"/>
        <v>0</v>
      </c>
      <c r="AZ118" s="65">
        <f t="shared" si="25"/>
        <v>0</v>
      </c>
      <c r="BA118" s="65">
        <f t="shared" si="26"/>
        <v>0</v>
      </c>
    </row>
    <row r="119" spans="3:53" s="17" customFormat="1" x14ac:dyDescent="0.25">
      <c r="C119" s="194"/>
      <c r="D119" s="195"/>
      <c r="E119" s="90"/>
      <c r="F119" s="198"/>
      <c r="G119" s="214"/>
      <c r="H119" s="199"/>
      <c r="I119" s="78"/>
      <c r="J119" s="79"/>
      <c r="K119" s="78"/>
      <c r="L119" s="80"/>
      <c r="M119" s="80"/>
      <c r="N119" s="78" t="s">
        <v>39</v>
      </c>
      <c r="O119" s="113"/>
      <c r="P119" s="155"/>
      <c r="Q119" s="114" t="str">
        <f>IFERROR(MIN(VLOOKUP(ROUNDDOWN(P119,0),'Aide calcul'!$B$2:$C$282,2,FALSE),O119+1),"")</f>
        <v/>
      </c>
      <c r="R119" s="115" t="str">
        <f t="shared" si="27"/>
        <v/>
      </c>
      <c r="S119" s="155"/>
      <c r="T119" s="155"/>
      <c r="U119" s="155"/>
      <c r="V119" s="155"/>
      <c r="W119" s="155"/>
      <c r="X119" s="155"/>
      <c r="Y119" s="155"/>
      <c r="Z119" s="78"/>
      <c r="AA119" s="78"/>
      <c r="AB119" s="116" t="str">
        <f>IF(C119="3111. Logements",ROUND(VLOOKUP(C119,'Informations générales'!$C$66:$D$70,2,FALSE)*(AK119/$AL$27)/12,0)*12,IF(C119="3112. Logements",ROUND(VLOOKUP(C119,'Informations générales'!$C$66:$D$70,2,FALSE)*(AK119/$AM$27)/12,0)*12,IF(C119="3113. Logements",ROUND(VLOOKUP(C119,'Informations générales'!$C$66:$D$70,2,FALSE)*(AK119/$AN$27)/12,0)*12,IF(C119="3114. Logements",ROUND(VLOOKUP(C119,'Informations générales'!$C$66:$D$70,2,FALSE)*(AK119/$AO$27)/12,0)*12,IF(C119="3115. Logements",ROUND(VLOOKUP(C119,'Informations générales'!$C$66:$D$70,2,FALSE)*(AK119/$AP$27)/12,0)*12,"")))))</f>
        <v/>
      </c>
      <c r="AC119" s="117"/>
      <c r="AD119" s="116">
        <f t="shared" si="28"/>
        <v>0</v>
      </c>
      <c r="AE119" s="117"/>
      <c r="AF119" s="116" t="str">
        <f>IF(C119="3111. Logements",ROUND(VLOOKUP(C119,'Informations générales'!$C$66:$G$70,5,FALSE)*(AK119/$AL$27)/12,0)*12,IF(C119="3112. Logements",ROUND(VLOOKUP(C119,'Informations générales'!$C$66:$G$70,5,FALSE)*(AK119/$AM$27)/12,0)*12,IF(C119="3113. Logements",ROUND(VLOOKUP(C119,'Informations générales'!$C$66:$G$70,5,FALSE)*(AK119/$AN$27)/12,0)*12,IF(C119="3114. Logements",ROUND(VLOOKUP(C119,'Informations générales'!$C$66:$G$70,5,FALSE)*(AK119/$AO$27)/12,0)*12,IF(C119="3115. Logements",ROUND(VLOOKUP(C119,'Informations générales'!$C$66:$G$70,5,FALSE)*(AK119/$AP$27)/12,0)*12,"")))))</f>
        <v/>
      </c>
      <c r="AG119" s="117"/>
      <c r="AH119" s="116" t="str">
        <f t="shared" si="29"/>
        <v/>
      </c>
      <c r="AI119" s="92"/>
      <c r="AJ119" s="78"/>
      <c r="AK119" s="60">
        <f t="shared" si="30"/>
        <v>0</v>
      </c>
      <c r="AL119" s="60"/>
      <c r="AM119" s="60"/>
      <c r="AN119" s="60"/>
      <c r="AO119" s="60"/>
      <c r="AP119" s="60"/>
      <c r="AQ119" s="60">
        <f t="shared" si="18"/>
        <v>0</v>
      </c>
      <c r="AR119" s="60">
        <f t="shared" si="19"/>
        <v>0</v>
      </c>
      <c r="AS119" s="60">
        <f t="shared" si="20"/>
        <v>0</v>
      </c>
      <c r="AT119" s="60">
        <f t="shared" si="21"/>
        <v>0</v>
      </c>
      <c r="AU119" s="60">
        <f t="shared" si="22"/>
        <v>0</v>
      </c>
      <c r="AV119" s="60">
        <f t="shared" si="23"/>
        <v>0</v>
      </c>
      <c r="AW119" s="60">
        <f t="shared" si="24"/>
        <v>0</v>
      </c>
      <c r="AX119" s="60">
        <f t="shared" si="31"/>
        <v>0</v>
      </c>
      <c r="AY119" s="64">
        <f t="shared" si="32"/>
        <v>0</v>
      </c>
      <c r="AZ119" s="65">
        <f t="shared" si="25"/>
        <v>0</v>
      </c>
      <c r="BA119" s="65">
        <f t="shared" si="26"/>
        <v>0</v>
      </c>
    </row>
    <row r="120" spans="3:53" s="17" customFormat="1" x14ac:dyDescent="0.25">
      <c r="C120" s="194"/>
      <c r="D120" s="195"/>
      <c r="E120" s="90"/>
      <c r="F120" s="198"/>
      <c r="G120" s="214"/>
      <c r="H120" s="199"/>
      <c r="I120" s="78"/>
      <c r="J120" s="79"/>
      <c r="K120" s="78"/>
      <c r="L120" s="80"/>
      <c r="M120" s="80"/>
      <c r="N120" s="78" t="s">
        <v>39</v>
      </c>
      <c r="O120" s="113"/>
      <c r="P120" s="155"/>
      <c r="Q120" s="114" t="str">
        <f>IFERROR(MIN(VLOOKUP(ROUNDDOWN(P120,0),'Aide calcul'!$B$2:$C$282,2,FALSE),O120+1),"")</f>
        <v/>
      </c>
      <c r="R120" s="115" t="str">
        <f t="shared" si="27"/>
        <v/>
      </c>
      <c r="S120" s="155"/>
      <c r="T120" s="155"/>
      <c r="U120" s="155"/>
      <c r="V120" s="155"/>
      <c r="W120" s="155"/>
      <c r="X120" s="155"/>
      <c r="Y120" s="155"/>
      <c r="Z120" s="78"/>
      <c r="AA120" s="78"/>
      <c r="AB120" s="116" t="str">
        <f>IF(C120="3111. Logements",ROUND(VLOOKUP(C120,'Informations générales'!$C$66:$D$70,2,FALSE)*(AK120/$AL$27)/12,0)*12,IF(C120="3112. Logements",ROUND(VLOOKUP(C120,'Informations générales'!$C$66:$D$70,2,FALSE)*(AK120/$AM$27)/12,0)*12,IF(C120="3113. Logements",ROUND(VLOOKUP(C120,'Informations générales'!$C$66:$D$70,2,FALSE)*(AK120/$AN$27)/12,0)*12,IF(C120="3114. Logements",ROUND(VLOOKUP(C120,'Informations générales'!$C$66:$D$70,2,FALSE)*(AK120/$AO$27)/12,0)*12,IF(C120="3115. Logements",ROUND(VLOOKUP(C120,'Informations générales'!$C$66:$D$70,2,FALSE)*(AK120/$AP$27)/12,0)*12,"")))))</f>
        <v/>
      </c>
      <c r="AC120" s="117"/>
      <c r="AD120" s="116">
        <f t="shared" si="28"/>
        <v>0</v>
      </c>
      <c r="AE120" s="117"/>
      <c r="AF120" s="116" t="str">
        <f>IF(C120="3111. Logements",ROUND(VLOOKUP(C120,'Informations générales'!$C$66:$G$70,5,FALSE)*(AK120/$AL$27)/12,0)*12,IF(C120="3112. Logements",ROUND(VLOOKUP(C120,'Informations générales'!$C$66:$G$70,5,FALSE)*(AK120/$AM$27)/12,0)*12,IF(C120="3113. Logements",ROUND(VLOOKUP(C120,'Informations générales'!$C$66:$G$70,5,FALSE)*(AK120/$AN$27)/12,0)*12,IF(C120="3114. Logements",ROUND(VLOOKUP(C120,'Informations générales'!$C$66:$G$70,5,FALSE)*(AK120/$AO$27)/12,0)*12,IF(C120="3115. Logements",ROUND(VLOOKUP(C120,'Informations générales'!$C$66:$G$70,5,FALSE)*(AK120/$AP$27)/12,0)*12,"")))))</f>
        <v/>
      </c>
      <c r="AG120" s="117"/>
      <c r="AH120" s="116" t="str">
        <f t="shared" si="29"/>
        <v/>
      </c>
      <c r="AI120" s="92"/>
      <c r="AJ120" s="78"/>
      <c r="AK120" s="60">
        <f t="shared" si="30"/>
        <v>0</v>
      </c>
      <c r="AL120" s="60"/>
      <c r="AM120" s="60"/>
      <c r="AN120" s="60"/>
      <c r="AO120" s="60"/>
      <c r="AP120" s="60"/>
      <c r="AQ120" s="60">
        <f t="shared" si="18"/>
        <v>0</v>
      </c>
      <c r="AR120" s="60">
        <f t="shared" si="19"/>
        <v>0</v>
      </c>
      <c r="AS120" s="60">
        <f t="shared" si="20"/>
        <v>0</v>
      </c>
      <c r="AT120" s="60">
        <f t="shared" si="21"/>
        <v>0</v>
      </c>
      <c r="AU120" s="60">
        <f t="shared" si="22"/>
        <v>0</v>
      </c>
      <c r="AV120" s="60">
        <f t="shared" si="23"/>
        <v>0</v>
      </c>
      <c r="AW120" s="60">
        <f t="shared" si="24"/>
        <v>0</v>
      </c>
      <c r="AX120" s="60">
        <f t="shared" si="31"/>
        <v>0</v>
      </c>
      <c r="AY120" s="64">
        <f t="shared" si="32"/>
        <v>0</v>
      </c>
      <c r="AZ120" s="65">
        <f t="shared" si="25"/>
        <v>0</v>
      </c>
      <c r="BA120" s="65">
        <f t="shared" si="26"/>
        <v>0</v>
      </c>
    </row>
    <row r="121" spans="3:53" s="17" customFormat="1" x14ac:dyDescent="0.25">
      <c r="C121" s="194"/>
      <c r="D121" s="195"/>
      <c r="E121" s="90"/>
      <c r="F121" s="198"/>
      <c r="G121" s="214"/>
      <c r="H121" s="199"/>
      <c r="I121" s="78"/>
      <c r="J121" s="79"/>
      <c r="K121" s="78"/>
      <c r="L121" s="80"/>
      <c r="M121" s="80"/>
      <c r="N121" s="78" t="s">
        <v>39</v>
      </c>
      <c r="O121" s="113"/>
      <c r="P121" s="155"/>
      <c r="Q121" s="114" t="str">
        <f>IFERROR(MIN(VLOOKUP(ROUNDDOWN(P121,0),'Aide calcul'!$B$2:$C$282,2,FALSE),O121+1),"")</f>
        <v/>
      </c>
      <c r="R121" s="115" t="str">
        <f t="shared" si="27"/>
        <v/>
      </c>
      <c r="S121" s="155"/>
      <c r="T121" s="155"/>
      <c r="U121" s="155"/>
      <c r="V121" s="155"/>
      <c r="W121" s="155"/>
      <c r="X121" s="155"/>
      <c r="Y121" s="155"/>
      <c r="Z121" s="78"/>
      <c r="AA121" s="78"/>
      <c r="AB121" s="116" t="str">
        <f>IF(C121="3111. Logements",ROUND(VLOOKUP(C121,'Informations générales'!$C$66:$D$70,2,FALSE)*(AK121/$AL$27)/12,0)*12,IF(C121="3112. Logements",ROUND(VLOOKUP(C121,'Informations générales'!$C$66:$D$70,2,FALSE)*(AK121/$AM$27)/12,0)*12,IF(C121="3113. Logements",ROUND(VLOOKUP(C121,'Informations générales'!$C$66:$D$70,2,FALSE)*(AK121/$AN$27)/12,0)*12,IF(C121="3114. Logements",ROUND(VLOOKUP(C121,'Informations générales'!$C$66:$D$70,2,FALSE)*(AK121/$AO$27)/12,0)*12,IF(C121="3115. Logements",ROUND(VLOOKUP(C121,'Informations générales'!$C$66:$D$70,2,FALSE)*(AK121/$AP$27)/12,0)*12,"")))))</f>
        <v/>
      </c>
      <c r="AC121" s="117"/>
      <c r="AD121" s="116">
        <f t="shared" si="28"/>
        <v>0</v>
      </c>
      <c r="AE121" s="117"/>
      <c r="AF121" s="116" t="str">
        <f>IF(C121="3111. Logements",ROUND(VLOOKUP(C121,'Informations générales'!$C$66:$G$70,5,FALSE)*(AK121/$AL$27)/12,0)*12,IF(C121="3112. Logements",ROUND(VLOOKUP(C121,'Informations générales'!$C$66:$G$70,5,FALSE)*(AK121/$AM$27)/12,0)*12,IF(C121="3113. Logements",ROUND(VLOOKUP(C121,'Informations générales'!$C$66:$G$70,5,FALSE)*(AK121/$AN$27)/12,0)*12,IF(C121="3114. Logements",ROUND(VLOOKUP(C121,'Informations générales'!$C$66:$G$70,5,FALSE)*(AK121/$AO$27)/12,0)*12,IF(C121="3115. Logements",ROUND(VLOOKUP(C121,'Informations générales'!$C$66:$G$70,5,FALSE)*(AK121/$AP$27)/12,0)*12,"")))))</f>
        <v/>
      </c>
      <c r="AG121" s="117"/>
      <c r="AH121" s="116" t="str">
        <f t="shared" si="29"/>
        <v/>
      </c>
      <c r="AI121" s="92"/>
      <c r="AJ121" s="78"/>
      <c r="AK121" s="60">
        <f t="shared" si="30"/>
        <v>0</v>
      </c>
      <c r="AL121" s="60"/>
      <c r="AM121" s="60"/>
      <c r="AN121" s="60"/>
      <c r="AO121" s="60"/>
      <c r="AP121" s="60"/>
      <c r="AQ121" s="60">
        <f t="shared" si="18"/>
        <v>0</v>
      </c>
      <c r="AR121" s="60">
        <f t="shared" si="19"/>
        <v>0</v>
      </c>
      <c r="AS121" s="60">
        <f t="shared" si="20"/>
        <v>0</v>
      </c>
      <c r="AT121" s="60">
        <f t="shared" si="21"/>
        <v>0</v>
      </c>
      <c r="AU121" s="60">
        <f t="shared" si="22"/>
        <v>0</v>
      </c>
      <c r="AV121" s="60">
        <f t="shared" si="23"/>
        <v>0</v>
      </c>
      <c r="AW121" s="60">
        <f t="shared" si="24"/>
        <v>0</v>
      </c>
      <c r="AX121" s="60">
        <f t="shared" si="31"/>
        <v>0</v>
      </c>
      <c r="AY121" s="64">
        <f t="shared" si="32"/>
        <v>0</v>
      </c>
      <c r="AZ121" s="65">
        <f t="shared" si="25"/>
        <v>0</v>
      </c>
      <c r="BA121" s="65">
        <f t="shared" si="26"/>
        <v>0</v>
      </c>
    </row>
    <row r="122" spans="3:53" s="17" customFormat="1" x14ac:dyDescent="0.25">
      <c r="C122" s="194"/>
      <c r="D122" s="195"/>
      <c r="E122" s="90"/>
      <c r="F122" s="198"/>
      <c r="G122" s="214"/>
      <c r="H122" s="199"/>
      <c r="I122" s="78"/>
      <c r="J122" s="79"/>
      <c r="K122" s="78"/>
      <c r="L122" s="80"/>
      <c r="M122" s="80"/>
      <c r="N122" s="78" t="s">
        <v>39</v>
      </c>
      <c r="O122" s="113"/>
      <c r="P122" s="155"/>
      <c r="Q122" s="114" t="str">
        <f>IFERROR(MIN(VLOOKUP(ROUNDDOWN(P122,0),'Aide calcul'!$B$2:$C$282,2,FALSE),O122+1),"")</f>
        <v/>
      </c>
      <c r="R122" s="115" t="str">
        <f t="shared" si="27"/>
        <v/>
      </c>
      <c r="S122" s="155"/>
      <c r="T122" s="155"/>
      <c r="U122" s="155"/>
      <c r="V122" s="155"/>
      <c r="W122" s="155"/>
      <c r="X122" s="155"/>
      <c r="Y122" s="155"/>
      <c r="Z122" s="78"/>
      <c r="AA122" s="78"/>
      <c r="AB122" s="116" t="str">
        <f>IF(C122="3111. Logements",ROUND(VLOOKUP(C122,'Informations générales'!$C$66:$D$70,2,FALSE)*(AK122/$AL$27)/12,0)*12,IF(C122="3112. Logements",ROUND(VLOOKUP(C122,'Informations générales'!$C$66:$D$70,2,FALSE)*(AK122/$AM$27)/12,0)*12,IF(C122="3113. Logements",ROUND(VLOOKUP(C122,'Informations générales'!$C$66:$D$70,2,FALSE)*(AK122/$AN$27)/12,0)*12,IF(C122="3114. Logements",ROUND(VLOOKUP(C122,'Informations générales'!$C$66:$D$70,2,FALSE)*(AK122/$AO$27)/12,0)*12,IF(C122="3115. Logements",ROUND(VLOOKUP(C122,'Informations générales'!$C$66:$D$70,2,FALSE)*(AK122/$AP$27)/12,0)*12,"")))))</f>
        <v/>
      </c>
      <c r="AC122" s="117"/>
      <c r="AD122" s="116">
        <f t="shared" si="28"/>
        <v>0</v>
      </c>
      <c r="AE122" s="117"/>
      <c r="AF122" s="116" t="str">
        <f>IF(C122="3111. Logements",ROUND(VLOOKUP(C122,'Informations générales'!$C$66:$G$70,5,FALSE)*(AK122/$AL$27)/12,0)*12,IF(C122="3112. Logements",ROUND(VLOOKUP(C122,'Informations générales'!$C$66:$G$70,5,FALSE)*(AK122/$AM$27)/12,0)*12,IF(C122="3113. Logements",ROUND(VLOOKUP(C122,'Informations générales'!$C$66:$G$70,5,FALSE)*(AK122/$AN$27)/12,0)*12,IF(C122="3114. Logements",ROUND(VLOOKUP(C122,'Informations générales'!$C$66:$G$70,5,FALSE)*(AK122/$AO$27)/12,0)*12,IF(C122="3115. Logements",ROUND(VLOOKUP(C122,'Informations générales'!$C$66:$G$70,5,FALSE)*(AK122/$AP$27)/12,0)*12,"")))))</f>
        <v/>
      </c>
      <c r="AG122" s="117"/>
      <c r="AH122" s="116" t="str">
        <f t="shared" si="29"/>
        <v/>
      </c>
      <c r="AI122" s="92"/>
      <c r="AJ122" s="78"/>
      <c r="AK122" s="60">
        <f t="shared" si="30"/>
        <v>0</v>
      </c>
      <c r="AL122" s="60"/>
      <c r="AM122" s="60"/>
      <c r="AN122" s="60"/>
      <c r="AO122" s="60"/>
      <c r="AP122" s="60"/>
      <c r="AQ122" s="60">
        <f t="shared" si="18"/>
        <v>0</v>
      </c>
      <c r="AR122" s="60">
        <f t="shared" si="19"/>
        <v>0</v>
      </c>
      <c r="AS122" s="60">
        <f t="shared" si="20"/>
        <v>0</v>
      </c>
      <c r="AT122" s="60">
        <f t="shared" si="21"/>
        <v>0</v>
      </c>
      <c r="AU122" s="60">
        <f t="shared" si="22"/>
        <v>0</v>
      </c>
      <c r="AV122" s="60">
        <f t="shared" si="23"/>
        <v>0</v>
      </c>
      <c r="AW122" s="60">
        <f t="shared" si="24"/>
        <v>0</v>
      </c>
      <c r="AX122" s="60">
        <f t="shared" si="31"/>
        <v>0</v>
      </c>
      <c r="AY122" s="64">
        <f t="shared" si="32"/>
        <v>0</v>
      </c>
      <c r="AZ122" s="65">
        <f t="shared" si="25"/>
        <v>0</v>
      </c>
      <c r="BA122" s="65">
        <f t="shared" si="26"/>
        <v>0</v>
      </c>
    </row>
    <row r="123" spans="3:53" s="17" customFormat="1" x14ac:dyDescent="0.25">
      <c r="C123" s="194"/>
      <c r="D123" s="195"/>
      <c r="E123" s="90"/>
      <c r="F123" s="198"/>
      <c r="G123" s="214"/>
      <c r="H123" s="199"/>
      <c r="I123" s="78"/>
      <c r="J123" s="79"/>
      <c r="K123" s="78"/>
      <c r="L123" s="80"/>
      <c r="M123" s="80"/>
      <c r="N123" s="78" t="s">
        <v>39</v>
      </c>
      <c r="O123" s="113"/>
      <c r="P123" s="155"/>
      <c r="Q123" s="114" t="str">
        <f>IFERROR(MIN(VLOOKUP(ROUNDDOWN(P123,0),'Aide calcul'!$B$2:$C$282,2,FALSE),O123+1),"")</f>
        <v/>
      </c>
      <c r="R123" s="115" t="str">
        <f t="shared" si="27"/>
        <v/>
      </c>
      <c r="S123" s="155"/>
      <c r="T123" s="155"/>
      <c r="U123" s="155"/>
      <c r="V123" s="155"/>
      <c r="W123" s="155"/>
      <c r="X123" s="155"/>
      <c r="Y123" s="155"/>
      <c r="Z123" s="78"/>
      <c r="AA123" s="78"/>
      <c r="AB123" s="116" t="str">
        <f>IF(C123="3111. Logements",ROUND(VLOOKUP(C123,'Informations générales'!$C$66:$D$70,2,FALSE)*(AK123/$AL$27)/12,0)*12,IF(C123="3112. Logements",ROUND(VLOOKUP(C123,'Informations générales'!$C$66:$D$70,2,FALSE)*(AK123/$AM$27)/12,0)*12,IF(C123="3113. Logements",ROUND(VLOOKUP(C123,'Informations générales'!$C$66:$D$70,2,FALSE)*(AK123/$AN$27)/12,0)*12,IF(C123="3114. Logements",ROUND(VLOOKUP(C123,'Informations générales'!$C$66:$D$70,2,FALSE)*(AK123/$AO$27)/12,0)*12,IF(C123="3115. Logements",ROUND(VLOOKUP(C123,'Informations générales'!$C$66:$D$70,2,FALSE)*(AK123/$AP$27)/12,0)*12,"")))))</f>
        <v/>
      </c>
      <c r="AC123" s="117"/>
      <c r="AD123" s="116">
        <f t="shared" si="28"/>
        <v>0</v>
      </c>
      <c r="AE123" s="117"/>
      <c r="AF123" s="116" t="str">
        <f>IF(C123="3111. Logements",ROUND(VLOOKUP(C123,'Informations générales'!$C$66:$G$70,5,FALSE)*(AK123/$AL$27)/12,0)*12,IF(C123="3112. Logements",ROUND(VLOOKUP(C123,'Informations générales'!$C$66:$G$70,5,FALSE)*(AK123/$AM$27)/12,0)*12,IF(C123="3113. Logements",ROUND(VLOOKUP(C123,'Informations générales'!$C$66:$G$70,5,FALSE)*(AK123/$AN$27)/12,0)*12,IF(C123="3114. Logements",ROUND(VLOOKUP(C123,'Informations générales'!$C$66:$G$70,5,FALSE)*(AK123/$AO$27)/12,0)*12,IF(C123="3115. Logements",ROUND(VLOOKUP(C123,'Informations générales'!$C$66:$G$70,5,FALSE)*(AK123/$AP$27)/12,0)*12,"")))))</f>
        <v/>
      </c>
      <c r="AG123" s="117"/>
      <c r="AH123" s="116" t="str">
        <f t="shared" si="29"/>
        <v/>
      </c>
      <c r="AI123" s="92"/>
      <c r="AJ123" s="78"/>
      <c r="AK123" s="60">
        <f t="shared" si="30"/>
        <v>0</v>
      </c>
      <c r="AL123" s="60"/>
      <c r="AM123" s="60"/>
      <c r="AN123" s="60"/>
      <c r="AO123" s="60"/>
      <c r="AP123" s="60"/>
      <c r="AQ123" s="60">
        <f t="shared" si="18"/>
        <v>0</v>
      </c>
      <c r="AR123" s="60">
        <f t="shared" si="19"/>
        <v>0</v>
      </c>
      <c r="AS123" s="60">
        <f t="shared" si="20"/>
        <v>0</v>
      </c>
      <c r="AT123" s="60">
        <f t="shared" si="21"/>
        <v>0</v>
      </c>
      <c r="AU123" s="60">
        <f t="shared" si="22"/>
        <v>0</v>
      </c>
      <c r="AV123" s="60">
        <f t="shared" si="23"/>
        <v>0</v>
      </c>
      <c r="AW123" s="60">
        <f t="shared" si="24"/>
        <v>0</v>
      </c>
      <c r="AX123" s="60">
        <f t="shared" si="31"/>
        <v>0</v>
      </c>
      <c r="AY123" s="64">
        <f t="shared" si="32"/>
        <v>0</v>
      </c>
      <c r="AZ123" s="65">
        <f t="shared" si="25"/>
        <v>0</v>
      </c>
      <c r="BA123" s="65">
        <f t="shared" si="26"/>
        <v>0</v>
      </c>
    </row>
    <row r="124" spans="3:53" s="17" customFormat="1" x14ac:dyDescent="0.25">
      <c r="C124" s="194"/>
      <c r="D124" s="195"/>
      <c r="E124" s="90"/>
      <c r="F124" s="198"/>
      <c r="G124" s="214"/>
      <c r="H124" s="199"/>
      <c r="I124" s="78"/>
      <c r="J124" s="79"/>
      <c r="K124" s="78"/>
      <c r="L124" s="80"/>
      <c r="M124" s="80"/>
      <c r="N124" s="78" t="s">
        <v>39</v>
      </c>
      <c r="O124" s="113"/>
      <c r="P124" s="155"/>
      <c r="Q124" s="114" t="str">
        <f>IFERROR(MIN(VLOOKUP(ROUNDDOWN(P124,0),'Aide calcul'!$B$2:$C$282,2,FALSE),O124+1),"")</f>
        <v/>
      </c>
      <c r="R124" s="115" t="str">
        <f t="shared" si="27"/>
        <v/>
      </c>
      <c r="S124" s="155"/>
      <c r="T124" s="155"/>
      <c r="U124" s="155"/>
      <c r="V124" s="155"/>
      <c r="W124" s="155"/>
      <c r="X124" s="155"/>
      <c r="Y124" s="155"/>
      <c r="Z124" s="78"/>
      <c r="AA124" s="78"/>
      <c r="AB124" s="116" t="str">
        <f>IF(C124="3111. Logements",ROUND(VLOOKUP(C124,'Informations générales'!$C$66:$D$70,2,FALSE)*(AK124/$AL$27)/12,0)*12,IF(C124="3112. Logements",ROUND(VLOOKUP(C124,'Informations générales'!$C$66:$D$70,2,FALSE)*(AK124/$AM$27)/12,0)*12,IF(C124="3113. Logements",ROUND(VLOOKUP(C124,'Informations générales'!$C$66:$D$70,2,FALSE)*(AK124/$AN$27)/12,0)*12,IF(C124="3114. Logements",ROUND(VLOOKUP(C124,'Informations générales'!$C$66:$D$70,2,FALSE)*(AK124/$AO$27)/12,0)*12,IF(C124="3115. Logements",ROUND(VLOOKUP(C124,'Informations générales'!$C$66:$D$70,2,FALSE)*(AK124/$AP$27)/12,0)*12,"")))))</f>
        <v/>
      </c>
      <c r="AC124" s="117"/>
      <c r="AD124" s="116">
        <f t="shared" si="28"/>
        <v>0</v>
      </c>
      <c r="AE124" s="117"/>
      <c r="AF124" s="116" t="str">
        <f>IF(C124="3111. Logements",ROUND(VLOOKUP(C124,'Informations générales'!$C$66:$G$70,5,FALSE)*(AK124/$AL$27)/12,0)*12,IF(C124="3112. Logements",ROUND(VLOOKUP(C124,'Informations générales'!$C$66:$G$70,5,FALSE)*(AK124/$AM$27)/12,0)*12,IF(C124="3113. Logements",ROUND(VLOOKUP(C124,'Informations générales'!$C$66:$G$70,5,FALSE)*(AK124/$AN$27)/12,0)*12,IF(C124="3114. Logements",ROUND(VLOOKUP(C124,'Informations générales'!$C$66:$G$70,5,FALSE)*(AK124/$AO$27)/12,0)*12,IF(C124="3115. Logements",ROUND(VLOOKUP(C124,'Informations générales'!$C$66:$G$70,5,FALSE)*(AK124/$AP$27)/12,0)*12,"")))))</f>
        <v/>
      </c>
      <c r="AG124" s="117"/>
      <c r="AH124" s="116" t="str">
        <f t="shared" si="29"/>
        <v/>
      </c>
      <c r="AI124" s="92"/>
      <c r="AJ124" s="78"/>
      <c r="AK124" s="60">
        <f t="shared" si="30"/>
        <v>0</v>
      </c>
      <c r="AL124" s="60"/>
      <c r="AM124" s="60"/>
      <c r="AN124" s="60"/>
      <c r="AO124" s="60"/>
      <c r="AP124" s="60"/>
      <c r="AQ124" s="60">
        <f t="shared" si="18"/>
        <v>0</v>
      </c>
      <c r="AR124" s="60">
        <f t="shared" si="19"/>
        <v>0</v>
      </c>
      <c r="AS124" s="60">
        <f t="shared" si="20"/>
        <v>0</v>
      </c>
      <c r="AT124" s="60">
        <f t="shared" si="21"/>
        <v>0</v>
      </c>
      <c r="AU124" s="60">
        <f t="shared" si="22"/>
        <v>0</v>
      </c>
      <c r="AV124" s="60">
        <f t="shared" si="23"/>
        <v>0</v>
      </c>
      <c r="AW124" s="60">
        <f t="shared" si="24"/>
        <v>0</v>
      </c>
      <c r="AX124" s="60">
        <f t="shared" si="31"/>
        <v>0</v>
      </c>
      <c r="AY124" s="64">
        <f t="shared" si="32"/>
        <v>0</v>
      </c>
      <c r="AZ124" s="65">
        <f t="shared" si="25"/>
        <v>0</v>
      </c>
      <c r="BA124" s="65">
        <f t="shared" si="26"/>
        <v>0</v>
      </c>
    </row>
    <row r="125" spans="3:53" s="17" customFormat="1" x14ac:dyDescent="0.25">
      <c r="C125" s="194"/>
      <c r="D125" s="195"/>
      <c r="E125" s="90"/>
      <c r="F125" s="198"/>
      <c r="G125" s="214"/>
      <c r="H125" s="199"/>
      <c r="I125" s="78"/>
      <c r="J125" s="79"/>
      <c r="K125" s="78"/>
      <c r="L125" s="80"/>
      <c r="M125" s="80"/>
      <c r="N125" s="78" t="s">
        <v>39</v>
      </c>
      <c r="O125" s="113"/>
      <c r="P125" s="155"/>
      <c r="Q125" s="114" t="str">
        <f>IFERROR(MIN(VLOOKUP(ROUNDDOWN(P125,0),'Aide calcul'!$B$2:$C$282,2,FALSE),O125+1),"")</f>
        <v/>
      </c>
      <c r="R125" s="115" t="str">
        <f t="shared" si="27"/>
        <v/>
      </c>
      <c r="S125" s="155"/>
      <c r="T125" s="155"/>
      <c r="U125" s="155"/>
      <c r="V125" s="155"/>
      <c r="W125" s="155"/>
      <c r="X125" s="155"/>
      <c r="Y125" s="155"/>
      <c r="Z125" s="78"/>
      <c r="AA125" s="78"/>
      <c r="AB125" s="116" t="str">
        <f>IF(C125="3111. Logements",ROUND(VLOOKUP(C125,'Informations générales'!$C$66:$D$70,2,FALSE)*(AK125/$AL$27)/12,0)*12,IF(C125="3112. Logements",ROUND(VLOOKUP(C125,'Informations générales'!$C$66:$D$70,2,FALSE)*(AK125/$AM$27)/12,0)*12,IF(C125="3113. Logements",ROUND(VLOOKUP(C125,'Informations générales'!$C$66:$D$70,2,FALSE)*(AK125/$AN$27)/12,0)*12,IF(C125="3114. Logements",ROUND(VLOOKUP(C125,'Informations générales'!$C$66:$D$70,2,FALSE)*(AK125/$AO$27)/12,0)*12,IF(C125="3115. Logements",ROUND(VLOOKUP(C125,'Informations générales'!$C$66:$D$70,2,FALSE)*(AK125/$AP$27)/12,0)*12,"")))))</f>
        <v/>
      </c>
      <c r="AC125" s="117"/>
      <c r="AD125" s="116">
        <f t="shared" si="28"/>
        <v>0</v>
      </c>
      <c r="AE125" s="117"/>
      <c r="AF125" s="116" t="str">
        <f>IF(C125="3111. Logements",ROUND(VLOOKUP(C125,'Informations générales'!$C$66:$G$70,5,FALSE)*(AK125/$AL$27)/12,0)*12,IF(C125="3112. Logements",ROUND(VLOOKUP(C125,'Informations générales'!$C$66:$G$70,5,FALSE)*(AK125/$AM$27)/12,0)*12,IF(C125="3113. Logements",ROUND(VLOOKUP(C125,'Informations générales'!$C$66:$G$70,5,FALSE)*(AK125/$AN$27)/12,0)*12,IF(C125="3114. Logements",ROUND(VLOOKUP(C125,'Informations générales'!$C$66:$G$70,5,FALSE)*(AK125/$AO$27)/12,0)*12,IF(C125="3115. Logements",ROUND(VLOOKUP(C125,'Informations générales'!$C$66:$G$70,5,FALSE)*(AK125/$AP$27)/12,0)*12,"")))))</f>
        <v/>
      </c>
      <c r="AG125" s="117"/>
      <c r="AH125" s="116" t="str">
        <f t="shared" si="29"/>
        <v/>
      </c>
      <c r="AI125" s="92"/>
      <c r="AJ125" s="78"/>
      <c r="AK125" s="60">
        <f t="shared" si="30"/>
        <v>0</v>
      </c>
      <c r="AL125" s="60"/>
      <c r="AM125" s="60"/>
      <c r="AN125" s="60"/>
      <c r="AO125" s="60"/>
      <c r="AP125" s="60"/>
      <c r="AQ125" s="60">
        <f t="shared" si="18"/>
        <v>0</v>
      </c>
      <c r="AR125" s="60">
        <f t="shared" si="19"/>
        <v>0</v>
      </c>
      <c r="AS125" s="60">
        <f t="shared" si="20"/>
        <v>0</v>
      </c>
      <c r="AT125" s="60">
        <f t="shared" si="21"/>
        <v>0</v>
      </c>
      <c r="AU125" s="60">
        <f t="shared" si="22"/>
        <v>0</v>
      </c>
      <c r="AV125" s="60">
        <f t="shared" si="23"/>
        <v>0</v>
      </c>
      <c r="AW125" s="60">
        <f t="shared" si="24"/>
        <v>0</v>
      </c>
      <c r="AX125" s="60">
        <f t="shared" si="31"/>
        <v>0</v>
      </c>
      <c r="AY125" s="64">
        <f t="shared" si="32"/>
        <v>0</v>
      </c>
      <c r="AZ125" s="65">
        <f t="shared" si="25"/>
        <v>0</v>
      </c>
      <c r="BA125" s="65">
        <f t="shared" si="26"/>
        <v>0</v>
      </c>
    </row>
    <row r="126" spans="3:53" s="17" customFormat="1" x14ac:dyDescent="0.25">
      <c r="C126" s="194"/>
      <c r="D126" s="195"/>
      <c r="E126" s="90"/>
      <c r="F126" s="198"/>
      <c r="G126" s="214"/>
      <c r="H126" s="199"/>
      <c r="I126" s="78"/>
      <c r="J126" s="79"/>
      <c r="K126" s="78"/>
      <c r="L126" s="80"/>
      <c r="M126" s="80"/>
      <c r="N126" s="78" t="s">
        <v>39</v>
      </c>
      <c r="O126" s="113"/>
      <c r="P126" s="155"/>
      <c r="Q126" s="114" t="str">
        <f>IFERROR(MIN(VLOOKUP(ROUNDDOWN(P126,0),'Aide calcul'!$B$2:$C$282,2,FALSE),O126+1),"")</f>
        <v/>
      </c>
      <c r="R126" s="115" t="str">
        <f t="shared" si="27"/>
        <v/>
      </c>
      <c r="S126" s="155"/>
      <c r="T126" s="155"/>
      <c r="U126" s="155"/>
      <c r="V126" s="155"/>
      <c r="W126" s="155"/>
      <c r="X126" s="155"/>
      <c r="Y126" s="155"/>
      <c r="Z126" s="78"/>
      <c r="AA126" s="78"/>
      <c r="AB126" s="116" t="str">
        <f>IF(C126="3111. Logements",ROUND(VLOOKUP(C126,'Informations générales'!$C$66:$D$70,2,FALSE)*(AK126/$AL$27)/12,0)*12,IF(C126="3112. Logements",ROUND(VLOOKUP(C126,'Informations générales'!$C$66:$D$70,2,FALSE)*(AK126/$AM$27)/12,0)*12,IF(C126="3113. Logements",ROUND(VLOOKUP(C126,'Informations générales'!$C$66:$D$70,2,FALSE)*(AK126/$AN$27)/12,0)*12,IF(C126="3114. Logements",ROUND(VLOOKUP(C126,'Informations générales'!$C$66:$D$70,2,FALSE)*(AK126/$AO$27)/12,0)*12,IF(C126="3115. Logements",ROUND(VLOOKUP(C126,'Informations générales'!$C$66:$D$70,2,FALSE)*(AK126/$AP$27)/12,0)*12,"")))))</f>
        <v/>
      </c>
      <c r="AC126" s="117"/>
      <c r="AD126" s="116">
        <f t="shared" si="28"/>
        <v>0</v>
      </c>
      <c r="AE126" s="117"/>
      <c r="AF126" s="116" t="str">
        <f>IF(C126="3111. Logements",ROUND(VLOOKUP(C126,'Informations générales'!$C$66:$G$70,5,FALSE)*(AK126/$AL$27)/12,0)*12,IF(C126="3112. Logements",ROUND(VLOOKUP(C126,'Informations générales'!$C$66:$G$70,5,FALSE)*(AK126/$AM$27)/12,0)*12,IF(C126="3113. Logements",ROUND(VLOOKUP(C126,'Informations générales'!$C$66:$G$70,5,FALSE)*(AK126/$AN$27)/12,0)*12,IF(C126="3114. Logements",ROUND(VLOOKUP(C126,'Informations générales'!$C$66:$G$70,5,FALSE)*(AK126/$AO$27)/12,0)*12,IF(C126="3115. Logements",ROUND(VLOOKUP(C126,'Informations générales'!$C$66:$G$70,5,FALSE)*(AK126/$AP$27)/12,0)*12,"")))))</f>
        <v/>
      </c>
      <c r="AG126" s="117"/>
      <c r="AH126" s="116" t="str">
        <f t="shared" si="29"/>
        <v/>
      </c>
      <c r="AI126" s="92"/>
      <c r="AJ126" s="78"/>
      <c r="AK126" s="60">
        <f t="shared" si="30"/>
        <v>0</v>
      </c>
      <c r="AL126" s="60"/>
      <c r="AM126" s="60"/>
      <c r="AN126" s="60"/>
      <c r="AO126" s="60"/>
      <c r="AP126" s="60"/>
      <c r="AQ126" s="60">
        <f t="shared" si="18"/>
        <v>0</v>
      </c>
      <c r="AR126" s="60">
        <f t="shared" si="19"/>
        <v>0</v>
      </c>
      <c r="AS126" s="60">
        <f t="shared" si="20"/>
        <v>0</v>
      </c>
      <c r="AT126" s="60">
        <f t="shared" si="21"/>
        <v>0</v>
      </c>
      <c r="AU126" s="60">
        <f t="shared" si="22"/>
        <v>0</v>
      </c>
      <c r="AV126" s="60">
        <f t="shared" si="23"/>
        <v>0</v>
      </c>
      <c r="AW126" s="60">
        <f t="shared" si="24"/>
        <v>0</v>
      </c>
      <c r="AX126" s="60">
        <f t="shared" si="31"/>
        <v>0</v>
      </c>
      <c r="AY126" s="64">
        <f t="shared" si="32"/>
        <v>0</v>
      </c>
      <c r="AZ126" s="65">
        <f t="shared" si="25"/>
        <v>0</v>
      </c>
      <c r="BA126" s="65">
        <f t="shared" si="26"/>
        <v>0</v>
      </c>
    </row>
    <row r="127" spans="3:53" s="17" customFormat="1" x14ac:dyDescent="0.25">
      <c r="C127" s="194"/>
      <c r="D127" s="195"/>
      <c r="E127" s="90"/>
      <c r="F127" s="198"/>
      <c r="G127" s="214"/>
      <c r="H127" s="199"/>
      <c r="I127" s="78"/>
      <c r="J127" s="79"/>
      <c r="K127" s="78"/>
      <c r="L127" s="80"/>
      <c r="M127" s="80"/>
      <c r="N127" s="78" t="s">
        <v>39</v>
      </c>
      <c r="O127" s="113"/>
      <c r="P127" s="155"/>
      <c r="Q127" s="114" t="str">
        <f>IFERROR(MIN(VLOOKUP(ROUNDDOWN(P127,0),'Aide calcul'!$B$2:$C$282,2,FALSE),O127+1),"")</f>
        <v/>
      </c>
      <c r="R127" s="115" t="str">
        <f t="shared" si="27"/>
        <v/>
      </c>
      <c r="S127" s="155"/>
      <c r="T127" s="155"/>
      <c r="U127" s="155"/>
      <c r="V127" s="155"/>
      <c r="W127" s="155"/>
      <c r="X127" s="155"/>
      <c r="Y127" s="155"/>
      <c r="Z127" s="78"/>
      <c r="AA127" s="78"/>
      <c r="AB127" s="116" t="str">
        <f>IF(C127="3111. Logements",ROUND(VLOOKUP(C127,'Informations générales'!$C$66:$D$70,2,FALSE)*(AK127/$AL$27)/12,0)*12,IF(C127="3112. Logements",ROUND(VLOOKUP(C127,'Informations générales'!$C$66:$D$70,2,FALSE)*(AK127/$AM$27)/12,0)*12,IF(C127="3113. Logements",ROUND(VLOOKUP(C127,'Informations générales'!$C$66:$D$70,2,FALSE)*(AK127/$AN$27)/12,0)*12,IF(C127="3114. Logements",ROUND(VLOOKUP(C127,'Informations générales'!$C$66:$D$70,2,FALSE)*(AK127/$AO$27)/12,0)*12,IF(C127="3115. Logements",ROUND(VLOOKUP(C127,'Informations générales'!$C$66:$D$70,2,FALSE)*(AK127/$AP$27)/12,0)*12,"")))))</f>
        <v/>
      </c>
      <c r="AC127" s="117"/>
      <c r="AD127" s="116">
        <f t="shared" si="28"/>
        <v>0</v>
      </c>
      <c r="AE127" s="117"/>
      <c r="AF127" s="116" t="str">
        <f>IF(C127="3111. Logements",ROUND(VLOOKUP(C127,'Informations générales'!$C$66:$G$70,5,FALSE)*(AK127/$AL$27)/12,0)*12,IF(C127="3112. Logements",ROUND(VLOOKUP(C127,'Informations générales'!$C$66:$G$70,5,FALSE)*(AK127/$AM$27)/12,0)*12,IF(C127="3113. Logements",ROUND(VLOOKUP(C127,'Informations générales'!$C$66:$G$70,5,FALSE)*(AK127/$AN$27)/12,0)*12,IF(C127="3114. Logements",ROUND(VLOOKUP(C127,'Informations générales'!$C$66:$G$70,5,FALSE)*(AK127/$AO$27)/12,0)*12,IF(C127="3115. Logements",ROUND(VLOOKUP(C127,'Informations générales'!$C$66:$G$70,5,FALSE)*(AK127/$AP$27)/12,0)*12,"")))))</f>
        <v/>
      </c>
      <c r="AG127" s="117"/>
      <c r="AH127" s="116" t="str">
        <f t="shared" si="29"/>
        <v/>
      </c>
      <c r="AI127" s="92"/>
      <c r="AJ127" s="78"/>
      <c r="AK127" s="60">
        <f t="shared" si="30"/>
        <v>0</v>
      </c>
      <c r="AL127" s="60"/>
      <c r="AM127" s="60"/>
      <c r="AN127" s="60"/>
      <c r="AO127" s="60"/>
      <c r="AP127" s="60"/>
      <c r="AQ127" s="60">
        <f t="shared" si="18"/>
        <v>0</v>
      </c>
      <c r="AR127" s="60">
        <f t="shared" si="19"/>
        <v>0</v>
      </c>
      <c r="AS127" s="60">
        <f t="shared" si="20"/>
        <v>0</v>
      </c>
      <c r="AT127" s="60">
        <f t="shared" si="21"/>
        <v>0</v>
      </c>
      <c r="AU127" s="60">
        <f t="shared" si="22"/>
        <v>0</v>
      </c>
      <c r="AV127" s="60">
        <f t="shared" si="23"/>
        <v>0</v>
      </c>
      <c r="AW127" s="60">
        <f t="shared" si="24"/>
        <v>0</v>
      </c>
      <c r="AX127" s="60">
        <f t="shared" si="31"/>
        <v>0</v>
      </c>
      <c r="AY127" s="64">
        <f t="shared" si="32"/>
        <v>0</v>
      </c>
      <c r="AZ127" s="65">
        <f t="shared" si="25"/>
        <v>0</v>
      </c>
      <c r="BA127" s="65">
        <f t="shared" si="26"/>
        <v>0</v>
      </c>
    </row>
    <row r="128" spans="3:53" s="17" customFormat="1" x14ac:dyDescent="0.25">
      <c r="C128" s="194"/>
      <c r="D128" s="195"/>
      <c r="E128" s="90"/>
      <c r="F128" s="198"/>
      <c r="G128" s="214"/>
      <c r="H128" s="199"/>
      <c r="I128" s="78"/>
      <c r="J128" s="79"/>
      <c r="K128" s="78"/>
      <c r="L128" s="80"/>
      <c r="M128" s="80"/>
      <c r="N128" s="78" t="s">
        <v>39</v>
      </c>
      <c r="O128" s="113"/>
      <c r="P128" s="155"/>
      <c r="Q128" s="114" t="str">
        <f>IFERROR(MIN(VLOOKUP(ROUNDDOWN(P128,0),'Aide calcul'!$B$2:$C$282,2,FALSE),O128+1),"")</f>
        <v/>
      </c>
      <c r="R128" s="115" t="str">
        <f t="shared" si="27"/>
        <v/>
      </c>
      <c r="S128" s="155"/>
      <c r="T128" s="155"/>
      <c r="U128" s="155"/>
      <c r="V128" s="155"/>
      <c r="W128" s="155"/>
      <c r="X128" s="155"/>
      <c r="Y128" s="155"/>
      <c r="Z128" s="78"/>
      <c r="AA128" s="78"/>
      <c r="AB128" s="116" t="str">
        <f>IF(C128="3111. Logements",ROUND(VLOOKUP(C128,'Informations générales'!$C$66:$D$70,2,FALSE)*(AK128/$AL$27)/12,0)*12,IF(C128="3112. Logements",ROUND(VLOOKUP(C128,'Informations générales'!$C$66:$D$70,2,FALSE)*(AK128/$AM$27)/12,0)*12,IF(C128="3113. Logements",ROUND(VLOOKUP(C128,'Informations générales'!$C$66:$D$70,2,FALSE)*(AK128/$AN$27)/12,0)*12,IF(C128="3114. Logements",ROUND(VLOOKUP(C128,'Informations générales'!$C$66:$D$70,2,FALSE)*(AK128/$AO$27)/12,0)*12,IF(C128="3115. Logements",ROUND(VLOOKUP(C128,'Informations générales'!$C$66:$D$70,2,FALSE)*(AK128/$AP$27)/12,0)*12,"")))))</f>
        <v/>
      </c>
      <c r="AC128" s="117"/>
      <c r="AD128" s="116">
        <f t="shared" si="28"/>
        <v>0</v>
      </c>
      <c r="AE128" s="117"/>
      <c r="AF128" s="116" t="str">
        <f>IF(C128="3111. Logements",ROUND(VLOOKUP(C128,'Informations générales'!$C$66:$G$70,5,FALSE)*(AK128/$AL$27)/12,0)*12,IF(C128="3112. Logements",ROUND(VLOOKUP(C128,'Informations générales'!$C$66:$G$70,5,FALSE)*(AK128/$AM$27)/12,0)*12,IF(C128="3113. Logements",ROUND(VLOOKUP(C128,'Informations générales'!$C$66:$G$70,5,FALSE)*(AK128/$AN$27)/12,0)*12,IF(C128="3114. Logements",ROUND(VLOOKUP(C128,'Informations générales'!$C$66:$G$70,5,FALSE)*(AK128/$AO$27)/12,0)*12,IF(C128="3115. Logements",ROUND(VLOOKUP(C128,'Informations générales'!$C$66:$G$70,5,FALSE)*(AK128/$AP$27)/12,0)*12,"")))))</f>
        <v/>
      </c>
      <c r="AG128" s="117"/>
      <c r="AH128" s="116" t="str">
        <f t="shared" si="29"/>
        <v/>
      </c>
      <c r="AI128" s="92"/>
      <c r="AJ128" s="78"/>
      <c r="AK128" s="60">
        <f t="shared" si="30"/>
        <v>0</v>
      </c>
      <c r="AL128" s="60"/>
      <c r="AM128" s="60"/>
      <c r="AN128" s="60"/>
      <c r="AO128" s="60"/>
      <c r="AP128" s="60"/>
      <c r="AQ128" s="60">
        <f t="shared" si="18"/>
        <v>0</v>
      </c>
      <c r="AR128" s="60">
        <f t="shared" si="19"/>
        <v>0</v>
      </c>
      <c r="AS128" s="60">
        <f t="shared" si="20"/>
        <v>0</v>
      </c>
      <c r="AT128" s="60">
        <f t="shared" si="21"/>
        <v>0</v>
      </c>
      <c r="AU128" s="60">
        <f t="shared" si="22"/>
        <v>0</v>
      </c>
      <c r="AV128" s="60">
        <f t="shared" si="23"/>
        <v>0</v>
      </c>
      <c r="AW128" s="60">
        <f t="shared" si="24"/>
        <v>0</v>
      </c>
      <c r="AX128" s="60">
        <f t="shared" si="31"/>
        <v>0</v>
      </c>
      <c r="AY128" s="64">
        <f t="shared" si="32"/>
        <v>0</v>
      </c>
      <c r="AZ128" s="65">
        <f t="shared" si="25"/>
        <v>0</v>
      </c>
      <c r="BA128" s="65">
        <f t="shared" si="26"/>
        <v>0</v>
      </c>
    </row>
    <row r="129" spans="3:53" s="17" customFormat="1" x14ac:dyDescent="0.25">
      <c r="C129" s="194"/>
      <c r="D129" s="195"/>
      <c r="E129" s="90"/>
      <c r="F129" s="198"/>
      <c r="G129" s="214"/>
      <c r="H129" s="199"/>
      <c r="I129" s="78"/>
      <c r="J129" s="79"/>
      <c r="K129" s="78"/>
      <c r="L129" s="80"/>
      <c r="M129" s="80"/>
      <c r="N129" s="78" t="s">
        <v>39</v>
      </c>
      <c r="O129" s="113"/>
      <c r="P129" s="155"/>
      <c r="Q129" s="114" t="str">
        <f>IFERROR(MIN(VLOOKUP(ROUNDDOWN(P129,0),'Aide calcul'!$B$2:$C$282,2,FALSE),O129+1),"")</f>
        <v/>
      </c>
      <c r="R129" s="115" t="str">
        <f t="shared" si="27"/>
        <v/>
      </c>
      <c r="S129" s="155"/>
      <c r="T129" s="155"/>
      <c r="U129" s="155"/>
      <c r="V129" s="155"/>
      <c r="W129" s="155"/>
      <c r="X129" s="155"/>
      <c r="Y129" s="155"/>
      <c r="Z129" s="78"/>
      <c r="AA129" s="78"/>
      <c r="AB129" s="116" t="str">
        <f>IF(C129="3111. Logements",ROUND(VLOOKUP(C129,'Informations générales'!$C$66:$D$70,2,FALSE)*(AK129/$AL$27)/12,0)*12,IF(C129="3112. Logements",ROUND(VLOOKUP(C129,'Informations générales'!$C$66:$D$70,2,FALSE)*(AK129/$AM$27)/12,0)*12,IF(C129="3113. Logements",ROUND(VLOOKUP(C129,'Informations générales'!$C$66:$D$70,2,FALSE)*(AK129/$AN$27)/12,0)*12,IF(C129="3114. Logements",ROUND(VLOOKUP(C129,'Informations générales'!$C$66:$D$70,2,FALSE)*(AK129/$AO$27)/12,0)*12,IF(C129="3115. Logements",ROUND(VLOOKUP(C129,'Informations générales'!$C$66:$D$70,2,FALSE)*(AK129/$AP$27)/12,0)*12,"")))))</f>
        <v/>
      </c>
      <c r="AC129" s="117"/>
      <c r="AD129" s="116">
        <f t="shared" si="28"/>
        <v>0</v>
      </c>
      <c r="AE129" s="117"/>
      <c r="AF129" s="116" t="str">
        <f>IF(C129="3111. Logements",ROUND(VLOOKUP(C129,'Informations générales'!$C$66:$G$70,5,FALSE)*(AK129/$AL$27)/12,0)*12,IF(C129="3112. Logements",ROUND(VLOOKUP(C129,'Informations générales'!$C$66:$G$70,5,FALSE)*(AK129/$AM$27)/12,0)*12,IF(C129="3113. Logements",ROUND(VLOOKUP(C129,'Informations générales'!$C$66:$G$70,5,FALSE)*(AK129/$AN$27)/12,0)*12,IF(C129="3114. Logements",ROUND(VLOOKUP(C129,'Informations générales'!$C$66:$G$70,5,FALSE)*(AK129/$AO$27)/12,0)*12,IF(C129="3115. Logements",ROUND(VLOOKUP(C129,'Informations générales'!$C$66:$G$70,5,FALSE)*(AK129/$AP$27)/12,0)*12,"")))))</f>
        <v/>
      </c>
      <c r="AG129" s="117"/>
      <c r="AH129" s="116" t="str">
        <f t="shared" si="29"/>
        <v/>
      </c>
      <c r="AI129" s="92"/>
      <c r="AJ129" s="78"/>
      <c r="AK129" s="60">
        <f t="shared" si="30"/>
        <v>0</v>
      </c>
      <c r="AL129" s="60"/>
      <c r="AM129" s="60"/>
      <c r="AN129" s="60"/>
      <c r="AO129" s="60"/>
      <c r="AP129" s="60"/>
      <c r="AQ129" s="60">
        <f t="shared" si="18"/>
        <v>0</v>
      </c>
      <c r="AR129" s="60">
        <f t="shared" si="19"/>
        <v>0</v>
      </c>
      <c r="AS129" s="60">
        <f t="shared" si="20"/>
        <v>0</v>
      </c>
      <c r="AT129" s="60">
        <f t="shared" si="21"/>
        <v>0</v>
      </c>
      <c r="AU129" s="60">
        <f t="shared" si="22"/>
        <v>0</v>
      </c>
      <c r="AV129" s="60">
        <f t="shared" si="23"/>
        <v>0</v>
      </c>
      <c r="AW129" s="60">
        <f t="shared" si="24"/>
        <v>0</v>
      </c>
      <c r="AX129" s="60">
        <f t="shared" si="31"/>
        <v>0</v>
      </c>
      <c r="AY129" s="64">
        <f t="shared" si="32"/>
        <v>0</v>
      </c>
      <c r="AZ129" s="65">
        <f t="shared" si="25"/>
        <v>0</v>
      </c>
      <c r="BA129" s="65">
        <f t="shared" si="26"/>
        <v>0</v>
      </c>
    </row>
    <row r="130" spans="3:53" s="17" customFormat="1" x14ac:dyDescent="0.25">
      <c r="C130" s="194"/>
      <c r="D130" s="195"/>
      <c r="E130" s="90"/>
      <c r="F130" s="198"/>
      <c r="G130" s="214"/>
      <c r="H130" s="199"/>
      <c r="I130" s="78"/>
      <c r="J130" s="79"/>
      <c r="K130" s="78"/>
      <c r="L130" s="80"/>
      <c r="M130" s="80"/>
      <c r="N130" s="78" t="s">
        <v>39</v>
      </c>
      <c r="O130" s="113"/>
      <c r="P130" s="155"/>
      <c r="Q130" s="114" t="str">
        <f>IFERROR(MIN(VLOOKUP(ROUNDDOWN(P130,0),'Aide calcul'!$B$2:$C$282,2,FALSE),O130+1),"")</f>
        <v/>
      </c>
      <c r="R130" s="115" t="str">
        <f t="shared" si="27"/>
        <v/>
      </c>
      <c r="S130" s="155"/>
      <c r="T130" s="155"/>
      <c r="U130" s="155"/>
      <c r="V130" s="155"/>
      <c r="W130" s="155"/>
      <c r="X130" s="155"/>
      <c r="Y130" s="155"/>
      <c r="Z130" s="78"/>
      <c r="AA130" s="78"/>
      <c r="AB130" s="116" t="str">
        <f>IF(C130="3111. Logements",ROUND(VLOOKUP(C130,'Informations générales'!$C$66:$D$70,2,FALSE)*(AK130/$AL$27)/12,0)*12,IF(C130="3112. Logements",ROUND(VLOOKUP(C130,'Informations générales'!$C$66:$D$70,2,FALSE)*(AK130/$AM$27)/12,0)*12,IF(C130="3113. Logements",ROUND(VLOOKUP(C130,'Informations générales'!$C$66:$D$70,2,FALSE)*(AK130/$AN$27)/12,0)*12,IF(C130="3114. Logements",ROUND(VLOOKUP(C130,'Informations générales'!$C$66:$D$70,2,FALSE)*(AK130/$AO$27)/12,0)*12,IF(C130="3115. Logements",ROUND(VLOOKUP(C130,'Informations générales'!$C$66:$D$70,2,FALSE)*(AK130/$AP$27)/12,0)*12,"")))))</f>
        <v/>
      </c>
      <c r="AC130" s="117"/>
      <c r="AD130" s="116">
        <f t="shared" si="28"/>
        <v>0</v>
      </c>
      <c r="AE130" s="117"/>
      <c r="AF130" s="116" t="str">
        <f>IF(C130="3111. Logements",ROUND(VLOOKUP(C130,'Informations générales'!$C$66:$G$70,5,FALSE)*(AK130/$AL$27)/12,0)*12,IF(C130="3112. Logements",ROUND(VLOOKUP(C130,'Informations générales'!$C$66:$G$70,5,FALSE)*(AK130/$AM$27)/12,0)*12,IF(C130="3113. Logements",ROUND(VLOOKUP(C130,'Informations générales'!$C$66:$G$70,5,FALSE)*(AK130/$AN$27)/12,0)*12,IF(C130="3114. Logements",ROUND(VLOOKUP(C130,'Informations générales'!$C$66:$G$70,5,FALSE)*(AK130/$AO$27)/12,0)*12,IF(C130="3115. Logements",ROUND(VLOOKUP(C130,'Informations générales'!$C$66:$G$70,5,FALSE)*(AK130/$AP$27)/12,0)*12,"")))))</f>
        <v/>
      </c>
      <c r="AG130" s="117"/>
      <c r="AH130" s="116" t="str">
        <f t="shared" si="29"/>
        <v/>
      </c>
      <c r="AI130" s="92"/>
      <c r="AJ130" s="78"/>
      <c r="AK130" s="60">
        <f t="shared" si="30"/>
        <v>0</v>
      </c>
      <c r="AL130" s="60"/>
      <c r="AM130" s="60"/>
      <c r="AN130" s="60"/>
      <c r="AO130" s="60"/>
      <c r="AP130" s="60"/>
      <c r="AQ130" s="60">
        <f t="shared" si="18"/>
        <v>0</v>
      </c>
      <c r="AR130" s="60">
        <f t="shared" si="19"/>
        <v>0</v>
      </c>
      <c r="AS130" s="60">
        <f t="shared" si="20"/>
        <v>0</v>
      </c>
      <c r="AT130" s="60">
        <f t="shared" si="21"/>
        <v>0</v>
      </c>
      <c r="AU130" s="60">
        <f t="shared" si="22"/>
        <v>0</v>
      </c>
      <c r="AV130" s="60">
        <f t="shared" si="23"/>
        <v>0</v>
      </c>
      <c r="AW130" s="60">
        <f t="shared" si="24"/>
        <v>0</v>
      </c>
      <c r="AX130" s="60">
        <f t="shared" si="31"/>
        <v>0</v>
      </c>
      <c r="AY130" s="64">
        <f t="shared" si="32"/>
        <v>0</v>
      </c>
      <c r="AZ130" s="65">
        <f t="shared" si="25"/>
        <v>0</v>
      </c>
      <c r="BA130" s="65">
        <f t="shared" si="26"/>
        <v>0</v>
      </c>
    </row>
    <row r="131" spans="3:53" s="17" customFormat="1" x14ac:dyDescent="0.25">
      <c r="C131" s="194"/>
      <c r="D131" s="195"/>
      <c r="E131" s="90"/>
      <c r="F131" s="198"/>
      <c r="G131" s="214"/>
      <c r="H131" s="199"/>
      <c r="I131" s="78"/>
      <c r="J131" s="79"/>
      <c r="K131" s="78"/>
      <c r="L131" s="80"/>
      <c r="M131" s="80"/>
      <c r="N131" s="78" t="s">
        <v>39</v>
      </c>
      <c r="O131" s="113"/>
      <c r="P131" s="155"/>
      <c r="Q131" s="114" t="str">
        <f>IFERROR(MIN(VLOOKUP(ROUNDDOWN(P131,0),'Aide calcul'!$B$2:$C$282,2,FALSE),O131+1),"")</f>
        <v/>
      </c>
      <c r="R131" s="115" t="str">
        <f t="shared" si="27"/>
        <v/>
      </c>
      <c r="S131" s="155"/>
      <c r="T131" s="155"/>
      <c r="U131" s="155"/>
      <c r="V131" s="155"/>
      <c r="W131" s="155"/>
      <c r="X131" s="155"/>
      <c r="Y131" s="155"/>
      <c r="Z131" s="78"/>
      <c r="AA131" s="78"/>
      <c r="AB131" s="116" t="str">
        <f>IF(C131="3111. Logements",ROUND(VLOOKUP(C131,'Informations générales'!$C$66:$D$70,2,FALSE)*(AK131/$AL$27)/12,0)*12,IF(C131="3112. Logements",ROUND(VLOOKUP(C131,'Informations générales'!$C$66:$D$70,2,FALSE)*(AK131/$AM$27)/12,0)*12,IF(C131="3113. Logements",ROUND(VLOOKUP(C131,'Informations générales'!$C$66:$D$70,2,FALSE)*(AK131/$AN$27)/12,0)*12,IF(C131="3114. Logements",ROUND(VLOOKUP(C131,'Informations générales'!$C$66:$D$70,2,FALSE)*(AK131/$AO$27)/12,0)*12,IF(C131="3115. Logements",ROUND(VLOOKUP(C131,'Informations générales'!$C$66:$D$70,2,FALSE)*(AK131/$AP$27)/12,0)*12,"")))))</f>
        <v/>
      </c>
      <c r="AC131" s="117"/>
      <c r="AD131" s="116">
        <f t="shared" si="28"/>
        <v>0</v>
      </c>
      <c r="AE131" s="117"/>
      <c r="AF131" s="116" t="str">
        <f>IF(C131="3111. Logements",ROUND(VLOOKUP(C131,'Informations générales'!$C$66:$G$70,5,FALSE)*(AK131/$AL$27)/12,0)*12,IF(C131="3112. Logements",ROUND(VLOOKUP(C131,'Informations générales'!$C$66:$G$70,5,FALSE)*(AK131/$AM$27)/12,0)*12,IF(C131="3113. Logements",ROUND(VLOOKUP(C131,'Informations générales'!$C$66:$G$70,5,FALSE)*(AK131/$AN$27)/12,0)*12,IF(C131="3114. Logements",ROUND(VLOOKUP(C131,'Informations générales'!$C$66:$G$70,5,FALSE)*(AK131/$AO$27)/12,0)*12,IF(C131="3115. Logements",ROUND(VLOOKUP(C131,'Informations générales'!$C$66:$G$70,5,FALSE)*(AK131/$AP$27)/12,0)*12,"")))))</f>
        <v/>
      </c>
      <c r="AG131" s="117"/>
      <c r="AH131" s="116" t="str">
        <f t="shared" si="29"/>
        <v/>
      </c>
      <c r="AI131" s="92"/>
      <c r="AJ131" s="78"/>
      <c r="AK131" s="60">
        <f t="shared" si="30"/>
        <v>0</v>
      </c>
      <c r="AL131" s="60"/>
      <c r="AM131" s="60"/>
      <c r="AN131" s="60"/>
      <c r="AO131" s="60"/>
      <c r="AP131" s="60"/>
      <c r="AQ131" s="60">
        <f t="shared" si="18"/>
        <v>0</v>
      </c>
      <c r="AR131" s="60">
        <f t="shared" si="19"/>
        <v>0</v>
      </c>
      <c r="AS131" s="60">
        <f t="shared" si="20"/>
        <v>0</v>
      </c>
      <c r="AT131" s="60">
        <f t="shared" si="21"/>
        <v>0</v>
      </c>
      <c r="AU131" s="60">
        <f t="shared" si="22"/>
        <v>0</v>
      </c>
      <c r="AV131" s="60">
        <f t="shared" si="23"/>
        <v>0</v>
      </c>
      <c r="AW131" s="60">
        <f t="shared" si="24"/>
        <v>0</v>
      </c>
      <c r="AX131" s="60">
        <f t="shared" si="31"/>
        <v>0</v>
      </c>
      <c r="AY131" s="64">
        <f t="shared" si="32"/>
        <v>0</v>
      </c>
      <c r="AZ131" s="65">
        <f t="shared" si="25"/>
        <v>0</v>
      </c>
      <c r="BA131" s="65">
        <f t="shared" si="26"/>
        <v>0</v>
      </c>
    </row>
    <row r="132" spans="3:53" s="17" customFormat="1" x14ac:dyDescent="0.25">
      <c r="C132" s="194"/>
      <c r="D132" s="195"/>
      <c r="E132" s="90"/>
      <c r="F132" s="198"/>
      <c r="G132" s="214"/>
      <c r="H132" s="199"/>
      <c r="I132" s="78"/>
      <c r="J132" s="79"/>
      <c r="K132" s="78"/>
      <c r="L132" s="80"/>
      <c r="M132" s="80"/>
      <c r="N132" s="78" t="s">
        <v>39</v>
      </c>
      <c r="O132" s="113"/>
      <c r="P132" s="155"/>
      <c r="Q132" s="114" t="str">
        <f>IFERROR(MIN(VLOOKUP(ROUNDDOWN(P132,0),'Aide calcul'!$B$2:$C$282,2,FALSE),O132+1),"")</f>
        <v/>
      </c>
      <c r="R132" s="115" t="str">
        <f t="shared" si="27"/>
        <v/>
      </c>
      <c r="S132" s="155"/>
      <c r="T132" s="155"/>
      <c r="U132" s="155"/>
      <c r="V132" s="155"/>
      <c r="W132" s="155"/>
      <c r="X132" s="155"/>
      <c r="Y132" s="155"/>
      <c r="Z132" s="78"/>
      <c r="AA132" s="78"/>
      <c r="AB132" s="116" t="str">
        <f>IF(C132="3111. Logements",ROUND(VLOOKUP(C132,'Informations générales'!$C$66:$D$70,2,FALSE)*(AK132/$AL$27)/12,0)*12,IF(C132="3112. Logements",ROUND(VLOOKUP(C132,'Informations générales'!$C$66:$D$70,2,FALSE)*(AK132/$AM$27)/12,0)*12,IF(C132="3113. Logements",ROUND(VLOOKUP(C132,'Informations générales'!$C$66:$D$70,2,FALSE)*(AK132/$AN$27)/12,0)*12,IF(C132="3114. Logements",ROUND(VLOOKUP(C132,'Informations générales'!$C$66:$D$70,2,FALSE)*(AK132/$AO$27)/12,0)*12,IF(C132="3115. Logements",ROUND(VLOOKUP(C132,'Informations générales'!$C$66:$D$70,2,FALSE)*(AK132/$AP$27)/12,0)*12,"")))))</f>
        <v/>
      </c>
      <c r="AC132" s="117"/>
      <c r="AD132" s="116">
        <f t="shared" si="28"/>
        <v>0</v>
      </c>
      <c r="AE132" s="117"/>
      <c r="AF132" s="116" t="str">
        <f>IF(C132="3111. Logements",ROUND(VLOOKUP(C132,'Informations générales'!$C$66:$G$70,5,FALSE)*(AK132/$AL$27)/12,0)*12,IF(C132="3112. Logements",ROUND(VLOOKUP(C132,'Informations générales'!$C$66:$G$70,5,FALSE)*(AK132/$AM$27)/12,0)*12,IF(C132="3113. Logements",ROUND(VLOOKUP(C132,'Informations générales'!$C$66:$G$70,5,FALSE)*(AK132/$AN$27)/12,0)*12,IF(C132="3114. Logements",ROUND(VLOOKUP(C132,'Informations générales'!$C$66:$G$70,5,FALSE)*(AK132/$AO$27)/12,0)*12,IF(C132="3115. Logements",ROUND(VLOOKUP(C132,'Informations générales'!$C$66:$G$70,5,FALSE)*(AK132/$AP$27)/12,0)*12,"")))))</f>
        <v/>
      </c>
      <c r="AG132" s="117"/>
      <c r="AH132" s="116" t="str">
        <f t="shared" si="29"/>
        <v/>
      </c>
      <c r="AI132" s="92"/>
      <c r="AJ132" s="78"/>
      <c r="AK132" s="60">
        <f t="shared" si="30"/>
        <v>0</v>
      </c>
      <c r="AL132" s="60"/>
      <c r="AM132" s="60"/>
      <c r="AN132" s="60"/>
      <c r="AO132" s="60"/>
      <c r="AP132" s="60"/>
      <c r="AQ132" s="60">
        <f t="shared" si="18"/>
        <v>0</v>
      </c>
      <c r="AR132" s="60">
        <f t="shared" si="19"/>
        <v>0</v>
      </c>
      <c r="AS132" s="60">
        <f t="shared" si="20"/>
        <v>0</v>
      </c>
      <c r="AT132" s="60">
        <f t="shared" si="21"/>
        <v>0</v>
      </c>
      <c r="AU132" s="60">
        <f t="shared" si="22"/>
        <v>0</v>
      </c>
      <c r="AV132" s="60">
        <f t="shared" si="23"/>
        <v>0</v>
      </c>
      <c r="AW132" s="60">
        <f t="shared" si="24"/>
        <v>0</v>
      </c>
      <c r="AX132" s="60">
        <f t="shared" si="31"/>
        <v>0</v>
      </c>
      <c r="AY132" s="64">
        <f t="shared" si="32"/>
        <v>0</v>
      </c>
      <c r="AZ132" s="65">
        <f t="shared" si="25"/>
        <v>0</v>
      </c>
      <c r="BA132" s="65">
        <f t="shared" si="26"/>
        <v>0</v>
      </c>
    </row>
    <row r="133" spans="3:53" s="17" customFormat="1" x14ac:dyDescent="0.25">
      <c r="C133" s="194"/>
      <c r="D133" s="195"/>
      <c r="E133" s="90"/>
      <c r="F133" s="198"/>
      <c r="G133" s="214"/>
      <c r="H133" s="199"/>
      <c r="I133" s="78"/>
      <c r="J133" s="79"/>
      <c r="K133" s="78"/>
      <c r="L133" s="80"/>
      <c r="M133" s="80"/>
      <c r="N133" s="78" t="s">
        <v>39</v>
      </c>
      <c r="O133" s="113"/>
      <c r="P133" s="155"/>
      <c r="Q133" s="114" t="str">
        <f>IFERROR(MIN(VLOOKUP(ROUNDDOWN(P133,0),'Aide calcul'!$B$2:$C$282,2,FALSE),O133+1),"")</f>
        <v/>
      </c>
      <c r="R133" s="115" t="str">
        <f t="shared" si="27"/>
        <v/>
      </c>
      <c r="S133" s="155"/>
      <c r="T133" s="155"/>
      <c r="U133" s="155"/>
      <c r="V133" s="155"/>
      <c r="W133" s="155"/>
      <c r="X133" s="155"/>
      <c r="Y133" s="155"/>
      <c r="Z133" s="78"/>
      <c r="AA133" s="78"/>
      <c r="AB133" s="116" t="str">
        <f>IF(C133="3111. Logements",ROUND(VLOOKUP(C133,'Informations générales'!$C$66:$D$70,2,FALSE)*(AK133/$AL$27)/12,0)*12,IF(C133="3112. Logements",ROUND(VLOOKUP(C133,'Informations générales'!$C$66:$D$70,2,FALSE)*(AK133/$AM$27)/12,0)*12,IF(C133="3113. Logements",ROUND(VLOOKUP(C133,'Informations générales'!$C$66:$D$70,2,FALSE)*(AK133/$AN$27)/12,0)*12,IF(C133="3114. Logements",ROUND(VLOOKUP(C133,'Informations générales'!$C$66:$D$70,2,FALSE)*(AK133/$AO$27)/12,0)*12,IF(C133="3115. Logements",ROUND(VLOOKUP(C133,'Informations générales'!$C$66:$D$70,2,FALSE)*(AK133/$AP$27)/12,0)*12,"")))))</f>
        <v/>
      </c>
      <c r="AC133" s="117"/>
      <c r="AD133" s="116">
        <f t="shared" si="28"/>
        <v>0</v>
      </c>
      <c r="AE133" s="117"/>
      <c r="AF133" s="116" t="str">
        <f>IF(C133="3111. Logements",ROUND(VLOOKUP(C133,'Informations générales'!$C$66:$G$70,5,FALSE)*(AK133/$AL$27)/12,0)*12,IF(C133="3112. Logements",ROUND(VLOOKUP(C133,'Informations générales'!$C$66:$G$70,5,FALSE)*(AK133/$AM$27)/12,0)*12,IF(C133="3113. Logements",ROUND(VLOOKUP(C133,'Informations générales'!$C$66:$G$70,5,FALSE)*(AK133/$AN$27)/12,0)*12,IF(C133="3114. Logements",ROUND(VLOOKUP(C133,'Informations générales'!$C$66:$G$70,5,FALSE)*(AK133/$AO$27)/12,0)*12,IF(C133="3115. Logements",ROUND(VLOOKUP(C133,'Informations générales'!$C$66:$G$70,5,FALSE)*(AK133/$AP$27)/12,0)*12,"")))))</f>
        <v/>
      </c>
      <c r="AG133" s="117"/>
      <c r="AH133" s="116" t="str">
        <f t="shared" si="29"/>
        <v/>
      </c>
      <c r="AI133" s="92"/>
      <c r="AJ133" s="78"/>
      <c r="AK133" s="60">
        <f t="shared" si="30"/>
        <v>0</v>
      </c>
      <c r="AL133" s="60"/>
      <c r="AM133" s="60"/>
      <c r="AN133" s="60"/>
      <c r="AO133" s="60"/>
      <c r="AP133" s="60"/>
      <c r="AQ133" s="60">
        <f t="shared" si="18"/>
        <v>0</v>
      </c>
      <c r="AR133" s="60">
        <f t="shared" si="19"/>
        <v>0</v>
      </c>
      <c r="AS133" s="60">
        <f t="shared" si="20"/>
        <v>0</v>
      </c>
      <c r="AT133" s="60">
        <f t="shared" si="21"/>
        <v>0</v>
      </c>
      <c r="AU133" s="60">
        <f t="shared" si="22"/>
        <v>0</v>
      </c>
      <c r="AV133" s="60">
        <f t="shared" si="23"/>
        <v>0</v>
      </c>
      <c r="AW133" s="60">
        <f t="shared" si="24"/>
        <v>0</v>
      </c>
      <c r="AX133" s="60">
        <f t="shared" si="31"/>
        <v>0</v>
      </c>
      <c r="AY133" s="64">
        <f t="shared" si="32"/>
        <v>0</v>
      </c>
      <c r="AZ133" s="65">
        <f t="shared" si="25"/>
        <v>0</v>
      </c>
      <c r="BA133" s="65">
        <f t="shared" si="26"/>
        <v>0</v>
      </c>
    </row>
    <row r="134" spans="3:53" s="17" customFormat="1" x14ac:dyDescent="0.25">
      <c r="C134" s="194"/>
      <c r="D134" s="195"/>
      <c r="E134" s="90"/>
      <c r="F134" s="198"/>
      <c r="G134" s="214"/>
      <c r="H134" s="199"/>
      <c r="I134" s="78"/>
      <c r="J134" s="79"/>
      <c r="K134" s="78"/>
      <c r="L134" s="80"/>
      <c r="M134" s="80"/>
      <c r="N134" s="78" t="s">
        <v>39</v>
      </c>
      <c r="O134" s="113"/>
      <c r="P134" s="155"/>
      <c r="Q134" s="114" t="str">
        <f>IFERROR(MIN(VLOOKUP(ROUNDDOWN(P134,0),'Aide calcul'!$B$2:$C$282,2,FALSE),O134+1),"")</f>
        <v/>
      </c>
      <c r="R134" s="115" t="str">
        <f t="shared" si="27"/>
        <v/>
      </c>
      <c r="S134" s="155"/>
      <c r="T134" s="155"/>
      <c r="U134" s="155"/>
      <c r="V134" s="155"/>
      <c r="W134" s="155"/>
      <c r="X134" s="155"/>
      <c r="Y134" s="155"/>
      <c r="Z134" s="78"/>
      <c r="AA134" s="78"/>
      <c r="AB134" s="116" t="str">
        <f>IF(C134="3111. Logements",ROUND(VLOOKUP(C134,'Informations générales'!$C$66:$D$70,2,FALSE)*(AK134/$AL$27)/12,0)*12,IF(C134="3112. Logements",ROUND(VLOOKUP(C134,'Informations générales'!$C$66:$D$70,2,FALSE)*(AK134/$AM$27)/12,0)*12,IF(C134="3113. Logements",ROUND(VLOOKUP(C134,'Informations générales'!$C$66:$D$70,2,FALSE)*(AK134/$AN$27)/12,0)*12,IF(C134="3114. Logements",ROUND(VLOOKUP(C134,'Informations générales'!$C$66:$D$70,2,FALSE)*(AK134/$AO$27)/12,0)*12,IF(C134="3115. Logements",ROUND(VLOOKUP(C134,'Informations générales'!$C$66:$D$70,2,FALSE)*(AK134/$AP$27)/12,0)*12,"")))))</f>
        <v/>
      </c>
      <c r="AC134" s="117"/>
      <c r="AD134" s="116">
        <f t="shared" si="28"/>
        <v>0</v>
      </c>
      <c r="AE134" s="117"/>
      <c r="AF134" s="116" t="str">
        <f>IF(C134="3111. Logements",ROUND(VLOOKUP(C134,'Informations générales'!$C$66:$G$70,5,FALSE)*(AK134/$AL$27)/12,0)*12,IF(C134="3112. Logements",ROUND(VLOOKUP(C134,'Informations générales'!$C$66:$G$70,5,FALSE)*(AK134/$AM$27)/12,0)*12,IF(C134="3113. Logements",ROUND(VLOOKUP(C134,'Informations générales'!$C$66:$G$70,5,FALSE)*(AK134/$AN$27)/12,0)*12,IF(C134="3114. Logements",ROUND(VLOOKUP(C134,'Informations générales'!$C$66:$G$70,5,FALSE)*(AK134/$AO$27)/12,0)*12,IF(C134="3115. Logements",ROUND(VLOOKUP(C134,'Informations générales'!$C$66:$G$70,5,FALSE)*(AK134/$AP$27)/12,0)*12,"")))))</f>
        <v/>
      </c>
      <c r="AG134" s="117"/>
      <c r="AH134" s="116" t="str">
        <f t="shared" si="29"/>
        <v/>
      </c>
      <c r="AI134" s="92"/>
      <c r="AJ134" s="78"/>
      <c r="AK134" s="60">
        <f t="shared" si="30"/>
        <v>0</v>
      </c>
      <c r="AL134" s="60"/>
      <c r="AM134" s="60"/>
      <c r="AN134" s="60"/>
      <c r="AO134" s="60"/>
      <c r="AP134" s="60"/>
      <c r="AQ134" s="60">
        <f t="shared" si="18"/>
        <v>0</v>
      </c>
      <c r="AR134" s="60">
        <f t="shared" si="19"/>
        <v>0</v>
      </c>
      <c r="AS134" s="60">
        <f t="shared" si="20"/>
        <v>0</v>
      </c>
      <c r="AT134" s="60">
        <f t="shared" si="21"/>
        <v>0</v>
      </c>
      <c r="AU134" s="60">
        <f t="shared" si="22"/>
        <v>0</v>
      </c>
      <c r="AV134" s="60">
        <f t="shared" si="23"/>
        <v>0</v>
      </c>
      <c r="AW134" s="60">
        <f t="shared" si="24"/>
        <v>0</v>
      </c>
      <c r="AX134" s="60">
        <f t="shared" si="31"/>
        <v>0</v>
      </c>
      <c r="AY134" s="64">
        <f t="shared" si="32"/>
        <v>0</v>
      </c>
      <c r="AZ134" s="65">
        <f t="shared" si="25"/>
        <v>0</v>
      </c>
      <c r="BA134" s="65">
        <f t="shared" si="26"/>
        <v>0</v>
      </c>
    </row>
    <row r="135" spans="3:53" s="17" customFormat="1" x14ac:dyDescent="0.25">
      <c r="C135" s="194"/>
      <c r="D135" s="195"/>
      <c r="E135" s="90"/>
      <c r="F135" s="198"/>
      <c r="G135" s="214"/>
      <c r="H135" s="199"/>
      <c r="I135" s="78"/>
      <c r="J135" s="79"/>
      <c r="K135" s="78"/>
      <c r="L135" s="80"/>
      <c r="M135" s="80"/>
      <c r="N135" s="78" t="s">
        <v>39</v>
      </c>
      <c r="O135" s="113"/>
      <c r="P135" s="155"/>
      <c r="Q135" s="114" t="str">
        <f>IFERROR(MIN(VLOOKUP(ROUNDDOWN(P135,0),'Aide calcul'!$B$2:$C$282,2,FALSE),O135+1),"")</f>
        <v/>
      </c>
      <c r="R135" s="115" t="str">
        <f t="shared" si="27"/>
        <v/>
      </c>
      <c r="S135" s="155"/>
      <c r="T135" s="155"/>
      <c r="U135" s="155"/>
      <c r="V135" s="155"/>
      <c r="W135" s="155"/>
      <c r="X135" s="155"/>
      <c r="Y135" s="155"/>
      <c r="Z135" s="78"/>
      <c r="AA135" s="78"/>
      <c r="AB135" s="116" t="str">
        <f>IF(C135="3111. Logements",ROUND(VLOOKUP(C135,'Informations générales'!$C$66:$D$70,2,FALSE)*(AK135/$AL$27)/12,0)*12,IF(C135="3112. Logements",ROUND(VLOOKUP(C135,'Informations générales'!$C$66:$D$70,2,FALSE)*(AK135/$AM$27)/12,0)*12,IF(C135="3113. Logements",ROUND(VLOOKUP(C135,'Informations générales'!$C$66:$D$70,2,FALSE)*(AK135/$AN$27)/12,0)*12,IF(C135="3114. Logements",ROUND(VLOOKUP(C135,'Informations générales'!$C$66:$D$70,2,FALSE)*(AK135/$AO$27)/12,0)*12,IF(C135="3115. Logements",ROUND(VLOOKUP(C135,'Informations générales'!$C$66:$D$70,2,FALSE)*(AK135/$AP$27)/12,0)*12,"")))))</f>
        <v/>
      </c>
      <c r="AC135" s="117"/>
      <c r="AD135" s="116">
        <f t="shared" si="28"/>
        <v>0</v>
      </c>
      <c r="AE135" s="117"/>
      <c r="AF135" s="116" t="str">
        <f>IF(C135="3111. Logements",ROUND(VLOOKUP(C135,'Informations générales'!$C$66:$G$70,5,FALSE)*(AK135/$AL$27)/12,0)*12,IF(C135="3112. Logements",ROUND(VLOOKUP(C135,'Informations générales'!$C$66:$G$70,5,FALSE)*(AK135/$AM$27)/12,0)*12,IF(C135="3113. Logements",ROUND(VLOOKUP(C135,'Informations générales'!$C$66:$G$70,5,FALSE)*(AK135/$AN$27)/12,0)*12,IF(C135="3114. Logements",ROUND(VLOOKUP(C135,'Informations générales'!$C$66:$G$70,5,FALSE)*(AK135/$AO$27)/12,0)*12,IF(C135="3115. Logements",ROUND(VLOOKUP(C135,'Informations générales'!$C$66:$G$70,5,FALSE)*(AK135/$AP$27)/12,0)*12,"")))))</f>
        <v/>
      </c>
      <c r="AG135" s="117"/>
      <c r="AH135" s="116" t="str">
        <f t="shared" si="29"/>
        <v/>
      </c>
      <c r="AI135" s="92"/>
      <c r="AJ135" s="78"/>
      <c r="AK135" s="60">
        <f t="shared" si="30"/>
        <v>0</v>
      </c>
      <c r="AL135" s="60"/>
      <c r="AM135" s="60"/>
      <c r="AN135" s="60"/>
      <c r="AO135" s="60"/>
      <c r="AP135" s="60"/>
      <c r="AQ135" s="60">
        <f t="shared" si="18"/>
        <v>0</v>
      </c>
      <c r="AR135" s="60">
        <f t="shared" si="19"/>
        <v>0</v>
      </c>
      <c r="AS135" s="60">
        <f t="shared" si="20"/>
        <v>0</v>
      </c>
      <c r="AT135" s="60">
        <f t="shared" si="21"/>
        <v>0</v>
      </c>
      <c r="AU135" s="60">
        <f t="shared" si="22"/>
        <v>0</v>
      </c>
      <c r="AV135" s="60">
        <f t="shared" si="23"/>
        <v>0</v>
      </c>
      <c r="AW135" s="60">
        <f t="shared" si="24"/>
        <v>0</v>
      </c>
      <c r="AX135" s="60">
        <f t="shared" si="31"/>
        <v>0</v>
      </c>
      <c r="AY135" s="64">
        <f t="shared" si="32"/>
        <v>0</v>
      </c>
      <c r="AZ135" s="65">
        <f t="shared" si="25"/>
        <v>0</v>
      </c>
      <c r="BA135" s="65">
        <f t="shared" si="26"/>
        <v>0</v>
      </c>
    </row>
    <row r="136" spans="3:53" s="17" customFormat="1" x14ac:dyDescent="0.25">
      <c r="C136" s="194"/>
      <c r="D136" s="195"/>
      <c r="E136" s="90"/>
      <c r="F136" s="198"/>
      <c r="G136" s="214"/>
      <c r="H136" s="199"/>
      <c r="I136" s="78"/>
      <c r="J136" s="79"/>
      <c r="K136" s="78"/>
      <c r="L136" s="80"/>
      <c r="M136" s="80"/>
      <c r="N136" s="78" t="s">
        <v>39</v>
      </c>
      <c r="O136" s="113"/>
      <c r="P136" s="155"/>
      <c r="Q136" s="114" t="str">
        <f>IFERROR(MIN(VLOOKUP(ROUNDDOWN(P136,0),'Aide calcul'!$B$2:$C$282,2,FALSE),O136+1),"")</f>
        <v/>
      </c>
      <c r="R136" s="115" t="str">
        <f t="shared" si="27"/>
        <v/>
      </c>
      <c r="S136" s="155"/>
      <c r="T136" s="155"/>
      <c r="U136" s="155"/>
      <c r="V136" s="155"/>
      <c r="W136" s="155"/>
      <c r="X136" s="155"/>
      <c r="Y136" s="155"/>
      <c r="Z136" s="78"/>
      <c r="AA136" s="78"/>
      <c r="AB136" s="116" t="str">
        <f>IF(C136="3111. Logements",ROUND(VLOOKUP(C136,'Informations générales'!$C$66:$D$70,2,FALSE)*(AK136/$AL$27)/12,0)*12,IF(C136="3112. Logements",ROUND(VLOOKUP(C136,'Informations générales'!$C$66:$D$70,2,FALSE)*(AK136/$AM$27)/12,0)*12,IF(C136="3113. Logements",ROUND(VLOOKUP(C136,'Informations générales'!$C$66:$D$70,2,FALSE)*(AK136/$AN$27)/12,0)*12,IF(C136="3114. Logements",ROUND(VLOOKUP(C136,'Informations générales'!$C$66:$D$70,2,FALSE)*(AK136/$AO$27)/12,0)*12,IF(C136="3115. Logements",ROUND(VLOOKUP(C136,'Informations générales'!$C$66:$D$70,2,FALSE)*(AK136/$AP$27)/12,0)*12,"")))))</f>
        <v/>
      </c>
      <c r="AC136" s="117"/>
      <c r="AD136" s="116">
        <f t="shared" si="28"/>
        <v>0</v>
      </c>
      <c r="AE136" s="117"/>
      <c r="AF136" s="116" t="str">
        <f>IF(C136="3111. Logements",ROUND(VLOOKUP(C136,'Informations générales'!$C$66:$G$70,5,FALSE)*(AK136/$AL$27)/12,0)*12,IF(C136="3112. Logements",ROUND(VLOOKUP(C136,'Informations générales'!$C$66:$G$70,5,FALSE)*(AK136/$AM$27)/12,0)*12,IF(C136="3113. Logements",ROUND(VLOOKUP(C136,'Informations générales'!$C$66:$G$70,5,FALSE)*(AK136/$AN$27)/12,0)*12,IF(C136="3114. Logements",ROUND(VLOOKUP(C136,'Informations générales'!$C$66:$G$70,5,FALSE)*(AK136/$AO$27)/12,0)*12,IF(C136="3115. Logements",ROUND(VLOOKUP(C136,'Informations générales'!$C$66:$G$70,5,FALSE)*(AK136/$AP$27)/12,0)*12,"")))))</f>
        <v/>
      </c>
      <c r="AG136" s="117"/>
      <c r="AH136" s="116" t="str">
        <f t="shared" si="29"/>
        <v/>
      </c>
      <c r="AI136" s="92"/>
      <c r="AJ136" s="78"/>
      <c r="AK136" s="60">
        <f t="shared" si="30"/>
        <v>0</v>
      </c>
      <c r="AL136" s="60"/>
      <c r="AM136" s="60"/>
      <c r="AN136" s="60"/>
      <c r="AO136" s="60"/>
      <c r="AP136" s="60"/>
      <c r="AQ136" s="60">
        <f t="shared" si="18"/>
        <v>0</v>
      </c>
      <c r="AR136" s="60">
        <f t="shared" si="19"/>
        <v>0</v>
      </c>
      <c r="AS136" s="60">
        <f t="shared" si="20"/>
        <v>0</v>
      </c>
      <c r="AT136" s="60">
        <f t="shared" si="21"/>
        <v>0</v>
      </c>
      <c r="AU136" s="60">
        <f t="shared" si="22"/>
        <v>0</v>
      </c>
      <c r="AV136" s="60">
        <f t="shared" si="23"/>
        <v>0</v>
      </c>
      <c r="AW136" s="60">
        <f t="shared" si="24"/>
        <v>0</v>
      </c>
      <c r="AX136" s="60">
        <f t="shared" si="31"/>
        <v>0</v>
      </c>
      <c r="AY136" s="64">
        <f t="shared" si="32"/>
        <v>0</v>
      </c>
      <c r="AZ136" s="65">
        <f t="shared" si="25"/>
        <v>0</v>
      </c>
      <c r="BA136" s="65">
        <f t="shared" si="26"/>
        <v>0</v>
      </c>
    </row>
    <row r="137" spans="3:53" s="17" customFormat="1" x14ac:dyDescent="0.25">
      <c r="C137" s="194"/>
      <c r="D137" s="195"/>
      <c r="E137" s="90"/>
      <c r="F137" s="198"/>
      <c r="G137" s="214"/>
      <c r="H137" s="199"/>
      <c r="I137" s="78"/>
      <c r="J137" s="79"/>
      <c r="K137" s="78"/>
      <c r="L137" s="80"/>
      <c r="M137" s="80"/>
      <c r="N137" s="78" t="s">
        <v>39</v>
      </c>
      <c r="O137" s="113"/>
      <c r="P137" s="155"/>
      <c r="Q137" s="114" t="str">
        <f>IFERROR(MIN(VLOOKUP(ROUNDDOWN(P137,0),'Aide calcul'!$B$2:$C$282,2,FALSE),O137+1),"")</f>
        <v/>
      </c>
      <c r="R137" s="115" t="str">
        <f t="shared" si="27"/>
        <v/>
      </c>
      <c r="S137" s="155"/>
      <c r="T137" s="155"/>
      <c r="U137" s="155"/>
      <c r="V137" s="155"/>
      <c r="W137" s="155"/>
      <c r="X137" s="155"/>
      <c r="Y137" s="155"/>
      <c r="Z137" s="78"/>
      <c r="AA137" s="78"/>
      <c r="AB137" s="116" t="str">
        <f>IF(C137="3111. Logements",ROUND(VLOOKUP(C137,'Informations générales'!$C$66:$D$70,2,FALSE)*(AK137/$AL$27)/12,0)*12,IF(C137="3112. Logements",ROUND(VLOOKUP(C137,'Informations générales'!$C$66:$D$70,2,FALSE)*(AK137/$AM$27)/12,0)*12,IF(C137="3113. Logements",ROUND(VLOOKUP(C137,'Informations générales'!$C$66:$D$70,2,FALSE)*(AK137/$AN$27)/12,0)*12,IF(C137="3114. Logements",ROUND(VLOOKUP(C137,'Informations générales'!$C$66:$D$70,2,FALSE)*(AK137/$AO$27)/12,0)*12,IF(C137="3115. Logements",ROUND(VLOOKUP(C137,'Informations générales'!$C$66:$D$70,2,FALSE)*(AK137/$AP$27)/12,0)*12,"")))))</f>
        <v/>
      </c>
      <c r="AC137" s="117"/>
      <c r="AD137" s="116">
        <f t="shared" si="28"/>
        <v>0</v>
      </c>
      <c r="AE137" s="117"/>
      <c r="AF137" s="116" t="str">
        <f>IF(C137="3111. Logements",ROUND(VLOOKUP(C137,'Informations générales'!$C$66:$G$70,5,FALSE)*(AK137/$AL$27)/12,0)*12,IF(C137="3112. Logements",ROUND(VLOOKUP(C137,'Informations générales'!$C$66:$G$70,5,FALSE)*(AK137/$AM$27)/12,0)*12,IF(C137="3113. Logements",ROUND(VLOOKUP(C137,'Informations générales'!$C$66:$G$70,5,FALSE)*(AK137/$AN$27)/12,0)*12,IF(C137="3114. Logements",ROUND(VLOOKUP(C137,'Informations générales'!$C$66:$G$70,5,FALSE)*(AK137/$AO$27)/12,0)*12,IF(C137="3115. Logements",ROUND(VLOOKUP(C137,'Informations générales'!$C$66:$G$70,5,FALSE)*(AK137/$AP$27)/12,0)*12,"")))))</f>
        <v/>
      </c>
      <c r="AG137" s="117"/>
      <c r="AH137" s="116" t="str">
        <f t="shared" si="29"/>
        <v/>
      </c>
      <c r="AI137" s="92"/>
      <c r="AJ137" s="78"/>
      <c r="AK137" s="60">
        <f t="shared" si="30"/>
        <v>0</v>
      </c>
      <c r="AL137" s="60"/>
      <c r="AM137" s="60"/>
      <c r="AN137" s="60"/>
      <c r="AO137" s="60"/>
      <c r="AP137" s="60"/>
      <c r="AQ137" s="60">
        <f t="shared" si="18"/>
        <v>0</v>
      </c>
      <c r="AR137" s="60">
        <f t="shared" si="19"/>
        <v>0</v>
      </c>
      <c r="AS137" s="60">
        <f t="shared" si="20"/>
        <v>0</v>
      </c>
      <c r="AT137" s="60">
        <f t="shared" si="21"/>
        <v>0</v>
      </c>
      <c r="AU137" s="60">
        <f t="shared" si="22"/>
        <v>0</v>
      </c>
      <c r="AV137" s="60">
        <f t="shared" si="23"/>
        <v>0</v>
      </c>
      <c r="AW137" s="60">
        <f t="shared" si="24"/>
        <v>0</v>
      </c>
      <c r="AX137" s="60">
        <f t="shared" si="31"/>
        <v>0</v>
      </c>
      <c r="AY137" s="64">
        <f t="shared" si="32"/>
        <v>0</v>
      </c>
      <c r="AZ137" s="65">
        <f t="shared" si="25"/>
        <v>0</v>
      </c>
      <c r="BA137" s="65">
        <f t="shared" si="26"/>
        <v>0</v>
      </c>
    </row>
    <row r="138" spans="3:53" s="17" customFormat="1" x14ac:dyDescent="0.25">
      <c r="C138" s="194"/>
      <c r="D138" s="195"/>
      <c r="E138" s="90"/>
      <c r="F138" s="198"/>
      <c r="G138" s="214"/>
      <c r="H138" s="199"/>
      <c r="I138" s="78"/>
      <c r="J138" s="79"/>
      <c r="K138" s="78"/>
      <c r="L138" s="80"/>
      <c r="M138" s="80"/>
      <c r="N138" s="78" t="s">
        <v>39</v>
      </c>
      <c r="O138" s="113"/>
      <c r="P138" s="155"/>
      <c r="Q138" s="114" t="str">
        <f>IFERROR(MIN(VLOOKUP(ROUNDDOWN(P138,0),'Aide calcul'!$B$2:$C$282,2,FALSE),O138+1),"")</f>
        <v/>
      </c>
      <c r="R138" s="115" t="str">
        <f t="shared" si="27"/>
        <v/>
      </c>
      <c r="S138" s="155"/>
      <c r="T138" s="155"/>
      <c r="U138" s="155"/>
      <c r="V138" s="155"/>
      <c r="W138" s="155"/>
      <c r="X138" s="155"/>
      <c r="Y138" s="155"/>
      <c r="Z138" s="78"/>
      <c r="AA138" s="78"/>
      <c r="AB138" s="116" t="str">
        <f>IF(C138="3111. Logements",ROUND(VLOOKUP(C138,'Informations générales'!$C$66:$D$70,2,FALSE)*(AK138/$AL$27)/12,0)*12,IF(C138="3112. Logements",ROUND(VLOOKUP(C138,'Informations générales'!$C$66:$D$70,2,FALSE)*(AK138/$AM$27)/12,0)*12,IF(C138="3113. Logements",ROUND(VLOOKUP(C138,'Informations générales'!$C$66:$D$70,2,FALSE)*(AK138/$AN$27)/12,0)*12,IF(C138="3114. Logements",ROUND(VLOOKUP(C138,'Informations générales'!$C$66:$D$70,2,FALSE)*(AK138/$AO$27)/12,0)*12,IF(C138="3115. Logements",ROUND(VLOOKUP(C138,'Informations générales'!$C$66:$D$70,2,FALSE)*(AK138/$AP$27)/12,0)*12,"")))))</f>
        <v/>
      </c>
      <c r="AC138" s="117"/>
      <c r="AD138" s="116">
        <f t="shared" si="28"/>
        <v>0</v>
      </c>
      <c r="AE138" s="117"/>
      <c r="AF138" s="116" t="str">
        <f>IF(C138="3111. Logements",ROUND(VLOOKUP(C138,'Informations générales'!$C$66:$G$70,5,FALSE)*(AK138/$AL$27)/12,0)*12,IF(C138="3112. Logements",ROUND(VLOOKUP(C138,'Informations générales'!$C$66:$G$70,5,FALSE)*(AK138/$AM$27)/12,0)*12,IF(C138="3113. Logements",ROUND(VLOOKUP(C138,'Informations générales'!$C$66:$G$70,5,FALSE)*(AK138/$AN$27)/12,0)*12,IF(C138="3114. Logements",ROUND(VLOOKUP(C138,'Informations générales'!$C$66:$G$70,5,FALSE)*(AK138/$AO$27)/12,0)*12,IF(C138="3115. Logements",ROUND(VLOOKUP(C138,'Informations générales'!$C$66:$G$70,5,FALSE)*(AK138/$AP$27)/12,0)*12,"")))))</f>
        <v/>
      </c>
      <c r="AG138" s="117"/>
      <c r="AH138" s="116" t="str">
        <f t="shared" si="29"/>
        <v/>
      </c>
      <c r="AI138" s="92"/>
      <c r="AJ138" s="78"/>
      <c r="AK138" s="60">
        <f t="shared" si="30"/>
        <v>0</v>
      </c>
      <c r="AL138" s="60"/>
      <c r="AM138" s="60"/>
      <c r="AN138" s="60"/>
      <c r="AO138" s="60"/>
      <c r="AP138" s="60"/>
      <c r="AQ138" s="60">
        <f t="shared" si="18"/>
        <v>0</v>
      </c>
      <c r="AR138" s="60">
        <f t="shared" si="19"/>
        <v>0</v>
      </c>
      <c r="AS138" s="60">
        <f t="shared" si="20"/>
        <v>0</v>
      </c>
      <c r="AT138" s="60">
        <f t="shared" si="21"/>
        <v>0</v>
      </c>
      <c r="AU138" s="60">
        <f t="shared" si="22"/>
        <v>0</v>
      </c>
      <c r="AV138" s="60">
        <f t="shared" si="23"/>
        <v>0</v>
      </c>
      <c r="AW138" s="60">
        <f t="shared" si="24"/>
        <v>0</v>
      </c>
      <c r="AX138" s="60">
        <f t="shared" si="31"/>
        <v>0</v>
      </c>
      <c r="AY138" s="64">
        <f t="shared" si="32"/>
        <v>0</v>
      </c>
      <c r="AZ138" s="65">
        <f t="shared" si="25"/>
        <v>0</v>
      </c>
      <c r="BA138" s="65">
        <f t="shared" si="26"/>
        <v>0</v>
      </c>
    </row>
    <row r="139" spans="3:53" s="17" customFormat="1" x14ac:dyDescent="0.25">
      <c r="C139" s="194"/>
      <c r="D139" s="195"/>
      <c r="E139" s="90"/>
      <c r="F139" s="198"/>
      <c r="G139" s="214"/>
      <c r="H139" s="199"/>
      <c r="I139" s="78"/>
      <c r="J139" s="79"/>
      <c r="K139" s="78"/>
      <c r="L139" s="80"/>
      <c r="M139" s="80"/>
      <c r="N139" s="78" t="s">
        <v>39</v>
      </c>
      <c r="O139" s="113"/>
      <c r="P139" s="155"/>
      <c r="Q139" s="114" t="str">
        <f>IFERROR(MIN(VLOOKUP(ROUNDDOWN(P139,0),'Aide calcul'!$B$2:$C$282,2,FALSE),O139+1),"")</f>
        <v/>
      </c>
      <c r="R139" s="115" t="str">
        <f t="shared" si="27"/>
        <v/>
      </c>
      <c r="S139" s="155"/>
      <c r="T139" s="155"/>
      <c r="U139" s="155"/>
      <c r="V139" s="155"/>
      <c r="W139" s="155"/>
      <c r="X139" s="155"/>
      <c r="Y139" s="155"/>
      <c r="Z139" s="78"/>
      <c r="AA139" s="78"/>
      <c r="AB139" s="116" t="str">
        <f>IF(C139="3111. Logements",ROUND(VLOOKUP(C139,'Informations générales'!$C$66:$D$70,2,FALSE)*(AK139/$AL$27)/12,0)*12,IF(C139="3112. Logements",ROUND(VLOOKUP(C139,'Informations générales'!$C$66:$D$70,2,FALSE)*(AK139/$AM$27)/12,0)*12,IF(C139="3113. Logements",ROUND(VLOOKUP(C139,'Informations générales'!$C$66:$D$70,2,FALSE)*(AK139/$AN$27)/12,0)*12,IF(C139="3114. Logements",ROUND(VLOOKUP(C139,'Informations générales'!$C$66:$D$70,2,FALSE)*(AK139/$AO$27)/12,0)*12,IF(C139="3115. Logements",ROUND(VLOOKUP(C139,'Informations générales'!$C$66:$D$70,2,FALSE)*(AK139/$AP$27)/12,0)*12,"")))))</f>
        <v/>
      </c>
      <c r="AC139" s="117"/>
      <c r="AD139" s="116">
        <f t="shared" si="28"/>
        <v>0</v>
      </c>
      <c r="AE139" s="117"/>
      <c r="AF139" s="116" t="str">
        <f>IF(C139="3111. Logements",ROUND(VLOOKUP(C139,'Informations générales'!$C$66:$G$70,5,FALSE)*(AK139/$AL$27)/12,0)*12,IF(C139="3112. Logements",ROUND(VLOOKUP(C139,'Informations générales'!$C$66:$G$70,5,FALSE)*(AK139/$AM$27)/12,0)*12,IF(C139="3113. Logements",ROUND(VLOOKUP(C139,'Informations générales'!$C$66:$G$70,5,FALSE)*(AK139/$AN$27)/12,0)*12,IF(C139="3114. Logements",ROUND(VLOOKUP(C139,'Informations générales'!$C$66:$G$70,5,FALSE)*(AK139/$AO$27)/12,0)*12,IF(C139="3115. Logements",ROUND(VLOOKUP(C139,'Informations générales'!$C$66:$G$70,5,FALSE)*(AK139/$AP$27)/12,0)*12,"")))))</f>
        <v/>
      </c>
      <c r="AG139" s="117"/>
      <c r="AH139" s="116" t="str">
        <f t="shared" si="29"/>
        <v/>
      </c>
      <c r="AI139" s="92"/>
      <c r="AJ139" s="78"/>
      <c r="AK139" s="60">
        <f t="shared" si="30"/>
        <v>0</v>
      </c>
      <c r="AL139" s="60"/>
      <c r="AM139" s="60"/>
      <c r="AN139" s="60"/>
      <c r="AO139" s="60"/>
      <c r="AP139" s="60"/>
      <c r="AQ139" s="60">
        <f t="shared" si="18"/>
        <v>0</v>
      </c>
      <c r="AR139" s="60">
        <f t="shared" si="19"/>
        <v>0</v>
      </c>
      <c r="AS139" s="60">
        <f t="shared" si="20"/>
        <v>0</v>
      </c>
      <c r="AT139" s="60">
        <f t="shared" si="21"/>
        <v>0</v>
      </c>
      <c r="AU139" s="60">
        <f t="shared" si="22"/>
        <v>0</v>
      </c>
      <c r="AV139" s="60">
        <f t="shared" si="23"/>
        <v>0</v>
      </c>
      <c r="AW139" s="60">
        <f t="shared" si="24"/>
        <v>0</v>
      </c>
      <c r="AX139" s="60">
        <f t="shared" si="31"/>
        <v>0</v>
      </c>
      <c r="AY139" s="64">
        <f t="shared" si="32"/>
        <v>0</v>
      </c>
      <c r="AZ139" s="65">
        <f t="shared" si="25"/>
        <v>0</v>
      </c>
      <c r="BA139" s="65">
        <f t="shared" si="26"/>
        <v>0</v>
      </c>
    </row>
    <row r="140" spans="3:53" s="17" customFormat="1" x14ac:dyDescent="0.25">
      <c r="C140" s="194"/>
      <c r="D140" s="195"/>
      <c r="E140" s="90"/>
      <c r="F140" s="198"/>
      <c r="G140" s="214"/>
      <c r="H140" s="199"/>
      <c r="I140" s="78"/>
      <c r="J140" s="79"/>
      <c r="K140" s="78"/>
      <c r="L140" s="80"/>
      <c r="M140" s="80"/>
      <c r="N140" s="78" t="s">
        <v>39</v>
      </c>
      <c r="O140" s="113"/>
      <c r="P140" s="155"/>
      <c r="Q140" s="114" t="str">
        <f>IFERROR(MIN(VLOOKUP(ROUNDDOWN(P140,0),'Aide calcul'!$B$2:$C$282,2,FALSE),O140+1),"")</f>
        <v/>
      </c>
      <c r="R140" s="115" t="str">
        <f t="shared" si="27"/>
        <v/>
      </c>
      <c r="S140" s="155"/>
      <c r="T140" s="155"/>
      <c r="U140" s="155"/>
      <c r="V140" s="155"/>
      <c r="W140" s="155"/>
      <c r="X140" s="155"/>
      <c r="Y140" s="155"/>
      <c r="Z140" s="78"/>
      <c r="AA140" s="78"/>
      <c r="AB140" s="116" t="str">
        <f>IF(C140="3111. Logements",ROUND(VLOOKUP(C140,'Informations générales'!$C$66:$D$70,2,FALSE)*(AK140/$AL$27)/12,0)*12,IF(C140="3112. Logements",ROUND(VLOOKUP(C140,'Informations générales'!$C$66:$D$70,2,FALSE)*(AK140/$AM$27)/12,0)*12,IF(C140="3113. Logements",ROUND(VLOOKUP(C140,'Informations générales'!$C$66:$D$70,2,FALSE)*(AK140/$AN$27)/12,0)*12,IF(C140="3114. Logements",ROUND(VLOOKUP(C140,'Informations générales'!$C$66:$D$70,2,FALSE)*(AK140/$AO$27)/12,0)*12,IF(C140="3115. Logements",ROUND(VLOOKUP(C140,'Informations générales'!$C$66:$D$70,2,FALSE)*(AK140/$AP$27)/12,0)*12,"")))))</f>
        <v/>
      </c>
      <c r="AC140" s="117"/>
      <c r="AD140" s="116">
        <f t="shared" si="28"/>
        <v>0</v>
      </c>
      <c r="AE140" s="117"/>
      <c r="AF140" s="116" t="str">
        <f>IF(C140="3111. Logements",ROUND(VLOOKUP(C140,'Informations générales'!$C$66:$G$70,5,FALSE)*(AK140/$AL$27)/12,0)*12,IF(C140="3112. Logements",ROUND(VLOOKUP(C140,'Informations générales'!$C$66:$G$70,5,FALSE)*(AK140/$AM$27)/12,0)*12,IF(C140="3113. Logements",ROUND(VLOOKUP(C140,'Informations générales'!$C$66:$G$70,5,FALSE)*(AK140/$AN$27)/12,0)*12,IF(C140="3114. Logements",ROUND(VLOOKUP(C140,'Informations générales'!$C$66:$G$70,5,FALSE)*(AK140/$AO$27)/12,0)*12,IF(C140="3115. Logements",ROUND(VLOOKUP(C140,'Informations générales'!$C$66:$G$70,5,FALSE)*(AK140/$AP$27)/12,0)*12,"")))))</f>
        <v/>
      </c>
      <c r="AG140" s="117"/>
      <c r="AH140" s="116" t="str">
        <f t="shared" si="29"/>
        <v/>
      </c>
      <c r="AI140" s="92"/>
      <c r="AJ140" s="78"/>
      <c r="AK140" s="60">
        <f t="shared" si="30"/>
        <v>0</v>
      </c>
      <c r="AL140" s="60"/>
      <c r="AM140" s="60"/>
      <c r="AN140" s="60"/>
      <c r="AO140" s="60"/>
      <c r="AP140" s="60"/>
      <c r="AQ140" s="60">
        <f t="shared" si="18"/>
        <v>0</v>
      </c>
      <c r="AR140" s="60">
        <f t="shared" si="19"/>
        <v>0</v>
      </c>
      <c r="AS140" s="60">
        <f t="shared" si="20"/>
        <v>0</v>
      </c>
      <c r="AT140" s="60">
        <f t="shared" si="21"/>
        <v>0</v>
      </c>
      <c r="AU140" s="60">
        <f t="shared" si="22"/>
        <v>0</v>
      </c>
      <c r="AV140" s="60">
        <f t="shared" si="23"/>
        <v>0</v>
      </c>
      <c r="AW140" s="60">
        <f t="shared" si="24"/>
        <v>0</v>
      </c>
      <c r="AX140" s="60">
        <f t="shared" si="31"/>
        <v>0</v>
      </c>
      <c r="AY140" s="64">
        <f t="shared" si="32"/>
        <v>0</v>
      </c>
      <c r="AZ140" s="65">
        <f t="shared" si="25"/>
        <v>0</v>
      </c>
      <c r="BA140" s="65">
        <f t="shared" si="26"/>
        <v>0</v>
      </c>
    </row>
    <row r="141" spans="3:53" s="17" customFormat="1" x14ac:dyDescent="0.25">
      <c r="C141" s="194"/>
      <c r="D141" s="195"/>
      <c r="E141" s="90"/>
      <c r="F141" s="198"/>
      <c r="G141" s="214"/>
      <c r="H141" s="199"/>
      <c r="I141" s="78"/>
      <c r="J141" s="79"/>
      <c r="K141" s="78"/>
      <c r="L141" s="80"/>
      <c r="M141" s="80"/>
      <c r="N141" s="78" t="s">
        <v>39</v>
      </c>
      <c r="O141" s="113"/>
      <c r="P141" s="155"/>
      <c r="Q141" s="114" t="str">
        <f>IFERROR(MIN(VLOOKUP(ROUNDDOWN(P141,0),'Aide calcul'!$B$2:$C$282,2,FALSE),O141+1),"")</f>
        <v/>
      </c>
      <c r="R141" s="115" t="str">
        <f t="shared" si="27"/>
        <v/>
      </c>
      <c r="S141" s="155"/>
      <c r="T141" s="155"/>
      <c r="U141" s="155"/>
      <c r="V141" s="155"/>
      <c r="W141" s="155"/>
      <c r="X141" s="155"/>
      <c r="Y141" s="155"/>
      <c r="Z141" s="78"/>
      <c r="AA141" s="78"/>
      <c r="AB141" s="116" t="str">
        <f>IF(C141="3111. Logements",ROUND(VLOOKUP(C141,'Informations générales'!$C$66:$D$70,2,FALSE)*(AK141/$AL$27)/12,0)*12,IF(C141="3112. Logements",ROUND(VLOOKUP(C141,'Informations générales'!$C$66:$D$70,2,FALSE)*(AK141/$AM$27)/12,0)*12,IF(C141="3113. Logements",ROUND(VLOOKUP(C141,'Informations générales'!$C$66:$D$70,2,FALSE)*(AK141/$AN$27)/12,0)*12,IF(C141="3114. Logements",ROUND(VLOOKUP(C141,'Informations générales'!$C$66:$D$70,2,FALSE)*(AK141/$AO$27)/12,0)*12,IF(C141="3115. Logements",ROUND(VLOOKUP(C141,'Informations générales'!$C$66:$D$70,2,FALSE)*(AK141/$AP$27)/12,0)*12,"")))))</f>
        <v/>
      </c>
      <c r="AC141" s="117"/>
      <c r="AD141" s="116">
        <f t="shared" si="28"/>
        <v>0</v>
      </c>
      <c r="AE141" s="117"/>
      <c r="AF141" s="116" t="str">
        <f>IF(C141="3111. Logements",ROUND(VLOOKUP(C141,'Informations générales'!$C$66:$G$70,5,FALSE)*(AK141/$AL$27)/12,0)*12,IF(C141="3112. Logements",ROUND(VLOOKUP(C141,'Informations générales'!$C$66:$G$70,5,FALSE)*(AK141/$AM$27)/12,0)*12,IF(C141="3113. Logements",ROUND(VLOOKUP(C141,'Informations générales'!$C$66:$G$70,5,FALSE)*(AK141/$AN$27)/12,0)*12,IF(C141="3114. Logements",ROUND(VLOOKUP(C141,'Informations générales'!$C$66:$G$70,5,FALSE)*(AK141/$AO$27)/12,0)*12,IF(C141="3115. Logements",ROUND(VLOOKUP(C141,'Informations générales'!$C$66:$G$70,5,FALSE)*(AK141/$AP$27)/12,0)*12,"")))))</f>
        <v/>
      </c>
      <c r="AG141" s="117"/>
      <c r="AH141" s="116" t="str">
        <f t="shared" si="29"/>
        <v/>
      </c>
      <c r="AI141" s="92"/>
      <c r="AJ141" s="78"/>
      <c r="AK141" s="60">
        <f t="shared" si="30"/>
        <v>0</v>
      </c>
      <c r="AL141" s="60"/>
      <c r="AM141" s="60"/>
      <c r="AN141" s="60"/>
      <c r="AO141" s="60"/>
      <c r="AP141" s="60"/>
      <c r="AQ141" s="60">
        <f t="shared" si="18"/>
        <v>0</v>
      </c>
      <c r="AR141" s="60">
        <f t="shared" si="19"/>
        <v>0</v>
      </c>
      <c r="AS141" s="60">
        <f t="shared" si="20"/>
        <v>0</v>
      </c>
      <c r="AT141" s="60">
        <f t="shared" si="21"/>
        <v>0</v>
      </c>
      <c r="AU141" s="60">
        <f t="shared" si="22"/>
        <v>0</v>
      </c>
      <c r="AV141" s="60">
        <f t="shared" si="23"/>
        <v>0</v>
      </c>
      <c r="AW141" s="60">
        <f t="shared" si="24"/>
        <v>0</v>
      </c>
      <c r="AX141" s="60">
        <f t="shared" si="31"/>
        <v>0</v>
      </c>
      <c r="AY141" s="64">
        <f t="shared" si="32"/>
        <v>0</v>
      </c>
      <c r="AZ141" s="65">
        <f t="shared" si="25"/>
        <v>0</v>
      </c>
      <c r="BA141" s="65">
        <f t="shared" si="26"/>
        <v>0</v>
      </c>
    </row>
    <row r="142" spans="3:53" s="17" customFormat="1" x14ac:dyDescent="0.25">
      <c r="C142" s="194"/>
      <c r="D142" s="195"/>
      <c r="E142" s="90"/>
      <c r="F142" s="198"/>
      <c r="G142" s="214"/>
      <c r="H142" s="199"/>
      <c r="I142" s="78"/>
      <c r="J142" s="79"/>
      <c r="K142" s="78"/>
      <c r="L142" s="80"/>
      <c r="M142" s="80"/>
      <c r="N142" s="78" t="s">
        <v>39</v>
      </c>
      <c r="O142" s="113"/>
      <c r="P142" s="155"/>
      <c r="Q142" s="114" t="str">
        <f>IFERROR(MIN(VLOOKUP(ROUNDDOWN(P142,0),'Aide calcul'!$B$2:$C$282,2,FALSE),O142+1),"")</f>
        <v/>
      </c>
      <c r="R142" s="115" t="str">
        <f t="shared" si="27"/>
        <v/>
      </c>
      <c r="S142" s="155"/>
      <c r="T142" s="155"/>
      <c r="U142" s="155"/>
      <c r="V142" s="155"/>
      <c r="W142" s="155"/>
      <c r="X142" s="155"/>
      <c r="Y142" s="155"/>
      <c r="Z142" s="78"/>
      <c r="AA142" s="78"/>
      <c r="AB142" s="116" t="str">
        <f>IF(C142="3111. Logements",ROUND(VLOOKUP(C142,'Informations générales'!$C$66:$D$70,2,FALSE)*(AK142/$AL$27)/12,0)*12,IF(C142="3112. Logements",ROUND(VLOOKUP(C142,'Informations générales'!$C$66:$D$70,2,FALSE)*(AK142/$AM$27)/12,0)*12,IF(C142="3113. Logements",ROUND(VLOOKUP(C142,'Informations générales'!$C$66:$D$70,2,FALSE)*(AK142/$AN$27)/12,0)*12,IF(C142="3114. Logements",ROUND(VLOOKUP(C142,'Informations générales'!$C$66:$D$70,2,FALSE)*(AK142/$AO$27)/12,0)*12,IF(C142="3115. Logements",ROUND(VLOOKUP(C142,'Informations générales'!$C$66:$D$70,2,FALSE)*(AK142/$AP$27)/12,0)*12,"")))))</f>
        <v/>
      </c>
      <c r="AC142" s="117"/>
      <c r="AD142" s="116">
        <f t="shared" si="28"/>
        <v>0</v>
      </c>
      <c r="AE142" s="117"/>
      <c r="AF142" s="116" t="str">
        <f>IF(C142="3111. Logements",ROUND(VLOOKUP(C142,'Informations générales'!$C$66:$G$70,5,FALSE)*(AK142/$AL$27)/12,0)*12,IF(C142="3112. Logements",ROUND(VLOOKUP(C142,'Informations générales'!$C$66:$G$70,5,FALSE)*(AK142/$AM$27)/12,0)*12,IF(C142="3113. Logements",ROUND(VLOOKUP(C142,'Informations générales'!$C$66:$G$70,5,FALSE)*(AK142/$AN$27)/12,0)*12,IF(C142="3114. Logements",ROUND(VLOOKUP(C142,'Informations générales'!$C$66:$G$70,5,FALSE)*(AK142/$AO$27)/12,0)*12,IF(C142="3115. Logements",ROUND(VLOOKUP(C142,'Informations générales'!$C$66:$G$70,5,FALSE)*(AK142/$AP$27)/12,0)*12,"")))))</f>
        <v/>
      </c>
      <c r="AG142" s="117"/>
      <c r="AH142" s="116" t="str">
        <f t="shared" si="29"/>
        <v/>
      </c>
      <c r="AI142" s="92"/>
      <c r="AJ142" s="78"/>
      <c r="AK142" s="60">
        <f t="shared" si="30"/>
        <v>0</v>
      </c>
      <c r="AL142" s="60"/>
      <c r="AM142" s="60"/>
      <c r="AN142" s="60"/>
      <c r="AO142" s="60"/>
      <c r="AP142" s="60"/>
      <c r="AQ142" s="60">
        <f t="shared" si="18"/>
        <v>0</v>
      </c>
      <c r="AR142" s="60">
        <f t="shared" si="19"/>
        <v>0</v>
      </c>
      <c r="AS142" s="60">
        <f t="shared" si="20"/>
        <v>0</v>
      </c>
      <c r="AT142" s="60">
        <f t="shared" si="21"/>
        <v>0</v>
      </c>
      <c r="AU142" s="60">
        <f t="shared" si="22"/>
        <v>0</v>
      </c>
      <c r="AV142" s="60">
        <f t="shared" si="23"/>
        <v>0</v>
      </c>
      <c r="AW142" s="60">
        <f t="shared" si="24"/>
        <v>0</v>
      </c>
      <c r="AX142" s="60">
        <f t="shared" si="31"/>
        <v>0</v>
      </c>
      <c r="AY142" s="64">
        <f t="shared" si="32"/>
        <v>0</v>
      </c>
      <c r="AZ142" s="65">
        <f t="shared" si="25"/>
        <v>0</v>
      </c>
      <c r="BA142" s="65">
        <f t="shared" si="26"/>
        <v>0</v>
      </c>
    </row>
    <row r="143" spans="3:53" s="17" customFormat="1" x14ac:dyDescent="0.25">
      <c r="C143" s="194"/>
      <c r="D143" s="195"/>
      <c r="E143" s="90"/>
      <c r="F143" s="198"/>
      <c r="G143" s="214"/>
      <c r="H143" s="199"/>
      <c r="I143" s="78"/>
      <c r="J143" s="79"/>
      <c r="K143" s="78"/>
      <c r="L143" s="80"/>
      <c r="M143" s="80"/>
      <c r="N143" s="78" t="s">
        <v>39</v>
      </c>
      <c r="O143" s="113"/>
      <c r="P143" s="155"/>
      <c r="Q143" s="114" t="str">
        <f>IFERROR(MIN(VLOOKUP(ROUNDDOWN(P143,0),'Aide calcul'!$B$2:$C$282,2,FALSE),O143+1),"")</f>
        <v/>
      </c>
      <c r="R143" s="115" t="str">
        <f t="shared" si="27"/>
        <v/>
      </c>
      <c r="S143" s="155"/>
      <c r="T143" s="155"/>
      <c r="U143" s="155"/>
      <c r="V143" s="155"/>
      <c r="W143" s="155"/>
      <c r="X143" s="155"/>
      <c r="Y143" s="155"/>
      <c r="Z143" s="78"/>
      <c r="AA143" s="78"/>
      <c r="AB143" s="116" t="str">
        <f>IF(C143="3111. Logements",ROUND(VLOOKUP(C143,'Informations générales'!$C$66:$D$70,2,FALSE)*(AK143/$AL$27)/12,0)*12,IF(C143="3112. Logements",ROUND(VLOOKUP(C143,'Informations générales'!$C$66:$D$70,2,FALSE)*(AK143/$AM$27)/12,0)*12,IF(C143="3113. Logements",ROUND(VLOOKUP(C143,'Informations générales'!$C$66:$D$70,2,FALSE)*(AK143/$AN$27)/12,0)*12,IF(C143="3114. Logements",ROUND(VLOOKUP(C143,'Informations générales'!$C$66:$D$70,2,FALSE)*(AK143/$AO$27)/12,0)*12,IF(C143="3115. Logements",ROUND(VLOOKUP(C143,'Informations générales'!$C$66:$D$70,2,FALSE)*(AK143/$AP$27)/12,0)*12,"")))))</f>
        <v/>
      </c>
      <c r="AC143" s="117"/>
      <c r="AD143" s="116">
        <f t="shared" si="28"/>
        <v>0</v>
      </c>
      <c r="AE143" s="117"/>
      <c r="AF143" s="116" t="str">
        <f>IF(C143="3111. Logements",ROUND(VLOOKUP(C143,'Informations générales'!$C$66:$G$70,5,FALSE)*(AK143/$AL$27)/12,0)*12,IF(C143="3112. Logements",ROUND(VLOOKUP(C143,'Informations générales'!$C$66:$G$70,5,FALSE)*(AK143/$AM$27)/12,0)*12,IF(C143="3113. Logements",ROUND(VLOOKUP(C143,'Informations générales'!$C$66:$G$70,5,FALSE)*(AK143/$AN$27)/12,0)*12,IF(C143="3114. Logements",ROUND(VLOOKUP(C143,'Informations générales'!$C$66:$G$70,5,FALSE)*(AK143/$AO$27)/12,0)*12,IF(C143="3115. Logements",ROUND(VLOOKUP(C143,'Informations générales'!$C$66:$G$70,5,FALSE)*(AK143/$AP$27)/12,0)*12,"")))))</f>
        <v/>
      </c>
      <c r="AG143" s="117"/>
      <c r="AH143" s="116" t="str">
        <f t="shared" si="29"/>
        <v/>
      </c>
      <c r="AI143" s="92"/>
      <c r="AJ143" s="78"/>
      <c r="AK143" s="60">
        <f t="shared" si="30"/>
        <v>0</v>
      </c>
      <c r="AL143" s="60"/>
      <c r="AM143" s="60"/>
      <c r="AN143" s="60"/>
      <c r="AO143" s="60"/>
      <c r="AP143" s="60"/>
      <c r="AQ143" s="60">
        <f t="shared" si="18"/>
        <v>0</v>
      </c>
      <c r="AR143" s="60">
        <f t="shared" si="19"/>
        <v>0</v>
      </c>
      <c r="AS143" s="60">
        <f t="shared" si="20"/>
        <v>0</v>
      </c>
      <c r="AT143" s="60">
        <f t="shared" si="21"/>
        <v>0</v>
      </c>
      <c r="AU143" s="60">
        <f t="shared" si="22"/>
        <v>0</v>
      </c>
      <c r="AV143" s="60">
        <f t="shared" si="23"/>
        <v>0</v>
      </c>
      <c r="AW143" s="60">
        <f t="shared" si="24"/>
        <v>0</v>
      </c>
      <c r="AX143" s="60">
        <f t="shared" si="31"/>
        <v>0</v>
      </c>
      <c r="AY143" s="64">
        <f t="shared" si="32"/>
        <v>0</v>
      </c>
      <c r="AZ143" s="65">
        <f t="shared" si="25"/>
        <v>0</v>
      </c>
      <c r="BA143" s="65">
        <f t="shared" si="26"/>
        <v>0</v>
      </c>
    </row>
    <row r="144" spans="3:53" s="17" customFormat="1" x14ac:dyDescent="0.25">
      <c r="C144" s="194"/>
      <c r="D144" s="195"/>
      <c r="E144" s="90"/>
      <c r="F144" s="198"/>
      <c r="G144" s="214"/>
      <c r="H144" s="199"/>
      <c r="I144" s="78"/>
      <c r="J144" s="79"/>
      <c r="K144" s="78"/>
      <c r="L144" s="80"/>
      <c r="M144" s="80"/>
      <c r="N144" s="78" t="s">
        <v>39</v>
      </c>
      <c r="O144" s="113"/>
      <c r="P144" s="155"/>
      <c r="Q144" s="114" t="str">
        <f>IFERROR(MIN(VLOOKUP(ROUNDDOWN(P144,0),'Aide calcul'!$B$2:$C$282,2,FALSE),O144+1),"")</f>
        <v/>
      </c>
      <c r="R144" s="115" t="str">
        <f t="shared" si="27"/>
        <v/>
      </c>
      <c r="S144" s="155"/>
      <c r="T144" s="155"/>
      <c r="U144" s="155"/>
      <c r="V144" s="155"/>
      <c r="W144" s="155"/>
      <c r="X144" s="155"/>
      <c r="Y144" s="155"/>
      <c r="Z144" s="78"/>
      <c r="AA144" s="78"/>
      <c r="AB144" s="116" t="str">
        <f>IF(C144="3111. Logements",ROUND(VLOOKUP(C144,'Informations générales'!$C$66:$D$70,2,FALSE)*(AK144/$AL$27)/12,0)*12,IF(C144="3112. Logements",ROUND(VLOOKUP(C144,'Informations générales'!$C$66:$D$70,2,FALSE)*(AK144/$AM$27)/12,0)*12,IF(C144="3113. Logements",ROUND(VLOOKUP(C144,'Informations générales'!$C$66:$D$70,2,FALSE)*(AK144/$AN$27)/12,0)*12,IF(C144="3114. Logements",ROUND(VLOOKUP(C144,'Informations générales'!$C$66:$D$70,2,FALSE)*(AK144/$AO$27)/12,0)*12,IF(C144="3115. Logements",ROUND(VLOOKUP(C144,'Informations générales'!$C$66:$D$70,2,FALSE)*(AK144/$AP$27)/12,0)*12,"")))))</f>
        <v/>
      </c>
      <c r="AC144" s="117"/>
      <c r="AD144" s="116">
        <f t="shared" si="28"/>
        <v>0</v>
      </c>
      <c r="AE144" s="117"/>
      <c r="AF144" s="116" t="str">
        <f>IF(C144="3111. Logements",ROUND(VLOOKUP(C144,'Informations générales'!$C$66:$G$70,5,FALSE)*(AK144/$AL$27)/12,0)*12,IF(C144="3112. Logements",ROUND(VLOOKUP(C144,'Informations générales'!$C$66:$G$70,5,FALSE)*(AK144/$AM$27)/12,0)*12,IF(C144="3113. Logements",ROUND(VLOOKUP(C144,'Informations générales'!$C$66:$G$70,5,FALSE)*(AK144/$AN$27)/12,0)*12,IF(C144="3114. Logements",ROUND(VLOOKUP(C144,'Informations générales'!$C$66:$G$70,5,FALSE)*(AK144/$AO$27)/12,0)*12,IF(C144="3115. Logements",ROUND(VLOOKUP(C144,'Informations générales'!$C$66:$G$70,5,FALSE)*(AK144/$AP$27)/12,0)*12,"")))))</f>
        <v/>
      </c>
      <c r="AG144" s="117"/>
      <c r="AH144" s="116" t="str">
        <f t="shared" si="29"/>
        <v/>
      </c>
      <c r="AI144" s="92"/>
      <c r="AJ144" s="78"/>
      <c r="AK144" s="60">
        <f t="shared" si="30"/>
        <v>0</v>
      </c>
      <c r="AL144" s="60"/>
      <c r="AM144" s="60"/>
      <c r="AN144" s="60"/>
      <c r="AO144" s="60"/>
      <c r="AP144" s="60"/>
      <c r="AQ144" s="60">
        <f t="shared" si="18"/>
        <v>0</v>
      </c>
      <c r="AR144" s="60">
        <f t="shared" si="19"/>
        <v>0</v>
      </c>
      <c r="AS144" s="60">
        <f t="shared" si="20"/>
        <v>0</v>
      </c>
      <c r="AT144" s="60">
        <f t="shared" si="21"/>
        <v>0</v>
      </c>
      <c r="AU144" s="60">
        <f t="shared" si="22"/>
        <v>0</v>
      </c>
      <c r="AV144" s="60">
        <f t="shared" si="23"/>
        <v>0</v>
      </c>
      <c r="AW144" s="60">
        <f t="shared" si="24"/>
        <v>0</v>
      </c>
      <c r="AX144" s="60">
        <f t="shared" si="31"/>
        <v>0</v>
      </c>
      <c r="AY144" s="64">
        <f t="shared" si="32"/>
        <v>0</v>
      </c>
      <c r="AZ144" s="65">
        <f t="shared" si="25"/>
        <v>0</v>
      </c>
      <c r="BA144" s="65">
        <f t="shared" si="26"/>
        <v>0</v>
      </c>
    </row>
    <row r="145" spans="3:53" s="17" customFormat="1" x14ac:dyDescent="0.25">
      <c r="C145" s="194"/>
      <c r="D145" s="195"/>
      <c r="E145" s="90"/>
      <c r="F145" s="198"/>
      <c r="G145" s="214"/>
      <c r="H145" s="199"/>
      <c r="I145" s="78"/>
      <c r="J145" s="79"/>
      <c r="K145" s="78"/>
      <c r="L145" s="80"/>
      <c r="M145" s="80"/>
      <c r="N145" s="78" t="s">
        <v>39</v>
      </c>
      <c r="O145" s="113"/>
      <c r="P145" s="155"/>
      <c r="Q145" s="114" t="str">
        <f>IFERROR(MIN(VLOOKUP(ROUNDDOWN(P145,0),'Aide calcul'!$B$2:$C$282,2,FALSE),O145+1),"")</f>
        <v/>
      </c>
      <c r="R145" s="115" t="str">
        <f t="shared" si="27"/>
        <v/>
      </c>
      <c r="S145" s="155"/>
      <c r="T145" s="155"/>
      <c r="U145" s="155"/>
      <c r="V145" s="155"/>
      <c r="W145" s="155"/>
      <c r="X145" s="155"/>
      <c r="Y145" s="155"/>
      <c r="Z145" s="78"/>
      <c r="AA145" s="78"/>
      <c r="AB145" s="116" t="str">
        <f>IF(C145="3111. Logements",ROUND(VLOOKUP(C145,'Informations générales'!$C$66:$D$70,2,FALSE)*(AK145/$AL$27)/12,0)*12,IF(C145="3112. Logements",ROUND(VLOOKUP(C145,'Informations générales'!$C$66:$D$70,2,FALSE)*(AK145/$AM$27)/12,0)*12,IF(C145="3113. Logements",ROUND(VLOOKUP(C145,'Informations générales'!$C$66:$D$70,2,FALSE)*(AK145/$AN$27)/12,0)*12,IF(C145="3114. Logements",ROUND(VLOOKUP(C145,'Informations générales'!$C$66:$D$70,2,FALSE)*(AK145/$AO$27)/12,0)*12,IF(C145="3115. Logements",ROUND(VLOOKUP(C145,'Informations générales'!$C$66:$D$70,2,FALSE)*(AK145/$AP$27)/12,0)*12,"")))))</f>
        <v/>
      </c>
      <c r="AC145" s="117"/>
      <c r="AD145" s="116">
        <f t="shared" si="28"/>
        <v>0</v>
      </c>
      <c r="AE145" s="117"/>
      <c r="AF145" s="116" t="str">
        <f>IF(C145="3111. Logements",ROUND(VLOOKUP(C145,'Informations générales'!$C$66:$G$70,5,FALSE)*(AK145/$AL$27)/12,0)*12,IF(C145="3112. Logements",ROUND(VLOOKUP(C145,'Informations générales'!$C$66:$G$70,5,FALSE)*(AK145/$AM$27)/12,0)*12,IF(C145="3113. Logements",ROUND(VLOOKUP(C145,'Informations générales'!$C$66:$G$70,5,FALSE)*(AK145/$AN$27)/12,0)*12,IF(C145="3114. Logements",ROUND(VLOOKUP(C145,'Informations générales'!$C$66:$G$70,5,FALSE)*(AK145/$AO$27)/12,0)*12,IF(C145="3115. Logements",ROUND(VLOOKUP(C145,'Informations générales'!$C$66:$G$70,5,FALSE)*(AK145/$AP$27)/12,0)*12,"")))))</f>
        <v/>
      </c>
      <c r="AG145" s="117"/>
      <c r="AH145" s="116" t="str">
        <f t="shared" si="29"/>
        <v/>
      </c>
      <c r="AI145" s="92"/>
      <c r="AJ145" s="78"/>
      <c r="AK145" s="60">
        <f t="shared" si="30"/>
        <v>0</v>
      </c>
      <c r="AL145" s="60"/>
      <c r="AM145" s="60"/>
      <c r="AN145" s="60"/>
      <c r="AO145" s="60"/>
      <c r="AP145" s="60"/>
      <c r="AQ145" s="60">
        <f t="shared" si="18"/>
        <v>0</v>
      </c>
      <c r="AR145" s="60">
        <f t="shared" si="19"/>
        <v>0</v>
      </c>
      <c r="AS145" s="60">
        <f t="shared" si="20"/>
        <v>0</v>
      </c>
      <c r="AT145" s="60">
        <f t="shared" si="21"/>
        <v>0</v>
      </c>
      <c r="AU145" s="60">
        <f t="shared" si="22"/>
        <v>0</v>
      </c>
      <c r="AV145" s="60">
        <f t="shared" si="23"/>
        <v>0</v>
      </c>
      <c r="AW145" s="60">
        <f t="shared" si="24"/>
        <v>0</v>
      </c>
      <c r="AX145" s="60">
        <f t="shared" si="31"/>
        <v>0</v>
      </c>
      <c r="AY145" s="64">
        <f t="shared" si="32"/>
        <v>0</v>
      </c>
      <c r="AZ145" s="65">
        <f t="shared" si="25"/>
        <v>0</v>
      </c>
      <c r="BA145" s="65">
        <f t="shared" si="26"/>
        <v>0</v>
      </c>
    </row>
    <row r="146" spans="3:53" s="17" customFormat="1" x14ac:dyDescent="0.25">
      <c r="C146" s="194"/>
      <c r="D146" s="195"/>
      <c r="E146" s="90"/>
      <c r="F146" s="198"/>
      <c r="G146" s="214"/>
      <c r="H146" s="199"/>
      <c r="I146" s="78"/>
      <c r="J146" s="79"/>
      <c r="K146" s="78"/>
      <c r="L146" s="80"/>
      <c r="M146" s="80"/>
      <c r="N146" s="78" t="s">
        <v>39</v>
      </c>
      <c r="O146" s="113"/>
      <c r="P146" s="155"/>
      <c r="Q146" s="114" t="str">
        <f>IFERROR(MIN(VLOOKUP(ROUNDDOWN(P146,0),'Aide calcul'!$B$2:$C$282,2,FALSE),O146+1),"")</f>
        <v/>
      </c>
      <c r="R146" s="115" t="str">
        <f t="shared" si="27"/>
        <v/>
      </c>
      <c r="S146" s="155"/>
      <c r="T146" s="155"/>
      <c r="U146" s="155"/>
      <c r="V146" s="155"/>
      <c r="W146" s="155"/>
      <c r="X146" s="155"/>
      <c r="Y146" s="155"/>
      <c r="Z146" s="78"/>
      <c r="AA146" s="78"/>
      <c r="AB146" s="116" t="str">
        <f>IF(C146="3111. Logements",ROUND(VLOOKUP(C146,'Informations générales'!$C$66:$D$70,2,FALSE)*(AK146/$AL$27)/12,0)*12,IF(C146="3112. Logements",ROUND(VLOOKUP(C146,'Informations générales'!$C$66:$D$70,2,FALSE)*(AK146/$AM$27)/12,0)*12,IF(C146="3113. Logements",ROUND(VLOOKUP(C146,'Informations générales'!$C$66:$D$70,2,FALSE)*(AK146/$AN$27)/12,0)*12,IF(C146="3114. Logements",ROUND(VLOOKUP(C146,'Informations générales'!$C$66:$D$70,2,FALSE)*(AK146/$AO$27)/12,0)*12,IF(C146="3115. Logements",ROUND(VLOOKUP(C146,'Informations générales'!$C$66:$D$70,2,FALSE)*(AK146/$AP$27)/12,0)*12,"")))))</f>
        <v/>
      </c>
      <c r="AC146" s="117"/>
      <c r="AD146" s="116">
        <f t="shared" si="28"/>
        <v>0</v>
      </c>
      <c r="AE146" s="117"/>
      <c r="AF146" s="116" t="str">
        <f>IF(C146="3111. Logements",ROUND(VLOOKUP(C146,'Informations générales'!$C$66:$G$70,5,FALSE)*(AK146/$AL$27)/12,0)*12,IF(C146="3112. Logements",ROUND(VLOOKUP(C146,'Informations générales'!$C$66:$G$70,5,FALSE)*(AK146/$AM$27)/12,0)*12,IF(C146="3113. Logements",ROUND(VLOOKUP(C146,'Informations générales'!$C$66:$G$70,5,FALSE)*(AK146/$AN$27)/12,0)*12,IF(C146="3114. Logements",ROUND(VLOOKUP(C146,'Informations générales'!$C$66:$G$70,5,FALSE)*(AK146/$AO$27)/12,0)*12,IF(C146="3115. Logements",ROUND(VLOOKUP(C146,'Informations générales'!$C$66:$G$70,5,FALSE)*(AK146/$AP$27)/12,0)*12,"")))))</f>
        <v/>
      </c>
      <c r="AG146" s="117"/>
      <c r="AH146" s="116" t="str">
        <f t="shared" si="29"/>
        <v/>
      </c>
      <c r="AI146" s="92"/>
      <c r="AJ146" s="78"/>
      <c r="AK146" s="60">
        <f t="shared" si="30"/>
        <v>0</v>
      </c>
      <c r="AL146" s="60"/>
      <c r="AM146" s="60"/>
      <c r="AN146" s="60"/>
      <c r="AO146" s="60"/>
      <c r="AP146" s="60"/>
      <c r="AQ146" s="60">
        <f t="shared" si="18"/>
        <v>0</v>
      </c>
      <c r="AR146" s="60">
        <f t="shared" si="19"/>
        <v>0</v>
      </c>
      <c r="AS146" s="60">
        <f t="shared" si="20"/>
        <v>0</v>
      </c>
      <c r="AT146" s="60">
        <f t="shared" si="21"/>
        <v>0</v>
      </c>
      <c r="AU146" s="60">
        <f t="shared" si="22"/>
        <v>0</v>
      </c>
      <c r="AV146" s="60">
        <f t="shared" si="23"/>
        <v>0</v>
      </c>
      <c r="AW146" s="60">
        <f t="shared" si="24"/>
        <v>0</v>
      </c>
      <c r="AX146" s="60">
        <f t="shared" si="31"/>
        <v>0</v>
      </c>
      <c r="AY146" s="64">
        <f t="shared" si="32"/>
        <v>0</v>
      </c>
      <c r="AZ146" s="65">
        <f t="shared" si="25"/>
        <v>0</v>
      </c>
      <c r="BA146" s="65">
        <f t="shared" si="26"/>
        <v>0</v>
      </c>
    </row>
    <row r="147" spans="3:53" s="17" customFormat="1" x14ac:dyDescent="0.25">
      <c r="C147" s="194"/>
      <c r="D147" s="195"/>
      <c r="E147" s="90"/>
      <c r="F147" s="198"/>
      <c r="G147" s="214"/>
      <c r="H147" s="199"/>
      <c r="I147" s="78"/>
      <c r="J147" s="79"/>
      <c r="K147" s="78"/>
      <c r="L147" s="80"/>
      <c r="M147" s="80"/>
      <c r="N147" s="78" t="s">
        <v>39</v>
      </c>
      <c r="O147" s="113"/>
      <c r="P147" s="155"/>
      <c r="Q147" s="114" t="str">
        <f>IFERROR(MIN(VLOOKUP(ROUNDDOWN(P147,0),'Aide calcul'!$B$2:$C$282,2,FALSE),O147+1),"")</f>
        <v/>
      </c>
      <c r="R147" s="115" t="str">
        <f t="shared" si="27"/>
        <v/>
      </c>
      <c r="S147" s="155"/>
      <c r="T147" s="155"/>
      <c r="U147" s="155"/>
      <c r="V147" s="155"/>
      <c r="W147" s="155"/>
      <c r="X147" s="155"/>
      <c r="Y147" s="155"/>
      <c r="Z147" s="78"/>
      <c r="AA147" s="78"/>
      <c r="AB147" s="116" t="str">
        <f>IF(C147="3111. Logements",ROUND(VLOOKUP(C147,'Informations générales'!$C$66:$D$70,2,FALSE)*(AK147/$AL$27)/12,0)*12,IF(C147="3112. Logements",ROUND(VLOOKUP(C147,'Informations générales'!$C$66:$D$70,2,FALSE)*(AK147/$AM$27)/12,0)*12,IF(C147="3113. Logements",ROUND(VLOOKUP(C147,'Informations générales'!$C$66:$D$70,2,FALSE)*(AK147/$AN$27)/12,0)*12,IF(C147="3114. Logements",ROUND(VLOOKUP(C147,'Informations générales'!$C$66:$D$70,2,FALSE)*(AK147/$AO$27)/12,0)*12,IF(C147="3115. Logements",ROUND(VLOOKUP(C147,'Informations générales'!$C$66:$D$70,2,FALSE)*(AK147/$AP$27)/12,0)*12,"")))))</f>
        <v/>
      </c>
      <c r="AC147" s="117"/>
      <c r="AD147" s="116">
        <f t="shared" si="28"/>
        <v>0</v>
      </c>
      <c r="AE147" s="117"/>
      <c r="AF147" s="116" t="str">
        <f>IF(C147="3111. Logements",ROUND(VLOOKUP(C147,'Informations générales'!$C$66:$G$70,5,FALSE)*(AK147/$AL$27)/12,0)*12,IF(C147="3112. Logements",ROUND(VLOOKUP(C147,'Informations générales'!$C$66:$G$70,5,FALSE)*(AK147/$AM$27)/12,0)*12,IF(C147="3113. Logements",ROUND(VLOOKUP(C147,'Informations générales'!$C$66:$G$70,5,FALSE)*(AK147/$AN$27)/12,0)*12,IF(C147="3114. Logements",ROUND(VLOOKUP(C147,'Informations générales'!$C$66:$G$70,5,FALSE)*(AK147/$AO$27)/12,0)*12,IF(C147="3115. Logements",ROUND(VLOOKUP(C147,'Informations générales'!$C$66:$G$70,5,FALSE)*(AK147/$AP$27)/12,0)*12,"")))))</f>
        <v/>
      </c>
      <c r="AG147" s="117"/>
      <c r="AH147" s="116" t="str">
        <f t="shared" si="29"/>
        <v/>
      </c>
      <c r="AI147" s="92"/>
      <c r="AJ147" s="78"/>
      <c r="AK147" s="60">
        <f t="shared" si="30"/>
        <v>0</v>
      </c>
      <c r="AL147" s="60"/>
      <c r="AM147" s="60"/>
      <c r="AN147" s="60"/>
      <c r="AO147" s="60"/>
      <c r="AP147" s="60"/>
      <c r="AQ147" s="60">
        <f t="shared" si="18"/>
        <v>0</v>
      </c>
      <c r="AR147" s="60">
        <f t="shared" si="19"/>
        <v>0</v>
      </c>
      <c r="AS147" s="60">
        <f t="shared" si="20"/>
        <v>0</v>
      </c>
      <c r="AT147" s="60">
        <f t="shared" si="21"/>
        <v>0</v>
      </c>
      <c r="AU147" s="60">
        <f t="shared" si="22"/>
        <v>0</v>
      </c>
      <c r="AV147" s="60">
        <f t="shared" si="23"/>
        <v>0</v>
      </c>
      <c r="AW147" s="60">
        <f t="shared" si="24"/>
        <v>0</v>
      </c>
      <c r="AX147" s="60">
        <f t="shared" si="31"/>
        <v>0</v>
      </c>
      <c r="AY147" s="64">
        <f t="shared" si="32"/>
        <v>0</v>
      </c>
      <c r="AZ147" s="65">
        <f t="shared" si="25"/>
        <v>0</v>
      </c>
      <c r="BA147" s="65">
        <f t="shared" si="26"/>
        <v>0</v>
      </c>
    </row>
    <row r="148" spans="3:53" s="17" customFormat="1" x14ac:dyDescent="0.25">
      <c r="C148" s="194"/>
      <c r="D148" s="195"/>
      <c r="E148" s="90"/>
      <c r="F148" s="198"/>
      <c r="G148" s="214"/>
      <c r="H148" s="199"/>
      <c r="I148" s="78"/>
      <c r="J148" s="79"/>
      <c r="K148" s="78"/>
      <c r="L148" s="80"/>
      <c r="M148" s="80"/>
      <c r="N148" s="78" t="s">
        <v>39</v>
      </c>
      <c r="O148" s="113"/>
      <c r="P148" s="155"/>
      <c r="Q148" s="114" t="str">
        <f>IFERROR(MIN(VLOOKUP(ROUNDDOWN(P148,0),'Aide calcul'!$B$2:$C$282,2,FALSE),O148+1),"")</f>
        <v/>
      </c>
      <c r="R148" s="115" t="str">
        <f t="shared" si="27"/>
        <v/>
      </c>
      <c r="S148" s="155"/>
      <c r="T148" s="155"/>
      <c r="U148" s="155"/>
      <c r="V148" s="155"/>
      <c r="W148" s="155"/>
      <c r="X148" s="155"/>
      <c r="Y148" s="155"/>
      <c r="Z148" s="78"/>
      <c r="AA148" s="78"/>
      <c r="AB148" s="116" t="str">
        <f>IF(C148="3111. Logements",ROUND(VLOOKUP(C148,'Informations générales'!$C$66:$D$70,2,FALSE)*(AK148/$AL$27)/12,0)*12,IF(C148="3112. Logements",ROUND(VLOOKUP(C148,'Informations générales'!$C$66:$D$70,2,FALSE)*(AK148/$AM$27)/12,0)*12,IF(C148="3113. Logements",ROUND(VLOOKUP(C148,'Informations générales'!$C$66:$D$70,2,FALSE)*(AK148/$AN$27)/12,0)*12,IF(C148="3114. Logements",ROUND(VLOOKUP(C148,'Informations générales'!$C$66:$D$70,2,FALSE)*(AK148/$AO$27)/12,0)*12,IF(C148="3115. Logements",ROUND(VLOOKUP(C148,'Informations générales'!$C$66:$D$70,2,FALSE)*(AK148/$AP$27)/12,0)*12,"")))))</f>
        <v/>
      </c>
      <c r="AC148" s="117"/>
      <c r="AD148" s="116">
        <f t="shared" si="28"/>
        <v>0</v>
      </c>
      <c r="AE148" s="117"/>
      <c r="AF148" s="116" t="str">
        <f>IF(C148="3111. Logements",ROUND(VLOOKUP(C148,'Informations générales'!$C$66:$G$70,5,FALSE)*(AK148/$AL$27)/12,0)*12,IF(C148="3112. Logements",ROUND(VLOOKUP(C148,'Informations générales'!$C$66:$G$70,5,FALSE)*(AK148/$AM$27)/12,0)*12,IF(C148="3113. Logements",ROUND(VLOOKUP(C148,'Informations générales'!$C$66:$G$70,5,FALSE)*(AK148/$AN$27)/12,0)*12,IF(C148="3114. Logements",ROUND(VLOOKUP(C148,'Informations générales'!$C$66:$G$70,5,FALSE)*(AK148/$AO$27)/12,0)*12,IF(C148="3115. Logements",ROUND(VLOOKUP(C148,'Informations générales'!$C$66:$G$70,5,FALSE)*(AK148/$AP$27)/12,0)*12,"")))))</f>
        <v/>
      </c>
      <c r="AG148" s="117"/>
      <c r="AH148" s="116" t="str">
        <f t="shared" si="29"/>
        <v/>
      </c>
      <c r="AI148" s="92"/>
      <c r="AJ148" s="78"/>
      <c r="AK148" s="60">
        <f t="shared" si="30"/>
        <v>0</v>
      </c>
      <c r="AL148" s="60"/>
      <c r="AM148" s="60"/>
      <c r="AN148" s="60"/>
      <c r="AO148" s="60"/>
      <c r="AP148" s="60"/>
      <c r="AQ148" s="60">
        <f t="shared" si="18"/>
        <v>0</v>
      </c>
      <c r="AR148" s="60">
        <f t="shared" si="19"/>
        <v>0</v>
      </c>
      <c r="AS148" s="60">
        <f t="shared" si="20"/>
        <v>0</v>
      </c>
      <c r="AT148" s="60">
        <f t="shared" si="21"/>
        <v>0</v>
      </c>
      <c r="AU148" s="60">
        <f t="shared" si="22"/>
        <v>0</v>
      </c>
      <c r="AV148" s="60">
        <f t="shared" si="23"/>
        <v>0</v>
      </c>
      <c r="AW148" s="60">
        <f t="shared" si="24"/>
        <v>0</v>
      </c>
      <c r="AX148" s="60">
        <f t="shared" si="31"/>
        <v>0</v>
      </c>
      <c r="AY148" s="64">
        <f t="shared" si="32"/>
        <v>0</v>
      </c>
      <c r="AZ148" s="65">
        <f t="shared" si="25"/>
        <v>0</v>
      </c>
      <c r="BA148" s="65">
        <f t="shared" si="26"/>
        <v>0</v>
      </c>
    </row>
    <row r="149" spans="3:53" s="17" customFormat="1" x14ac:dyDescent="0.25">
      <c r="C149" s="194"/>
      <c r="D149" s="195"/>
      <c r="E149" s="90"/>
      <c r="F149" s="198"/>
      <c r="G149" s="214"/>
      <c r="H149" s="199"/>
      <c r="I149" s="78"/>
      <c r="J149" s="79"/>
      <c r="K149" s="78"/>
      <c r="L149" s="80"/>
      <c r="M149" s="80"/>
      <c r="N149" s="78" t="s">
        <v>39</v>
      </c>
      <c r="O149" s="113"/>
      <c r="P149" s="155"/>
      <c r="Q149" s="114" t="str">
        <f>IFERROR(MIN(VLOOKUP(ROUNDDOWN(P149,0),'Aide calcul'!$B$2:$C$282,2,FALSE),O149+1),"")</f>
        <v/>
      </c>
      <c r="R149" s="115" t="str">
        <f t="shared" si="27"/>
        <v/>
      </c>
      <c r="S149" s="155"/>
      <c r="T149" s="155"/>
      <c r="U149" s="155"/>
      <c r="V149" s="155"/>
      <c r="W149" s="155"/>
      <c r="X149" s="155"/>
      <c r="Y149" s="155"/>
      <c r="Z149" s="78"/>
      <c r="AA149" s="78"/>
      <c r="AB149" s="116" t="str">
        <f>IF(C149="3111. Logements",ROUND(VLOOKUP(C149,'Informations générales'!$C$66:$D$70,2,FALSE)*(AK149/$AL$27)/12,0)*12,IF(C149="3112. Logements",ROUND(VLOOKUP(C149,'Informations générales'!$C$66:$D$70,2,FALSE)*(AK149/$AM$27)/12,0)*12,IF(C149="3113. Logements",ROUND(VLOOKUP(C149,'Informations générales'!$C$66:$D$70,2,FALSE)*(AK149/$AN$27)/12,0)*12,IF(C149="3114. Logements",ROUND(VLOOKUP(C149,'Informations générales'!$C$66:$D$70,2,FALSE)*(AK149/$AO$27)/12,0)*12,IF(C149="3115. Logements",ROUND(VLOOKUP(C149,'Informations générales'!$C$66:$D$70,2,FALSE)*(AK149/$AP$27)/12,0)*12,"")))))</f>
        <v/>
      </c>
      <c r="AC149" s="117"/>
      <c r="AD149" s="116">
        <f t="shared" si="28"/>
        <v>0</v>
      </c>
      <c r="AE149" s="117"/>
      <c r="AF149" s="116" t="str">
        <f>IF(C149="3111. Logements",ROUND(VLOOKUP(C149,'Informations générales'!$C$66:$G$70,5,FALSE)*(AK149/$AL$27)/12,0)*12,IF(C149="3112. Logements",ROUND(VLOOKUP(C149,'Informations générales'!$C$66:$G$70,5,FALSE)*(AK149/$AM$27)/12,0)*12,IF(C149="3113. Logements",ROUND(VLOOKUP(C149,'Informations générales'!$C$66:$G$70,5,FALSE)*(AK149/$AN$27)/12,0)*12,IF(C149="3114. Logements",ROUND(VLOOKUP(C149,'Informations générales'!$C$66:$G$70,5,FALSE)*(AK149/$AO$27)/12,0)*12,IF(C149="3115. Logements",ROUND(VLOOKUP(C149,'Informations générales'!$C$66:$G$70,5,FALSE)*(AK149/$AP$27)/12,0)*12,"")))))</f>
        <v/>
      </c>
      <c r="AG149" s="117"/>
      <c r="AH149" s="116" t="str">
        <f t="shared" si="29"/>
        <v/>
      </c>
      <c r="AI149" s="92"/>
      <c r="AJ149" s="78"/>
      <c r="AK149" s="60">
        <f t="shared" si="30"/>
        <v>0</v>
      </c>
      <c r="AL149" s="60"/>
      <c r="AM149" s="60"/>
      <c r="AN149" s="60"/>
      <c r="AO149" s="60"/>
      <c r="AP149" s="60"/>
      <c r="AQ149" s="60">
        <f t="shared" si="18"/>
        <v>0</v>
      </c>
      <c r="AR149" s="60">
        <f t="shared" si="19"/>
        <v>0</v>
      </c>
      <c r="AS149" s="60">
        <f t="shared" si="20"/>
        <v>0</v>
      </c>
      <c r="AT149" s="60">
        <f t="shared" si="21"/>
        <v>0</v>
      </c>
      <c r="AU149" s="60">
        <f t="shared" si="22"/>
        <v>0</v>
      </c>
      <c r="AV149" s="60">
        <f t="shared" si="23"/>
        <v>0</v>
      </c>
      <c r="AW149" s="60">
        <f t="shared" si="24"/>
        <v>0</v>
      </c>
      <c r="AX149" s="60">
        <f t="shared" si="31"/>
        <v>0</v>
      </c>
      <c r="AY149" s="64">
        <f t="shared" si="32"/>
        <v>0</v>
      </c>
      <c r="AZ149" s="65">
        <f t="shared" si="25"/>
        <v>0</v>
      </c>
      <c r="BA149" s="65">
        <f t="shared" si="26"/>
        <v>0</v>
      </c>
    </row>
    <row r="150" spans="3:53" s="17" customFormat="1" x14ac:dyDescent="0.25">
      <c r="C150" s="194"/>
      <c r="D150" s="195"/>
      <c r="E150" s="90"/>
      <c r="F150" s="198"/>
      <c r="G150" s="214"/>
      <c r="H150" s="199"/>
      <c r="I150" s="78"/>
      <c r="J150" s="79"/>
      <c r="K150" s="78"/>
      <c r="L150" s="80"/>
      <c r="M150" s="80"/>
      <c r="N150" s="78" t="s">
        <v>39</v>
      </c>
      <c r="O150" s="113"/>
      <c r="P150" s="155"/>
      <c r="Q150" s="114" t="str">
        <f>IFERROR(MIN(VLOOKUP(ROUNDDOWN(P150,0),'Aide calcul'!$B$2:$C$282,2,FALSE),O150+1),"")</f>
        <v/>
      </c>
      <c r="R150" s="115" t="str">
        <f t="shared" si="27"/>
        <v/>
      </c>
      <c r="S150" s="155"/>
      <c r="T150" s="155"/>
      <c r="U150" s="155"/>
      <c r="V150" s="155"/>
      <c r="W150" s="155"/>
      <c r="X150" s="155"/>
      <c r="Y150" s="155"/>
      <c r="Z150" s="78"/>
      <c r="AA150" s="78"/>
      <c r="AB150" s="116" t="str">
        <f>IF(C150="3111. Logements",ROUND(VLOOKUP(C150,'Informations générales'!$C$66:$D$70,2,FALSE)*(AK150/$AL$27)/12,0)*12,IF(C150="3112. Logements",ROUND(VLOOKUP(C150,'Informations générales'!$C$66:$D$70,2,FALSE)*(AK150/$AM$27)/12,0)*12,IF(C150="3113. Logements",ROUND(VLOOKUP(C150,'Informations générales'!$C$66:$D$70,2,FALSE)*(AK150/$AN$27)/12,0)*12,IF(C150="3114. Logements",ROUND(VLOOKUP(C150,'Informations générales'!$C$66:$D$70,2,FALSE)*(AK150/$AO$27)/12,0)*12,IF(C150="3115. Logements",ROUND(VLOOKUP(C150,'Informations générales'!$C$66:$D$70,2,FALSE)*(AK150/$AP$27)/12,0)*12,"")))))</f>
        <v/>
      </c>
      <c r="AC150" s="117"/>
      <c r="AD150" s="116">
        <f t="shared" si="28"/>
        <v>0</v>
      </c>
      <c r="AE150" s="117"/>
      <c r="AF150" s="116" t="str">
        <f>IF(C150="3111. Logements",ROUND(VLOOKUP(C150,'Informations générales'!$C$66:$G$70,5,FALSE)*(AK150/$AL$27)/12,0)*12,IF(C150="3112. Logements",ROUND(VLOOKUP(C150,'Informations générales'!$C$66:$G$70,5,FALSE)*(AK150/$AM$27)/12,0)*12,IF(C150="3113. Logements",ROUND(VLOOKUP(C150,'Informations générales'!$C$66:$G$70,5,FALSE)*(AK150/$AN$27)/12,0)*12,IF(C150="3114. Logements",ROUND(VLOOKUP(C150,'Informations générales'!$C$66:$G$70,5,FALSE)*(AK150/$AO$27)/12,0)*12,IF(C150="3115. Logements",ROUND(VLOOKUP(C150,'Informations générales'!$C$66:$G$70,5,FALSE)*(AK150/$AP$27)/12,0)*12,"")))))</f>
        <v/>
      </c>
      <c r="AG150" s="117"/>
      <c r="AH150" s="116" t="str">
        <f t="shared" si="29"/>
        <v/>
      </c>
      <c r="AI150" s="92"/>
      <c r="AJ150" s="78"/>
      <c r="AK150" s="60">
        <f t="shared" si="30"/>
        <v>0</v>
      </c>
      <c r="AL150" s="60"/>
      <c r="AM150" s="60"/>
      <c r="AN150" s="60"/>
      <c r="AO150" s="60"/>
      <c r="AP150" s="60"/>
      <c r="AQ150" s="60">
        <f t="shared" si="18"/>
        <v>0</v>
      </c>
      <c r="AR150" s="60">
        <f t="shared" si="19"/>
        <v>0</v>
      </c>
      <c r="AS150" s="60">
        <f t="shared" si="20"/>
        <v>0</v>
      </c>
      <c r="AT150" s="60">
        <f t="shared" si="21"/>
        <v>0</v>
      </c>
      <c r="AU150" s="60">
        <f t="shared" si="22"/>
        <v>0</v>
      </c>
      <c r="AV150" s="60">
        <f t="shared" si="23"/>
        <v>0</v>
      </c>
      <c r="AW150" s="60">
        <f t="shared" si="24"/>
        <v>0</v>
      </c>
      <c r="AX150" s="60">
        <f t="shared" si="31"/>
        <v>0</v>
      </c>
      <c r="AY150" s="64">
        <f t="shared" si="32"/>
        <v>0</v>
      </c>
      <c r="AZ150" s="65">
        <f t="shared" si="25"/>
        <v>0</v>
      </c>
      <c r="BA150" s="65">
        <f t="shared" si="26"/>
        <v>0</v>
      </c>
    </row>
    <row r="151" spans="3:53" s="17" customFormat="1" x14ac:dyDescent="0.25">
      <c r="C151" s="194"/>
      <c r="D151" s="195"/>
      <c r="E151" s="90"/>
      <c r="F151" s="198"/>
      <c r="G151" s="214"/>
      <c r="H151" s="199"/>
      <c r="I151" s="78"/>
      <c r="J151" s="79"/>
      <c r="K151" s="78"/>
      <c r="L151" s="80"/>
      <c r="M151" s="80"/>
      <c r="N151" s="78" t="s">
        <v>39</v>
      </c>
      <c r="O151" s="113"/>
      <c r="P151" s="155"/>
      <c r="Q151" s="114" t="str">
        <f>IFERROR(MIN(VLOOKUP(ROUNDDOWN(P151,0),'Aide calcul'!$B$2:$C$282,2,FALSE),O151+1),"")</f>
        <v/>
      </c>
      <c r="R151" s="115" t="str">
        <f t="shared" si="27"/>
        <v/>
      </c>
      <c r="S151" s="155"/>
      <c r="T151" s="155"/>
      <c r="U151" s="155"/>
      <c r="V151" s="155"/>
      <c r="W151" s="155"/>
      <c r="X151" s="155"/>
      <c r="Y151" s="155"/>
      <c r="Z151" s="78"/>
      <c r="AA151" s="78"/>
      <c r="AB151" s="116" t="str">
        <f>IF(C151="3111. Logements",ROUND(VLOOKUP(C151,'Informations générales'!$C$66:$D$70,2,FALSE)*(AK151/$AL$27)/12,0)*12,IF(C151="3112. Logements",ROUND(VLOOKUP(C151,'Informations générales'!$C$66:$D$70,2,FALSE)*(AK151/$AM$27)/12,0)*12,IF(C151="3113. Logements",ROUND(VLOOKUP(C151,'Informations générales'!$C$66:$D$70,2,FALSE)*(AK151/$AN$27)/12,0)*12,IF(C151="3114. Logements",ROUND(VLOOKUP(C151,'Informations générales'!$C$66:$D$70,2,FALSE)*(AK151/$AO$27)/12,0)*12,IF(C151="3115. Logements",ROUND(VLOOKUP(C151,'Informations générales'!$C$66:$D$70,2,FALSE)*(AK151/$AP$27)/12,0)*12,"")))))</f>
        <v/>
      </c>
      <c r="AC151" s="117"/>
      <c r="AD151" s="116">
        <f t="shared" si="28"/>
        <v>0</v>
      </c>
      <c r="AE151" s="117"/>
      <c r="AF151" s="116" t="str">
        <f>IF(C151="3111. Logements",ROUND(VLOOKUP(C151,'Informations générales'!$C$66:$G$70,5,FALSE)*(AK151/$AL$27)/12,0)*12,IF(C151="3112. Logements",ROUND(VLOOKUP(C151,'Informations générales'!$C$66:$G$70,5,FALSE)*(AK151/$AM$27)/12,0)*12,IF(C151="3113. Logements",ROUND(VLOOKUP(C151,'Informations générales'!$C$66:$G$70,5,FALSE)*(AK151/$AN$27)/12,0)*12,IF(C151="3114. Logements",ROUND(VLOOKUP(C151,'Informations générales'!$C$66:$G$70,5,FALSE)*(AK151/$AO$27)/12,0)*12,IF(C151="3115. Logements",ROUND(VLOOKUP(C151,'Informations générales'!$C$66:$G$70,5,FALSE)*(AK151/$AP$27)/12,0)*12,"")))))</f>
        <v/>
      </c>
      <c r="AG151" s="117"/>
      <c r="AH151" s="116" t="str">
        <f t="shared" si="29"/>
        <v/>
      </c>
      <c r="AI151" s="92"/>
      <c r="AJ151" s="78"/>
      <c r="AK151" s="60">
        <f t="shared" si="30"/>
        <v>0</v>
      </c>
      <c r="AL151" s="60"/>
      <c r="AM151" s="60"/>
      <c r="AN151" s="60"/>
      <c r="AO151" s="60"/>
      <c r="AP151" s="60"/>
      <c r="AQ151" s="60">
        <f t="shared" si="18"/>
        <v>0</v>
      </c>
      <c r="AR151" s="60">
        <f t="shared" si="19"/>
        <v>0</v>
      </c>
      <c r="AS151" s="60">
        <f t="shared" si="20"/>
        <v>0</v>
      </c>
      <c r="AT151" s="60">
        <f t="shared" si="21"/>
        <v>0</v>
      </c>
      <c r="AU151" s="60">
        <f t="shared" si="22"/>
        <v>0</v>
      </c>
      <c r="AV151" s="60">
        <f t="shared" si="23"/>
        <v>0</v>
      </c>
      <c r="AW151" s="60">
        <f t="shared" si="24"/>
        <v>0</v>
      </c>
      <c r="AX151" s="60">
        <f t="shared" si="31"/>
        <v>0</v>
      </c>
      <c r="AY151" s="64">
        <f t="shared" si="32"/>
        <v>0</v>
      </c>
      <c r="AZ151" s="65">
        <f t="shared" si="25"/>
        <v>0</v>
      </c>
      <c r="BA151" s="65">
        <f t="shared" si="26"/>
        <v>0</v>
      </c>
    </row>
    <row r="152" spans="3:53" s="17" customFormat="1" x14ac:dyDescent="0.25">
      <c r="C152" s="194"/>
      <c r="D152" s="195"/>
      <c r="E152" s="90"/>
      <c r="F152" s="198"/>
      <c r="G152" s="214"/>
      <c r="H152" s="199"/>
      <c r="I152" s="78"/>
      <c r="J152" s="79"/>
      <c r="K152" s="78"/>
      <c r="L152" s="80"/>
      <c r="M152" s="80"/>
      <c r="N152" s="78" t="s">
        <v>39</v>
      </c>
      <c r="O152" s="113"/>
      <c r="P152" s="155"/>
      <c r="Q152" s="114" t="str">
        <f>IFERROR(MIN(VLOOKUP(ROUNDDOWN(P152,0),'Aide calcul'!$B$2:$C$282,2,FALSE),O152+1),"")</f>
        <v/>
      </c>
      <c r="R152" s="115" t="str">
        <f t="shared" si="27"/>
        <v/>
      </c>
      <c r="S152" s="155"/>
      <c r="T152" s="155"/>
      <c r="U152" s="155"/>
      <c r="V152" s="155"/>
      <c r="W152" s="155"/>
      <c r="X152" s="155"/>
      <c r="Y152" s="155"/>
      <c r="Z152" s="78"/>
      <c r="AA152" s="78"/>
      <c r="AB152" s="116" t="str">
        <f>IF(C152="3111. Logements",ROUND(VLOOKUP(C152,'Informations générales'!$C$66:$D$70,2,FALSE)*(AK152/$AL$27)/12,0)*12,IF(C152="3112. Logements",ROUND(VLOOKUP(C152,'Informations générales'!$C$66:$D$70,2,FALSE)*(AK152/$AM$27)/12,0)*12,IF(C152="3113. Logements",ROUND(VLOOKUP(C152,'Informations générales'!$C$66:$D$70,2,FALSE)*(AK152/$AN$27)/12,0)*12,IF(C152="3114. Logements",ROUND(VLOOKUP(C152,'Informations générales'!$C$66:$D$70,2,FALSE)*(AK152/$AO$27)/12,0)*12,IF(C152="3115. Logements",ROUND(VLOOKUP(C152,'Informations générales'!$C$66:$D$70,2,FALSE)*(AK152/$AP$27)/12,0)*12,"")))))</f>
        <v/>
      </c>
      <c r="AC152" s="117"/>
      <c r="AD152" s="116">
        <f t="shared" si="28"/>
        <v>0</v>
      </c>
      <c r="AE152" s="117"/>
      <c r="AF152" s="116" t="str">
        <f>IF(C152="3111. Logements",ROUND(VLOOKUP(C152,'Informations générales'!$C$66:$G$70,5,FALSE)*(AK152/$AL$27)/12,0)*12,IF(C152="3112. Logements",ROUND(VLOOKUP(C152,'Informations générales'!$C$66:$G$70,5,FALSE)*(AK152/$AM$27)/12,0)*12,IF(C152="3113. Logements",ROUND(VLOOKUP(C152,'Informations générales'!$C$66:$G$70,5,FALSE)*(AK152/$AN$27)/12,0)*12,IF(C152="3114. Logements",ROUND(VLOOKUP(C152,'Informations générales'!$C$66:$G$70,5,FALSE)*(AK152/$AO$27)/12,0)*12,IF(C152="3115. Logements",ROUND(VLOOKUP(C152,'Informations générales'!$C$66:$G$70,5,FALSE)*(AK152/$AP$27)/12,0)*12,"")))))</f>
        <v/>
      </c>
      <c r="AG152" s="117"/>
      <c r="AH152" s="116" t="str">
        <f t="shared" si="29"/>
        <v/>
      </c>
      <c r="AI152" s="92"/>
      <c r="AJ152" s="78"/>
      <c r="AK152" s="60">
        <f t="shared" si="30"/>
        <v>0</v>
      </c>
      <c r="AL152" s="60"/>
      <c r="AM152" s="60"/>
      <c r="AN152" s="60"/>
      <c r="AO152" s="60"/>
      <c r="AP152" s="60"/>
      <c r="AQ152" s="60">
        <f t="shared" si="18"/>
        <v>0</v>
      </c>
      <c r="AR152" s="60">
        <f t="shared" si="19"/>
        <v>0</v>
      </c>
      <c r="AS152" s="60">
        <f t="shared" si="20"/>
        <v>0</v>
      </c>
      <c r="AT152" s="60">
        <f t="shared" si="21"/>
        <v>0</v>
      </c>
      <c r="AU152" s="60">
        <f t="shared" si="22"/>
        <v>0</v>
      </c>
      <c r="AV152" s="60">
        <f t="shared" si="23"/>
        <v>0</v>
      </c>
      <c r="AW152" s="60">
        <f t="shared" si="24"/>
        <v>0</v>
      </c>
      <c r="AX152" s="60">
        <f t="shared" si="31"/>
        <v>0</v>
      </c>
      <c r="AY152" s="64">
        <f t="shared" si="32"/>
        <v>0</v>
      </c>
      <c r="AZ152" s="65">
        <f t="shared" si="25"/>
        <v>0</v>
      </c>
      <c r="BA152" s="65">
        <f t="shared" si="26"/>
        <v>0</v>
      </c>
    </row>
    <row r="153" spans="3:53" s="17" customFormat="1" x14ac:dyDescent="0.25">
      <c r="C153" s="194"/>
      <c r="D153" s="195"/>
      <c r="E153" s="90"/>
      <c r="F153" s="198"/>
      <c r="G153" s="214"/>
      <c r="H153" s="199"/>
      <c r="I153" s="78"/>
      <c r="J153" s="79"/>
      <c r="K153" s="78"/>
      <c r="L153" s="80"/>
      <c r="M153" s="80"/>
      <c r="N153" s="78" t="s">
        <v>39</v>
      </c>
      <c r="O153" s="113"/>
      <c r="P153" s="155"/>
      <c r="Q153" s="114" t="str">
        <f>IFERROR(MIN(VLOOKUP(ROUNDDOWN(P153,0),'Aide calcul'!$B$2:$C$282,2,FALSE),O153+1),"")</f>
        <v/>
      </c>
      <c r="R153" s="115" t="str">
        <f t="shared" si="27"/>
        <v/>
      </c>
      <c r="S153" s="155"/>
      <c r="T153" s="155"/>
      <c r="U153" s="155"/>
      <c r="V153" s="155"/>
      <c r="W153" s="155"/>
      <c r="X153" s="155"/>
      <c r="Y153" s="155"/>
      <c r="Z153" s="78"/>
      <c r="AA153" s="78"/>
      <c r="AB153" s="116" t="str">
        <f>IF(C153="3111. Logements",ROUND(VLOOKUP(C153,'Informations générales'!$C$66:$D$70,2,FALSE)*(AK153/$AL$27)/12,0)*12,IF(C153="3112. Logements",ROUND(VLOOKUP(C153,'Informations générales'!$C$66:$D$70,2,FALSE)*(AK153/$AM$27)/12,0)*12,IF(C153="3113. Logements",ROUND(VLOOKUP(C153,'Informations générales'!$C$66:$D$70,2,FALSE)*(AK153/$AN$27)/12,0)*12,IF(C153="3114. Logements",ROUND(VLOOKUP(C153,'Informations générales'!$C$66:$D$70,2,FALSE)*(AK153/$AO$27)/12,0)*12,IF(C153="3115. Logements",ROUND(VLOOKUP(C153,'Informations générales'!$C$66:$D$70,2,FALSE)*(AK153/$AP$27)/12,0)*12,"")))))</f>
        <v/>
      </c>
      <c r="AC153" s="117"/>
      <c r="AD153" s="116">
        <f t="shared" si="28"/>
        <v>0</v>
      </c>
      <c r="AE153" s="117"/>
      <c r="AF153" s="116" t="str">
        <f>IF(C153="3111. Logements",ROUND(VLOOKUP(C153,'Informations générales'!$C$66:$G$70,5,FALSE)*(AK153/$AL$27)/12,0)*12,IF(C153="3112. Logements",ROUND(VLOOKUP(C153,'Informations générales'!$C$66:$G$70,5,FALSE)*(AK153/$AM$27)/12,0)*12,IF(C153="3113. Logements",ROUND(VLOOKUP(C153,'Informations générales'!$C$66:$G$70,5,FALSE)*(AK153/$AN$27)/12,0)*12,IF(C153="3114. Logements",ROUND(VLOOKUP(C153,'Informations générales'!$C$66:$G$70,5,FALSE)*(AK153/$AO$27)/12,0)*12,IF(C153="3115. Logements",ROUND(VLOOKUP(C153,'Informations générales'!$C$66:$G$70,5,FALSE)*(AK153/$AP$27)/12,0)*12,"")))))</f>
        <v/>
      </c>
      <c r="AG153" s="117"/>
      <c r="AH153" s="116" t="str">
        <f t="shared" si="29"/>
        <v/>
      </c>
      <c r="AI153" s="92"/>
      <c r="AJ153" s="78"/>
      <c r="AK153" s="60">
        <f t="shared" si="30"/>
        <v>0</v>
      </c>
      <c r="AL153" s="60"/>
      <c r="AM153" s="60"/>
      <c r="AN153" s="60"/>
      <c r="AO153" s="60"/>
      <c r="AP153" s="60"/>
      <c r="AQ153" s="60">
        <f t="shared" si="18"/>
        <v>0</v>
      </c>
      <c r="AR153" s="60">
        <f t="shared" si="19"/>
        <v>0</v>
      </c>
      <c r="AS153" s="60">
        <f t="shared" si="20"/>
        <v>0</v>
      </c>
      <c r="AT153" s="60">
        <f t="shared" si="21"/>
        <v>0</v>
      </c>
      <c r="AU153" s="60">
        <f t="shared" si="22"/>
        <v>0</v>
      </c>
      <c r="AV153" s="60">
        <f t="shared" si="23"/>
        <v>0</v>
      </c>
      <c r="AW153" s="60">
        <f t="shared" si="24"/>
        <v>0</v>
      </c>
      <c r="AX153" s="60">
        <f t="shared" si="31"/>
        <v>0</v>
      </c>
      <c r="AY153" s="64">
        <f t="shared" si="32"/>
        <v>0</v>
      </c>
      <c r="AZ153" s="65">
        <f t="shared" si="25"/>
        <v>0</v>
      </c>
      <c r="BA153" s="65">
        <f t="shared" si="26"/>
        <v>0</v>
      </c>
    </row>
    <row r="154" spans="3:53" s="17" customFormat="1" x14ac:dyDescent="0.25">
      <c r="C154" s="194"/>
      <c r="D154" s="195"/>
      <c r="E154" s="90"/>
      <c r="F154" s="198"/>
      <c r="G154" s="214"/>
      <c r="H154" s="199"/>
      <c r="I154" s="78"/>
      <c r="J154" s="79"/>
      <c r="K154" s="78"/>
      <c r="L154" s="80"/>
      <c r="M154" s="80"/>
      <c r="N154" s="78" t="s">
        <v>39</v>
      </c>
      <c r="O154" s="113"/>
      <c r="P154" s="155"/>
      <c r="Q154" s="114" t="str">
        <f>IFERROR(MIN(VLOOKUP(ROUNDDOWN(P154,0),'Aide calcul'!$B$2:$C$282,2,FALSE),O154+1),"")</f>
        <v/>
      </c>
      <c r="R154" s="115" t="str">
        <f t="shared" si="27"/>
        <v/>
      </c>
      <c r="S154" s="155"/>
      <c r="T154" s="155"/>
      <c r="U154" s="155"/>
      <c r="V154" s="155"/>
      <c r="W154" s="155"/>
      <c r="X154" s="155"/>
      <c r="Y154" s="155"/>
      <c r="Z154" s="78"/>
      <c r="AA154" s="78"/>
      <c r="AB154" s="116" t="str">
        <f>IF(C154="3111. Logements",ROUND(VLOOKUP(C154,'Informations générales'!$C$66:$D$70,2,FALSE)*(AK154/$AL$27)/12,0)*12,IF(C154="3112. Logements",ROUND(VLOOKUP(C154,'Informations générales'!$C$66:$D$70,2,FALSE)*(AK154/$AM$27)/12,0)*12,IF(C154="3113. Logements",ROUND(VLOOKUP(C154,'Informations générales'!$C$66:$D$70,2,FALSE)*(AK154/$AN$27)/12,0)*12,IF(C154="3114. Logements",ROUND(VLOOKUP(C154,'Informations générales'!$C$66:$D$70,2,FALSE)*(AK154/$AO$27)/12,0)*12,IF(C154="3115. Logements",ROUND(VLOOKUP(C154,'Informations générales'!$C$66:$D$70,2,FALSE)*(AK154/$AP$27)/12,0)*12,"")))))</f>
        <v/>
      </c>
      <c r="AC154" s="117"/>
      <c r="AD154" s="116">
        <f t="shared" si="28"/>
        <v>0</v>
      </c>
      <c r="AE154" s="117"/>
      <c r="AF154" s="116" t="str">
        <f>IF(C154="3111. Logements",ROUND(VLOOKUP(C154,'Informations générales'!$C$66:$G$70,5,FALSE)*(AK154/$AL$27)/12,0)*12,IF(C154="3112. Logements",ROUND(VLOOKUP(C154,'Informations générales'!$C$66:$G$70,5,FALSE)*(AK154/$AM$27)/12,0)*12,IF(C154="3113. Logements",ROUND(VLOOKUP(C154,'Informations générales'!$C$66:$G$70,5,FALSE)*(AK154/$AN$27)/12,0)*12,IF(C154="3114. Logements",ROUND(VLOOKUP(C154,'Informations générales'!$C$66:$G$70,5,FALSE)*(AK154/$AO$27)/12,0)*12,IF(C154="3115. Logements",ROUND(VLOOKUP(C154,'Informations générales'!$C$66:$G$70,5,FALSE)*(AK154/$AP$27)/12,0)*12,"")))))</f>
        <v/>
      </c>
      <c r="AG154" s="117"/>
      <c r="AH154" s="116" t="str">
        <f t="shared" si="29"/>
        <v/>
      </c>
      <c r="AI154" s="92"/>
      <c r="AJ154" s="78"/>
      <c r="AK154" s="60">
        <f t="shared" si="30"/>
        <v>0</v>
      </c>
      <c r="AL154" s="60"/>
      <c r="AM154" s="60"/>
      <c r="AN154" s="60"/>
      <c r="AO154" s="60"/>
      <c r="AP154" s="60"/>
      <c r="AQ154" s="60">
        <f t="shared" si="18"/>
        <v>0</v>
      </c>
      <c r="AR154" s="60">
        <f t="shared" si="19"/>
        <v>0</v>
      </c>
      <c r="AS154" s="60">
        <f t="shared" si="20"/>
        <v>0</v>
      </c>
      <c r="AT154" s="60">
        <f t="shared" si="21"/>
        <v>0</v>
      </c>
      <c r="AU154" s="60">
        <f t="shared" si="22"/>
        <v>0</v>
      </c>
      <c r="AV154" s="60">
        <f t="shared" si="23"/>
        <v>0</v>
      </c>
      <c r="AW154" s="60">
        <f t="shared" si="24"/>
        <v>0</v>
      </c>
      <c r="AX154" s="60">
        <f t="shared" si="31"/>
        <v>0</v>
      </c>
      <c r="AY154" s="64">
        <f t="shared" si="32"/>
        <v>0</v>
      </c>
      <c r="AZ154" s="65">
        <f t="shared" si="25"/>
        <v>0</v>
      </c>
      <c r="BA154" s="65">
        <f t="shared" si="26"/>
        <v>0</v>
      </c>
    </row>
    <row r="155" spans="3:53" s="17" customFormat="1" x14ac:dyDescent="0.25">
      <c r="C155" s="194"/>
      <c r="D155" s="195"/>
      <c r="E155" s="90"/>
      <c r="F155" s="198"/>
      <c r="G155" s="214"/>
      <c r="H155" s="199"/>
      <c r="I155" s="78"/>
      <c r="J155" s="79"/>
      <c r="K155" s="78"/>
      <c r="L155" s="80"/>
      <c r="M155" s="80"/>
      <c r="N155" s="78" t="s">
        <v>39</v>
      </c>
      <c r="O155" s="113"/>
      <c r="P155" s="155"/>
      <c r="Q155" s="114" t="str">
        <f>IFERROR(MIN(VLOOKUP(ROUNDDOWN(P155,0),'Aide calcul'!$B$2:$C$282,2,FALSE),O155+1),"")</f>
        <v/>
      </c>
      <c r="R155" s="115" t="str">
        <f t="shared" si="27"/>
        <v/>
      </c>
      <c r="S155" s="155"/>
      <c r="T155" s="155"/>
      <c r="U155" s="155"/>
      <c r="V155" s="155"/>
      <c r="W155" s="155"/>
      <c r="X155" s="155"/>
      <c r="Y155" s="155"/>
      <c r="Z155" s="78"/>
      <c r="AA155" s="78"/>
      <c r="AB155" s="116" t="str">
        <f>IF(C155="3111. Logements",ROUND(VLOOKUP(C155,'Informations générales'!$C$66:$D$70,2,FALSE)*(AK155/$AL$27)/12,0)*12,IF(C155="3112. Logements",ROUND(VLOOKUP(C155,'Informations générales'!$C$66:$D$70,2,FALSE)*(AK155/$AM$27)/12,0)*12,IF(C155="3113. Logements",ROUND(VLOOKUP(C155,'Informations générales'!$C$66:$D$70,2,FALSE)*(AK155/$AN$27)/12,0)*12,IF(C155="3114. Logements",ROUND(VLOOKUP(C155,'Informations générales'!$C$66:$D$70,2,FALSE)*(AK155/$AO$27)/12,0)*12,IF(C155="3115. Logements",ROUND(VLOOKUP(C155,'Informations générales'!$C$66:$D$70,2,FALSE)*(AK155/$AP$27)/12,0)*12,"")))))</f>
        <v/>
      </c>
      <c r="AC155" s="117"/>
      <c r="AD155" s="116">
        <f t="shared" si="28"/>
        <v>0</v>
      </c>
      <c r="AE155" s="117"/>
      <c r="AF155" s="116" t="str">
        <f>IF(C155="3111. Logements",ROUND(VLOOKUP(C155,'Informations générales'!$C$66:$G$70,5,FALSE)*(AK155/$AL$27)/12,0)*12,IF(C155="3112. Logements",ROUND(VLOOKUP(C155,'Informations générales'!$C$66:$G$70,5,FALSE)*(AK155/$AM$27)/12,0)*12,IF(C155="3113. Logements",ROUND(VLOOKUP(C155,'Informations générales'!$C$66:$G$70,5,FALSE)*(AK155/$AN$27)/12,0)*12,IF(C155="3114. Logements",ROUND(VLOOKUP(C155,'Informations générales'!$C$66:$G$70,5,FALSE)*(AK155/$AO$27)/12,0)*12,IF(C155="3115. Logements",ROUND(VLOOKUP(C155,'Informations générales'!$C$66:$G$70,5,FALSE)*(AK155/$AP$27)/12,0)*12,"")))))</f>
        <v/>
      </c>
      <c r="AG155" s="117"/>
      <c r="AH155" s="116" t="str">
        <f t="shared" si="29"/>
        <v/>
      </c>
      <c r="AI155" s="92"/>
      <c r="AJ155" s="78"/>
      <c r="AK155" s="60">
        <f t="shared" si="30"/>
        <v>0</v>
      </c>
      <c r="AL155" s="60"/>
      <c r="AM155" s="60"/>
      <c r="AN155" s="60"/>
      <c r="AO155" s="60"/>
      <c r="AP155" s="60"/>
      <c r="AQ155" s="60">
        <f t="shared" ref="AQ155:AQ218" si="33">S155*$E$13</f>
        <v>0</v>
      </c>
      <c r="AR155" s="60">
        <f t="shared" ref="AR155:AR218" si="34">T155*$E$14</f>
        <v>0</v>
      </c>
      <c r="AS155" s="60">
        <f t="shared" ref="AS155:AS218" si="35">U155*$E$15</f>
        <v>0</v>
      </c>
      <c r="AT155" s="60">
        <f t="shared" ref="AT155:AT218" si="36">V155*$E$16</f>
        <v>0</v>
      </c>
      <c r="AU155" s="60">
        <f t="shared" ref="AU155:AU218" si="37">W155*$E$17</f>
        <v>0</v>
      </c>
      <c r="AV155" s="60">
        <f t="shared" ref="AV155:AV218" si="38">X155*$E$18</f>
        <v>0</v>
      </c>
      <c r="AW155" s="60">
        <f t="shared" ref="AW155:AW218" si="39">Y155*$E$19</f>
        <v>0</v>
      </c>
      <c r="AX155" s="60">
        <f t="shared" si="31"/>
        <v>0</v>
      </c>
      <c r="AY155" s="64">
        <f t="shared" si="32"/>
        <v>0</v>
      </c>
      <c r="AZ155" s="65">
        <f t="shared" ref="AZ155:AZ218" si="40">IFERROR(VLOOKUP(Z155,$H$12:$I$22,2,FALSE),0)</f>
        <v>0</v>
      </c>
      <c r="BA155" s="65">
        <f t="shared" ref="BA155:BA218" si="41">IFERROR(VLOOKUP(AA155,$L$12:$N$19,3,FALSE),0)</f>
        <v>0</v>
      </c>
    </row>
    <row r="156" spans="3:53" s="17" customFormat="1" x14ac:dyDescent="0.25">
      <c r="C156" s="194"/>
      <c r="D156" s="195"/>
      <c r="E156" s="90"/>
      <c r="F156" s="198"/>
      <c r="G156" s="214"/>
      <c r="H156" s="199"/>
      <c r="I156" s="78"/>
      <c r="J156" s="79"/>
      <c r="K156" s="78"/>
      <c r="L156" s="80"/>
      <c r="M156" s="80"/>
      <c r="N156" s="78" t="s">
        <v>39</v>
      </c>
      <c r="O156" s="113"/>
      <c r="P156" s="155"/>
      <c r="Q156" s="114" t="str">
        <f>IFERROR(MIN(VLOOKUP(ROUNDDOWN(P156,0),'Aide calcul'!$B$2:$C$282,2,FALSE),O156+1),"")</f>
        <v/>
      </c>
      <c r="R156" s="115" t="str">
        <f t="shared" ref="R156:R219" si="42">IFERROR(TRUNC(Q156-0.5),"")</f>
        <v/>
      </c>
      <c r="S156" s="155"/>
      <c r="T156" s="155"/>
      <c r="U156" s="155"/>
      <c r="V156" s="155"/>
      <c r="W156" s="155"/>
      <c r="X156" s="155"/>
      <c r="Y156" s="155"/>
      <c r="Z156" s="78"/>
      <c r="AA156" s="78"/>
      <c r="AB156" s="116" t="str">
        <f>IF(C156="3111. Logements",ROUND(VLOOKUP(C156,'Informations générales'!$C$66:$D$70,2,FALSE)*(AK156/$AL$27)/12,0)*12,IF(C156="3112. Logements",ROUND(VLOOKUP(C156,'Informations générales'!$C$66:$D$70,2,FALSE)*(AK156/$AM$27)/12,0)*12,IF(C156="3113. Logements",ROUND(VLOOKUP(C156,'Informations générales'!$C$66:$D$70,2,FALSE)*(AK156/$AN$27)/12,0)*12,IF(C156="3114. Logements",ROUND(VLOOKUP(C156,'Informations générales'!$C$66:$D$70,2,FALSE)*(AK156/$AO$27)/12,0)*12,IF(C156="3115. Logements",ROUND(VLOOKUP(C156,'Informations générales'!$C$66:$D$70,2,FALSE)*(AK156/$AP$27)/12,0)*12,"")))))</f>
        <v/>
      </c>
      <c r="AC156" s="117"/>
      <c r="AD156" s="116">
        <f t="shared" ref="AD156:AD219" si="43">MIN(AB156,AC156)</f>
        <v>0</v>
      </c>
      <c r="AE156" s="117"/>
      <c r="AF156" s="116" t="str">
        <f>IF(C156="3111. Logements",ROUND(VLOOKUP(C156,'Informations générales'!$C$66:$G$70,5,FALSE)*(AK156/$AL$27)/12,0)*12,IF(C156="3112. Logements",ROUND(VLOOKUP(C156,'Informations générales'!$C$66:$G$70,5,FALSE)*(AK156/$AM$27)/12,0)*12,IF(C156="3113. Logements",ROUND(VLOOKUP(C156,'Informations générales'!$C$66:$G$70,5,FALSE)*(AK156/$AN$27)/12,0)*12,IF(C156="3114. Logements",ROUND(VLOOKUP(C156,'Informations générales'!$C$66:$G$70,5,FALSE)*(AK156/$AO$27)/12,0)*12,IF(C156="3115. Logements",ROUND(VLOOKUP(C156,'Informations générales'!$C$66:$G$70,5,FALSE)*(AK156/$AP$27)/12,0)*12,"")))))</f>
        <v/>
      </c>
      <c r="AG156" s="117"/>
      <c r="AH156" s="116" t="str">
        <f t="shared" ref="AH156:AH219" si="44">IFERROR(IF(AE156/S156&lt;&gt;0,AE156/S156,AB156/S156),"")</f>
        <v/>
      </c>
      <c r="AI156" s="92"/>
      <c r="AJ156" s="78"/>
      <c r="AK156" s="60">
        <f t="shared" ref="AK156:AK219" si="45">AX156*(SUM(1,AY156,AZ156,BA156))</f>
        <v>0</v>
      </c>
      <c r="AL156" s="60"/>
      <c r="AM156" s="60"/>
      <c r="AN156" s="60"/>
      <c r="AO156" s="60"/>
      <c r="AP156" s="60"/>
      <c r="AQ156" s="60">
        <f t="shared" si="33"/>
        <v>0</v>
      </c>
      <c r="AR156" s="60">
        <f t="shared" si="34"/>
        <v>0</v>
      </c>
      <c r="AS156" s="60">
        <f t="shared" si="35"/>
        <v>0</v>
      </c>
      <c r="AT156" s="60">
        <f t="shared" si="36"/>
        <v>0</v>
      </c>
      <c r="AU156" s="60">
        <f t="shared" si="37"/>
        <v>0</v>
      </c>
      <c r="AV156" s="60">
        <f t="shared" si="38"/>
        <v>0</v>
      </c>
      <c r="AW156" s="60">
        <f t="shared" si="39"/>
        <v>0</v>
      </c>
      <c r="AX156" s="60">
        <f t="shared" ref="AX156:AX219" si="46">SUM(AQ156:AW156)</f>
        <v>0</v>
      </c>
      <c r="AY156" s="64">
        <f t="shared" ref="AY156:AY219" si="47">IFERROR(I156*$E$12,0)</f>
        <v>0</v>
      </c>
      <c r="AZ156" s="65">
        <f t="shared" si="40"/>
        <v>0</v>
      </c>
      <c r="BA156" s="65">
        <f t="shared" si="41"/>
        <v>0</v>
      </c>
    </row>
    <row r="157" spans="3:53" s="17" customFormat="1" x14ac:dyDescent="0.25">
      <c r="C157" s="194"/>
      <c r="D157" s="195"/>
      <c r="E157" s="90"/>
      <c r="F157" s="198"/>
      <c r="G157" s="214"/>
      <c r="H157" s="199"/>
      <c r="I157" s="78"/>
      <c r="J157" s="79"/>
      <c r="K157" s="78"/>
      <c r="L157" s="80"/>
      <c r="M157" s="80"/>
      <c r="N157" s="78" t="s">
        <v>39</v>
      </c>
      <c r="O157" s="113"/>
      <c r="P157" s="155"/>
      <c r="Q157" s="114" t="str">
        <f>IFERROR(MIN(VLOOKUP(ROUNDDOWN(P157,0),'Aide calcul'!$B$2:$C$282,2,FALSE),O157+1),"")</f>
        <v/>
      </c>
      <c r="R157" s="115" t="str">
        <f t="shared" si="42"/>
        <v/>
      </c>
      <c r="S157" s="155"/>
      <c r="T157" s="155"/>
      <c r="U157" s="155"/>
      <c r="V157" s="155"/>
      <c r="W157" s="155"/>
      <c r="X157" s="155"/>
      <c r="Y157" s="155"/>
      <c r="Z157" s="78"/>
      <c r="AA157" s="78"/>
      <c r="AB157" s="116" t="str">
        <f>IF(C157="3111. Logements",ROUND(VLOOKUP(C157,'Informations générales'!$C$66:$D$70,2,FALSE)*(AK157/$AL$27)/12,0)*12,IF(C157="3112. Logements",ROUND(VLOOKUP(C157,'Informations générales'!$C$66:$D$70,2,FALSE)*(AK157/$AM$27)/12,0)*12,IF(C157="3113. Logements",ROUND(VLOOKUP(C157,'Informations générales'!$C$66:$D$70,2,FALSE)*(AK157/$AN$27)/12,0)*12,IF(C157="3114. Logements",ROUND(VLOOKUP(C157,'Informations générales'!$C$66:$D$70,2,FALSE)*(AK157/$AO$27)/12,0)*12,IF(C157="3115. Logements",ROUND(VLOOKUP(C157,'Informations générales'!$C$66:$D$70,2,FALSE)*(AK157/$AP$27)/12,0)*12,"")))))</f>
        <v/>
      </c>
      <c r="AC157" s="117"/>
      <c r="AD157" s="116">
        <f t="shared" si="43"/>
        <v>0</v>
      </c>
      <c r="AE157" s="117"/>
      <c r="AF157" s="116" t="str">
        <f>IF(C157="3111. Logements",ROUND(VLOOKUP(C157,'Informations générales'!$C$66:$G$70,5,FALSE)*(AK157/$AL$27)/12,0)*12,IF(C157="3112. Logements",ROUND(VLOOKUP(C157,'Informations générales'!$C$66:$G$70,5,FALSE)*(AK157/$AM$27)/12,0)*12,IF(C157="3113. Logements",ROUND(VLOOKUP(C157,'Informations générales'!$C$66:$G$70,5,FALSE)*(AK157/$AN$27)/12,0)*12,IF(C157="3114. Logements",ROUND(VLOOKUP(C157,'Informations générales'!$C$66:$G$70,5,FALSE)*(AK157/$AO$27)/12,0)*12,IF(C157="3115. Logements",ROUND(VLOOKUP(C157,'Informations générales'!$C$66:$G$70,5,FALSE)*(AK157/$AP$27)/12,0)*12,"")))))</f>
        <v/>
      </c>
      <c r="AG157" s="117"/>
      <c r="AH157" s="116" t="str">
        <f t="shared" si="44"/>
        <v/>
      </c>
      <c r="AI157" s="92"/>
      <c r="AJ157" s="78"/>
      <c r="AK157" s="60">
        <f t="shared" si="45"/>
        <v>0</v>
      </c>
      <c r="AL157" s="60"/>
      <c r="AM157" s="60"/>
      <c r="AN157" s="60"/>
      <c r="AO157" s="60"/>
      <c r="AP157" s="60"/>
      <c r="AQ157" s="60">
        <f t="shared" si="33"/>
        <v>0</v>
      </c>
      <c r="AR157" s="60">
        <f t="shared" si="34"/>
        <v>0</v>
      </c>
      <c r="AS157" s="60">
        <f t="shared" si="35"/>
        <v>0</v>
      </c>
      <c r="AT157" s="60">
        <f t="shared" si="36"/>
        <v>0</v>
      </c>
      <c r="AU157" s="60">
        <f t="shared" si="37"/>
        <v>0</v>
      </c>
      <c r="AV157" s="60">
        <f t="shared" si="38"/>
        <v>0</v>
      </c>
      <c r="AW157" s="60">
        <f t="shared" si="39"/>
        <v>0</v>
      </c>
      <c r="AX157" s="60">
        <f t="shared" si="46"/>
        <v>0</v>
      </c>
      <c r="AY157" s="64">
        <f t="shared" si="47"/>
        <v>0</v>
      </c>
      <c r="AZ157" s="65">
        <f t="shared" si="40"/>
        <v>0</v>
      </c>
      <c r="BA157" s="65">
        <f t="shared" si="41"/>
        <v>0</v>
      </c>
    </row>
    <row r="158" spans="3:53" s="17" customFormat="1" x14ac:dyDescent="0.25">
      <c r="C158" s="194"/>
      <c r="D158" s="195"/>
      <c r="E158" s="90"/>
      <c r="F158" s="198"/>
      <c r="G158" s="214"/>
      <c r="H158" s="199"/>
      <c r="I158" s="78"/>
      <c r="J158" s="79"/>
      <c r="K158" s="78"/>
      <c r="L158" s="80"/>
      <c r="M158" s="80"/>
      <c r="N158" s="78" t="s">
        <v>39</v>
      </c>
      <c r="O158" s="113"/>
      <c r="P158" s="155"/>
      <c r="Q158" s="114" t="str">
        <f>IFERROR(MIN(VLOOKUP(ROUNDDOWN(P158,0),'Aide calcul'!$B$2:$C$282,2,FALSE),O158+1),"")</f>
        <v/>
      </c>
      <c r="R158" s="115" t="str">
        <f t="shared" si="42"/>
        <v/>
      </c>
      <c r="S158" s="155"/>
      <c r="T158" s="155"/>
      <c r="U158" s="155"/>
      <c r="V158" s="155"/>
      <c r="W158" s="155"/>
      <c r="X158" s="155"/>
      <c r="Y158" s="155"/>
      <c r="Z158" s="78"/>
      <c r="AA158" s="78"/>
      <c r="AB158" s="116" t="str">
        <f>IF(C158="3111. Logements",ROUND(VLOOKUP(C158,'Informations générales'!$C$66:$D$70,2,FALSE)*(AK158/$AL$27)/12,0)*12,IF(C158="3112. Logements",ROUND(VLOOKUP(C158,'Informations générales'!$C$66:$D$70,2,FALSE)*(AK158/$AM$27)/12,0)*12,IF(C158="3113. Logements",ROUND(VLOOKUP(C158,'Informations générales'!$C$66:$D$70,2,FALSE)*(AK158/$AN$27)/12,0)*12,IF(C158="3114. Logements",ROUND(VLOOKUP(C158,'Informations générales'!$C$66:$D$70,2,FALSE)*(AK158/$AO$27)/12,0)*12,IF(C158="3115. Logements",ROUND(VLOOKUP(C158,'Informations générales'!$C$66:$D$70,2,FALSE)*(AK158/$AP$27)/12,0)*12,"")))))</f>
        <v/>
      </c>
      <c r="AC158" s="117"/>
      <c r="AD158" s="116">
        <f t="shared" si="43"/>
        <v>0</v>
      </c>
      <c r="AE158" s="117"/>
      <c r="AF158" s="116" t="str">
        <f>IF(C158="3111. Logements",ROUND(VLOOKUP(C158,'Informations générales'!$C$66:$G$70,5,FALSE)*(AK158/$AL$27)/12,0)*12,IF(C158="3112. Logements",ROUND(VLOOKUP(C158,'Informations générales'!$C$66:$G$70,5,FALSE)*(AK158/$AM$27)/12,0)*12,IF(C158="3113. Logements",ROUND(VLOOKUP(C158,'Informations générales'!$C$66:$G$70,5,FALSE)*(AK158/$AN$27)/12,0)*12,IF(C158="3114. Logements",ROUND(VLOOKUP(C158,'Informations générales'!$C$66:$G$70,5,FALSE)*(AK158/$AO$27)/12,0)*12,IF(C158="3115. Logements",ROUND(VLOOKUP(C158,'Informations générales'!$C$66:$G$70,5,FALSE)*(AK158/$AP$27)/12,0)*12,"")))))</f>
        <v/>
      </c>
      <c r="AG158" s="117"/>
      <c r="AH158" s="116" t="str">
        <f t="shared" si="44"/>
        <v/>
      </c>
      <c r="AI158" s="92"/>
      <c r="AJ158" s="78"/>
      <c r="AK158" s="60">
        <f t="shared" si="45"/>
        <v>0</v>
      </c>
      <c r="AL158" s="60"/>
      <c r="AM158" s="60"/>
      <c r="AN158" s="60"/>
      <c r="AO158" s="60"/>
      <c r="AP158" s="60"/>
      <c r="AQ158" s="60">
        <f t="shared" si="33"/>
        <v>0</v>
      </c>
      <c r="AR158" s="60">
        <f t="shared" si="34"/>
        <v>0</v>
      </c>
      <c r="AS158" s="60">
        <f t="shared" si="35"/>
        <v>0</v>
      </c>
      <c r="AT158" s="60">
        <f t="shared" si="36"/>
        <v>0</v>
      </c>
      <c r="AU158" s="60">
        <f t="shared" si="37"/>
        <v>0</v>
      </c>
      <c r="AV158" s="60">
        <f t="shared" si="38"/>
        <v>0</v>
      </c>
      <c r="AW158" s="60">
        <f t="shared" si="39"/>
        <v>0</v>
      </c>
      <c r="AX158" s="60">
        <f t="shared" si="46"/>
        <v>0</v>
      </c>
      <c r="AY158" s="64">
        <f t="shared" si="47"/>
        <v>0</v>
      </c>
      <c r="AZ158" s="65">
        <f t="shared" si="40"/>
        <v>0</v>
      </c>
      <c r="BA158" s="65">
        <f t="shared" si="41"/>
        <v>0</v>
      </c>
    </row>
    <row r="159" spans="3:53" s="17" customFormat="1" x14ac:dyDescent="0.25">
      <c r="C159" s="194"/>
      <c r="D159" s="195"/>
      <c r="E159" s="90"/>
      <c r="F159" s="198"/>
      <c r="G159" s="214"/>
      <c r="H159" s="199"/>
      <c r="I159" s="78"/>
      <c r="J159" s="79"/>
      <c r="K159" s="78"/>
      <c r="L159" s="80"/>
      <c r="M159" s="80"/>
      <c r="N159" s="78" t="s">
        <v>39</v>
      </c>
      <c r="O159" s="113"/>
      <c r="P159" s="155"/>
      <c r="Q159" s="114" t="str">
        <f>IFERROR(MIN(VLOOKUP(ROUNDDOWN(P159,0),'Aide calcul'!$B$2:$C$282,2,FALSE),O159+1),"")</f>
        <v/>
      </c>
      <c r="R159" s="115" t="str">
        <f t="shared" si="42"/>
        <v/>
      </c>
      <c r="S159" s="155"/>
      <c r="T159" s="155"/>
      <c r="U159" s="155"/>
      <c r="V159" s="155"/>
      <c r="W159" s="155"/>
      <c r="X159" s="155"/>
      <c r="Y159" s="155"/>
      <c r="Z159" s="78"/>
      <c r="AA159" s="78"/>
      <c r="AB159" s="116" t="str">
        <f>IF(C159="3111. Logements",ROUND(VLOOKUP(C159,'Informations générales'!$C$66:$D$70,2,FALSE)*(AK159/$AL$27)/12,0)*12,IF(C159="3112. Logements",ROUND(VLOOKUP(C159,'Informations générales'!$C$66:$D$70,2,FALSE)*(AK159/$AM$27)/12,0)*12,IF(C159="3113. Logements",ROUND(VLOOKUP(C159,'Informations générales'!$C$66:$D$70,2,FALSE)*(AK159/$AN$27)/12,0)*12,IF(C159="3114. Logements",ROUND(VLOOKUP(C159,'Informations générales'!$C$66:$D$70,2,FALSE)*(AK159/$AO$27)/12,0)*12,IF(C159="3115. Logements",ROUND(VLOOKUP(C159,'Informations générales'!$C$66:$D$70,2,FALSE)*(AK159/$AP$27)/12,0)*12,"")))))</f>
        <v/>
      </c>
      <c r="AC159" s="117"/>
      <c r="AD159" s="116">
        <f t="shared" si="43"/>
        <v>0</v>
      </c>
      <c r="AE159" s="117"/>
      <c r="AF159" s="116" t="str">
        <f>IF(C159="3111. Logements",ROUND(VLOOKUP(C159,'Informations générales'!$C$66:$G$70,5,FALSE)*(AK159/$AL$27)/12,0)*12,IF(C159="3112. Logements",ROUND(VLOOKUP(C159,'Informations générales'!$C$66:$G$70,5,FALSE)*(AK159/$AM$27)/12,0)*12,IF(C159="3113. Logements",ROUND(VLOOKUP(C159,'Informations générales'!$C$66:$G$70,5,FALSE)*(AK159/$AN$27)/12,0)*12,IF(C159="3114. Logements",ROUND(VLOOKUP(C159,'Informations générales'!$C$66:$G$70,5,FALSE)*(AK159/$AO$27)/12,0)*12,IF(C159="3115. Logements",ROUND(VLOOKUP(C159,'Informations générales'!$C$66:$G$70,5,FALSE)*(AK159/$AP$27)/12,0)*12,"")))))</f>
        <v/>
      </c>
      <c r="AG159" s="117"/>
      <c r="AH159" s="116" t="str">
        <f t="shared" si="44"/>
        <v/>
      </c>
      <c r="AI159" s="92"/>
      <c r="AJ159" s="78"/>
      <c r="AK159" s="60">
        <f t="shared" si="45"/>
        <v>0</v>
      </c>
      <c r="AL159" s="60"/>
      <c r="AM159" s="60"/>
      <c r="AN159" s="60"/>
      <c r="AO159" s="60"/>
      <c r="AP159" s="60"/>
      <c r="AQ159" s="60">
        <f t="shared" si="33"/>
        <v>0</v>
      </c>
      <c r="AR159" s="60">
        <f t="shared" si="34"/>
        <v>0</v>
      </c>
      <c r="AS159" s="60">
        <f t="shared" si="35"/>
        <v>0</v>
      </c>
      <c r="AT159" s="60">
        <f t="shared" si="36"/>
        <v>0</v>
      </c>
      <c r="AU159" s="60">
        <f t="shared" si="37"/>
        <v>0</v>
      </c>
      <c r="AV159" s="60">
        <f t="shared" si="38"/>
        <v>0</v>
      </c>
      <c r="AW159" s="60">
        <f t="shared" si="39"/>
        <v>0</v>
      </c>
      <c r="AX159" s="60">
        <f t="shared" si="46"/>
        <v>0</v>
      </c>
      <c r="AY159" s="64">
        <f t="shared" si="47"/>
        <v>0</v>
      </c>
      <c r="AZ159" s="65">
        <f t="shared" si="40"/>
        <v>0</v>
      </c>
      <c r="BA159" s="65">
        <f t="shared" si="41"/>
        <v>0</v>
      </c>
    </row>
    <row r="160" spans="3:53" s="17" customFormat="1" x14ac:dyDescent="0.25">
      <c r="C160" s="194"/>
      <c r="D160" s="195"/>
      <c r="E160" s="90"/>
      <c r="F160" s="198"/>
      <c r="G160" s="214"/>
      <c r="H160" s="199"/>
      <c r="I160" s="78"/>
      <c r="J160" s="79"/>
      <c r="K160" s="78"/>
      <c r="L160" s="80"/>
      <c r="M160" s="80"/>
      <c r="N160" s="78" t="s">
        <v>39</v>
      </c>
      <c r="O160" s="113"/>
      <c r="P160" s="155"/>
      <c r="Q160" s="114" t="str">
        <f>IFERROR(MIN(VLOOKUP(ROUNDDOWN(P160,0),'Aide calcul'!$B$2:$C$282,2,FALSE),O160+1),"")</f>
        <v/>
      </c>
      <c r="R160" s="115" t="str">
        <f t="shared" si="42"/>
        <v/>
      </c>
      <c r="S160" s="155"/>
      <c r="T160" s="155"/>
      <c r="U160" s="155"/>
      <c r="V160" s="155"/>
      <c r="W160" s="155"/>
      <c r="X160" s="155"/>
      <c r="Y160" s="155"/>
      <c r="Z160" s="78"/>
      <c r="AA160" s="78"/>
      <c r="AB160" s="116" t="str">
        <f>IF(C160="3111. Logements",ROUND(VLOOKUP(C160,'Informations générales'!$C$66:$D$70,2,FALSE)*(AK160/$AL$27)/12,0)*12,IF(C160="3112. Logements",ROUND(VLOOKUP(C160,'Informations générales'!$C$66:$D$70,2,FALSE)*(AK160/$AM$27)/12,0)*12,IF(C160="3113. Logements",ROUND(VLOOKUP(C160,'Informations générales'!$C$66:$D$70,2,FALSE)*(AK160/$AN$27)/12,0)*12,IF(C160="3114. Logements",ROUND(VLOOKUP(C160,'Informations générales'!$C$66:$D$70,2,FALSE)*(AK160/$AO$27)/12,0)*12,IF(C160="3115. Logements",ROUND(VLOOKUP(C160,'Informations générales'!$C$66:$D$70,2,FALSE)*(AK160/$AP$27)/12,0)*12,"")))))</f>
        <v/>
      </c>
      <c r="AC160" s="117"/>
      <c r="AD160" s="116">
        <f t="shared" si="43"/>
        <v>0</v>
      </c>
      <c r="AE160" s="117"/>
      <c r="AF160" s="116" t="str">
        <f>IF(C160="3111. Logements",ROUND(VLOOKUP(C160,'Informations générales'!$C$66:$G$70,5,FALSE)*(AK160/$AL$27)/12,0)*12,IF(C160="3112. Logements",ROUND(VLOOKUP(C160,'Informations générales'!$C$66:$G$70,5,FALSE)*(AK160/$AM$27)/12,0)*12,IF(C160="3113. Logements",ROUND(VLOOKUP(C160,'Informations générales'!$C$66:$G$70,5,FALSE)*(AK160/$AN$27)/12,0)*12,IF(C160="3114. Logements",ROUND(VLOOKUP(C160,'Informations générales'!$C$66:$G$70,5,FALSE)*(AK160/$AO$27)/12,0)*12,IF(C160="3115. Logements",ROUND(VLOOKUP(C160,'Informations générales'!$C$66:$G$70,5,FALSE)*(AK160/$AP$27)/12,0)*12,"")))))</f>
        <v/>
      </c>
      <c r="AG160" s="117"/>
      <c r="AH160" s="116" t="str">
        <f t="shared" si="44"/>
        <v/>
      </c>
      <c r="AI160" s="92"/>
      <c r="AJ160" s="78"/>
      <c r="AK160" s="60">
        <f t="shared" si="45"/>
        <v>0</v>
      </c>
      <c r="AL160" s="60"/>
      <c r="AM160" s="60"/>
      <c r="AN160" s="60"/>
      <c r="AO160" s="60"/>
      <c r="AP160" s="60"/>
      <c r="AQ160" s="60">
        <f t="shared" si="33"/>
        <v>0</v>
      </c>
      <c r="AR160" s="60">
        <f t="shared" si="34"/>
        <v>0</v>
      </c>
      <c r="AS160" s="60">
        <f t="shared" si="35"/>
        <v>0</v>
      </c>
      <c r="AT160" s="60">
        <f t="shared" si="36"/>
        <v>0</v>
      </c>
      <c r="AU160" s="60">
        <f t="shared" si="37"/>
        <v>0</v>
      </c>
      <c r="AV160" s="60">
        <f t="shared" si="38"/>
        <v>0</v>
      </c>
      <c r="AW160" s="60">
        <f t="shared" si="39"/>
        <v>0</v>
      </c>
      <c r="AX160" s="60">
        <f t="shared" si="46"/>
        <v>0</v>
      </c>
      <c r="AY160" s="64">
        <f t="shared" si="47"/>
        <v>0</v>
      </c>
      <c r="AZ160" s="65">
        <f t="shared" si="40"/>
        <v>0</v>
      </c>
      <c r="BA160" s="65">
        <f t="shared" si="41"/>
        <v>0</v>
      </c>
    </row>
    <row r="161" spans="3:53" s="17" customFormat="1" x14ac:dyDescent="0.25">
      <c r="C161" s="194"/>
      <c r="D161" s="195"/>
      <c r="E161" s="90"/>
      <c r="F161" s="198"/>
      <c r="G161" s="214"/>
      <c r="H161" s="199"/>
      <c r="I161" s="78"/>
      <c r="J161" s="79"/>
      <c r="K161" s="78"/>
      <c r="L161" s="80"/>
      <c r="M161" s="80"/>
      <c r="N161" s="78" t="s">
        <v>39</v>
      </c>
      <c r="O161" s="113"/>
      <c r="P161" s="155"/>
      <c r="Q161" s="114" t="str">
        <f>IFERROR(MIN(VLOOKUP(ROUNDDOWN(P161,0),'Aide calcul'!$B$2:$C$282,2,FALSE),O161+1),"")</f>
        <v/>
      </c>
      <c r="R161" s="115" t="str">
        <f t="shared" si="42"/>
        <v/>
      </c>
      <c r="S161" s="155"/>
      <c r="T161" s="155"/>
      <c r="U161" s="155"/>
      <c r="V161" s="155"/>
      <c r="W161" s="155"/>
      <c r="X161" s="155"/>
      <c r="Y161" s="155"/>
      <c r="Z161" s="78"/>
      <c r="AA161" s="78"/>
      <c r="AB161" s="116" t="str">
        <f>IF(C161="3111. Logements",ROUND(VLOOKUP(C161,'Informations générales'!$C$66:$D$70,2,FALSE)*(AK161/$AL$27)/12,0)*12,IF(C161="3112. Logements",ROUND(VLOOKUP(C161,'Informations générales'!$C$66:$D$70,2,FALSE)*(AK161/$AM$27)/12,0)*12,IF(C161="3113. Logements",ROUND(VLOOKUP(C161,'Informations générales'!$C$66:$D$70,2,FALSE)*(AK161/$AN$27)/12,0)*12,IF(C161="3114. Logements",ROUND(VLOOKUP(C161,'Informations générales'!$C$66:$D$70,2,FALSE)*(AK161/$AO$27)/12,0)*12,IF(C161="3115. Logements",ROUND(VLOOKUP(C161,'Informations générales'!$C$66:$D$70,2,FALSE)*(AK161/$AP$27)/12,0)*12,"")))))</f>
        <v/>
      </c>
      <c r="AC161" s="117"/>
      <c r="AD161" s="116">
        <f t="shared" si="43"/>
        <v>0</v>
      </c>
      <c r="AE161" s="117"/>
      <c r="AF161" s="116" t="str">
        <f>IF(C161="3111. Logements",ROUND(VLOOKUP(C161,'Informations générales'!$C$66:$G$70,5,FALSE)*(AK161/$AL$27)/12,0)*12,IF(C161="3112. Logements",ROUND(VLOOKUP(C161,'Informations générales'!$C$66:$G$70,5,FALSE)*(AK161/$AM$27)/12,0)*12,IF(C161="3113. Logements",ROUND(VLOOKUP(C161,'Informations générales'!$C$66:$G$70,5,FALSE)*(AK161/$AN$27)/12,0)*12,IF(C161="3114. Logements",ROUND(VLOOKUP(C161,'Informations générales'!$C$66:$G$70,5,FALSE)*(AK161/$AO$27)/12,0)*12,IF(C161="3115. Logements",ROUND(VLOOKUP(C161,'Informations générales'!$C$66:$G$70,5,FALSE)*(AK161/$AP$27)/12,0)*12,"")))))</f>
        <v/>
      </c>
      <c r="AG161" s="117"/>
      <c r="AH161" s="116" t="str">
        <f t="shared" si="44"/>
        <v/>
      </c>
      <c r="AI161" s="92"/>
      <c r="AJ161" s="78"/>
      <c r="AK161" s="60">
        <f t="shared" si="45"/>
        <v>0</v>
      </c>
      <c r="AL161" s="60"/>
      <c r="AM161" s="60"/>
      <c r="AN161" s="60"/>
      <c r="AO161" s="60"/>
      <c r="AP161" s="60"/>
      <c r="AQ161" s="60">
        <f t="shared" si="33"/>
        <v>0</v>
      </c>
      <c r="AR161" s="60">
        <f t="shared" si="34"/>
        <v>0</v>
      </c>
      <c r="AS161" s="60">
        <f t="shared" si="35"/>
        <v>0</v>
      </c>
      <c r="AT161" s="60">
        <f t="shared" si="36"/>
        <v>0</v>
      </c>
      <c r="AU161" s="60">
        <f t="shared" si="37"/>
        <v>0</v>
      </c>
      <c r="AV161" s="60">
        <f t="shared" si="38"/>
        <v>0</v>
      </c>
      <c r="AW161" s="60">
        <f t="shared" si="39"/>
        <v>0</v>
      </c>
      <c r="AX161" s="60">
        <f t="shared" si="46"/>
        <v>0</v>
      </c>
      <c r="AY161" s="64">
        <f t="shared" si="47"/>
        <v>0</v>
      </c>
      <c r="AZ161" s="65">
        <f t="shared" si="40"/>
        <v>0</v>
      </c>
      <c r="BA161" s="65">
        <f t="shared" si="41"/>
        <v>0</v>
      </c>
    </row>
    <row r="162" spans="3:53" s="17" customFormat="1" x14ac:dyDescent="0.25">
      <c r="C162" s="194"/>
      <c r="D162" s="195"/>
      <c r="E162" s="90"/>
      <c r="F162" s="198"/>
      <c r="G162" s="214"/>
      <c r="H162" s="199"/>
      <c r="I162" s="78"/>
      <c r="J162" s="79"/>
      <c r="K162" s="78"/>
      <c r="L162" s="80"/>
      <c r="M162" s="80"/>
      <c r="N162" s="78" t="s">
        <v>39</v>
      </c>
      <c r="O162" s="113"/>
      <c r="P162" s="155"/>
      <c r="Q162" s="114" t="str">
        <f>IFERROR(MIN(VLOOKUP(ROUNDDOWN(P162,0),'Aide calcul'!$B$2:$C$282,2,FALSE),O162+1),"")</f>
        <v/>
      </c>
      <c r="R162" s="115" t="str">
        <f t="shared" si="42"/>
        <v/>
      </c>
      <c r="S162" s="155"/>
      <c r="T162" s="155"/>
      <c r="U162" s="155"/>
      <c r="V162" s="155"/>
      <c r="W162" s="155"/>
      <c r="X162" s="155"/>
      <c r="Y162" s="155"/>
      <c r="Z162" s="78"/>
      <c r="AA162" s="78"/>
      <c r="AB162" s="116" t="str">
        <f>IF(C162="3111. Logements",ROUND(VLOOKUP(C162,'Informations générales'!$C$66:$D$70,2,FALSE)*(AK162/$AL$27)/12,0)*12,IF(C162="3112. Logements",ROUND(VLOOKUP(C162,'Informations générales'!$C$66:$D$70,2,FALSE)*(AK162/$AM$27)/12,0)*12,IF(C162="3113. Logements",ROUND(VLOOKUP(C162,'Informations générales'!$C$66:$D$70,2,FALSE)*(AK162/$AN$27)/12,0)*12,IF(C162="3114. Logements",ROUND(VLOOKUP(C162,'Informations générales'!$C$66:$D$70,2,FALSE)*(AK162/$AO$27)/12,0)*12,IF(C162="3115. Logements",ROUND(VLOOKUP(C162,'Informations générales'!$C$66:$D$70,2,FALSE)*(AK162/$AP$27)/12,0)*12,"")))))</f>
        <v/>
      </c>
      <c r="AC162" s="117"/>
      <c r="AD162" s="116">
        <f t="shared" si="43"/>
        <v>0</v>
      </c>
      <c r="AE162" s="117"/>
      <c r="AF162" s="116" t="str">
        <f>IF(C162="3111. Logements",ROUND(VLOOKUP(C162,'Informations générales'!$C$66:$G$70,5,FALSE)*(AK162/$AL$27)/12,0)*12,IF(C162="3112. Logements",ROUND(VLOOKUP(C162,'Informations générales'!$C$66:$G$70,5,FALSE)*(AK162/$AM$27)/12,0)*12,IF(C162="3113. Logements",ROUND(VLOOKUP(C162,'Informations générales'!$C$66:$G$70,5,FALSE)*(AK162/$AN$27)/12,0)*12,IF(C162="3114. Logements",ROUND(VLOOKUP(C162,'Informations générales'!$C$66:$G$70,5,FALSE)*(AK162/$AO$27)/12,0)*12,IF(C162="3115. Logements",ROUND(VLOOKUP(C162,'Informations générales'!$C$66:$G$70,5,FALSE)*(AK162/$AP$27)/12,0)*12,"")))))</f>
        <v/>
      </c>
      <c r="AG162" s="117"/>
      <c r="AH162" s="116" t="str">
        <f t="shared" si="44"/>
        <v/>
      </c>
      <c r="AI162" s="92"/>
      <c r="AJ162" s="78"/>
      <c r="AK162" s="60">
        <f t="shared" si="45"/>
        <v>0</v>
      </c>
      <c r="AL162" s="60"/>
      <c r="AM162" s="60"/>
      <c r="AN162" s="60"/>
      <c r="AO162" s="60"/>
      <c r="AP162" s="60"/>
      <c r="AQ162" s="60">
        <f t="shared" si="33"/>
        <v>0</v>
      </c>
      <c r="AR162" s="60">
        <f t="shared" si="34"/>
        <v>0</v>
      </c>
      <c r="AS162" s="60">
        <f t="shared" si="35"/>
        <v>0</v>
      </c>
      <c r="AT162" s="60">
        <f t="shared" si="36"/>
        <v>0</v>
      </c>
      <c r="AU162" s="60">
        <f t="shared" si="37"/>
        <v>0</v>
      </c>
      <c r="AV162" s="60">
        <f t="shared" si="38"/>
        <v>0</v>
      </c>
      <c r="AW162" s="60">
        <f t="shared" si="39"/>
        <v>0</v>
      </c>
      <c r="AX162" s="60">
        <f t="shared" si="46"/>
        <v>0</v>
      </c>
      <c r="AY162" s="64">
        <f t="shared" si="47"/>
        <v>0</v>
      </c>
      <c r="AZ162" s="65">
        <f t="shared" si="40"/>
        <v>0</v>
      </c>
      <c r="BA162" s="65">
        <f t="shared" si="41"/>
        <v>0</v>
      </c>
    </row>
    <row r="163" spans="3:53" s="17" customFormat="1" x14ac:dyDescent="0.25">
      <c r="C163" s="194"/>
      <c r="D163" s="195"/>
      <c r="E163" s="90"/>
      <c r="F163" s="198"/>
      <c r="G163" s="214"/>
      <c r="H163" s="199"/>
      <c r="I163" s="78"/>
      <c r="J163" s="79"/>
      <c r="K163" s="78"/>
      <c r="L163" s="80"/>
      <c r="M163" s="80"/>
      <c r="N163" s="78" t="s">
        <v>39</v>
      </c>
      <c r="O163" s="113"/>
      <c r="P163" s="155"/>
      <c r="Q163" s="114" t="str">
        <f>IFERROR(MIN(VLOOKUP(ROUNDDOWN(P163,0),'Aide calcul'!$B$2:$C$282,2,FALSE),O163+1),"")</f>
        <v/>
      </c>
      <c r="R163" s="115" t="str">
        <f t="shared" si="42"/>
        <v/>
      </c>
      <c r="S163" s="155"/>
      <c r="T163" s="155"/>
      <c r="U163" s="155"/>
      <c r="V163" s="155"/>
      <c r="W163" s="155"/>
      <c r="X163" s="155"/>
      <c r="Y163" s="155"/>
      <c r="Z163" s="78"/>
      <c r="AA163" s="78"/>
      <c r="AB163" s="116" t="str">
        <f>IF(C163="3111. Logements",ROUND(VLOOKUP(C163,'Informations générales'!$C$66:$D$70,2,FALSE)*(AK163/$AL$27)/12,0)*12,IF(C163="3112. Logements",ROUND(VLOOKUP(C163,'Informations générales'!$C$66:$D$70,2,FALSE)*(AK163/$AM$27)/12,0)*12,IF(C163="3113. Logements",ROUND(VLOOKUP(C163,'Informations générales'!$C$66:$D$70,2,FALSE)*(AK163/$AN$27)/12,0)*12,IF(C163="3114. Logements",ROUND(VLOOKUP(C163,'Informations générales'!$C$66:$D$70,2,FALSE)*(AK163/$AO$27)/12,0)*12,IF(C163="3115. Logements",ROUND(VLOOKUP(C163,'Informations générales'!$C$66:$D$70,2,FALSE)*(AK163/$AP$27)/12,0)*12,"")))))</f>
        <v/>
      </c>
      <c r="AC163" s="117"/>
      <c r="AD163" s="116">
        <f t="shared" si="43"/>
        <v>0</v>
      </c>
      <c r="AE163" s="117"/>
      <c r="AF163" s="116" t="str">
        <f>IF(C163="3111. Logements",ROUND(VLOOKUP(C163,'Informations générales'!$C$66:$G$70,5,FALSE)*(AK163/$AL$27)/12,0)*12,IF(C163="3112. Logements",ROUND(VLOOKUP(C163,'Informations générales'!$C$66:$G$70,5,FALSE)*(AK163/$AM$27)/12,0)*12,IF(C163="3113. Logements",ROUND(VLOOKUP(C163,'Informations générales'!$C$66:$G$70,5,FALSE)*(AK163/$AN$27)/12,0)*12,IF(C163="3114. Logements",ROUND(VLOOKUP(C163,'Informations générales'!$C$66:$G$70,5,FALSE)*(AK163/$AO$27)/12,0)*12,IF(C163="3115. Logements",ROUND(VLOOKUP(C163,'Informations générales'!$C$66:$G$70,5,FALSE)*(AK163/$AP$27)/12,0)*12,"")))))</f>
        <v/>
      </c>
      <c r="AG163" s="117"/>
      <c r="AH163" s="116" t="str">
        <f t="shared" si="44"/>
        <v/>
      </c>
      <c r="AI163" s="92"/>
      <c r="AJ163" s="78"/>
      <c r="AK163" s="60">
        <f t="shared" si="45"/>
        <v>0</v>
      </c>
      <c r="AL163" s="60"/>
      <c r="AM163" s="60"/>
      <c r="AN163" s="60"/>
      <c r="AO163" s="60"/>
      <c r="AP163" s="60"/>
      <c r="AQ163" s="60">
        <f t="shared" si="33"/>
        <v>0</v>
      </c>
      <c r="AR163" s="60">
        <f t="shared" si="34"/>
        <v>0</v>
      </c>
      <c r="AS163" s="60">
        <f t="shared" si="35"/>
        <v>0</v>
      </c>
      <c r="AT163" s="60">
        <f t="shared" si="36"/>
        <v>0</v>
      </c>
      <c r="AU163" s="60">
        <f t="shared" si="37"/>
        <v>0</v>
      </c>
      <c r="AV163" s="60">
        <f t="shared" si="38"/>
        <v>0</v>
      </c>
      <c r="AW163" s="60">
        <f t="shared" si="39"/>
        <v>0</v>
      </c>
      <c r="AX163" s="60">
        <f t="shared" si="46"/>
        <v>0</v>
      </c>
      <c r="AY163" s="64">
        <f t="shared" si="47"/>
        <v>0</v>
      </c>
      <c r="AZ163" s="65">
        <f t="shared" si="40"/>
        <v>0</v>
      </c>
      <c r="BA163" s="65">
        <f t="shared" si="41"/>
        <v>0</v>
      </c>
    </row>
    <row r="164" spans="3:53" s="17" customFormat="1" x14ac:dyDescent="0.25">
      <c r="C164" s="194"/>
      <c r="D164" s="195"/>
      <c r="E164" s="90"/>
      <c r="F164" s="198"/>
      <c r="G164" s="214"/>
      <c r="H164" s="199"/>
      <c r="I164" s="78"/>
      <c r="J164" s="79"/>
      <c r="K164" s="78"/>
      <c r="L164" s="80"/>
      <c r="M164" s="80"/>
      <c r="N164" s="78" t="s">
        <v>39</v>
      </c>
      <c r="O164" s="113"/>
      <c r="P164" s="155"/>
      <c r="Q164" s="114" t="str">
        <f>IFERROR(MIN(VLOOKUP(ROUNDDOWN(P164,0),'Aide calcul'!$B$2:$C$282,2,FALSE),O164+1),"")</f>
        <v/>
      </c>
      <c r="R164" s="115" t="str">
        <f t="shared" si="42"/>
        <v/>
      </c>
      <c r="S164" s="155"/>
      <c r="T164" s="155"/>
      <c r="U164" s="155"/>
      <c r="V164" s="155"/>
      <c r="W164" s="155"/>
      <c r="X164" s="155"/>
      <c r="Y164" s="155"/>
      <c r="Z164" s="78"/>
      <c r="AA164" s="78"/>
      <c r="AB164" s="116" t="str">
        <f>IF(C164="3111. Logements",ROUND(VLOOKUP(C164,'Informations générales'!$C$66:$D$70,2,FALSE)*(AK164/$AL$27)/12,0)*12,IF(C164="3112. Logements",ROUND(VLOOKUP(C164,'Informations générales'!$C$66:$D$70,2,FALSE)*(AK164/$AM$27)/12,0)*12,IF(C164="3113. Logements",ROUND(VLOOKUP(C164,'Informations générales'!$C$66:$D$70,2,FALSE)*(AK164/$AN$27)/12,0)*12,IF(C164="3114. Logements",ROUND(VLOOKUP(C164,'Informations générales'!$C$66:$D$70,2,FALSE)*(AK164/$AO$27)/12,0)*12,IF(C164="3115. Logements",ROUND(VLOOKUP(C164,'Informations générales'!$C$66:$D$70,2,FALSE)*(AK164/$AP$27)/12,0)*12,"")))))</f>
        <v/>
      </c>
      <c r="AC164" s="117"/>
      <c r="AD164" s="116">
        <f t="shared" si="43"/>
        <v>0</v>
      </c>
      <c r="AE164" s="117"/>
      <c r="AF164" s="116" t="str">
        <f>IF(C164="3111. Logements",ROUND(VLOOKUP(C164,'Informations générales'!$C$66:$G$70,5,FALSE)*(AK164/$AL$27)/12,0)*12,IF(C164="3112. Logements",ROUND(VLOOKUP(C164,'Informations générales'!$C$66:$G$70,5,FALSE)*(AK164/$AM$27)/12,0)*12,IF(C164="3113. Logements",ROUND(VLOOKUP(C164,'Informations générales'!$C$66:$G$70,5,FALSE)*(AK164/$AN$27)/12,0)*12,IF(C164="3114. Logements",ROUND(VLOOKUP(C164,'Informations générales'!$C$66:$G$70,5,FALSE)*(AK164/$AO$27)/12,0)*12,IF(C164="3115. Logements",ROUND(VLOOKUP(C164,'Informations générales'!$C$66:$G$70,5,FALSE)*(AK164/$AP$27)/12,0)*12,"")))))</f>
        <v/>
      </c>
      <c r="AG164" s="117"/>
      <c r="AH164" s="116" t="str">
        <f t="shared" si="44"/>
        <v/>
      </c>
      <c r="AI164" s="92"/>
      <c r="AJ164" s="78"/>
      <c r="AK164" s="60">
        <f t="shared" si="45"/>
        <v>0</v>
      </c>
      <c r="AL164" s="60"/>
      <c r="AM164" s="60"/>
      <c r="AN164" s="60"/>
      <c r="AO164" s="60"/>
      <c r="AP164" s="60"/>
      <c r="AQ164" s="60">
        <f t="shared" si="33"/>
        <v>0</v>
      </c>
      <c r="AR164" s="60">
        <f t="shared" si="34"/>
        <v>0</v>
      </c>
      <c r="AS164" s="60">
        <f t="shared" si="35"/>
        <v>0</v>
      </c>
      <c r="AT164" s="60">
        <f t="shared" si="36"/>
        <v>0</v>
      </c>
      <c r="AU164" s="60">
        <f t="shared" si="37"/>
        <v>0</v>
      </c>
      <c r="AV164" s="60">
        <f t="shared" si="38"/>
        <v>0</v>
      </c>
      <c r="AW164" s="60">
        <f t="shared" si="39"/>
        <v>0</v>
      </c>
      <c r="AX164" s="60">
        <f t="shared" si="46"/>
        <v>0</v>
      </c>
      <c r="AY164" s="64">
        <f t="shared" si="47"/>
        <v>0</v>
      </c>
      <c r="AZ164" s="65">
        <f t="shared" si="40"/>
        <v>0</v>
      </c>
      <c r="BA164" s="65">
        <f t="shared" si="41"/>
        <v>0</v>
      </c>
    </row>
    <row r="165" spans="3:53" s="17" customFormat="1" x14ac:dyDescent="0.25">
      <c r="C165" s="194"/>
      <c r="D165" s="195"/>
      <c r="E165" s="90"/>
      <c r="F165" s="198"/>
      <c r="G165" s="214"/>
      <c r="H165" s="199"/>
      <c r="I165" s="78"/>
      <c r="J165" s="79"/>
      <c r="K165" s="78"/>
      <c r="L165" s="80"/>
      <c r="M165" s="80"/>
      <c r="N165" s="78" t="s">
        <v>39</v>
      </c>
      <c r="O165" s="113"/>
      <c r="P165" s="155"/>
      <c r="Q165" s="114" t="str">
        <f>IFERROR(MIN(VLOOKUP(ROUNDDOWN(P165,0),'Aide calcul'!$B$2:$C$282,2,FALSE),O165+1),"")</f>
        <v/>
      </c>
      <c r="R165" s="115" t="str">
        <f t="shared" si="42"/>
        <v/>
      </c>
      <c r="S165" s="155"/>
      <c r="T165" s="155"/>
      <c r="U165" s="155"/>
      <c r="V165" s="155"/>
      <c r="W165" s="155"/>
      <c r="X165" s="155"/>
      <c r="Y165" s="155"/>
      <c r="Z165" s="78"/>
      <c r="AA165" s="78"/>
      <c r="AB165" s="116" t="str">
        <f>IF(C165="3111. Logements",ROUND(VLOOKUP(C165,'Informations générales'!$C$66:$D$70,2,FALSE)*(AK165/$AL$27)/12,0)*12,IF(C165="3112. Logements",ROUND(VLOOKUP(C165,'Informations générales'!$C$66:$D$70,2,FALSE)*(AK165/$AM$27)/12,0)*12,IF(C165="3113. Logements",ROUND(VLOOKUP(C165,'Informations générales'!$C$66:$D$70,2,FALSE)*(AK165/$AN$27)/12,0)*12,IF(C165="3114. Logements",ROUND(VLOOKUP(C165,'Informations générales'!$C$66:$D$70,2,FALSE)*(AK165/$AO$27)/12,0)*12,IF(C165="3115. Logements",ROUND(VLOOKUP(C165,'Informations générales'!$C$66:$D$70,2,FALSE)*(AK165/$AP$27)/12,0)*12,"")))))</f>
        <v/>
      </c>
      <c r="AC165" s="117"/>
      <c r="AD165" s="116">
        <f t="shared" si="43"/>
        <v>0</v>
      </c>
      <c r="AE165" s="117"/>
      <c r="AF165" s="116" t="str">
        <f>IF(C165="3111. Logements",ROUND(VLOOKUP(C165,'Informations générales'!$C$66:$G$70,5,FALSE)*(AK165/$AL$27)/12,0)*12,IF(C165="3112. Logements",ROUND(VLOOKUP(C165,'Informations générales'!$C$66:$G$70,5,FALSE)*(AK165/$AM$27)/12,0)*12,IF(C165="3113. Logements",ROUND(VLOOKUP(C165,'Informations générales'!$C$66:$G$70,5,FALSE)*(AK165/$AN$27)/12,0)*12,IF(C165="3114. Logements",ROUND(VLOOKUP(C165,'Informations générales'!$C$66:$G$70,5,FALSE)*(AK165/$AO$27)/12,0)*12,IF(C165="3115. Logements",ROUND(VLOOKUP(C165,'Informations générales'!$C$66:$G$70,5,FALSE)*(AK165/$AP$27)/12,0)*12,"")))))</f>
        <v/>
      </c>
      <c r="AG165" s="117"/>
      <c r="AH165" s="116" t="str">
        <f t="shared" si="44"/>
        <v/>
      </c>
      <c r="AI165" s="92"/>
      <c r="AJ165" s="78"/>
      <c r="AK165" s="60">
        <f t="shared" si="45"/>
        <v>0</v>
      </c>
      <c r="AL165" s="60"/>
      <c r="AM165" s="60"/>
      <c r="AN165" s="60"/>
      <c r="AO165" s="60"/>
      <c r="AP165" s="60"/>
      <c r="AQ165" s="60">
        <f t="shared" si="33"/>
        <v>0</v>
      </c>
      <c r="AR165" s="60">
        <f t="shared" si="34"/>
        <v>0</v>
      </c>
      <c r="AS165" s="60">
        <f t="shared" si="35"/>
        <v>0</v>
      </c>
      <c r="AT165" s="60">
        <f t="shared" si="36"/>
        <v>0</v>
      </c>
      <c r="AU165" s="60">
        <f t="shared" si="37"/>
        <v>0</v>
      </c>
      <c r="AV165" s="60">
        <f t="shared" si="38"/>
        <v>0</v>
      </c>
      <c r="AW165" s="60">
        <f t="shared" si="39"/>
        <v>0</v>
      </c>
      <c r="AX165" s="60">
        <f t="shared" si="46"/>
        <v>0</v>
      </c>
      <c r="AY165" s="64">
        <f t="shared" si="47"/>
        <v>0</v>
      </c>
      <c r="AZ165" s="65">
        <f t="shared" si="40"/>
        <v>0</v>
      </c>
      <c r="BA165" s="65">
        <f t="shared" si="41"/>
        <v>0</v>
      </c>
    </row>
    <row r="166" spans="3:53" s="17" customFormat="1" x14ac:dyDescent="0.25">
      <c r="C166" s="194"/>
      <c r="D166" s="195"/>
      <c r="E166" s="90"/>
      <c r="F166" s="198"/>
      <c r="G166" s="214"/>
      <c r="H166" s="199"/>
      <c r="I166" s="78"/>
      <c r="J166" s="79"/>
      <c r="K166" s="78"/>
      <c r="L166" s="80"/>
      <c r="M166" s="80"/>
      <c r="N166" s="78" t="s">
        <v>39</v>
      </c>
      <c r="O166" s="113"/>
      <c r="P166" s="155"/>
      <c r="Q166" s="114" t="str">
        <f>IFERROR(MIN(VLOOKUP(ROUNDDOWN(P166,0),'Aide calcul'!$B$2:$C$282,2,FALSE),O166+1),"")</f>
        <v/>
      </c>
      <c r="R166" s="115" t="str">
        <f t="shared" si="42"/>
        <v/>
      </c>
      <c r="S166" s="155"/>
      <c r="T166" s="155"/>
      <c r="U166" s="155"/>
      <c r="V166" s="155"/>
      <c r="W166" s="155"/>
      <c r="X166" s="155"/>
      <c r="Y166" s="155"/>
      <c r="Z166" s="78"/>
      <c r="AA166" s="78"/>
      <c r="AB166" s="116" t="str">
        <f>IF(C166="3111. Logements",ROUND(VLOOKUP(C166,'Informations générales'!$C$66:$D$70,2,FALSE)*(AK166/$AL$27)/12,0)*12,IF(C166="3112. Logements",ROUND(VLOOKUP(C166,'Informations générales'!$C$66:$D$70,2,FALSE)*(AK166/$AM$27)/12,0)*12,IF(C166="3113. Logements",ROUND(VLOOKUP(C166,'Informations générales'!$C$66:$D$70,2,FALSE)*(AK166/$AN$27)/12,0)*12,IF(C166="3114. Logements",ROUND(VLOOKUP(C166,'Informations générales'!$C$66:$D$70,2,FALSE)*(AK166/$AO$27)/12,0)*12,IF(C166="3115. Logements",ROUND(VLOOKUP(C166,'Informations générales'!$C$66:$D$70,2,FALSE)*(AK166/$AP$27)/12,0)*12,"")))))</f>
        <v/>
      </c>
      <c r="AC166" s="117"/>
      <c r="AD166" s="116">
        <f t="shared" si="43"/>
        <v>0</v>
      </c>
      <c r="AE166" s="117"/>
      <c r="AF166" s="116" t="str">
        <f>IF(C166="3111. Logements",ROUND(VLOOKUP(C166,'Informations générales'!$C$66:$G$70,5,FALSE)*(AK166/$AL$27)/12,0)*12,IF(C166="3112. Logements",ROUND(VLOOKUP(C166,'Informations générales'!$C$66:$G$70,5,FALSE)*(AK166/$AM$27)/12,0)*12,IF(C166="3113. Logements",ROUND(VLOOKUP(C166,'Informations générales'!$C$66:$G$70,5,FALSE)*(AK166/$AN$27)/12,0)*12,IF(C166="3114. Logements",ROUND(VLOOKUP(C166,'Informations générales'!$C$66:$G$70,5,FALSE)*(AK166/$AO$27)/12,0)*12,IF(C166="3115. Logements",ROUND(VLOOKUP(C166,'Informations générales'!$C$66:$G$70,5,FALSE)*(AK166/$AP$27)/12,0)*12,"")))))</f>
        <v/>
      </c>
      <c r="AG166" s="117"/>
      <c r="AH166" s="116" t="str">
        <f t="shared" si="44"/>
        <v/>
      </c>
      <c r="AI166" s="92"/>
      <c r="AJ166" s="78"/>
      <c r="AK166" s="60">
        <f t="shared" si="45"/>
        <v>0</v>
      </c>
      <c r="AL166" s="60"/>
      <c r="AM166" s="60"/>
      <c r="AN166" s="60"/>
      <c r="AO166" s="60"/>
      <c r="AP166" s="60"/>
      <c r="AQ166" s="60">
        <f t="shared" si="33"/>
        <v>0</v>
      </c>
      <c r="AR166" s="60">
        <f t="shared" si="34"/>
        <v>0</v>
      </c>
      <c r="AS166" s="60">
        <f t="shared" si="35"/>
        <v>0</v>
      </c>
      <c r="AT166" s="60">
        <f t="shared" si="36"/>
        <v>0</v>
      </c>
      <c r="AU166" s="60">
        <f t="shared" si="37"/>
        <v>0</v>
      </c>
      <c r="AV166" s="60">
        <f t="shared" si="38"/>
        <v>0</v>
      </c>
      <c r="AW166" s="60">
        <f t="shared" si="39"/>
        <v>0</v>
      </c>
      <c r="AX166" s="60">
        <f t="shared" si="46"/>
        <v>0</v>
      </c>
      <c r="AY166" s="64">
        <f t="shared" si="47"/>
        <v>0</v>
      </c>
      <c r="AZ166" s="65">
        <f t="shared" si="40"/>
        <v>0</v>
      </c>
      <c r="BA166" s="65">
        <f t="shared" si="41"/>
        <v>0</v>
      </c>
    </row>
    <row r="167" spans="3:53" s="17" customFormat="1" x14ac:dyDescent="0.25">
      <c r="C167" s="194"/>
      <c r="D167" s="195"/>
      <c r="E167" s="90"/>
      <c r="F167" s="198"/>
      <c r="G167" s="214"/>
      <c r="H167" s="199"/>
      <c r="I167" s="78"/>
      <c r="J167" s="79"/>
      <c r="K167" s="78"/>
      <c r="L167" s="80"/>
      <c r="M167" s="80"/>
      <c r="N167" s="78" t="s">
        <v>39</v>
      </c>
      <c r="O167" s="113"/>
      <c r="P167" s="155"/>
      <c r="Q167" s="114" t="str">
        <f>IFERROR(MIN(VLOOKUP(ROUNDDOWN(P167,0),'Aide calcul'!$B$2:$C$282,2,FALSE),O167+1),"")</f>
        <v/>
      </c>
      <c r="R167" s="115" t="str">
        <f t="shared" si="42"/>
        <v/>
      </c>
      <c r="S167" s="155"/>
      <c r="T167" s="155"/>
      <c r="U167" s="155"/>
      <c r="V167" s="155"/>
      <c r="W167" s="155"/>
      <c r="X167" s="155"/>
      <c r="Y167" s="155"/>
      <c r="Z167" s="78"/>
      <c r="AA167" s="78"/>
      <c r="AB167" s="116" t="str">
        <f>IF(C167="3111. Logements",ROUND(VLOOKUP(C167,'Informations générales'!$C$66:$D$70,2,FALSE)*(AK167/$AL$27)/12,0)*12,IF(C167="3112. Logements",ROUND(VLOOKUP(C167,'Informations générales'!$C$66:$D$70,2,FALSE)*(AK167/$AM$27)/12,0)*12,IF(C167="3113. Logements",ROUND(VLOOKUP(C167,'Informations générales'!$C$66:$D$70,2,FALSE)*(AK167/$AN$27)/12,0)*12,IF(C167="3114. Logements",ROUND(VLOOKUP(C167,'Informations générales'!$C$66:$D$70,2,FALSE)*(AK167/$AO$27)/12,0)*12,IF(C167="3115. Logements",ROUND(VLOOKUP(C167,'Informations générales'!$C$66:$D$70,2,FALSE)*(AK167/$AP$27)/12,0)*12,"")))))</f>
        <v/>
      </c>
      <c r="AC167" s="117"/>
      <c r="AD167" s="116">
        <f t="shared" si="43"/>
        <v>0</v>
      </c>
      <c r="AE167" s="117"/>
      <c r="AF167" s="116" t="str">
        <f>IF(C167="3111. Logements",ROUND(VLOOKUP(C167,'Informations générales'!$C$66:$G$70,5,FALSE)*(AK167/$AL$27)/12,0)*12,IF(C167="3112. Logements",ROUND(VLOOKUP(C167,'Informations générales'!$C$66:$G$70,5,FALSE)*(AK167/$AM$27)/12,0)*12,IF(C167="3113. Logements",ROUND(VLOOKUP(C167,'Informations générales'!$C$66:$G$70,5,FALSE)*(AK167/$AN$27)/12,0)*12,IF(C167="3114. Logements",ROUND(VLOOKUP(C167,'Informations générales'!$C$66:$G$70,5,FALSE)*(AK167/$AO$27)/12,0)*12,IF(C167="3115. Logements",ROUND(VLOOKUP(C167,'Informations générales'!$C$66:$G$70,5,FALSE)*(AK167/$AP$27)/12,0)*12,"")))))</f>
        <v/>
      </c>
      <c r="AG167" s="117"/>
      <c r="AH167" s="116" t="str">
        <f t="shared" si="44"/>
        <v/>
      </c>
      <c r="AI167" s="92"/>
      <c r="AJ167" s="78"/>
      <c r="AK167" s="60">
        <f t="shared" si="45"/>
        <v>0</v>
      </c>
      <c r="AL167" s="60"/>
      <c r="AM167" s="60"/>
      <c r="AN167" s="60"/>
      <c r="AO167" s="60"/>
      <c r="AP167" s="60"/>
      <c r="AQ167" s="60">
        <f t="shared" si="33"/>
        <v>0</v>
      </c>
      <c r="AR167" s="60">
        <f t="shared" si="34"/>
        <v>0</v>
      </c>
      <c r="AS167" s="60">
        <f t="shared" si="35"/>
        <v>0</v>
      </c>
      <c r="AT167" s="60">
        <f t="shared" si="36"/>
        <v>0</v>
      </c>
      <c r="AU167" s="60">
        <f t="shared" si="37"/>
        <v>0</v>
      </c>
      <c r="AV167" s="60">
        <f t="shared" si="38"/>
        <v>0</v>
      </c>
      <c r="AW167" s="60">
        <f t="shared" si="39"/>
        <v>0</v>
      </c>
      <c r="AX167" s="60">
        <f t="shared" si="46"/>
        <v>0</v>
      </c>
      <c r="AY167" s="64">
        <f t="shared" si="47"/>
        <v>0</v>
      </c>
      <c r="AZ167" s="65">
        <f t="shared" si="40"/>
        <v>0</v>
      </c>
      <c r="BA167" s="65">
        <f t="shared" si="41"/>
        <v>0</v>
      </c>
    </row>
    <row r="168" spans="3:53" s="17" customFormat="1" x14ac:dyDescent="0.25">
      <c r="C168" s="194"/>
      <c r="D168" s="195"/>
      <c r="E168" s="90"/>
      <c r="F168" s="198"/>
      <c r="G168" s="214"/>
      <c r="H168" s="199"/>
      <c r="I168" s="78"/>
      <c r="J168" s="79"/>
      <c r="K168" s="78"/>
      <c r="L168" s="80"/>
      <c r="M168" s="80"/>
      <c r="N168" s="78" t="s">
        <v>39</v>
      </c>
      <c r="O168" s="113"/>
      <c r="P168" s="155"/>
      <c r="Q168" s="114" t="str">
        <f>IFERROR(MIN(VLOOKUP(ROUNDDOWN(P168,0),'Aide calcul'!$B$2:$C$282,2,FALSE),O168+1),"")</f>
        <v/>
      </c>
      <c r="R168" s="115" t="str">
        <f t="shared" si="42"/>
        <v/>
      </c>
      <c r="S168" s="155"/>
      <c r="T168" s="155"/>
      <c r="U168" s="155"/>
      <c r="V168" s="155"/>
      <c r="W168" s="155"/>
      <c r="X168" s="155"/>
      <c r="Y168" s="155"/>
      <c r="Z168" s="78"/>
      <c r="AA168" s="78"/>
      <c r="AB168" s="116" t="str">
        <f>IF(C168="3111. Logements",ROUND(VLOOKUP(C168,'Informations générales'!$C$66:$D$70,2,FALSE)*(AK168/$AL$27)/12,0)*12,IF(C168="3112. Logements",ROUND(VLOOKUP(C168,'Informations générales'!$C$66:$D$70,2,FALSE)*(AK168/$AM$27)/12,0)*12,IF(C168="3113. Logements",ROUND(VLOOKUP(C168,'Informations générales'!$C$66:$D$70,2,FALSE)*(AK168/$AN$27)/12,0)*12,IF(C168="3114. Logements",ROUND(VLOOKUP(C168,'Informations générales'!$C$66:$D$70,2,FALSE)*(AK168/$AO$27)/12,0)*12,IF(C168="3115. Logements",ROUND(VLOOKUP(C168,'Informations générales'!$C$66:$D$70,2,FALSE)*(AK168/$AP$27)/12,0)*12,"")))))</f>
        <v/>
      </c>
      <c r="AC168" s="117"/>
      <c r="AD168" s="116">
        <f t="shared" si="43"/>
        <v>0</v>
      </c>
      <c r="AE168" s="117"/>
      <c r="AF168" s="116" t="str">
        <f>IF(C168="3111. Logements",ROUND(VLOOKUP(C168,'Informations générales'!$C$66:$G$70,5,FALSE)*(AK168/$AL$27)/12,0)*12,IF(C168="3112. Logements",ROUND(VLOOKUP(C168,'Informations générales'!$C$66:$G$70,5,FALSE)*(AK168/$AM$27)/12,0)*12,IF(C168="3113. Logements",ROUND(VLOOKUP(C168,'Informations générales'!$C$66:$G$70,5,FALSE)*(AK168/$AN$27)/12,0)*12,IF(C168="3114. Logements",ROUND(VLOOKUP(C168,'Informations générales'!$C$66:$G$70,5,FALSE)*(AK168/$AO$27)/12,0)*12,IF(C168="3115. Logements",ROUND(VLOOKUP(C168,'Informations générales'!$C$66:$G$70,5,FALSE)*(AK168/$AP$27)/12,0)*12,"")))))</f>
        <v/>
      </c>
      <c r="AG168" s="117"/>
      <c r="AH168" s="116" t="str">
        <f t="shared" si="44"/>
        <v/>
      </c>
      <c r="AI168" s="92"/>
      <c r="AJ168" s="78"/>
      <c r="AK168" s="60">
        <f t="shared" si="45"/>
        <v>0</v>
      </c>
      <c r="AL168" s="60"/>
      <c r="AM168" s="60"/>
      <c r="AN168" s="60"/>
      <c r="AO168" s="60"/>
      <c r="AP168" s="60"/>
      <c r="AQ168" s="60">
        <f t="shared" si="33"/>
        <v>0</v>
      </c>
      <c r="AR168" s="60">
        <f t="shared" si="34"/>
        <v>0</v>
      </c>
      <c r="AS168" s="60">
        <f t="shared" si="35"/>
        <v>0</v>
      </c>
      <c r="AT168" s="60">
        <f t="shared" si="36"/>
        <v>0</v>
      </c>
      <c r="AU168" s="60">
        <f t="shared" si="37"/>
        <v>0</v>
      </c>
      <c r="AV168" s="60">
        <f t="shared" si="38"/>
        <v>0</v>
      </c>
      <c r="AW168" s="60">
        <f t="shared" si="39"/>
        <v>0</v>
      </c>
      <c r="AX168" s="60">
        <f t="shared" si="46"/>
        <v>0</v>
      </c>
      <c r="AY168" s="64">
        <f t="shared" si="47"/>
        <v>0</v>
      </c>
      <c r="AZ168" s="65">
        <f t="shared" si="40"/>
        <v>0</v>
      </c>
      <c r="BA168" s="65">
        <f t="shared" si="41"/>
        <v>0</v>
      </c>
    </row>
    <row r="169" spans="3:53" s="17" customFormat="1" x14ac:dyDescent="0.25">
      <c r="C169" s="194"/>
      <c r="D169" s="195"/>
      <c r="E169" s="90"/>
      <c r="F169" s="198"/>
      <c r="G169" s="214"/>
      <c r="H169" s="199"/>
      <c r="I169" s="78"/>
      <c r="J169" s="79"/>
      <c r="K169" s="78"/>
      <c r="L169" s="80"/>
      <c r="M169" s="80"/>
      <c r="N169" s="78" t="s">
        <v>39</v>
      </c>
      <c r="O169" s="113"/>
      <c r="P169" s="155"/>
      <c r="Q169" s="114" t="str">
        <f>IFERROR(MIN(VLOOKUP(ROUNDDOWN(P169,0),'Aide calcul'!$B$2:$C$282,2,FALSE),O169+1),"")</f>
        <v/>
      </c>
      <c r="R169" s="115" t="str">
        <f t="shared" si="42"/>
        <v/>
      </c>
      <c r="S169" s="155"/>
      <c r="T169" s="155"/>
      <c r="U169" s="155"/>
      <c r="V169" s="155"/>
      <c r="W169" s="155"/>
      <c r="X169" s="155"/>
      <c r="Y169" s="155"/>
      <c r="Z169" s="78"/>
      <c r="AA169" s="78"/>
      <c r="AB169" s="116" t="str">
        <f>IF(C169="3111. Logements",ROUND(VLOOKUP(C169,'Informations générales'!$C$66:$D$70,2,FALSE)*(AK169/$AL$27)/12,0)*12,IF(C169="3112. Logements",ROUND(VLOOKUP(C169,'Informations générales'!$C$66:$D$70,2,FALSE)*(AK169/$AM$27)/12,0)*12,IF(C169="3113. Logements",ROUND(VLOOKUP(C169,'Informations générales'!$C$66:$D$70,2,FALSE)*(AK169/$AN$27)/12,0)*12,IF(C169="3114. Logements",ROUND(VLOOKUP(C169,'Informations générales'!$C$66:$D$70,2,FALSE)*(AK169/$AO$27)/12,0)*12,IF(C169="3115. Logements",ROUND(VLOOKUP(C169,'Informations générales'!$C$66:$D$70,2,FALSE)*(AK169/$AP$27)/12,0)*12,"")))))</f>
        <v/>
      </c>
      <c r="AC169" s="117"/>
      <c r="AD169" s="116">
        <f t="shared" si="43"/>
        <v>0</v>
      </c>
      <c r="AE169" s="117"/>
      <c r="AF169" s="116" t="str">
        <f>IF(C169="3111. Logements",ROUND(VLOOKUP(C169,'Informations générales'!$C$66:$G$70,5,FALSE)*(AK169/$AL$27)/12,0)*12,IF(C169="3112. Logements",ROUND(VLOOKUP(C169,'Informations générales'!$C$66:$G$70,5,FALSE)*(AK169/$AM$27)/12,0)*12,IF(C169="3113. Logements",ROUND(VLOOKUP(C169,'Informations générales'!$C$66:$G$70,5,FALSE)*(AK169/$AN$27)/12,0)*12,IF(C169="3114. Logements",ROUND(VLOOKUP(C169,'Informations générales'!$C$66:$G$70,5,FALSE)*(AK169/$AO$27)/12,0)*12,IF(C169="3115. Logements",ROUND(VLOOKUP(C169,'Informations générales'!$C$66:$G$70,5,FALSE)*(AK169/$AP$27)/12,0)*12,"")))))</f>
        <v/>
      </c>
      <c r="AG169" s="117"/>
      <c r="AH169" s="116" t="str">
        <f t="shared" si="44"/>
        <v/>
      </c>
      <c r="AI169" s="92"/>
      <c r="AJ169" s="78"/>
      <c r="AK169" s="60">
        <f t="shared" si="45"/>
        <v>0</v>
      </c>
      <c r="AL169" s="60"/>
      <c r="AM169" s="60"/>
      <c r="AN169" s="60"/>
      <c r="AO169" s="60"/>
      <c r="AP169" s="60"/>
      <c r="AQ169" s="60">
        <f t="shared" si="33"/>
        <v>0</v>
      </c>
      <c r="AR169" s="60">
        <f t="shared" si="34"/>
        <v>0</v>
      </c>
      <c r="AS169" s="60">
        <f t="shared" si="35"/>
        <v>0</v>
      </c>
      <c r="AT169" s="60">
        <f t="shared" si="36"/>
        <v>0</v>
      </c>
      <c r="AU169" s="60">
        <f t="shared" si="37"/>
        <v>0</v>
      </c>
      <c r="AV169" s="60">
        <f t="shared" si="38"/>
        <v>0</v>
      </c>
      <c r="AW169" s="60">
        <f t="shared" si="39"/>
        <v>0</v>
      </c>
      <c r="AX169" s="60">
        <f t="shared" si="46"/>
        <v>0</v>
      </c>
      <c r="AY169" s="64">
        <f t="shared" si="47"/>
        <v>0</v>
      </c>
      <c r="AZ169" s="65">
        <f t="shared" si="40"/>
        <v>0</v>
      </c>
      <c r="BA169" s="65">
        <f t="shared" si="41"/>
        <v>0</v>
      </c>
    </row>
    <row r="170" spans="3:53" s="17" customFormat="1" x14ac:dyDescent="0.25">
      <c r="C170" s="194"/>
      <c r="D170" s="195"/>
      <c r="E170" s="90"/>
      <c r="F170" s="198"/>
      <c r="G170" s="214"/>
      <c r="H170" s="199"/>
      <c r="I170" s="78"/>
      <c r="J170" s="79"/>
      <c r="K170" s="78"/>
      <c r="L170" s="80"/>
      <c r="M170" s="80"/>
      <c r="N170" s="78" t="s">
        <v>39</v>
      </c>
      <c r="O170" s="113"/>
      <c r="P170" s="155"/>
      <c r="Q170" s="114" t="str">
        <f>IFERROR(MIN(VLOOKUP(ROUNDDOWN(P170,0),'Aide calcul'!$B$2:$C$282,2,FALSE),O170+1),"")</f>
        <v/>
      </c>
      <c r="R170" s="115" t="str">
        <f t="shared" si="42"/>
        <v/>
      </c>
      <c r="S170" s="155"/>
      <c r="T170" s="155"/>
      <c r="U170" s="155"/>
      <c r="V170" s="155"/>
      <c r="W170" s="155"/>
      <c r="X170" s="155"/>
      <c r="Y170" s="155"/>
      <c r="Z170" s="78"/>
      <c r="AA170" s="78"/>
      <c r="AB170" s="116" t="str">
        <f>IF(C170="3111. Logements",ROUND(VLOOKUP(C170,'Informations générales'!$C$66:$D$70,2,FALSE)*(AK170/$AL$27)/12,0)*12,IF(C170="3112. Logements",ROUND(VLOOKUP(C170,'Informations générales'!$C$66:$D$70,2,FALSE)*(AK170/$AM$27)/12,0)*12,IF(C170="3113. Logements",ROUND(VLOOKUP(C170,'Informations générales'!$C$66:$D$70,2,FALSE)*(AK170/$AN$27)/12,0)*12,IF(C170="3114. Logements",ROUND(VLOOKUP(C170,'Informations générales'!$C$66:$D$70,2,FALSE)*(AK170/$AO$27)/12,0)*12,IF(C170="3115. Logements",ROUND(VLOOKUP(C170,'Informations générales'!$C$66:$D$70,2,FALSE)*(AK170/$AP$27)/12,0)*12,"")))))</f>
        <v/>
      </c>
      <c r="AC170" s="117"/>
      <c r="AD170" s="116">
        <f t="shared" si="43"/>
        <v>0</v>
      </c>
      <c r="AE170" s="117"/>
      <c r="AF170" s="116" t="str">
        <f>IF(C170="3111. Logements",ROUND(VLOOKUP(C170,'Informations générales'!$C$66:$G$70,5,FALSE)*(AK170/$AL$27)/12,0)*12,IF(C170="3112. Logements",ROUND(VLOOKUP(C170,'Informations générales'!$C$66:$G$70,5,FALSE)*(AK170/$AM$27)/12,0)*12,IF(C170="3113. Logements",ROUND(VLOOKUP(C170,'Informations générales'!$C$66:$G$70,5,FALSE)*(AK170/$AN$27)/12,0)*12,IF(C170="3114. Logements",ROUND(VLOOKUP(C170,'Informations générales'!$C$66:$G$70,5,FALSE)*(AK170/$AO$27)/12,0)*12,IF(C170="3115. Logements",ROUND(VLOOKUP(C170,'Informations générales'!$C$66:$G$70,5,FALSE)*(AK170/$AP$27)/12,0)*12,"")))))</f>
        <v/>
      </c>
      <c r="AG170" s="117"/>
      <c r="AH170" s="116" t="str">
        <f t="shared" si="44"/>
        <v/>
      </c>
      <c r="AI170" s="92"/>
      <c r="AJ170" s="78"/>
      <c r="AK170" s="60">
        <f t="shared" si="45"/>
        <v>0</v>
      </c>
      <c r="AL170" s="60"/>
      <c r="AM170" s="60"/>
      <c r="AN170" s="60"/>
      <c r="AO170" s="60"/>
      <c r="AP170" s="60"/>
      <c r="AQ170" s="60">
        <f t="shared" si="33"/>
        <v>0</v>
      </c>
      <c r="AR170" s="60">
        <f t="shared" si="34"/>
        <v>0</v>
      </c>
      <c r="AS170" s="60">
        <f t="shared" si="35"/>
        <v>0</v>
      </c>
      <c r="AT170" s="60">
        <f t="shared" si="36"/>
        <v>0</v>
      </c>
      <c r="AU170" s="60">
        <f t="shared" si="37"/>
        <v>0</v>
      </c>
      <c r="AV170" s="60">
        <f t="shared" si="38"/>
        <v>0</v>
      </c>
      <c r="AW170" s="60">
        <f t="shared" si="39"/>
        <v>0</v>
      </c>
      <c r="AX170" s="60">
        <f t="shared" si="46"/>
        <v>0</v>
      </c>
      <c r="AY170" s="64">
        <f t="shared" si="47"/>
        <v>0</v>
      </c>
      <c r="AZ170" s="65">
        <f t="shared" si="40"/>
        <v>0</v>
      </c>
      <c r="BA170" s="65">
        <f t="shared" si="41"/>
        <v>0</v>
      </c>
    </row>
    <row r="171" spans="3:53" s="17" customFormat="1" x14ac:dyDescent="0.25">
      <c r="C171" s="194"/>
      <c r="D171" s="195"/>
      <c r="E171" s="90"/>
      <c r="F171" s="198"/>
      <c r="G171" s="214"/>
      <c r="H171" s="199"/>
      <c r="I171" s="78"/>
      <c r="J171" s="79"/>
      <c r="K171" s="78"/>
      <c r="L171" s="80"/>
      <c r="M171" s="80"/>
      <c r="N171" s="78" t="s">
        <v>39</v>
      </c>
      <c r="O171" s="113"/>
      <c r="P171" s="155"/>
      <c r="Q171" s="114" t="str">
        <f>IFERROR(MIN(VLOOKUP(ROUNDDOWN(P171,0),'Aide calcul'!$B$2:$C$282,2,FALSE),O171+1),"")</f>
        <v/>
      </c>
      <c r="R171" s="115" t="str">
        <f t="shared" si="42"/>
        <v/>
      </c>
      <c r="S171" s="155"/>
      <c r="T171" s="155"/>
      <c r="U171" s="155"/>
      <c r="V171" s="155"/>
      <c r="W171" s="155"/>
      <c r="X171" s="155"/>
      <c r="Y171" s="155"/>
      <c r="Z171" s="78"/>
      <c r="AA171" s="78"/>
      <c r="AB171" s="116" t="str">
        <f>IF(C171="3111. Logements",ROUND(VLOOKUP(C171,'Informations générales'!$C$66:$D$70,2,FALSE)*(AK171/$AL$27)/12,0)*12,IF(C171="3112. Logements",ROUND(VLOOKUP(C171,'Informations générales'!$C$66:$D$70,2,FALSE)*(AK171/$AM$27)/12,0)*12,IF(C171="3113. Logements",ROUND(VLOOKUP(C171,'Informations générales'!$C$66:$D$70,2,FALSE)*(AK171/$AN$27)/12,0)*12,IF(C171="3114. Logements",ROUND(VLOOKUP(C171,'Informations générales'!$C$66:$D$70,2,FALSE)*(AK171/$AO$27)/12,0)*12,IF(C171="3115. Logements",ROUND(VLOOKUP(C171,'Informations générales'!$C$66:$D$70,2,FALSE)*(AK171/$AP$27)/12,0)*12,"")))))</f>
        <v/>
      </c>
      <c r="AC171" s="117"/>
      <c r="AD171" s="116">
        <f t="shared" si="43"/>
        <v>0</v>
      </c>
      <c r="AE171" s="117"/>
      <c r="AF171" s="116" t="str">
        <f>IF(C171="3111. Logements",ROUND(VLOOKUP(C171,'Informations générales'!$C$66:$G$70,5,FALSE)*(AK171/$AL$27)/12,0)*12,IF(C171="3112. Logements",ROUND(VLOOKUP(C171,'Informations générales'!$C$66:$G$70,5,FALSE)*(AK171/$AM$27)/12,0)*12,IF(C171="3113. Logements",ROUND(VLOOKUP(C171,'Informations générales'!$C$66:$G$70,5,FALSE)*(AK171/$AN$27)/12,0)*12,IF(C171="3114. Logements",ROUND(VLOOKUP(C171,'Informations générales'!$C$66:$G$70,5,FALSE)*(AK171/$AO$27)/12,0)*12,IF(C171="3115. Logements",ROUND(VLOOKUP(C171,'Informations générales'!$C$66:$G$70,5,FALSE)*(AK171/$AP$27)/12,0)*12,"")))))</f>
        <v/>
      </c>
      <c r="AG171" s="117"/>
      <c r="AH171" s="116" t="str">
        <f t="shared" si="44"/>
        <v/>
      </c>
      <c r="AI171" s="92"/>
      <c r="AJ171" s="78"/>
      <c r="AK171" s="60">
        <f t="shared" si="45"/>
        <v>0</v>
      </c>
      <c r="AL171" s="60"/>
      <c r="AM171" s="60"/>
      <c r="AN171" s="60"/>
      <c r="AO171" s="60"/>
      <c r="AP171" s="60"/>
      <c r="AQ171" s="60">
        <f t="shared" si="33"/>
        <v>0</v>
      </c>
      <c r="AR171" s="60">
        <f t="shared" si="34"/>
        <v>0</v>
      </c>
      <c r="AS171" s="60">
        <f t="shared" si="35"/>
        <v>0</v>
      </c>
      <c r="AT171" s="60">
        <f t="shared" si="36"/>
        <v>0</v>
      </c>
      <c r="AU171" s="60">
        <f t="shared" si="37"/>
        <v>0</v>
      </c>
      <c r="AV171" s="60">
        <f t="shared" si="38"/>
        <v>0</v>
      </c>
      <c r="AW171" s="60">
        <f t="shared" si="39"/>
        <v>0</v>
      </c>
      <c r="AX171" s="60">
        <f t="shared" si="46"/>
        <v>0</v>
      </c>
      <c r="AY171" s="64">
        <f t="shared" si="47"/>
        <v>0</v>
      </c>
      <c r="AZ171" s="65">
        <f t="shared" si="40"/>
        <v>0</v>
      </c>
      <c r="BA171" s="65">
        <f t="shared" si="41"/>
        <v>0</v>
      </c>
    </row>
    <row r="172" spans="3:53" s="17" customFormat="1" x14ac:dyDescent="0.25">
      <c r="C172" s="194"/>
      <c r="D172" s="195"/>
      <c r="E172" s="90"/>
      <c r="F172" s="198"/>
      <c r="G172" s="214"/>
      <c r="H172" s="199"/>
      <c r="I172" s="78"/>
      <c r="J172" s="79"/>
      <c r="K172" s="78"/>
      <c r="L172" s="80"/>
      <c r="M172" s="80"/>
      <c r="N172" s="78" t="s">
        <v>39</v>
      </c>
      <c r="O172" s="113"/>
      <c r="P172" s="155"/>
      <c r="Q172" s="114" t="str">
        <f>IFERROR(MIN(VLOOKUP(ROUNDDOWN(P172,0),'Aide calcul'!$B$2:$C$282,2,FALSE),O172+1),"")</f>
        <v/>
      </c>
      <c r="R172" s="115" t="str">
        <f t="shared" si="42"/>
        <v/>
      </c>
      <c r="S172" s="155"/>
      <c r="T172" s="155"/>
      <c r="U172" s="155"/>
      <c r="V172" s="155"/>
      <c r="W172" s="155"/>
      <c r="X172" s="155"/>
      <c r="Y172" s="155"/>
      <c r="Z172" s="78"/>
      <c r="AA172" s="78"/>
      <c r="AB172" s="116" t="str">
        <f>IF(C172="3111. Logements",ROUND(VLOOKUP(C172,'Informations générales'!$C$66:$D$70,2,FALSE)*(AK172/$AL$27)/12,0)*12,IF(C172="3112. Logements",ROUND(VLOOKUP(C172,'Informations générales'!$C$66:$D$70,2,FALSE)*(AK172/$AM$27)/12,0)*12,IF(C172="3113. Logements",ROUND(VLOOKUP(C172,'Informations générales'!$C$66:$D$70,2,FALSE)*(AK172/$AN$27)/12,0)*12,IF(C172="3114. Logements",ROUND(VLOOKUP(C172,'Informations générales'!$C$66:$D$70,2,FALSE)*(AK172/$AO$27)/12,0)*12,IF(C172="3115. Logements",ROUND(VLOOKUP(C172,'Informations générales'!$C$66:$D$70,2,FALSE)*(AK172/$AP$27)/12,0)*12,"")))))</f>
        <v/>
      </c>
      <c r="AC172" s="117"/>
      <c r="AD172" s="116">
        <f t="shared" si="43"/>
        <v>0</v>
      </c>
      <c r="AE172" s="117"/>
      <c r="AF172" s="116" t="str">
        <f>IF(C172="3111. Logements",ROUND(VLOOKUP(C172,'Informations générales'!$C$66:$G$70,5,FALSE)*(AK172/$AL$27)/12,0)*12,IF(C172="3112. Logements",ROUND(VLOOKUP(C172,'Informations générales'!$C$66:$G$70,5,FALSE)*(AK172/$AM$27)/12,0)*12,IF(C172="3113. Logements",ROUND(VLOOKUP(C172,'Informations générales'!$C$66:$G$70,5,FALSE)*(AK172/$AN$27)/12,0)*12,IF(C172="3114. Logements",ROUND(VLOOKUP(C172,'Informations générales'!$C$66:$G$70,5,FALSE)*(AK172/$AO$27)/12,0)*12,IF(C172="3115. Logements",ROUND(VLOOKUP(C172,'Informations générales'!$C$66:$G$70,5,FALSE)*(AK172/$AP$27)/12,0)*12,"")))))</f>
        <v/>
      </c>
      <c r="AG172" s="117"/>
      <c r="AH172" s="116" t="str">
        <f t="shared" si="44"/>
        <v/>
      </c>
      <c r="AI172" s="92"/>
      <c r="AJ172" s="78"/>
      <c r="AK172" s="60">
        <f t="shared" si="45"/>
        <v>0</v>
      </c>
      <c r="AL172" s="60"/>
      <c r="AM172" s="60"/>
      <c r="AN172" s="60"/>
      <c r="AO172" s="60"/>
      <c r="AP172" s="60"/>
      <c r="AQ172" s="60">
        <f t="shared" si="33"/>
        <v>0</v>
      </c>
      <c r="AR172" s="60">
        <f t="shared" si="34"/>
        <v>0</v>
      </c>
      <c r="AS172" s="60">
        <f t="shared" si="35"/>
        <v>0</v>
      </c>
      <c r="AT172" s="60">
        <f t="shared" si="36"/>
        <v>0</v>
      </c>
      <c r="AU172" s="60">
        <f t="shared" si="37"/>
        <v>0</v>
      </c>
      <c r="AV172" s="60">
        <f t="shared" si="38"/>
        <v>0</v>
      </c>
      <c r="AW172" s="60">
        <f t="shared" si="39"/>
        <v>0</v>
      </c>
      <c r="AX172" s="60">
        <f t="shared" si="46"/>
        <v>0</v>
      </c>
      <c r="AY172" s="64">
        <f t="shared" si="47"/>
        <v>0</v>
      </c>
      <c r="AZ172" s="65">
        <f t="shared" si="40"/>
        <v>0</v>
      </c>
      <c r="BA172" s="65">
        <f t="shared" si="41"/>
        <v>0</v>
      </c>
    </row>
    <row r="173" spans="3:53" s="17" customFormat="1" x14ac:dyDescent="0.25">
      <c r="C173" s="194"/>
      <c r="D173" s="195"/>
      <c r="E173" s="90"/>
      <c r="F173" s="198"/>
      <c r="G173" s="214"/>
      <c r="H173" s="199"/>
      <c r="I173" s="78"/>
      <c r="J173" s="79"/>
      <c r="K173" s="78"/>
      <c r="L173" s="80"/>
      <c r="M173" s="80"/>
      <c r="N173" s="78" t="s">
        <v>39</v>
      </c>
      <c r="O173" s="113"/>
      <c r="P173" s="155"/>
      <c r="Q173" s="114" t="str">
        <f>IFERROR(MIN(VLOOKUP(ROUNDDOWN(P173,0),'Aide calcul'!$B$2:$C$282,2,FALSE),O173+1),"")</f>
        <v/>
      </c>
      <c r="R173" s="115" t="str">
        <f t="shared" si="42"/>
        <v/>
      </c>
      <c r="S173" s="155"/>
      <c r="T173" s="155"/>
      <c r="U173" s="155"/>
      <c r="V173" s="155"/>
      <c r="W173" s="155"/>
      <c r="X173" s="155"/>
      <c r="Y173" s="155"/>
      <c r="Z173" s="78"/>
      <c r="AA173" s="78"/>
      <c r="AB173" s="116" t="str">
        <f>IF(C173="3111. Logements",ROUND(VLOOKUP(C173,'Informations générales'!$C$66:$D$70,2,FALSE)*(AK173/$AL$27)/12,0)*12,IF(C173="3112. Logements",ROUND(VLOOKUP(C173,'Informations générales'!$C$66:$D$70,2,FALSE)*(AK173/$AM$27)/12,0)*12,IF(C173="3113. Logements",ROUND(VLOOKUP(C173,'Informations générales'!$C$66:$D$70,2,FALSE)*(AK173/$AN$27)/12,0)*12,IF(C173="3114. Logements",ROUND(VLOOKUP(C173,'Informations générales'!$C$66:$D$70,2,FALSE)*(AK173/$AO$27)/12,0)*12,IF(C173="3115. Logements",ROUND(VLOOKUP(C173,'Informations générales'!$C$66:$D$70,2,FALSE)*(AK173/$AP$27)/12,0)*12,"")))))</f>
        <v/>
      </c>
      <c r="AC173" s="117"/>
      <c r="AD173" s="116">
        <f t="shared" si="43"/>
        <v>0</v>
      </c>
      <c r="AE173" s="117"/>
      <c r="AF173" s="116" t="str">
        <f>IF(C173="3111. Logements",ROUND(VLOOKUP(C173,'Informations générales'!$C$66:$G$70,5,FALSE)*(AK173/$AL$27)/12,0)*12,IF(C173="3112. Logements",ROUND(VLOOKUP(C173,'Informations générales'!$C$66:$G$70,5,FALSE)*(AK173/$AM$27)/12,0)*12,IF(C173="3113. Logements",ROUND(VLOOKUP(C173,'Informations générales'!$C$66:$G$70,5,FALSE)*(AK173/$AN$27)/12,0)*12,IF(C173="3114. Logements",ROUND(VLOOKUP(C173,'Informations générales'!$C$66:$G$70,5,FALSE)*(AK173/$AO$27)/12,0)*12,IF(C173="3115. Logements",ROUND(VLOOKUP(C173,'Informations générales'!$C$66:$G$70,5,FALSE)*(AK173/$AP$27)/12,0)*12,"")))))</f>
        <v/>
      </c>
      <c r="AG173" s="117"/>
      <c r="AH173" s="116" t="str">
        <f t="shared" si="44"/>
        <v/>
      </c>
      <c r="AI173" s="92"/>
      <c r="AJ173" s="78"/>
      <c r="AK173" s="60">
        <f t="shared" si="45"/>
        <v>0</v>
      </c>
      <c r="AL173" s="60"/>
      <c r="AM173" s="60"/>
      <c r="AN173" s="60"/>
      <c r="AO173" s="60"/>
      <c r="AP173" s="60"/>
      <c r="AQ173" s="60">
        <f t="shared" si="33"/>
        <v>0</v>
      </c>
      <c r="AR173" s="60">
        <f t="shared" si="34"/>
        <v>0</v>
      </c>
      <c r="AS173" s="60">
        <f t="shared" si="35"/>
        <v>0</v>
      </c>
      <c r="AT173" s="60">
        <f t="shared" si="36"/>
        <v>0</v>
      </c>
      <c r="AU173" s="60">
        <f t="shared" si="37"/>
        <v>0</v>
      </c>
      <c r="AV173" s="60">
        <f t="shared" si="38"/>
        <v>0</v>
      </c>
      <c r="AW173" s="60">
        <f t="shared" si="39"/>
        <v>0</v>
      </c>
      <c r="AX173" s="60">
        <f t="shared" si="46"/>
        <v>0</v>
      </c>
      <c r="AY173" s="64">
        <f t="shared" si="47"/>
        <v>0</v>
      </c>
      <c r="AZ173" s="65">
        <f t="shared" si="40"/>
        <v>0</v>
      </c>
      <c r="BA173" s="65">
        <f t="shared" si="41"/>
        <v>0</v>
      </c>
    </row>
    <row r="174" spans="3:53" s="17" customFormat="1" x14ac:dyDescent="0.25">
      <c r="C174" s="194"/>
      <c r="D174" s="195"/>
      <c r="E174" s="90"/>
      <c r="F174" s="198"/>
      <c r="G174" s="214"/>
      <c r="H174" s="199"/>
      <c r="I174" s="78"/>
      <c r="J174" s="79"/>
      <c r="K174" s="78"/>
      <c r="L174" s="80"/>
      <c r="M174" s="80"/>
      <c r="N174" s="78" t="s">
        <v>39</v>
      </c>
      <c r="O174" s="113"/>
      <c r="P174" s="155"/>
      <c r="Q174" s="114" t="str">
        <f>IFERROR(MIN(VLOOKUP(ROUNDDOWN(P174,0),'Aide calcul'!$B$2:$C$282,2,FALSE),O174+1),"")</f>
        <v/>
      </c>
      <c r="R174" s="115" t="str">
        <f t="shared" si="42"/>
        <v/>
      </c>
      <c r="S174" s="155"/>
      <c r="T174" s="155"/>
      <c r="U174" s="155"/>
      <c r="V174" s="155"/>
      <c r="W174" s="155"/>
      <c r="X174" s="155"/>
      <c r="Y174" s="155"/>
      <c r="Z174" s="78"/>
      <c r="AA174" s="78"/>
      <c r="AB174" s="116" t="str">
        <f>IF(C174="3111. Logements",ROUND(VLOOKUP(C174,'Informations générales'!$C$66:$D$70,2,FALSE)*(AK174/$AL$27)/12,0)*12,IF(C174="3112. Logements",ROUND(VLOOKUP(C174,'Informations générales'!$C$66:$D$70,2,FALSE)*(AK174/$AM$27)/12,0)*12,IF(C174="3113. Logements",ROUND(VLOOKUP(C174,'Informations générales'!$C$66:$D$70,2,FALSE)*(AK174/$AN$27)/12,0)*12,IF(C174="3114. Logements",ROUND(VLOOKUP(C174,'Informations générales'!$C$66:$D$70,2,FALSE)*(AK174/$AO$27)/12,0)*12,IF(C174="3115. Logements",ROUND(VLOOKUP(C174,'Informations générales'!$C$66:$D$70,2,FALSE)*(AK174/$AP$27)/12,0)*12,"")))))</f>
        <v/>
      </c>
      <c r="AC174" s="117"/>
      <c r="AD174" s="116">
        <f t="shared" si="43"/>
        <v>0</v>
      </c>
      <c r="AE174" s="117"/>
      <c r="AF174" s="116" t="str">
        <f>IF(C174="3111. Logements",ROUND(VLOOKUP(C174,'Informations générales'!$C$66:$G$70,5,FALSE)*(AK174/$AL$27)/12,0)*12,IF(C174="3112. Logements",ROUND(VLOOKUP(C174,'Informations générales'!$C$66:$G$70,5,FALSE)*(AK174/$AM$27)/12,0)*12,IF(C174="3113. Logements",ROUND(VLOOKUP(C174,'Informations générales'!$C$66:$G$70,5,FALSE)*(AK174/$AN$27)/12,0)*12,IF(C174="3114. Logements",ROUND(VLOOKUP(C174,'Informations générales'!$C$66:$G$70,5,FALSE)*(AK174/$AO$27)/12,0)*12,IF(C174="3115. Logements",ROUND(VLOOKUP(C174,'Informations générales'!$C$66:$G$70,5,FALSE)*(AK174/$AP$27)/12,0)*12,"")))))</f>
        <v/>
      </c>
      <c r="AG174" s="117"/>
      <c r="AH174" s="116" t="str">
        <f t="shared" si="44"/>
        <v/>
      </c>
      <c r="AI174" s="92"/>
      <c r="AJ174" s="78"/>
      <c r="AK174" s="60">
        <f t="shared" si="45"/>
        <v>0</v>
      </c>
      <c r="AL174" s="60"/>
      <c r="AM174" s="60"/>
      <c r="AN174" s="60"/>
      <c r="AO174" s="60"/>
      <c r="AP174" s="60"/>
      <c r="AQ174" s="60">
        <f t="shared" si="33"/>
        <v>0</v>
      </c>
      <c r="AR174" s="60">
        <f t="shared" si="34"/>
        <v>0</v>
      </c>
      <c r="AS174" s="60">
        <f t="shared" si="35"/>
        <v>0</v>
      </c>
      <c r="AT174" s="60">
        <f t="shared" si="36"/>
        <v>0</v>
      </c>
      <c r="AU174" s="60">
        <f t="shared" si="37"/>
        <v>0</v>
      </c>
      <c r="AV174" s="60">
        <f t="shared" si="38"/>
        <v>0</v>
      </c>
      <c r="AW174" s="60">
        <f t="shared" si="39"/>
        <v>0</v>
      </c>
      <c r="AX174" s="60">
        <f t="shared" si="46"/>
        <v>0</v>
      </c>
      <c r="AY174" s="64">
        <f t="shared" si="47"/>
        <v>0</v>
      </c>
      <c r="AZ174" s="65">
        <f t="shared" si="40"/>
        <v>0</v>
      </c>
      <c r="BA174" s="65">
        <f t="shared" si="41"/>
        <v>0</v>
      </c>
    </row>
    <row r="175" spans="3:53" s="17" customFormat="1" x14ac:dyDescent="0.25">
      <c r="C175" s="194"/>
      <c r="D175" s="195"/>
      <c r="E175" s="90"/>
      <c r="F175" s="198"/>
      <c r="G175" s="214"/>
      <c r="H175" s="199"/>
      <c r="I175" s="78"/>
      <c r="J175" s="79"/>
      <c r="K175" s="78"/>
      <c r="L175" s="80"/>
      <c r="M175" s="80"/>
      <c r="N175" s="78" t="s">
        <v>39</v>
      </c>
      <c r="O175" s="113"/>
      <c r="P175" s="155"/>
      <c r="Q175" s="114" t="str">
        <f>IFERROR(MIN(VLOOKUP(ROUNDDOWN(P175,0),'Aide calcul'!$B$2:$C$282,2,FALSE),O175+1),"")</f>
        <v/>
      </c>
      <c r="R175" s="115" t="str">
        <f t="shared" si="42"/>
        <v/>
      </c>
      <c r="S175" s="155"/>
      <c r="T175" s="155"/>
      <c r="U175" s="155"/>
      <c r="V175" s="155"/>
      <c r="W175" s="155"/>
      <c r="X175" s="155"/>
      <c r="Y175" s="155"/>
      <c r="Z175" s="78"/>
      <c r="AA175" s="78"/>
      <c r="AB175" s="116" t="str">
        <f>IF(C175="3111. Logements",ROUND(VLOOKUP(C175,'Informations générales'!$C$66:$D$70,2,FALSE)*(AK175/$AL$27)/12,0)*12,IF(C175="3112. Logements",ROUND(VLOOKUP(C175,'Informations générales'!$C$66:$D$70,2,FALSE)*(AK175/$AM$27)/12,0)*12,IF(C175="3113. Logements",ROUND(VLOOKUP(C175,'Informations générales'!$C$66:$D$70,2,FALSE)*(AK175/$AN$27)/12,0)*12,IF(C175="3114. Logements",ROUND(VLOOKUP(C175,'Informations générales'!$C$66:$D$70,2,FALSE)*(AK175/$AO$27)/12,0)*12,IF(C175="3115. Logements",ROUND(VLOOKUP(C175,'Informations générales'!$C$66:$D$70,2,FALSE)*(AK175/$AP$27)/12,0)*12,"")))))</f>
        <v/>
      </c>
      <c r="AC175" s="117"/>
      <c r="AD175" s="116">
        <f t="shared" si="43"/>
        <v>0</v>
      </c>
      <c r="AE175" s="117"/>
      <c r="AF175" s="116" t="str">
        <f>IF(C175="3111. Logements",ROUND(VLOOKUP(C175,'Informations générales'!$C$66:$G$70,5,FALSE)*(AK175/$AL$27)/12,0)*12,IF(C175="3112. Logements",ROUND(VLOOKUP(C175,'Informations générales'!$C$66:$G$70,5,FALSE)*(AK175/$AM$27)/12,0)*12,IF(C175="3113. Logements",ROUND(VLOOKUP(C175,'Informations générales'!$C$66:$G$70,5,FALSE)*(AK175/$AN$27)/12,0)*12,IF(C175="3114. Logements",ROUND(VLOOKUP(C175,'Informations générales'!$C$66:$G$70,5,FALSE)*(AK175/$AO$27)/12,0)*12,IF(C175="3115. Logements",ROUND(VLOOKUP(C175,'Informations générales'!$C$66:$G$70,5,FALSE)*(AK175/$AP$27)/12,0)*12,"")))))</f>
        <v/>
      </c>
      <c r="AG175" s="117"/>
      <c r="AH175" s="116" t="str">
        <f t="shared" si="44"/>
        <v/>
      </c>
      <c r="AI175" s="92"/>
      <c r="AJ175" s="78"/>
      <c r="AK175" s="60">
        <f t="shared" si="45"/>
        <v>0</v>
      </c>
      <c r="AL175" s="60"/>
      <c r="AM175" s="60"/>
      <c r="AN175" s="60"/>
      <c r="AO175" s="60"/>
      <c r="AP175" s="60"/>
      <c r="AQ175" s="60">
        <f t="shared" si="33"/>
        <v>0</v>
      </c>
      <c r="AR175" s="60">
        <f t="shared" si="34"/>
        <v>0</v>
      </c>
      <c r="AS175" s="60">
        <f t="shared" si="35"/>
        <v>0</v>
      </c>
      <c r="AT175" s="60">
        <f t="shared" si="36"/>
        <v>0</v>
      </c>
      <c r="AU175" s="60">
        <f t="shared" si="37"/>
        <v>0</v>
      </c>
      <c r="AV175" s="60">
        <f t="shared" si="38"/>
        <v>0</v>
      </c>
      <c r="AW175" s="60">
        <f t="shared" si="39"/>
        <v>0</v>
      </c>
      <c r="AX175" s="60">
        <f t="shared" si="46"/>
        <v>0</v>
      </c>
      <c r="AY175" s="64">
        <f t="shared" si="47"/>
        <v>0</v>
      </c>
      <c r="AZ175" s="65">
        <f t="shared" si="40"/>
        <v>0</v>
      </c>
      <c r="BA175" s="65">
        <f t="shared" si="41"/>
        <v>0</v>
      </c>
    </row>
    <row r="176" spans="3:53" s="17" customFormat="1" x14ac:dyDescent="0.25">
      <c r="C176" s="194"/>
      <c r="D176" s="195"/>
      <c r="E176" s="90"/>
      <c r="F176" s="198"/>
      <c r="G176" s="214"/>
      <c r="H176" s="199"/>
      <c r="I176" s="78"/>
      <c r="J176" s="79"/>
      <c r="K176" s="78"/>
      <c r="L176" s="80"/>
      <c r="M176" s="80"/>
      <c r="N176" s="78" t="s">
        <v>39</v>
      </c>
      <c r="O176" s="113"/>
      <c r="P176" s="155"/>
      <c r="Q176" s="114" t="str">
        <f>IFERROR(MIN(VLOOKUP(ROUNDDOWN(P176,0),'Aide calcul'!$B$2:$C$282,2,FALSE),O176+1),"")</f>
        <v/>
      </c>
      <c r="R176" s="115" t="str">
        <f t="shared" si="42"/>
        <v/>
      </c>
      <c r="S176" s="155"/>
      <c r="T176" s="155"/>
      <c r="U176" s="155"/>
      <c r="V176" s="155"/>
      <c r="W176" s="155"/>
      <c r="X176" s="155"/>
      <c r="Y176" s="155"/>
      <c r="Z176" s="78"/>
      <c r="AA176" s="78"/>
      <c r="AB176" s="116" t="str">
        <f>IF(C176="3111. Logements",ROUND(VLOOKUP(C176,'Informations générales'!$C$66:$D$70,2,FALSE)*(AK176/$AL$27)/12,0)*12,IF(C176="3112. Logements",ROUND(VLOOKUP(C176,'Informations générales'!$C$66:$D$70,2,FALSE)*(AK176/$AM$27)/12,0)*12,IF(C176="3113. Logements",ROUND(VLOOKUP(C176,'Informations générales'!$C$66:$D$70,2,FALSE)*(AK176/$AN$27)/12,0)*12,IF(C176="3114. Logements",ROUND(VLOOKUP(C176,'Informations générales'!$C$66:$D$70,2,FALSE)*(AK176/$AO$27)/12,0)*12,IF(C176="3115. Logements",ROUND(VLOOKUP(C176,'Informations générales'!$C$66:$D$70,2,FALSE)*(AK176/$AP$27)/12,0)*12,"")))))</f>
        <v/>
      </c>
      <c r="AC176" s="117"/>
      <c r="AD176" s="116">
        <f t="shared" si="43"/>
        <v>0</v>
      </c>
      <c r="AE176" s="117"/>
      <c r="AF176" s="116" t="str">
        <f>IF(C176="3111. Logements",ROUND(VLOOKUP(C176,'Informations générales'!$C$66:$G$70,5,FALSE)*(AK176/$AL$27)/12,0)*12,IF(C176="3112. Logements",ROUND(VLOOKUP(C176,'Informations générales'!$C$66:$G$70,5,FALSE)*(AK176/$AM$27)/12,0)*12,IF(C176="3113. Logements",ROUND(VLOOKUP(C176,'Informations générales'!$C$66:$G$70,5,FALSE)*(AK176/$AN$27)/12,0)*12,IF(C176="3114. Logements",ROUND(VLOOKUP(C176,'Informations générales'!$C$66:$G$70,5,FALSE)*(AK176/$AO$27)/12,0)*12,IF(C176="3115. Logements",ROUND(VLOOKUP(C176,'Informations générales'!$C$66:$G$70,5,FALSE)*(AK176/$AP$27)/12,0)*12,"")))))</f>
        <v/>
      </c>
      <c r="AG176" s="117"/>
      <c r="AH176" s="116" t="str">
        <f t="shared" si="44"/>
        <v/>
      </c>
      <c r="AI176" s="92"/>
      <c r="AJ176" s="78"/>
      <c r="AK176" s="60">
        <f t="shared" si="45"/>
        <v>0</v>
      </c>
      <c r="AL176" s="60"/>
      <c r="AM176" s="60"/>
      <c r="AN176" s="60"/>
      <c r="AO176" s="60"/>
      <c r="AP176" s="60"/>
      <c r="AQ176" s="60">
        <f t="shared" si="33"/>
        <v>0</v>
      </c>
      <c r="AR176" s="60">
        <f t="shared" si="34"/>
        <v>0</v>
      </c>
      <c r="AS176" s="60">
        <f t="shared" si="35"/>
        <v>0</v>
      </c>
      <c r="AT176" s="60">
        <f t="shared" si="36"/>
        <v>0</v>
      </c>
      <c r="AU176" s="60">
        <f t="shared" si="37"/>
        <v>0</v>
      </c>
      <c r="AV176" s="60">
        <f t="shared" si="38"/>
        <v>0</v>
      </c>
      <c r="AW176" s="60">
        <f t="shared" si="39"/>
        <v>0</v>
      </c>
      <c r="AX176" s="60">
        <f t="shared" si="46"/>
        <v>0</v>
      </c>
      <c r="AY176" s="64">
        <f t="shared" si="47"/>
        <v>0</v>
      </c>
      <c r="AZ176" s="65">
        <f t="shared" si="40"/>
        <v>0</v>
      </c>
      <c r="BA176" s="65">
        <f t="shared" si="41"/>
        <v>0</v>
      </c>
    </row>
    <row r="177" spans="3:53" s="17" customFormat="1" x14ac:dyDescent="0.25">
      <c r="C177" s="194"/>
      <c r="D177" s="195"/>
      <c r="E177" s="90"/>
      <c r="F177" s="198"/>
      <c r="G177" s="214"/>
      <c r="H177" s="199"/>
      <c r="I177" s="78"/>
      <c r="J177" s="79"/>
      <c r="K177" s="78"/>
      <c r="L177" s="80"/>
      <c r="M177" s="80"/>
      <c r="N177" s="78" t="s">
        <v>39</v>
      </c>
      <c r="O177" s="113"/>
      <c r="P177" s="155"/>
      <c r="Q177" s="114" t="str">
        <f>IFERROR(MIN(VLOOKUP(ROUNDDOWN(P177,0),'Aide calcul'!$B$2:$C$282,2,FALSE),O177+1),"")</f>
        <v/>
      </c>
      <c r="R177" s="115" t="str">
        <f t="shared" si="42"/>
        <v/>
      </c>
      <c r="S177" s="155"/>
      <c r="T177" s="155"/>
      <c r="U177" s="155"/>
      <c r="V177" s="155"/>
      <c r="W177" s="155"/>
      <c r="X177" s="155"/>
      <c r="Y177" s="155"/>
      <c r="Z177" s="78"/>
      <c r="AA177" s="78"/>
      <c r="AB177" s="116" t="str">
        <f>IF(C177="3111. Logements",ROUND(VLOOKUP(C177,'Informations générales'!$C$66:$D$70,2,FALSE)*(AK177/$AL$27)/12,0)*12,IF(C177="3112. Logements",ROUND(VLOOKUP(C177,'Informations générales'!$C$66:$D$70,2,FALSE)*(AK177/$AM$27)/12,0)*12,IF(C177="3113. Logements",ROUND(VLOOKUP(C177,'Informations générales'!$C$66:$D$70,2,FALSE)*(AK177/$AN$27)/12,0)*12,IF(C177="3114. Logements",ROUND(VLOOKUP(C177,'Informations générales'!$C$66:$D$70,2,FALSE)*(AK177/$AO$27)/12,0)*12,IF(C177="3115. Logements",ROUND(VLOOKUP(C177,'Informations générales'!$C$66:$D$70,2,FALSE)*(AK177/$AP$27)/12,0)*12,"")))))</f>
        <v/>
      </c>
      <c r="AC177" s="117"/>
      <c r="AD177" s="116">
        <f t="shared" si="43"/>
        <v>0</v>
      </c>
      <c r="AE177" s="117"/>
      <c r="AF177" s="116" t="str">
        <f>IF(C177="3111. Logements",ROUND(VLOOKUP(C177,'Informations générales'!$C$66:$G$70,5,FALSE)*(AK177/$AL$27)/12,0)*12,IF(C177="3112. Logements",ROUND(VLOOKUP(C177,'Informations générales'!$C$66:$G$70,5,FALSE)*(AK177/$AM$27)/12,0)*12,IF(C177="3113. Logements",ROUND(VLOOKUP(C177,'Informations générales'!$C$66:$G$70,5,FALSE)*(AK177/$AN$27)/12,0)*12,IF(C177="3114. Logements",ROUND(VLOOKUP(C177,'Informations générales'!$C$66:$G$70,5,FALSE)*(AK177/$AO$27)/12,0)*12,IF(C177="3115. Logements",ROUND(VLOOKUP(C177,'Informations générales'!$C$66:$G$70,5,FALSE)*(AK177/$AP$27)/12,0)*12,"")))))</f>
        <v/>
      </c>
      <c r="AG177" s="117"/>
      <c r="AH177" s="116" t="str">
        <f t="shared" si="44"/>
        <v/>
      </c>
      <c r="AI177" s="92"/>
      <c r="AJ177" s="78"/>
      <c r="AK177" s="60">
        <f t="shared" si="45"/>
        <v>0</v>
      </c>
      <c r="AL177" s="60"/>
      <c r="AM177" s="60"/>
      <c r="AN177" s="60"/>
      <c r="AO177" s="60"/>
      <c r="AP177" s="60"/>
      <c r="AQ177" s="60">
        <f t="shared" si="33"/>
        <v>0</v>
      </c>
      <c r="AR177" s="60">
        <f t="shared" si="34"/>
        <v>0</v>
      </c>
      <c r="AS177" s="60">
        <f t="shared" si="35"/>
        <v>0</v>
      </c>
      <c r="AT177" s="60">
        <f t="shared" si="36"/>
        <v>0</v>
      </c>
      <c r="AU177" s="60">
        <f t="shared" si="37"/>
        <v>0</v>
      </c>
      <c r="AV177" s="60">
        <f t="shared" si="38"/>
        <v>0</v>
      </c>
      <c r="AW177" s="60">
        <f t="shared" si="39"/>
        <v>0</v>
      </c>
      <c r="AX177" s="60">
        <f t="shared" si="46"/>
        <v>0</v>
      </c>
      <c r="AY177" s="64">
        <f t="shared" si="47"/>
        <v>0</v>
      </c>
      <c r="AZ177" s="65">
        <f t="shared" si="40"/>
        <v>0</v>
      </c>
      <c r="BA177" s="65">
        <f t="shared" si="41"/>
        <v>0</v>
      </c>
    </row>
    <row r="178" spans="3:53" s="17" customFormat="1" x14ac:dyDescent="0.25">
      <c r="C178" s="194"/>
      <c r="D178" s="195"/>
      <c r="E178" s="90"/>
      <c r="F178" s="198"/>
      <c r="G178" s="214"/>
      <c r="H178" s="199"/>
      <c r="I178" s="78"/>
      <c r="J178" s="79"/>
      <c r="K178" s="78"/>
      <c r="L178" s="80"/>
      <c r="M178" s="80"/>
      <c r="N178" s="78" t="s">
        <v>39</v>
      </c>
      <c r="O178" s="113"/>
      <c r="P178" s="155"/>
      <c r="Q178" s="114" t="str">
        <f>IFERROR(MIN(VLOOKUP(ROUNDDOWN(P178,0),'Aide calcul'!$B$2:$C$282,2,FALSE),O178+1),"")</f>
        <v/>
      </c>
      <c r="R178" s="115" t="str">
        <f t="shared" si="42"/>
        <v/>
      </c>
      <c r="S178" s="155"/>
      <c r="T178" s="155"/>
      <c r="U178" s="155"/>
      <c r="V178" s="155"/>
      <c r="W178" s="155"/>
      <c r="X178" s="155"/>
      <c r="Y178" s="155"/>
      <c r="Z178" s="78"/>
      <c r="AA178" s="78"/>
      <c r="AB178" s="116" t="str">
        <f>IF(C178="3111. Logements",ROUND(VLOOKUP(C178,'Informations générales'!$C$66:$D$70,2,FALSE)*(AK178/$AL$27)/12,0)*12,IF(C178="3112. Logements",ROUND(VLOOKUP(C178,'Informations générales'!$C$66:$D$70,2,FALSE)*(AK178/$AM$27)/12,0)*12,IF(C178="3113. Logements",ROUND(VLOOKUP(C178,'Informations générales'!$C$66:$D$70,2,FALSE)*(AK178/$AN$27)/12,0)*12,IF(C178="3114. Logements",ROUND(VLOOKUP(C178,'Informations générales'!$C$66:$D$70,2,FALSE)*(AK178/$AO$27)/12,0)*12,IF(C178="3115. Logements",ROUND(VLOOKUP(C178,'Informations générales'!$C$66:$D$70,2,FALSE)*(AK178/$AP$27)/12,0)*12,"")))))</f>
        <v/>
      </c>
      <c r="AC178" s="117"/>
      <c r="AD178" s="116">
        <f t="shared" si="43"/>
        <v>0</v>
      </c>
      <c r="AE178" s="117"/>
      <c r="AF178" s="116" t="str">
        <f>IF(C178="3111. Logements",ROUND(VLOOKUP(C178,'Informations générales'!$C$66:$G$70,5,FALSE)*(AK178/$AL$27)/12,0)*12,IF(C178="3112. Logements",ROUND(VLOOKUP(C178,'Informations générales'!$C$66:$G$70,5,FALSE)*(AK178/$AM$27)/12,0)*12,IF(C178="3113. Logements",ROUND(VLOOKUP(C178,'Informations générales'!$C$66:$G$70,5,FALSE)*(AK178/$AN$27)/12,0)*12,IF(C178="3114. Logements",ROUND(VLOOKUP(C178,'Informations générales'!$C$66:$G$70,5,FALSE)*(AK178/$AO$27)/12,0)*12,IF(C178="3115. Logements",ROUND(VLOOKUP(C178,'Informations générales'!$C$66:$G$70,5,FALSE)*(AK178/$AP$27)/12,0)*12,"")))))</f>
        <v/>
      </c>
      <c r="AG178" s="117"/>
      <c r="AH178" s="116" t="str">
        <f t="shared" si="44"/>
        <v/>
      </c>
      <c r="AI178" s="92"/>
      <c r="AJ178" s="78"/>
      <c r="AK178" s="60">
        <f t="shared" si="45"/>
        <v>0</v>
      </c>
      <c r="AL178" s="60"/>
      <c r="AM178" s="60"/>
      <c r="AN178" s="60"/>
      <c r="AO178" s="60"/>
      <c r="AP178" s="60"/>
      <c r="AQ178" s="60">
        <f t="shared" si="33"/>
        <v>0</v>
      </c>
      <c r="AR178" s="60">
        <f t="shared" si="34"/>
        <v>0</v>
      </c>
      <c r="AS178" s="60">
        <f t="shared" si="35"/>
        <v>0</v>
      </c>
      <c r="AT178" s="60">
        <f t="shared" si="36"/>
        <v>0</v>
      </c>
      <c r="AU178" s="60">
        <f t="shared" si="37"/>
        <v>0</v>
      </c>
      <c r="AV178" s="60">
        <f t="shared" si="38"/>
        <v>0</v>
      </c>
      <c r="AW178" s="60">
        <f t="shared" si="39"/>
        <v>0</v>
      </c>
      <c r="AX178" s="60">
        <f t="shared" si="46"/>
        <v>0</v>
      </c>
      <c r="AY178" s="64">
        <f t="shared" si="47"/>
        <v>0</v>
      </c>
      <c r="AZ178" s="65">
        <f t="shared" si="40"/>
        <v>0</v>
      </c>
      <c r="BA178" s="65">
        <f t="shared" si="41"/>
        <v>0</v>
      </c>
    </row>
    <row r="179" spans="3:53" s="17" customFormat="1" x14ac:dyDescent="0.25">
      <c r="C179" s="194"/>
      <c r="D179" s="195"/>
      <c r="E179" s="90"/>
      <c r="F179" s="198"/>
      <c r="G179" s="214"/>
      <c r="H179" s="199"/>
      <c r="I179" s="78"/>
      <c r="J179" s="79"/>
      <c r="K179" s="78"/>
      <c r="L179" s="80"/>
      <c r="M179" s="80"/>
      <c r="N179" s="78" t="s">
        <v>39</v>
      </c>
      <c r="O179" s="113"/>
      <c r="P179" s="155"/>
      <c r="Q179" s="114" t="str">
        <f>IFERROR(MIN(VLOOKUP(ROUNDDOWN(P179,0),'Aide calcul'!$B$2:$C$282,2,FALSE),O179+1),"")</f>
        <v/>
      </c>
      <c r="R179" s="115" t="str">
        <f t="shared" si="42"/>
        <v/>
      </c>
      <c r="S179" s="155"/>
      <c r="T179" s="155"/>
      <c r="U179" s="155"/>
      <c r="V179" s="155"/>
      <c r="W179" s="155"/>
      <c r="X179" s="155"/>
      <c r="Y179" s="155"/>
      <c r="Z179" s="78"/>
      <c r="AA179" s="78"/>
      <c r="AB179" s="116" t="str">
        <f>IF(C179="3111. Logements",ROUND(VLOOKUP(C179,'Informations générales'!$C$66:$D$70,2,FALSE)*(AK179/$AL$27)/12,0)*12,IF(C179="3112. Logements",ROUND(VLOOKUP(C179,'Informations générales'!$C$66:$D$70,2,FALSE)*(AK179/$AM$27)/12,0)*12,IF(C179="3113. Logements",ROUND(VLOOKUP(C179,'Informations générales'!$C$66:$D$70,2,FALSE)*(AK179/$AN$27)/12,0)*12,IF(C179="3114. Logements",ROUND(VLOOKUP(C179,'Informations générales'!$C$66:$D$70,2,FALSE)*(AK179/$AO$27)/12,0)*12,IF(C179="3115. Logements",ROUND(VLOOKUP(C179,'Informations générales'!$C$66:$D$70,2,FALSE)*(AK179/$AP$27)/12,0)*12,"")))))</f>
        <v/>
      </c>
      <c r="AC179" s="117"/>
      <c r="AD179" s="116">
        <f t="shared" si="43"/>
        <v>0</v>
      </c>
      <c r="AE179" s="117"/>
      <c r="AF179" s="116" t="str">
        <f>IF(C179="3111. Logements",ROUND(VLOOKUP(C179,'Informations générales'!$C$66:$G$70,5,FALSE)*(AK179/$AL$27)/12,0)*12,IF(C179="3112. Logements",ROUND(VLOOKUP(C179,'Informations générales'!$C$66:$G$70,5,FALSE)*(AK179/$AM$27)/12,0)*12,IF(C179="3113. Logements",ROUND(VLOOKUP(C179,'Informations générales'!$C$66:$G$70,5,FALSE)*(AK179/$AN$27)/12,0)*12,IF(C179="3114. Logements",ROUND(VLOOKUP(C179,'Informations générales'!$C$66:$G$70,5,FALSE)*(AK179/$AO$27)/12,0)*12,IF(C179="3115. Logements",ROUND(VLOOKUP(C179,'Informations générales'!$C$66:$G$70,5,FALSE)*(AK179/$AP$27)/12,0)*12,"")))))</f>
        <v/>
      </c>
      <c r="AG179" s="117"/>
      <c r="AH179" s="116" t="str">
        <f t="shared" si="44"/>
        <v/>
      </c>
      <c r="AI179" s="92"/>
      <c r="AJ179" s="78"/>
      <c r="AK179" s="60">
        <f t="shared" si="45"/>
        <v>0</v>
      </c>
      <c r="AL179" s="60"/>
      <c r="AM179" s="60"/>
      <c r="AN179" s="60"/>
      <c r="AO179" s="60"/>
      <c r="AP179" s="60"/>
      <c r="AQ179" s="60">
        <f t="shared" si="33"/>
        <v>0</v>
      </c>
      <c r="AR179" s="60">
        <f t="shared" si="34"/>
        <v>0</v>
      </c>
      <c r="AS179" s="60">
        <f t="shared" si="35"/>
        <v>0</v>
      </c>
      <c r="AT179" s="60">
        <f t="shared" si="36"/>
        <v>0</v>
      </c>
      <c r="AU179" s="60">
        <f t="shared" si="37"/>
        <v>0</v>
      </c>
      <c r="AV179" s="60">
        <f t="shared" si="38"/>
        <v>0</v>
      </c>
      <c r="AW179" s="60">
        <f t="shared" si="39"/>
        <v>0</v>
      </c>
      <c r="AX179" s="60">
        <f t="shared" si="46"/>
        <v>0</v>
      </c>
      <c r="AY179" s="64">
        <f t="shared" si="47"/>
        <v>0</v>
      </c>
      <c r="AZ179" s="65">
        <f t="shared" si="40"/>
        <v>0</v>
      </c>
      <c r="BA179" s="65">
        <f t="shared" si="41"/>
        <v>0</v>
      </c>
    </row>
    <row r="180" spans="3:53" s="17" customFormat="1" x14ac:dyDescent="0.25">
      <c r="C180" s="194"/>
      <c r="D180" s="195"/>
      <c r="E180" s="90"/>
      <c r="F180" s="198"/>
      <c r="G180" s="214"/>
      <c r="H180" s="199"/>
      <c r="I180" s="78"/>
      <c r="J180" s="79"/>
      <c r="K180" s="78"/>
      <c r="L180" s="80"/>
      <c r="M180" s="80"/>
      <c r="N180" s="78" t="s">
        <v>39</v>
      </c>
      <c r="O180" s="113"/>
      <c r="P180" s="155"/>
      <c r="Q180" s="114" t="str">
        <f>IFERROR(MIN(VLOOKUP(ROUNDDOWN(P180,0),'Aide calcul'!$B$2:$C$282,2,FALSE),O180+1),"")</f>
        <v/>
      </c>
      <c r="R180" s="115" t="str">
        <f t="shared" si="42"/>
        <v/>
      </c>
      <c r="S180" s="155"/>
      <c r="T180" s="155"/>
      <c r="U180" s="155"/>
      <c r="V180" s="155"/>
      <c r="W180" s="155"/>
      <c r="X180" s="155"/>
      <c r="Y180" s="155"/>
      <c r="Z180" s="78"/>
      <c r="AA180" s="78"/>
      <c r="AB180" s="116" t="str">
        <f>IF(C180="3111. Logements",ROUND(VLOOKUP(C180,'Informations générales'!$C$66:$D$70,2,FALSE)*(AK180/$AL$27)/12,0)*12,IF(C180="3112. Logements",ROUND(VLOOKUP(C180,'Informations générales'!$C$66:$D$70,2,FALSE)*(AK180/$AM$27)/12,0)*12,IF(C180="3113. Logements",ROUND(VLOOKUP(C180,'Informations générales'!$C$66:$D$70,2,FALSE)*(AK180/$AN$27)/12,0)*12,IF(C180="3114. Logements",ROUND(VLOOKUP(C180,'Informations générales'!$C$66:$D$70,2,FALSE)*(AK180/$AO$27)/12,0)*12,IF(C180="3115. Logements",ROUND(VLOOKUP(C180,'Informations générales'!$C$66:$D$70,2,FALSE)*(AK180/$AP$27)/12,0)*12,"")))))</f>
        <v/>
      </c>
      <c r="AC180" s="117"/>
      <c r="AD180" s="116">
        <f t="shared" si="43"/>
        <v>0</v>
      </c>
      <c r="AE180" s="117"/>
      <c r="AF180" s="116" t="str">
        <f>IF(C180="3111. Logements",ROUND(VLOOKUP(C180,'Informations générales'!$C$66:$G$70,5,FALSE)*(AK180/$AL$27)/12,0)*12,IF(C180="3112. Logements",ROUND(VLOOKUP(C180,'Informations générales'!$C$66:$G$70,5,FALSE)*(AK180/$AM$27)/12,0)*12,IF(C180="3113. Logements",ROUND(VLOOKUP(C180,'Informations générales'!$C$66:$G$70,5,FALSE)*(AK180/$AN$27)/12,0)*12,IF(C180="3114. Logements",ROUND(VLOOKUP(C180,'Informations générales'!$C$66:$G$70,5,FALSE)*(AK180/$AO$27)/12,0)*12,IF(C180="3115. Logements",ROUND(VLOOKUP(C180,'Informations générales'!$C$66:$G$70,5,FALSE)*(AK180/$AP$27)/12,0)*12,"")))))</f>
        <v/>
      </c>
      <c r="AG180" s="117"/>
      <c r="AH180" s="116" t="str">
        <f t="shared" si="44"/>
        <v/>
      </c>
      <c r="AI180" s="92"/>
      <c r="AJ180" s="78"/>
      <c r="AK180" s="60">
        <f t="shared" si="45"/>
        <v>0</v>
      </c>
      <c r="AL180" s="60"/>
      <c r="AM180" s="60"/>
      <c r="AN180" s="60"/>
      <c r="AO180" s="60"/>
      <c r="AP180" s="60"/>
      <c r="AQ180" s="60">
        <f t="shared" si="33"/>
        <v>0</v>
      </c>
      <c r="AR180" s="60">
        <f t="shared" si="34"/>
        <v>0</v>
      </c>
      <c r="AS180" s="60">
        <f t="shared" si="35"/>
        <v>0</v>
      </c>
      <c r="AT180" s="60">
        <f t="shared" si="36"/>
        <v>0</v>
      </c>
      <c r="AU180" s="60">
        <f t="shared" si="37"/>
        <v>0</v>
      </c>
      <c r="AV180" s="60">
        <f t="shared" si="38"/>
        <v>0</v>
      </c>
      <c r="AW180" s="60">
        <f t="shared" si="39"/>
        <v>0</v>
      </c>
      <c r="AX180" s="60">
        <f t="shared" si="46"/>
        <v>0</v>
      </c>
      <c r="AY180" s="64">
        <f t="shared" si="47"/>
        <v>0</v>
      </c>
      <c r="AZ180" s="65">
        <f t="shared" si="40"/>
        <v>0</v>
      </c>
      <c r="BA180" s="65">
        <f t="shared" si="41"/>
        <v>0</v>
      </c>
    </row>
    <row r="181" spans="3:53" s="17" customFormat="1" x14ac:dyDescent="0.25">
      <c r="C181" s="194"/>
      <c r="D181" s="195"/>
      <c r="E181" s="90"/>
      <c r="F181" s="198"/>
      <c r="G181" s="214"/>
      <c r="H181" s="199"/>
      <c r="I181" s="78"/>
      <c r="J181" s="79"/>
      <c r="K181" s="78"/>
      <c r="L181" s="80"/>
      <c r="M181" s="80"/>
      <c r="N181" s="78" t="s">
        <v>39</v>
      </c>
      <c r="O181" s="113"/>
      <c r="P181" s="155"/>
      <c r="Q181" s="114" t="str">
        <f>IFERROR(MIN(VLOOKUP(ROUNDDOWN(P181,0),'Aide calcul'!$B$2:$C$282,2,FALSE),O181+1),"")</f>
        <v/>
      </c>
      <c r="R181" s="115" t="str">
        <f t="shared" si="42"/>
        <v/>
      </c>
      <c r="S181" s="155"/>
      <c r="T181" s="155"/>
      <c r="U181" s="155"/>
      <c r="V181" s="155"/>
      <c r="W181" s="155"/>
      <c r="X181" s="155"/>
      <c r="Y181" s="155"/>
      <c r="Z181" s="78"/>
      <c r="AA181" s="78"/>
      <c r="AB181" s="116" t="str">
        <f>IF(C181="3111. Logements",ROUND(VLOOKUP(C181,'Informations générales'!$C$66:$D$70,2,FALSE)*(AK181/$AL$27)/12,0)*12,IF(C181="3112. Logements",ROUND(VLOOKUP(C181,'Informations générales'!$C$66:$D$70,2,FALSE)*(AK181/$AM$27)/12,0)*12,IF(C181="3113. Logements",ROUND(VLOOKUP(C181,'Informations générales'!$C$66:$D$70,2,FALSE)*(AK181/$AN$27)/12,0)*12,IF(C181="3114. Logements",ROUND(VLOOKUP(C181,'Informations générales'!$C$66:$D$70,2,FALSE)*(AK181/$AO$27)/12,0)*12,IF(C181="3115. Logements",ROUND(VLOOKUP(C181,'Informations générales'!$C$66:$D$70,2,FALSE)*(AK181/$AP$27)/12,0)*12,"")))))</f>
        <v/>
      </c>
      <c r="AC181" s="117"/>
      <c r="AD181" s="116">
        <f t="shared" si="43"/>
        <v>0</v>
      </c>
      <c r="AE181" s="117"/>
      <c r="AF181" s="116" t="str">
        <f>IF(C181="3111. Logements",ROUND(VLOOKUP(C181,'Informations générales'!$C$66:$G$70,5,FALSE)*(AK181/$AL$27)/12,0)*12,IF(C181="3112. Logements",ROUND(VLOOKUP(C181,'Informations générales'!$C$66:$G$70,5,FALSE)*(AK181/$AM$27)/12,0)*12,IF(C181="3113. Logements",ROUND(VLOOKUP(C181,'Informations générales'!$C$66:$G$70,5,FALSE)*(AK181/$AN$27)/12,0)*12,IF(C181="3114. Logements",ROUND(VLOOKUP(C181,'Informations générales'!$C$66:$G$70,5,FALSE)*(AK181/$AO$27)/12,0)*12,IF(C181="3115. Logements",ROUND(VLOOKUP(C181,'Informations générales'!$C$66:$G$70,5,FALSE)*(AK181/$AP$27)/12,0)*12,"")))))</f>
        <v/>
      </c>
      <c r="AG181" s="117"/>
      <c r="AH181" s="116" t="str">
        <f t="shared" si="44"/>
        <v/>
      </c>
      <c r="AI181" s="92"/>
      <c r="AJ181" s="78"/>
      <c r="AK181" s="60">
        <f t="shared" si="45"/>
        <v>0</v>
      </c>
      <c r="AL181" s="60"/>
      <c r="AM181" s="60"/>
      <c r="AN181" s="60"/>
      <c r="AO181" s="60"/>
      <c r="AP181" s="60"/>
      <c r="AQ181" s="60">
        <f t="shared" si="33"/>
        <v>0</v>
      </c>
      <c r="AR181" s="60">
        <f t="shared" si="34"/>
        <v>0</v>
      </c>
      <c r="AS181" s="60">
        <f t="shared" si="35"/>
        <v>0</v>
      </c>
      <c r="AT181" s="60">
        <f t="shared" si="36"/>
        <v>0</v>
      </c>
      <c r="AU181" s="60">
        <f t="shared" si="37"/>
        <v>0</v>
      </c>
      <c r="AV181" s="60">
        <f t="shared" si="38"/>
        <v>0</v>
      </c>
      <c r="AW181" s="60">
        <f t="shared" si="39"/>
        <v>0</v>
      </c>
      <c r="AX181" s="60">
        <f t="shared" si="46"/>
        <v>0</v>
      </c>
      <c r="AY181" s="64">
        <f t="shared" si="47"/>
        <v>0</v>
      </c>
      <c r="AZ181" s="65">
        <f t="shared" si="40"/>
        <v>0</v>
      </c>
      <c r="BA181" s="65">
        <f t="shared" si="41"/>
        <v>0</v>
      </c>
    </row>
    <row r="182" spans="3:53" s="17" customFormat="1" x14ac:dyDescent="0.25">
      <c r="C182" s="194"/>
      <c r="D182" s="195"/>
      <c r="E182" s="90"/>
      <c r="F182" s="198"/>
      <c r="G182" s="214"/>
      <c r="H182" s="199"/>
      <c r="I182" s="78"/>
      <c r="J182" s="79"/>
      <c r="K182" s="78"/>
      <c r="L182" s="80"/>
      <c r="M182" s="80"/>
      <c r="N182" s="78" t="s">
        <v>39</v>
      </c>
      <c r="O182" s="113"/>
      <c r="P182" s="155"/>
      <c r="Q182" s="114" t="str">
        <f>IFERROR(MIN(VLOOKUP(ROUNDDOWN(P182,0),'Aide calcul'!$B$2:$C$282,2,FALSE),O182+1),"")</f>
        <v/>
      </c>
      <c r="R182" s="115" t="str">
        <f t="shared" si="42"/>
        <v/>
      </c>
      <c r="S182" s="155"/>
      <c r="T182" s="155"/>
      <c r="U182" s="155"/>
      <c r="V182" s="155"/>
      <c r="W182" s="155"/>
      <c r="X182" s="155"/>
      <c r="Y182" s="155"/>
      <c r="Z182" s="78"/>
      <c r="AA182" s="78"/>
      <c r="AB182" s="116" t="str">
        <f>IF(C182="3111. Logements",ROUND(VLOOKUP(C182,'Informations générales'!$C$66:$D$70,2,FALSE)*(AK182/$AL$27)/12,0)*12,IF(C182="3112. Logements",ROUND(VLOOKUP(C182,'Informations générales'!$C$66:$D$70,2,FALSE)*(AK182/$AM$27)/12,0)*12,IF(C182="3113. Logements",ROUND(VLOOKUP(C182,'Informations générales'!$C$66:$D$70,2,FALSE)*(AK182/$AN$27)/12,0)*12,IF(C182="3114. Logements",ROUND(VLOOKUP(C182,'Informations générales'!$C$66:$D$70,2,FALSE)*(AK182/$AO$27)/12,0)*12,IF(C182="3115. Logements",ROUND(VLOOKUP(C182,'Informations générales'!$C$66:$D$70,2,FALSE)*(AK182/$AP$27)/12,0)*12,"")))))</f>
        <v/>
      </c>
      <c r="AC182" s="117"/>
      <c r="AD182" s="116">
        <f t="shared" si="43"/>
        <v>0</v>
      </c>
      <c r="AE182" s="117"/>
      <c r="AF182" s="116" t="str">
        <f>IF(C182="3111. Logements",ROUND(VLOOKUP(C182,'Informations générales'!$C$66:$G$70,5,FALSE)*(AK182/$AL$27)/12,0)*12,IF(C182="3112. Logements",ROUND(VLOOKUP(C182,'Informations générales'!$C$66:$G$70,5,FALSE)*(AK182/$AM$27)/12,0)*12,IF(C182="3113. Logements",ROUND(VLOOKUP(C182,'Informations générales'!$C$66:$G$70,5,FALSE)*(AK182/$AN$27)/12,0)*12,IF(C182="3114. Logements",ROUND(VLOOKUP(C182,'Informations générales'!$C$66:$G$70,5,FALSE)*(AK182/$AO$27)/12,0)*12,IF(C182="3115. Logements",ROUND(VLOOKUP(C182,'Informations générales'!$C$66:$G$70,5,FALSE)*(AK182/$AP$27)/12,0)*12,"")))))</f>
        <v/>
      </c>
      <c r="AG182" s="117"/>
      <c r="AH182" s="116" t="str">
        <f t="shared" si="44"/>
        <v/>
      </c>
      <c r="AI182" s="92"/>
      <c r="AJ182" s="78"/>
      <c r="AK182" s="60">
        <f t="shared" si="45"/>
        <v>0</v>
      </c>
      <c r="AL182" s="60"/>
      <c r="AM182" s="60"/>
      <c r="AN182" s="60"/>
      <c r="AO182" s="60"/>
      <c r="AP182" s="60"/>
      <c r="AQ182" s="60">
        <f t="shared" si="33"/>
        <v>0</v>
      </c>
      <c r="AR182" s="60">
        <f t="shared" si="34"/>
        <v>0</v>
      </c>
      <c r="AS182" s="60">
        <f t="shared" si="35"/>
        <v>0</v>
      </c>
      <c r="AT182" s="60">
        <f t="shared" si="36"/>
        <v>0</v>
      </c>
      <c r="AU182" s="60">
        <f t="shared" si="37"/>
        <v>0</v>
      </c>
      <c r="AV182" s="60">
        <f t="shared" si="38"/>
        <v>0</v>
      </c>
      <c r="AW182" s="60">
        <f t="shared" si="39"/>
        <v>0</v>
      </c>
      <c r="AX182" s="60">
        <f t="shared" si="46"/>
        <v>0</v>
      </c>
      <c r="AY182" s="64">
        <f t="shared" si="47"/>
        <v>0</v>
      </c>
      <c r="AZ182" s="65">
        <f t="shared" si="40"/>
        <v>0</v>
      </c>
      <c r="BA182" s="65">
        <f t="shared" si="41"/>
        <v>0</v>
      </c>
    </row>
    <row r="183" spans="3:53" s="17" customFormat="1" x14ac:dyDescent="0.25">
      <c r="C183" s="194"/>
      <c r="D183" s="195"/>
      <c r="E183" s="90"/>
      <c r="F183" s="198"/>
      <c r="G183" s="214"/>
      <c r="H183" s="199"/>
      <c r="I183" s="78"/>
      <c r="J183" s="79"/>
      <c r="K183" s="78"/>
      <c r="L183" s="80"/>
      <c r="M183" s="80"/>
      <c r="N183" s="78" t="s">
        <v>39</v>
      </c>
      <c r="O183" s="113"/>
      <c r="P183" s="155"/>
      <c r="Q183" s="114" t="str">
        <f>IFERROR(MIN(VLOOKUP(ROUNDDOWN(P183,0),'Aide calcul'!$B$2:$C$282,2,FALSE),O183+1),"")</f>
        <v/>
      </c>
      <c r="R183" s="115" t="str">
        <f t="shared" si="42"/>
        <v/>
      </c>
      <c r="S183" s="155"/>
      <c r="T183" s="155"/>
      <c r="U183" s="155"/>
      <c r="V183" s="155"/>
      <c r="W183" s="155"/>
      <c r="X183" s="155"/>
      <c r="Y183" s="155"/>
      <c r="Z183" s="78"/>
      <c r="AA183" s="78"/>
      <c r="AB183" s="116" t="str">
        <f>IF(C183="3111. Logements",ROUND(VLOOKUP(C183,'Informations générales'!$C$66:$D$70,2,FALSE)*(AK183/$AL$27)/12,0)*12,IF(C183="3112. Logements",ROUND(VLOOKUP(C183,'Informations générales'!$C$66:$D$70,2,FALSE)*(AK183/$AM$27)/12,0)*12,IF(C183="3113. Logements",ROUND(VLOOKUP(C183,'Informations générales'!$C$66:$D$70,2,FALSE)*(AK183/$AN$27)/12,0)*12,IF(C183="3114. Logements",ROUND(VLOOKUP(C183,'Informations générales'!$C$66:$D$70,2,FALSE)*(AK183/$AO$27)/12,0)*12,IF(C183="3115. Logements",ROUND(VLOOKUP(C183,'Informations générales'!$C$66:$D$70,2,FALSE)*(AK183/$AP$27)/12,0)*12,"")))))</f>
        <v/>
      </c>
      <c r="AC183" s="117"/>
      <c r="AD183" s="116">
        <f t="shared" si="43"/>
        <v>0</v>
      </c>
      <c r="AE183" s="117"/>
      <c r="AF183" s="116" t="str">
        <f>IF(C183="3111. Logements",ROUND(VLOOKUP(C183,'Informations générales'!$C$66:$G$70,5,FALSE)*(AK183/$AL$27)/12,0)*12,IF(C183="3112. Logements",ROUND(VLOOKUP(C183,'Informations générales'!$C$66:$G$70,5,FALSE)*(AK183/$AM$27)/12,0)*12,IF(C183="3113. Logements",ROUND(VLOOKUP(C183,'Informations générales'!$C$66:$G$70,5,FALSE)*(AK183/$AN$27)/12,0)*12,IF(C183="3114. Logements",ROUND(VLOOKUP(C183,'Informations générales'!$C$66:$G$70,5,FALSE)*(AK183/$AO$27)/12,0)*12,IF(C183="3115. Logements",ROUND(VLOOKUP(C183,'Informations générales'!$C$66:$G$70,5,FALSE)*(AK183/$AP$27)/12,0)*12,"")))))</f>
        <v/>
      </c>
      <c r="AG183" s="117"/>
      <c r="AH183" s="116" t="str">
        <f t="shared" si="44"/>
        <v/>
      </c>
      <c r="AI183" s="92"/>
      <c r="AJ183" s="78"/>
      <c r="AK183" s="60">
        <f t="shared" si="45"/>
        <v>0</v>
      </c>
      <c r="AL183" s="60"/>
      <c r="AM183" s="60"/>
      <c r="AN183" s="60"/>
      <c r="AO183" s="60"/>
      <c r="AP183" s="60"/>
      <c r="AQ183" s="60">
        <f t="shared" si="33"/>
        <v>0</v>
      </c>
      <c r="AR183" s="60">
        <f t="shared" si="34"/>
        <v>0</v>
      </c>
      <c r="AS183" s="60">
        <f t="shared" si="35"/>
        <v>0</v>
      </c>
      <c r="AT183" s="60">
        <f t="shared" si="36"/>
        <v>0</v>
      </c>
      <c r="AU183" s="60">
        <f t="shared" si="37"/>
        <v>0</v>
      </c>
      <c r="AV183" s="60">
        <f t="shared" si="38"/>
        <v>0</v>
      </c>
      <c r="AW183" s="60">
        <f t="shared" si="39"/>
        <v>0</v>
      </c>
      <c r="AX183" s="60">
        <f t="shared" si="46"/>
        <v>0</v>
      </c>
      <c r="AY183" s="64">
        <f t="shared" si="47"/>
        <v>0</v>
      </c>
      <c r="AZ183" s="65">
        <f t="shared" si="40"/>
        <v>0</v>
      </c>
      <c r="BA183" s="65">
        <f t="shared" si="41"/>
        <v>0</v>
      </c>
    </row>
    <row r="184" spans="3:53" s="17" customFormat="1" x14ac:dyDescent="0.25">
      <c r="C184" s="194"/>
      <c r="D184" s="195"/>
      <c r="E184" s="90"/>
      <c r="F184" s="198"/>
      <c r="G184" s="214"/>
      <c r="H184" s="199"/>
      <c r="I184" s="78"/>
      <c r="J184" s="79"/>
      <c r="K184" s="78"/>
      <c r="L184" s="80"/>
      <c r="M184" s="80"/>
      <c r="N184" s="78" t="s">
        <v>39</v>
      </c>
      <c r="O184" s="113"/>
      <c r="P184" s="155"/>
      <c r="Q184" s="114" t="str">
        <f>IFERROR(MIN(VLOOKUP(ROUNDDOWN(P184,0),'Aide calcul'!$B$2:$C$282,2,FALSE),O184+1),"")</f>
        <v/>
      </c>
      <c r="R184" s="115" t="str">
        <f t="shared" si="42"/>
        <v/>
      </c>
      <c r="S184" s="155"/>
      <c r="T184" s="155"/>
      <c r="U184" s="155"/>
      <c r="V184" s="155"/>
      <c r="W184" s="155"/>
      <c r="X184" s="155"/>
      <c r="Y184" s="155"/>
      <c r="Z184" s="78"/>
      <c r="AA184" s="78"/>
      <c r="AB184" s="116" t="str">
        <f>IF(C184="3111. Logements",ROUND(VLOOKUP(C184,'Informations générales'!$C$66:$D$70,2,FALSE)*(AK184/$AL$27)/12,0)*12,IF(C184="3112. Logements",ROUND(VLOOKUP(C184,'Informations générales'!$C$66:$D$70,2,FALSE)*(AK184/$AM$27)/12,0)*12,IF(C184="3113. Logements",ROUND(VLOOKUP(C184,'Informations générales'!$C$66:$D$70,2,FALSE)*(AK184/$AN$27)/12,0)*12,IF(C184="3114. Logements",ROUND(VLOOKUP(C184,'Informations générales'!$C$66:$D$70,2,FALSE)*(AK184/$AO$27)/12,0)*12,IF(C184="3115. Logements",ROUND(VLOOKUP(C184,'Informations générales'!$C$66:$D$70,2,FALSE)*(AK184/$AP$27)/12,0)*12,"")))))</f>
        <v/>
      </c>
      <c r="AC184" s="117"/>
      <c r="AD184" s="116">
        <f t="shared" si="43"/>
        <v>0</v>
      </c>
      <c r="AE184" s="117"/>
      <c r="AF184" s="116" t="str">
        <f>IF(C184="3111. Logements",ROUND(VLOOKUP(C184,'Informations générales'!$C$66:$G$70,5,FALSE)*(AK184/$AL$27)/12,0)*12,IF(C184="3112. Logements",ROUND(VLOOKUP(C184,'Informations générales'!$C$66:$G$70,5,FALSE)*(AK184/$AM$27)/12,0)*12,IF(C184="3113. Logements",ROUND(VLOOKUP(C184,'Informations générales'!$C$66:$G$70,5,FALSE)*(AK184/$AN$27)/12,0)*12,IF(C184="3114. Logements",ROUND(VLOOKUP(C184,'Informations générales'!$C$66:$G$70,5,FALSE)*(AK184/$AO$27)/12,0)*12,IF(C184="3115. Logements",ROUND(VLOOKUP(C184,'Informations générales'!$C$66:$G$70,5,FALSE)*(AK184/$AP$27)/12,0)*12,"")))))</f>
        <v/>
      </c>
      <c r="AG184" s="117"/>
      <c r="AH184" s="116" t="str">
        <f t="shared" si="44"/>
        <v/>
      </c>
      <c r="AI184" s="92"/>
      <c r="AJ184" s="78"/>
      <c r="AK184" s="60">
        <f t="shared" si="45"/>
        <v>0</v>
      </c>
      <c r="AL184" s="60"/>
      <c r="AM184" s="60"/>
      <c r="AN184" s="60"/>
      <c r="AO184" s="60"/>
      <c r="AP184" s="60"/>
      <c r="AQ184" s="60">
        <f t="shared" si="33"/>
        <v>0</v>
      </c>
      <c r="AR184" s="60">
        <f t="shared" si="34"/>
        <v>0</v>
      </c>
      <c r="AS184" s="60">
        <f t="shared" si="35"/>
        <v>0</v>
      </c>
      <c r="AT184" s="60">
        <f t="shared" si="36"/>
        <v>0</v>
      </c>
      <c r="AU184" s="60">
        <f t="shared" si="37"/>
        <v>0</v>
      </c>
      <c r="AV184" s="60">
        <f t="shared" si="38"/>
        <v>0</v>
      </c>
      <c r="AW184" s="60">
        <f t="shared" si="39"/>
        <v>0</v>
      </c>
      <c r="AX184" s="60">
        <f t="shared" si="46"/>
        <v>0</v>
      </c>
      <c r="AY184" s="64">
        <f t="shared" si="47"/>
        <v>0</v>
      </c>
      <c r="AZ184" s="65">
        <f t="shared" si="40"/>
        <v>0</v>
      </c>
      <c r="BA184" s="65">
        <f t="shared" si="41"/>
        <v>0</v>
      </c>
    </row>
    <row r="185" spans="3:53" s="17" customFormat="1" x14ac:dyDescent="0.25">
      <c r="C185" s="194"/>
      <c r="D185" s="195"/>
      <c r="E185" s="90"/>
      <c r="F185" s="198"/>
      <c r="G185" s="214"/>
      <c r="H185" s="199"/>
      <c r="I185" s="78"/>
      <c r="J185" s="79"/>
      <c r="K185" s="78"/>
      <c r="L185" s="80"/>
      <c r="M185" s="80"/>
      <c r="N185" s="78" t="s">
        <v>39</v>
      </c>
      <c r="O185" s="113"/>
      <c r="P185" s="155"/>
      <c r="Q185" s="114" t="str">
        <f>IFERROR(MIN(VLOOKUP(ROUNDDOWN(P185,0),'Aide calcul'!$B$2:$C$282,2,FALSE),O185+1),"")</f>
        <v/>
      </c>
      <c r="R185" s="115" t="str">
        <f t="shared" si="42"/>
        <v/>
      </c>
      <c r="S185" s="155"/>
      <c r="T185" s="155"/>
      <c r="U185" s="155"/>
      <c r="V185" s="155"/>
      <c r="W185" s="155"/>
      <c r="X185" s="155"/>
      <c r="Y185" s="155"/>
      <c r="Z185" s="78"/>
      <c r="AA185" s="78"/>
      <c r="AB185" s="116" t="str">
        <f>IF(C185="3111. Logements",ROUND(VLOOKUP(C185,'Informations générales'!$C$66:$D$70,2,FALSE)*(AK185/$AL$27)/12,0)*12,IF(C185="3112. Logements",ROUND(VLOOKUP(C185,'Informations générales'!$C$66:$D$70,2,FALSE)*(AK185/$AM$27)/12,0)*12,IF(C185="3113. Logements",ROUND(VLOOKUP(C185,'Informations générales'!$C$66:$D$70,2,FALSE)*(AK185/$AN$27)/12,0)*12,IF(C185="3114. Logements",ROUND(VLOOKUP(C185,'Informations générales'!$C$66:$D$70,2,FALSE)*(AK185/$AO$27)/12,0)*12,IF(C185="3115. Logements",ROUND(VLOOKUP(C185,'Informations générales'!$C$66:$D$70,2,FALSE)*(AK185/$AP$27)/12,0)*12,"")))))</f>
        <v/>
      </c>
      <c r="AC185" s="117"/>
      <c r="AD185" s="116">
        <f t="shared" si="43"/>
        <v>0</v>
      </c>
      <c r="AE185" s="117"/>
      <c r="AF185" s="116" t="str">
        <f>IF(C185="3111. Logements",ROUND(VLOOKUP(C185,'Informations générales'!$C$66:$G$70,5,FALSE)*(AK185/$AL$27)/12,0)*12,IF(C185="3112. Logements",ROUND(VLOOKUP(C185,'Informations générales'!$C$66:$G$70,5,FALSE)*(AK185/$AM$27)/12,0)*12,IF(C185="3113. Logements",ROUND(VLOOKUP(C185,'Informations générales'!$C$66:$G$70,5,FALSE)*(AK185/$AN$27)/12,0)*12,IF(C185="3114. Logements",ROUND(VLOOKUP(C185,'Informations générales'!$C$66:$G$70,5,FALSE)*(AK185/$AO$27)/12,0)*12,IF(C185="3115. Logements",ROUND(VLOOKUP(C185,'Informations générales'!$C$66:$G$70,5,FALSE)*(AK185/$AP$27)/12,0)*12,"")))))</f>
        <v/>
      </c>
      <c r="AG185" s="117"/>
      <c r="AH185" s="116" t="str">
        <f t="shared" si="44"/>
        <v/>
      </c>
      <c r="AI185" s="92"/>
      <c r="AJ185" s="78"/>
      <c r="AK185" s="60">
        <f t="shared" si="45"/>
        <v>0</v>
      </c>
      <c r="AL185" s="60"/>
      <c r="AM185" s="60"/>
      <c r="AN185" s="60"/>
      <c r="AO185" s="60"/>
      <c r="AP185" s="60"/>
      <c r="AQ185" s="60">
        <f t="shared" si="33"/>
        <v>0</v>
      </c>
      <c r="AR185" s="60">
        <f t="shared" si="34"/>
        <v>0</v>
      </c>
      <c r="AS185" s="60">
        <f t="shared" si="35"/>
        <v>0</v>
      </c>
      <c r="AT185" s="60">
        <f t="shared" si="36"/>
        <v>0</v>
      </c>
      <c r="AU185" s="60">
        <f t="shared" si="37"/>
        <v>0</v>
      </c>
      <c r="AV185" s="60">
        <f t="shared" si="38"/>
        <v>0</v>
      </c>
      <c r="AW185" s="60">
        <f t="shared" si="39"/>
        <v>0</v>
      </c>
      <c r="AX185" s="60">
        <f t="shared" si="46"/>
        <v>0</v>
      </c>
      <c r="AY185" s="64">
        <f t="shared" si="47"/>
        <v>0</v>
      </c>
      <c r="AZ185" s="65">
        <f t="shared" si="40"/>
        <v>0</v>
      </c>
      <c r="BA185" s="65">
        <f t="shared" si="41"/>
        <v>0</v>
      </c>
    </row>
    <row r="186" spans="3:53" s="17" customFormat="1" x14ac:dyDescent="0.25">
      <c r="C186" s="194"/>
      <c r="D186" s="195"/>
      <c r="E186" s="90"/>
      <c r="F186" s="198"/>
      <c r="G186" s="214"/>
      <c r="H186" s="199"/>
      <c r="I186" s="78"/>
      <c r="J186" s="79"/>
      <c r="K186" s="78"/>
      <c r="L186" s="80"/>
      <c r="M186" s="80"/>
      <c r="N186" s="78" t="s">
        <v>39</v>
      </c>
      <c r="O186" s="113"/>
      <c r="P186" s="155"/>
      <c r="Q186" s="114" t="str">
        <f>IFERROR(MIN(VLOOKUP(ROUNDDOWN(P186,0),'Aide calcul'!$B$2:$C$282,2,FALSE),O186+1),"")</f>
        <v/>
      </c>
      <c r="R186" s="115" t="str">
        <f t="shared" si="42"/>
        <v/>
      </c>
      <c r="S186" s="155"/>
      <c r="T186" s="155"/>
      <c r="U186" s="155"/>
      <c r="V186" s="155"/>
      <c r="W186" s="155"/>
      <c r="X186" s="155"/>
      <c r="Y186" s="155"/>
      <c r="Z186" s="78"/>
      <c r="AA186" s="78"/>
      <c r="AB186" s="116" t="str">
        <f>IF(C186="3111. Logements",ROUND(VLOOKUP(C186,'Informations générales'!$C$66:$D$70,2,FALSE)*(AK186/$AL$27)/12,0)*12,IF(C186="3112. Logements",ROUND(VLOOKUP(C186,'Informations générales'!$C$66:$D$70,2,FALSE)*(AK186/$AM$27)/12,0)*12,IF(C186="3113. Logements",ROUND(VLOOKUP(C186,'Informations générales'!$C$66:$D$70,2,FALSE)*(AK186/$AN$27)/12,0)*12,IF(C186="3114. Logements",ROUND(VLOOKUP(C186,'Informations générales'!$C$66:$D$70,2,FALSE)*(AK186/$AO$27)/12,0)*12,IF(C186="3115. Logements",ROUND(VLOOKUP(C186,'Informations générales'!$C$66:$D$70,2,FALSE)*(AK186/$AP$27)/12,0)*12,"")))))</f>
        <v/>
      </c>
      <c r="AC186" s="117"/>
      <c r="AD186" s="116">
        <f t="shared" si="43"/>
        <v>0</v>
      </c>
      <c r="AE186" s="117"/>
      <c r="AF186" s="116" t="str">
        <f>IF(C186="3111. Logements",ROUND(VLOOKUP(C186,'Informations générales'!$C$66:$G$70,5,FALSE)*(AK186/$AL$27)/12,0)*12,IF(C186="3112. Logements",ROUND(VLOOKUP(C186,'Informations générales'!$C$66:$G$70,5,FALSE)*(AK186/$AM$27)/12,0)*12,IF(C186="3113. Logements",ROUND(VLOOKUP(C186,'Informations générales'!$C$66:$G$70,5,FALSE)*(AK186/$AN$27)/12,0)*12,IF(C186="3114. Logements",ROUND(VLOOKUP(C186,'Informations générales'!$C$66:$G$70,5,FALSE)*(AK186/$AO$27)/12,0)*12,IF(C186="3115. Logements",ROUND(VLOOKUP(C186,'Informations générales'!$C$66:$G$70,5,FALSE)*(AK186/$AP$27)/12,0)*12,"")))))</f>
        <v/>
      </c>
      <c r="AG186" s="117"/>
      <c r="AH186" s="116" t="str">
        <f t="shared" si="44"/>
        <v/>
      </c>
      <c r="AI186" s="92"/>
      <c r="AJ186" s="78"/>
      <c r="AK186" s="60">
        <f t="shared" si="45"/>
        <v>0</v>
      </c>
      <c r="AL186" s="60"/>
      <c r="AM186" s="60"/>
      <c r="AN186" s="60"/>
      <c r="AO186" s="60"/>
      <c r="AP186" s="60"/>
      <c r="AQ186" s="60">
        <f t="shared" si="33"/>
        <v>0</v>
      </c>
      <c r="AR186" s="60">
        <f t="shared" si="34"/>
        <v>0</v>
      </c>
      <c r="AS186" s="60">
        <f t="shared" si="35"/>
        <v>0</v>
      </c>
      <c r="AT186" s="60">
        <f t="shared" si="36"/>
        <v>0</v>
      </c>
      <c r="AU186" s="60">
        <f t="shared" si="37"/>
        <v>0</v>
      </c>
      <c r="AV186" s="60">
        <f t="shared" si="38"/>
        <v>0</v>
      </c>
      <c r="AW186" s="60">
        <f t="shared" si="39"/>
        <v>0</v>
      </c>
      <c r="AX186" s="60">
        <f t="shared" si="46"/>
        <v>0</v>
      </c>
      <c r="AY186" s="64">
        <f t="shared" si="47"/>
        <v>0</v>
      </c>
      <c r="AZ186" s="65">
        <f t="shared" si="40"/>
        <v>0</v>
      </c>
      <c r="BA186" s="65">
        <f t="shared" si="41"/>
        <v>0</v>
      </c>
    </row>
    <row r="187" spans="3:53" s="17" customFormat="1" x14ac:dyDescent="0.25">
      <c r="C187" s="194"/>
      <c r="D187" s="195"/>
      <c r="E187" s="90"/>
      <c r="F187" s="198"/>
      <c r="G187" s="214"/>
      <c r="H187" s="199"/>
      <c r="I187" s="78"/>
      <c r="J187" s="79"/>
      <c r="K187" s="78"/>
      <c r="L187" s="80"/>
      <c r="M187" s="80"/>
      <c r="N187" s="78" t="s">
        <v>39</v>
      </c>
      <c r="O187" s="113"/>
      <c r="P187" s="155"/>
      <c r="Q187" s="114" t="str">
        <f>IFERROR(MIN(VLOOKUP(ROUNDDOWN(P187,0),'Aide calcul'!$B$2:$C$282,2,FALSE),O187+1),"")</f>
        <v/>
      </c>
      <c r="R187" s="115" t="str">
        <f t="shared" si="42"/>
        <v/>
      </c>
      <c r="S187" s="155"/>
      <c r="T187" s="155"/>
      <c r="U187" s="155"/>
      <c r="V187" s="155"/>
      <c r="W187" s="155"/>
      <c r="X187" s="155"/>
      <c r="Y187" s="155"/>
      <c r="Z187" s="78"/>
      <c r="AA187" s="78"/>
      <c r="AB187" s="116" t="str">
        <f>IF(C187="3111. Logements",ROUND(VLOOKUP(C187,'Informations générales'!$C$66:$D$70,2,FALSE)*(AK187/$AL$27)/12,0)*12,IF(C187="3112. Logements",ROUND(VLOOKUP(C187,'Informations générales'!$C$66:$D$70,2,FALSE)*(AK187/$AM$27)/12,0)*12,IF(C187="3113. Logements",ROUND(VLOOKUP(C187,'Informations générales'!$C$66:$D$70,2,FALSE)*(AK187/$AN$27)/12,0)*12,IF(C187="3114. Logements",ROUND(VLOOKUP(C187,'Informations générales'!$C$66:$D$70,2,FALSE)*(AK187/$AO$27)/12,0)*12,IF(C187="3115. Logements",ROUND(VLOOKUP(C187,'Informations générales'!$C$66:$D$70,2,FALSE)*(AK187/$AP$27)/12,0)*12,"")))))</f>
        <v/>
      </c>
      <c r="AC187" s="117"/>
      <c r="AD187" s="116">
        <f t="shared" si="43"/>
        <v>0</v>
      </c>
      <c r="AE187" s="117"/>
      <c r="AF187" s="116" t="str">
        <f>IF(C187="3111. Logements",ROUND(VLOOKUP(C187,'Informations générales'!$C$66:$G$70,5,FALSE)*(AK187/$AL$27)/12,0)*12,IF(C187="3112. Logements",ROUND(VLOOKUP(C187,'Informations générales'!$C$66:$G$70,5,FALSE)*(AK187/$AM$27)/12,0)*12,IF(C187="3113. Logements",ROUND(VLOOKUP(C187,'Informations générales'!$C$66:$G$70,5,FALSE)*(AK187/$AN$27)/12,0)*12,IF(C187="3114. Logements",ROUND(VLOOKUP(C187,'Informations générales'!$C$66:$G$70,5,FALSE)*(AK187/$AO$27)/12,0)*12,IF(C187="3115. Logements",ROUND(VLOOKUP(C187,'Informations générales'!$C$66:$G$70,5,FALSE)*(AK187/$AP$27)/12,0)*12,"")))))</f>
        <v/>
      </c>
      <c r="AG187" s="117"/>
      <c r="AH187" s="116" t="str">
        <f t="shared" si="44"/>
        <v/>
      </c>
      <c r="AI187" s="92"/>
      <c r="AJ187" s="78"/>
      <c r="AK187" s="60">
        <f t="shared" si="45"/>
        <v>0</v>
      </c>
      <c r="AL187" s="60"/>
      <c r="AM187" s="60"/>
      <c r="AN187" s="60"/>
      <c r="AO187" s="60"/>
      <c r="AP187" s="60"/>
      <c r="AQ187" s="60">
        <f t="shared" si="33"/>
        <v>0</v>
      </c>
      <c r="AR187" s="60">
        <f t="shared" si="34"/>
        <v>0</v>
      </c>
      <c r="AS187" s="60">
        <f t="shared" si="35"/>
        <v>0</v>
      </c>
      <c r="AT187" s="60">
        <f t="shared" si="36"/>
        <v>0</v>
      </c>
      <c r="AU187" s="60">
        <f t="shared" si="37"/>
        <v>0</v>
      </c>
      <c r="AV187" s="60">
        <f t="shared" si="38"/>
        <v>0</v>
      </c>
      <c r="AW187" s="60">
        <f t="shared" si="39"/>
        <v>0</v>
      </c>
      <c r="AX187" s="60">
        <f t="shared" si="46"/>
        <v>0</v>
      </c>
      <c r="AY187" s="64">
        <f t="shared" si="47"/>
        <v>0</v>
      </c>
      <c r="AZ187" s="65">
        <f t="shared" si="40"/>
        <v>0</v>
      </c>
      <c r="BA187" s="65">
        <f t="shared" si="41"/>
        <v>0</v>
      </c>
    </row>
    <row r="188" spans="3:53" s="17" customFormat="1" x14ac:dyDescent="0.25">
      <c r="C188" s="194"/>
      <c r="D188" s="195"/>
      <c r="E188" s="90"/>
      <c r="F188" s="198"/>
      <c r="G188" s="214"/>
      <c r="H188" s="199"/>
      <c r="I188" s="78"/>
      <c r="J188" s="79"/>
      <c r="K188" s="78"/>
      <c r="L188" s="80"/>
      <c r="M188" s="80"/>
      <c r="N188" s="78" t="s">
        <v>39</v>
      </c>
      <c r="O188" s="113"/>
      <c r="P188" s="155"/>
      <c r="Q188" s="114" t="str">
        <f>IFERROR(MIN(VLOOKUP(ROUNDDOWN(P188,0),'Aide calcul'!$B$2:$C$282,2,FALSE),O188+1),"")</f>
        <v/>
      </c>
      <c r="R188" s="115" t="str">
        <f t="shared" si="42"/>
        <v/>
      </c>
      <c r="S188" s="155"/>
      <c r="T188" s="155"/>
      <c r="U188" s="155"/>
      <c r="V188" s="155"/>
      <c r="W188" s="155"/>
      <c r="X188" s="155"/>
      <c r="Y188" s="155"/>
      <c r="Z188" s="78"/>
      <c r="AA188" s="78"/>
      <c r="AB188" s="116" t="str">
        <f>IF(C188="3111. Logements",ROUND(VLOOKUP(C188,'Informations générales'!$C$66:$D$70,2,FALSE)*(AK188/$AL$27)/12,0)*12,IF(C188="3112. Logements",ROUND(VLOOKUP(C188,'Informations générales'!$C$66:$D$70,2,FALSE)*(AK188/$AM$27)/12,0)*12,IF(C188="3113. Logements",ROUND(VLOOKUP(C188,'Informations générales'!$C$66:$D$70,2,FALSE)*(AK188/$AN$27)/12,0)*12,IF(C188="3114. Logements",ROUND(VLOOKUP(C188,'Informations générales'!$C$66:$D$70,2,FALSE)*(AK188/$AO$27)/12,0)*12,IF(C188="3115. Logements",ROUND(VLOOKUP(C188,'Informations générales'!$C$66:$D$70,2,FALSE)*(AK188/$AP$27)/12,0)*12,"")))))</f>
        <v/>
      </c>
      <c r="AC188" s="117"/>
      <c r="AD188" s="116">
        <f t="shared" si="43"/>
        <v>0</v>
      </c>
      <c r="AE188" s="117"/>
      <c r="AF188" s="116" t="str">
        <f>IF(C188="3111. Logements",ROUND(VLOOKUP(C188,'Informations générales'!$C$66:$G$70,5,FALSE)*(AK188/$AL$27)/12,0)*12,IF(C188="3112. Logements",ROUND(VLOOKUP(C188,'Informations générales'!$C$66:$G$70,5,FALSE)*(AK188/$AM$27)/12,0)*12,IF(C188="3113. Logements",ROUND(VLOOKUP(C188,'Informations générales'!$C$66:$G$70,5,FALSE)*(AK188/$AN$27)/12,0)*12,IF(C188="3114. Logements",ROUND(VLOOKUP(C188,'Informations générales'!$C$66:$G$70,5,FALSE)*(AK188/$AO$27)/12,0)*12,IF(C188="3115. Logements",ROUND(VLOOKUP(C188,'Informations générales'!$C$66:$G$70,5,FALSE)*(AK188/$AP$27)/12,0)*12,"")))))</f>
        <v/>
      </c>
      <c r="AG188" s="117"/>
      <c r="AH188" s="116" t="str">
        <f t="shared" si="44"/>
        <v/>
      </c>
      <c r="AI188" s="92"/>
      <c r="AJ188" s="78"/>
      <c r="AK188" s="60">
        <f t="shared" si="45"/>
        <v>0</v>
      </c>
      <c r="AL188" s="60"/>
      <c r="AM188" s="60"/>
      <c r="AN188" s="60"/>
      <c r="AO188" s="60"/>
      <c r="AP188" s="60"/>
      <c r="AQ188" s="60">
        <f t="shared" si="33"/>
        <v>0</v>
      </c>
      <c r="AR188" s="60">
        <f t="shared" si="34"/>
        <v>0</v>
      </c>
      <c r="AS188" s="60">
        <f t="shared" si="35"/>
        <v>0</v>
      </c>
      <c r="AT188" s="60">
        <f t="shared" si="36"/>
        <v>0</v>
      </c>
      <c r="AU188" s="60">
        <f t="shared" si="37"/>
        <v>0</v>
      </c>
      <c r="AV188" s="60">
        <f t="shared" si="38"/>
        <v>0</v>
      </c>
      <c r="AW188" s="60">
        <f t="shared" si="39"/>
        <v>0</v>
      </c>
      <c r="AX188" s="60">
        <f t="shared" si="46"/>
        <v>0</v>
      </c>
      <c r="AY188" s="64">
        <f t="shared" si="47"/>
        <v>0</v>
      </c>
      <c r="AZ188" s="65">
        <f t="shared" si="40"/>
        <v>0</v>
      </c>
      <c r="BA188" s="65">
        <f t="shared" si="41"/>
        <v>0</v>
      </c>
    </row>
    <row r="189" spans="3:53" s="17" customFormat="1" x14ac:dyDescent="0.25">
      <c r="C189" s="194"/>
      <c r="D189" s="195"/>
      <c r="E189" s="90"/>
      <c r="F189" s="198"/>
      <c r="G189" s="214"/>
      <c r="H189" s="199"/>
      <c r="I189" s="78"/>
      <c r="J189" s="79"/>
      <c r="K189" s="78"/>
      <c r="L189" s="80"/>
      <c r="M189" s="80"/>
      <c r="N189" s="78" t="s">
        <v>39</v>
      </c>
      <c r="O189" s="113"/>
      <c r="P189" s="155"/>
      <c r="Q189" s="114" t="str">
        <f>IFERROR(MIN(VLOOKUP(ROUNDDOWN(P189,0),'Aide calcul'!$B$2:$C$282,2,FALSE),O189+1),"")</f>
        <v/>
      </c>
      <c r="R189" s="115" t="str">
        <f t="shared" si="42"/>
        <v/>
      </c>
      <c r="S189" s="155"/>
      <c r="T189" s="155"/>
      <c r="U189" s="155"/>
      <c r="V189" s="155"/>
      <c r="W189" s="155"/>
      <c r="X189" s="155"/>
      <c r="Y189" s="155"/>
      <c r="Z189" s="78"/>
      <c r="AA189" s="78"/>
      <c r="AB189" s="116" t="str">
        <f>IF(C189="3111. Logements",ROUND(VLOOKUP(C189,'Informations générales'!$C$66:$D$70,2,FALSE)*(AK189/$AL$27)/12,0)*12,IF(C189="3112. Logements",ROUND(VLOOKUP(C189,'Informations générales'!$C$66:$D$70,2,FALSE)*(AK189/$AM$27)/12,0)*12,IF(C189="3113. Logements",ROUND(VLOOKUP(C189,'Informations générales'!$C$66:$D$70,2,FALSE)*(AK189/$AN$27)/12,0)*12,IF(C189="3114. Logements",ROUND(VLOOKUP(C189,'Informations générales'!$C$66:$D$70,2,FALSE)*(AK189/$AO$27)/12,0)*12,IF(C189="3115. Logements",ROUND(VLOOKUP(C189,'Informations générales'!$C$66:$D$70,2,FALSE)*(AK189/$AP$27)/12,0)*12,"")))))</f>
        <v/>
      </c>
      <c r="AC189" s="117"/>
      <c r="AD189" s="116">
        <f t="shared" si="43"/>
        <v>0</v>
      </c>
      <c r="AE189" s="117"/>
      <c r="AF189" s="116" t="str">
        <f>IF(C189="3111. Logements",ROUND(VLOOKUP(C189,'Informations générales'!$C$66:$G$70,5,FALSE)*(AK189/$AL$27)/12,0)*12,IF(C189="3112. Logements",ROUND(VLOOKUP(C189,'Informations générales'!$C$66:$G$70,5,FALSE)*(AK189/$AM$27)/12,0)*12,IF(C189="3113. Logements",ROUND(VLOOKUP(C189,'Informations générales'!$C$66:$G$70,5,FALSE)*(AK189/$AN$27)/12,0)*12,IF(C189="3114. Logements",ROUND(VLOOKUP(C189,'Informations générales'!$C$66:$G$70,5,FALSE)*(AK189/$AO$27)/12,0)*12,IF(C189="3115. Logements",ROUND(VLOOKUP(C189,'Informations générales'!$C$66:$G$70,5,FALSE)*(AK189/$AP$27)/12,0)*12,"")))))</f>
        <v/>
      </c>
      <c r="AG189" s="117"/>
      <c r="AH189" s="116" t="str">
        <f t="shared" si="44"/>
        <v/>
      </c>
      <c r="AI189" s="92"/>
      <c r="AJ189" s="78"/>
      <c r="AK189" s="60">
        <f t="shared" si="45"/>
        <v>0</v>
      </c>
      <c r="AL189" s="60"/>
      <c r="AM189" s="60"/>
      <c r="AN189" s="60"/>
      <c r="AO189" s="60"/>
      <c r="AP189" s="60"/>
      <c r="AQ189" s="60">
        <f t="shared" si="33"/>
        <v>0</v>
      </c>
      <c r="AR189" s="60">
        <f t="shared" si="34"/>
        <v>0</v>
      </c>
      <c r="AS189" s="60">
        <f t="shared" si="35"/>
        <v>0</v>
      </c>
      <c r="AT189" s="60">
        <f t="shared" si="36"/>
        <v>0</v>
      </c>
      <c r="AU189" s="60">
        <f t="shared" si="37"/>
        <v>0</v>
      </c>
      <c r="AV189" s="60">
        <f t="shared" si="38"/>
        <v>0</v>
      </c>
      <c r="AW189" s="60">
        <f t="shared" si="39"/>
        <v>0</v>
      </c>
      <c r="AX189" s="60">
        <f t="shared" si="46"/>
        <v>0</v>
      </c>
      <c r="AY189" s="64">
        <f t="shared" si="47"/>
        <v>0</v>
      </c>
      <c r="AZ189" s="65">
        <f t="shared" si="40"/>
        <v>0</v>
      </c>
      <c r="BA189" s="65">
        <f t="shared" si="41"/>
        <v>0</v>
      </c>
    </row>
    <row r="190" spans="3:53" s="17" customFormat="1" x14ac:dyDescent="0.25">
      <c r="C190" s="194"/>
      <c r="D190" s="195"/>
      <c r="E190" s="90"/>
      <c r="F190" s="198"/>
      <c r="G190" s="214"/>
      <c r="H190" s="199"/>
      <c r="I190" s="78"/>
      <c r="J190" s="79"/>
      <c r="K190" s="78"/>
      <c r="L190" s="80"/>
      <c r="M190" s="80"/>
      <c r="N190" s="78" t="s">
        <v>39</v>
      </c>
      <c r="O190" s="113"/>
      <c r="P190" s="155"/>
      <c r="Q190" s="114" t="str">
        <f>IFERROR(MIN(VLOOKUP(ROUNDDOWN(P190,0),'Aide calcul'!$B$2:$C$282,2,FALSE),O190+1),"")</f>
        <v/>
      </c>
      <c r="R190" s="115" t="str">
        <f t="shared" si="42"/>
        <v/>
      </c>
      <c r="S190" s="155"/>
      <c r="T190" s="155"/>
      <c r="U190" s="155"/>
      <c r="V190" s="155"/>
      <c r="W190" s="155"/>
      <c r="X190" s="155"/>
      <c r="Y190" s="155"/>
      <c r="Z190" s="78"/>
      <c r="AA190" s="78"/>
      <c r="AB190" s="116" t="str">
        <f>IF(C190="3111. Logements",ROUND(VLOOKUP(C190,'Informations générales'!$C$66:$D$70,2,FALSE)*(AK190/$AL$27)/12,0)*12,IF(C190="3112. Logements",ROUND(VLOOKUP(C190,'Informations générales'!$C$66:$D$70,2,FALSE)*(AK190/$AM$27)/12,0)*12,IF(C190="3113. Logements",ROUND(VLOOKUP(C190,'Informations générales'!$C$66:$D$70,2,FALSE)*(AK190/$AN$27)/12,0)*12,IF(C190="3114. Logements",ROUND(VLOOKUP(C190,'Informations générales'!$C$66:$D$70,2,FALSE)*(AK190/$AO$27)/12,0)*12,IF(C190="3115. Logements",ROUND(VLOOKUP(C190,'Informations générales'!$C$66:$D$70,2,FALSE)*(AK190/$AP$27)/12,0)*12,"")))))</f>
        <v/>
      </c>
      <c r="AC190" s="117"/>
      <c r="AD190" s="116">
        <f t="shared" si="43"/>
        <v>0</v>
      </c>
      <c r="AE190" s="117"/>
      <c r="AF190" s="116" t="str">
        <f>IF(C190="3111. Logements",ROUND(VLOOKUP(C190,'Informations générales'!$C$66:$G$70,5,FALSE)*(AK190/$AL$27)/12,0)*12,IF(C190="3112. Logements",ROUND(VLOOKUP(C190,'Informations générales'!$C$66:$G$70,5,FALSE)*(AK190/$AM$27)/12,0)*12,IF(C190="3113. Logements",ROUND(VLOOKUP(C190,'Informations générales'!$C$66:$G$70,5,FALSE)*(AK190/$AN$27)/12,0)*12,IF(C190="3114. Logements",ROUND(VLOOKUP(C190,'Informations générales'!$C$66:$G$70,5,FALSE)*(AK190/$AO$27)/12,0)*12,IF(C190="3115. Logements",ROUND(VLOOKUP(C190,'Informations générales'!$C$66:$G$70,5,FALSE)*(AK190/$AP$27)/12,0)*12,"")))))</f>
        <v/>
      </c>
      <c r="AG190" s="117"/>
      <c r="AH190" s="116" t="str">
        <f t="shared" si="44"/>
        <v/>
      </c>
      <c r="AI190" s="92"/>
      <c r="AJ190" s="78"/>
      <c r="AK190" s="60">
        <f t="shared" si="45"/>
        <v>0</v>
      </c>
      <c r="AL190" s="60"/>
      <c r="AM190" s="60"/>
      <c r="AN190" s="60"/>
      <c r="AO190" s="60"/>
      <c r="AP190" s="60"/>
      <c r="AQ190" s="60">
        <f t="shared" si="33"/>
        <v>0</v>
      </c>
      <c r="AR190" s="60">
        <f t="shared" si="34"/>
        <v>0</v>
      </c>
      <c r="AS190" s="60">
        <f t="shared" si="35"/>
        <v>0</v>
      </c>
      <c r="AT190" s="60">
        <f t="shared" si="36"/>
        <v>0</v>
      </c>
      <c r="AU190" s="60">
        <f t="shared" si="37"/>
        <v>0</v>
      </c>
      <c r="AV190" s="60">
        <f t="shared" si="38"/>
        <v>0</v>
      </c>
      <c r="AW190" s="60">
        <f t="shared" si="39"/>
        <v>0</v>
      </c>
      <c r="AX190" s="60">
        <f t="shared" si="46"/>
        <v>0</v>
      </c>
      <c r="AY190" s="64">
        <f t="shared" si="47"/>
        <v>0</v>
      </c>
      <c r="AZ190" s="65">
        <f t="shared" si="40"/>
        <v>0</v>
      </c>
      <c r="BA190" s="65">
        <f t="shared" si="41"/>
        <v>0</v>
      </c>
    </row>
    <row r="191" spans="3:53" s="17" customFormat="1" x14ac:dyDescent="0.25">
      <c r="C191" s="194"/>
      <c r="D191" s="195"/>
      <c r="E191" s="90"/>
      <c r="F191" s="198"/>
      <c r="G191" s="214"/>
      <c r="H191" s="199"/>
      <c r="I191" s="78"/>
      <c r="J191" s="79"/>
      <c r="K191" s="78"/>
      <c r="L191" s="80"/>
      <c r="M191" s="80"/>
      <c r="N191" s="78" t="s">
        <v>39</v>
      </c>
      <c r="O191" s="113"/>
      <c r="P191" s="155"/>
      <c r="Q191" s="114" t="str">
        <f>IFERROR(MIN(VLOOKUP(ROUNDDOWN(P191,0),'Aide calcul'!$B$2:$C$282,2,FALSE),O191+1),"")</f>
        <v/>
      </c>
      <c r="R191" s="115" t="str">
        <f t="shared" si="42"/>
        <v/>
      </c>
      <c r="S191" s="155"/>
      <c r="T191" s="155"/>
      <c r="U191" s="155"/>
      <c r="V191" s="155"/>
      <c r="W191" s="155"/>
      <c r="X191" s="155"/>
      <c r="Y191" s="155"/>
      <c r="Z191" s="78"/>
      <c r="AA191" s="78"/>
      <c r="AB191" s="116" t="str">
        <f>IF(C191="3111. Logements",ROUND(VLOOKUP(C191,'Informations générales'!$C$66:$D$70,2,FALSE)*(AK191/$AL$27)/12,0)*12,IF(C191="3112. Logements",ROUND(VLOOKUP(C191,'Informations générales'!$C$66:$D$70,2,FALSE)*(AK191/$AM$27)/12,0)*12,IF(C191="3113. Logements",ROUND(VLOOKUP(C191,'Informations générales'!$C$66:$D$70,2,FALSE)*(AK191/$AN$27)/12,0)*12,IF(C191="3114. Logements",ROUND(VLOOKUP(C191,'Informations générales'!$C$66:$D$70,2,FALSE)*(AK191/$AO$27)/12,0)*12,IF(C191="3115. Logements",ROUND(VLOOKUP(C191,'Informations générales'!$C$66:$D$70,2,FALSE)*(AK191/$AP$27)/12,0)*12,"")))))</f>
        <v/>
      </c>
      <c r="AC191" s="117"/>
      <c r="AD191" s="116">
        <f t="shared" si="43"/>
        <v>0</v>
      </c>
      <c r="AE191" s="117"/>
      <c r="AF191" s="116" t="str">
        <f>IF(C191="3111. Logements",ROUND(VLOOKUP(C191,'Informations générales'!$C$66:$G$70,5,FALSE)*(AK191/$AL$27)/12,0)*12,IF(C191="3112. Logements",ROUND(VLOOKUP(C191,'Informations générales'!$C$66:$G$70,5,FALSE)*(AK191/$AM$27)/12,0)*12,IF(C191="3113. Logements",ROUND(VLOOKUP(C191,'Informations générales'!$C$66:$G$70,5,FALSE)*(AK191/$AN$27)/12,0)*12,IF(C191="3114. Logements",ROUND(VLOOKUP(C191,'Informations générales'!$C$66:$G$70,5,FALSE)*(AK191/$AO$27)/12,0)*12,IF(C191="3115. Logements",ROUND(VLOOKUP(C191,'Informations générales'!$C$66:$G$70,5,FALSE)*(AK191/$AP$27)/12,0)*12,"")))))</f>
        <v/>
      </c>
      <c r="AG191" s="117"/>
      <c r="AH191" s="116" t="str">
        <f t="shared" si="44"/>
        <v/>
      </c>
      <c r="AI191" s="92"/>
      <c r="AJ191" s="78"/>
      <c r="AK191" s="60">
        <f t="shared" si="45"/>
        <v>0</v>
      </c>
      <c r="AL191" s="60"/>
      <c r="AM191" s="60"/>
      <c r="AN191" s="60"/>
      <c r="AO191" s="60"/>
      <c r="AP191" s="60"/>
      <c r="AQ191" s="60">
        <f t="shared" si="33"/>
        <v>0</v>
      </c>
      <c r="AR191" s="60">
        <f t="shared" si="34"/>
        <v>0</v>
      </c>
      <c r="AS191" s="60">
        <f t="shared" si="35"/>
        <v>0</v>
      </c>
      <c r="AT191" s="60">
        <f t="shared" si="36"/>
        <v>0</v>
      </c>
      <c r="AU191" s="60">
        <f t="shared" si="37"/>
        <v>0</v>
      </c>
      <c r="AV191" s="60">
        <f t="shared" si="38"/>
        <v>0</v>
      </c>
      <c r="AW191" s="60">
        <f t="shared" si="39"/>
        <v>0</v>
      </c>
      <c r="AX191" s="60">
        <f t="shared" si="46"/>
        <v>0</v>
      </c>
      <c r="AY191" s="64">
        <f t="shared" si="47"/>
        <v>0</v>
      </c>
      <c r="AZ191" s="65">
        <f t="shared" si="40"/>
        <v>0</v>
      </c>
      <c r="BA191" s="65">
        <f t="shared" si="41"/>
        <v>0</v>
      </c>
    </row>
    <row r="192" spans="3:53" s="17" customFormat="1" x14ac:dyDescent="0.25">
      <c r="C192" s="194"/>
      <c r="D192" s="195"/>
      <c r="E192" s="90"/>
      <c r="F192" s="198"/>
      <c r="G192" s="214"/>
      <c r="H192" s="199"/>
      <c r="I192" s="78"/>
      <c r="J192" s="79"/>
      <c r="K192" s="78"/>
      <c r="L192" s="80"/>
      <c r="M192" s="80"/>
      <c r="N192" s="78" t="s">
        <v>39</v>
      </c>
      <c r="O192" s="113"/>
      <c r="P192" s="155"/>
      <c r="Q192" s="114" t="str">
        <f>IFERROR(MIN(VLOOKUP(ROUNDDOWN(P192,0),'Aide calcul'!$B$2:$C$282,2,FALSE),O192+1),"")</f>
        <v/>
      </c>
      <c r="R192" s="115" t="str">
        <f t="shared" si="42"/>
        <v/>
      </c>
      <c r="S192" s="155"/>
      <c r="T192" s="155"/>
      <c r="U192" s="155"/>
      <c r="V192" s="155"/>
      <c r="W192" s="155"/>
      <c r="X192" s="155"/>
      <c r="Y192" s="155"/>
      <c r="Z192" s="78"/>
      <c r="AA192" s="78"/>
      <c r="AB192" s="116" t="str">
        <f>IF(C192="3111. Logements",ROUND(VLOOKUP(C192,'Informations générales'!$C$66:$D$70,2,FALSE)*(AK192/$AL$27)/12,0)*12,IF(C192="3112. Logements",ROUND(VLOOKUP(C192,'Informations générales'!$C$66:$D$70,2,FALSE)*(AK192/$AM$27)/12,0)*12,IF(C192="3113. Logements",ROUND(VLOOKUP(C192,'Informations générales'!$C$66:$D$70,2,FALSE)*(AK192/$AN$27)/12,0)*12,IF(C192="3114. Logements",ROUND(VLOOKUP(C192,'Informations générales'!$C$66:$D$70,2,FALSE)*(AK192/$AO$27)/12,0)*12,IF(C192="3115. Logements",ROUND(VLOOKUP(C192,'Informations générales'!$C$66:$D$70,2,FALSE)*(AK192/$AP$27)/12,0)*12,"")))))</f>
        <v/>
      </c>
      <c r="AC192" s="117"/>
      <c r="AD192" s="116">
        <f t="shared" si="43"/>
        <v>0</v>
      </c>
      <c r="AE192" s="117"/>
      <c r="AF192" s="116" t="str">
        <f>IF(C192="3111. Logements",ROUND(VLOOKUP(C192,'Informations générales'!$C$66:$G$70,5,FALSE)*(AK192/$AL$27)/12,0)*12,IF(C192="3112. Logements",ROUND(VLOOKUP(C192,'Informations générales'!$C$66:$G$70,5,FALSE)*(AK192/$AM$27)/12,0)*12,IF(C192="3113. Logements",ROUND(VLOOKUP(C192,'Informations générales'!$C$66:$G$70,5,FALSE)*(AK192/$AN$27)/12,0)*12,IF(C192="3114. Logements",ROUND(VLOOKUP(C192,'Informations générales'!$C$66:$G$70,5,FALSE)*(AK192/$AO$27)/12,0)*12,IF(C192="3115. Logements",ROUND(VLOOKUP(C192,'Informations générales'!$C$66:$G$70,5,FALSE)*(AK192/$AP$27)/12,0)*12,"")))))</f>
        <v/>
      </c>
      <c r="AG192" s="117"/>
      <c r="AH192" s="116" t="str">
        <f t="shared" si="44"/>
        <v/>
      </c>
      <c r="AI192" s="92"/>
      <c r="AJ192" s="78"/>
      <c r="AK192" s="60">
        <f t="shared" si="45"/>
        <v>0</v>
      </c>
      <c r="AL192" s="60"/>
      <c r="AM192" s="60"/>
      <c r="AN192" s="60"/>
      <c r="AO192" s="60"/>
      <c r="AP192" s="60"/>
      <c r="AQ192" s="60">
        <f t="shared" si="33"/>
        <v>0</v>
      </c>
      <c r="AR192" s="60">
        <f t="shared" si="34"/>
        <v>0</v>
      </c>
      <c r="AS192" s="60">
        <f t="shared" si="35"/>
        <v>0</v>
      </c>
      <c r="AT192" s="60">
        <f t="shared" si="36"/>
        <v>0</v>
      </c>
      <c r="AU192" s="60">
        <f t="shared" si="37"/>
        <v>0</v>
      </c>
      <c r="AV192" s="60">
        <f t="shared" si="38"/>
        <v>0</v>
      </c>
      <c r="AW192" s="60">
        <f t="shared" si="39"/>
        <v>0</v>
      </c>
      <c r="AX192" s="60">
        <f t="shared" si="46"/>
        <v>0</v>
      </c>
      <c r="AY192" s="64">
        <f t="shared" si="47"/>
        <v>0</v>
      </c>
      <c r="AZ192" s="65">
        <f t="shared" si="40"/>
        <v>0</v>
      </c>
      <c r="BA192" s="65">
        <f t="shared" si="41"/>
        <v>0</v>
      </c>
    </row>
    <row r="193" spans="3:53" s="17" customFormat="1" x14ac:dyDescent="0.25">
      <c r="C193" s="194"/>
      <c r="D193" s="195"/>
      <c r="E193" s="90"/>
      <c r="F193" s="198"/>
      <c r="G193" s="214"/>
      <c r="H193" s="199"/>
      <c r="I193" s="78"/>
      <c r="J193" s="79"/>
      <c r="K193" s="78"/>
      <c r="L193" s="80"/>
      <c r="M193" s="80"/>
      <c r="N193" s="78" t="s">
        <v>39</v>
      </c>
      <c r="O193" s="113"/>
      <c r="P193" s="155"/>
      <c r="Q193" s="114" t="str">
        <f>IFERROR(MIN(VLOOKUP(ROUNDDOWN(P193,0),'Aide calcul'!$B$2:$C$282,2,FALSE),O193+1),"")</f>
        <v/>
      </c>
      <c r="R193" s="115" t="str">
        <f t="shared" si="42"/>
        <v/>
      </c>
      <c r="S193" s="155"/>
      <c r="T193" s="155"/>
      <c r="U193" s="155"/>
      <c r="V193" s="155"/>
      <c r="W193" s="155"/>
      <c r="X193" s="155"/>
      <c r="Y193" s="155"/>
      <c r="Z193" s="78"/>
      <c r="AA193" s="78"/>
      <c r="AB193" s="116" t="str">
        <f>IF(C193="3111. Logements",ROUND(VLOOKUP(C193,'Informations générales'!$C$66:$D$70,2,FALSE)*(AK193/$AL$27)/12,0)*12,IF(C193="3112. Logements",ROUND(VLOOKUP(C193,'Informations générales'!$C$66:$D$70,2,FALSE)*(AK193/$AM$27)/12,0)*12,IF(C193="3113. Logements",ROUND(VLOOKUP(C193,'Informations générales'!$C$66:$D$70,2,FALSE)*(AK193/$AN$27)/12,0)*12,IF(C193="3114. Logements",ROUND(VLOOKUP(C193,'Informations générales'!$C$66:$D$70,2,FALSE)*(AK193/$AO$27)/12,0)*12,IF(C193="3115. Logements",ROUND(VLOOKUP(C193,'Informations générales'!$C$66:$D$70,2,FALSE)*(AK193/$AP$27)/12,0)*12,"")))))</f>
        <v/>
      </c>
      <c r="AC193" s="117"/>
      <c r="AD193" s="116">
        <f t="shared" si="43"/>
        <v>0</v>
      </c>
      <c r="AE193" s="117"/>
      <c r="AF193" s="116" t="str">
        <f>IF(C193="3111. Logements",ROUND(VLOOKUP(C193,'Informations générales'!$C$66:$G$70,5,FALSE)*(AK193/$AL$27)/12,0)*12,IF(C193="3112. Logements",ROUND(VLOOKUP(C193,'Informations générales'!$C$66:$G$70,5,FALSE)*(AK193/$AM$27)/12,0)*12,IF(C193="3113. Logements",ROUND(VLOOKUP(C193,'Informations générales'!$C$66:$G$70,5,FALSE)*(AK193/$AN$27)/12,0)*12,IF(C193="3114. Logements",ROUND(VLOOKUP(C193,'Informations générales'!$C$66:$G$70,5,FALSE)*(AK193/$AO$27)/12,0)*12,IF(C193="3115. Logements",ROUND(VLOOKUP(C193,'Informations générales'!$C$66:$G$70,5,FALSE)*(AK193/$AP$27)/12,0)*12,"")))))</f>
        <v/>
      </c>
      <c r="AG193" s="117"/>
      <c r="AH193" s="116" t="str">
        <f t="shared" si="44"/>
        <v/>
      </c>
      <c r="AI193" s="92"/>
      <c r="AJ193" s="78"/>
      <c r="AK193" s="60">
        <f t="shared" si="45"/>
        <v>0</v>
      </c>
      <c r="AL193" s="60"/>
      <c r="AM193" s="60"/>
      <c r="AN193" s="60"/>
      <c r="AO193" s="60"/>
      <c r="AP193" s="60"/>
      <c r="AQ193" s="60">
        <f t="shared" si="33"/>
        <v>0</v>
      </c>
      <c r="AR193" s="60">
        <f t="shared" si="34"/>
        <v>0</v>
      </c>
      <c r="AS193" s="60">
        <f t="shared" si="35"/>
        <v>0</v>
      </c>
      <c r="AT193" s="60">
        <f t="shared" si="36"/>
        <v>0</v>
      </c>
      <c r="AU193" s="60">
        <f t="shared" si="37"/>
        <v>0</v>
      </c>
      <c r="AV193" s="60">
        <f t="shared" si="38"/>
        <v>0</v>
      </c>
      <c r="AW193" s="60">
        <f t="shared" si="39"/>
        <v>0</v>
      </c>
      <c r="AX193" s="60">
        <f t="shared" si="46"/>
        <v>0</v>
      </c>
      <c r="AY193" s="64">
        <f t="shared" si="47"/>
        <v>0</v>
      </c>
      <c r="AZ193" s="65">
        <f t="shared" si="40"/>
        <v>0</v>
      </c>
      <c r="BA193" s="65">
        <f t="shared" si="41"/>
        <v>0</v>
      </c>
    </row>
    <row r="194" spans="3:53" s="17" customFormat="1" x14ac:dyDescent="0.25">
      <c r="C194" s="194"/>
      <c r="D194" s="195"/>
      <c r="E194" s="90"/>
      <c r="F194" s="198"/>
      <c r="G194" s="214"/>
      <c r="H194" s="199"/>
      <c r="I194" s="78"/>
      <c r="J194" s="79"/>
      <c r="K194" s="78"/>
      <c r="L194" s="80"/>
      <c r="M194" s="80"/>
      <c r="N194" s="78" t="s">
        <v>39</v>
      </c>
      <c r="O194" s="113"/>
      <c r="P194" s="155"/>
      <c r="Q194" s="114" t="str">
        <f>IFERROR(MIN(VLOOKUP(ROUNDDOWN(P194,0),'Aide calcul'!$B$2:$C$282,2,FALSE),O194+1),"")</f>
        <v/>
      </c>
      <c r="R194" s="115" t="str">
        <f t="shared" si="42"/>
        <v/>
      </c>
      <c r="S194" s="155"/>
      <c r="T194" s="155"/>
      <c r="U194" s="155"/>
      <c r="V194" s="155"/>
      <c r="W194" s="155"/>
      <c r="X194" s="155"/>
      <c r="Y194" s="155"/>
      <c r="Z194" s="78"/>
      <c r="AA194" s="78"/>
      <c r="AB194" s="116" t="str">
        <f>IF(C194="3111. Logements",ROUND(VLOOKUP(C194,'Informations générales'!$C$66:$D$70,2,FALSE)*(AK194/$AL$27)/12,0)*12,IF(C194="3112. Logements",ROUND(VLOOKUP(C194,'Informations générales'!$C$66:$D$70,2,FALSE)*(AK194/$AM$27)/12,0)*12,IF(C194="3113. Logements",ROUND(VLOOKUP(C194,'Informations générales'!$C$66:$D$70,2,FALSE)*(AK194/$AN$27)/12,0)*12,IF(C194="3114. Logements",ROUND(VLOOKUP(C194,'Informations générales'!$C$66:$D$70,2,FALSE)*(AK194/$AO$27)/12,0)*12,IF(C194="3115. Logements",ROUND(VLOOKUP(C194,'Informations générales'!$C$66:$D$70,2,FALSE)*(AK194/$AP$27)/12,0)*12,"")))))</f>
        <v/>
      </c>
      <c r="AC194" s="117"/>
      <c r="AD194" s="116">
        <f t="shared" si="43"/>
        <v>0</v>
      </c>
      <c r="AE194" s="117"/>
      <c r="AF194" s="116" t="str">
        <f>IF(C194="3111. Logements",ROUND(VLOOKUP(C194,'Informations générales'!$C$66:$G$70,5,FALSE)*(AK194/$AL$27)/12,0)*12,IF(C194="3112. Logements",ROUND(VLOOKUP(C194,'Informations générales'!$C$66:$G$70,5,FALSE)*(AK194/$AM$27)/12,0)*12,IF(C194="3113. Logements",ROUND(VLOOKUP(C194,'Informations générales'!$C$66:$G$70,5,FALSE)*(AK194/$AN$27)/12,0)*12,IF(C194="3114. Logements",ROUND(VLOOKUP(C194,'Informations générales'!$C$66:$G$70,5,FALSE)*(AK194/$AO$27)/12,0)*12,IF(C194="3115. Logements",ROUND(VLOOKUP(C194,'Informations générales'!$C$66:$G$70,5,FALSE)*(AK194/$AP$27)/12,0)*12,"")))))</f>
        <v/>
      </c>
      <c r="AG194" s="117"/>
      <c r="AH194" s="116" t="str">
        <f t="shared" si="44"/>
        <v/>
      </c>
      <c r="AI194" s="92"/>
      <c r="AJ194" s="78"/>
      <c r="AK194" s="60">
        <f t="shared" si="45"/>
        <v>0</v>
      </c>
      <c r="AL194" s="60"/>
      <c r="AM194" s="60"/>
      <c r="AN194" s="60"/>
      <c r="AO194" s="60"/>
      <c r="AP194" s="60"/>
      <c r="AQ194" s="60">
        <f t="shared" si="33"/>
        <v>0</v>
      </c>
      <c r="AR194" s="60">
        <f t="shared" si="34"/>
        <v>0</v>
      </c>
      <c r="AS194" s="60">
        <f t="shared" si="35"/>
        <v>0</v>
      </c>
      <c r="AT194" s="60">
        <f t="shared" si="36"/>
        <v>0</v>
      </c>
      <c r="AU194" s="60">
        <f t="shared" si="37"/>
        <v>0</v>
      </c>
      <c r="AV194" s="60">
        <f t="shared" si="38"/>
        <v>0</v>
      </c>
      <c r="AW194" s="60">
        <f t="shared" si="39"/>
        <v>0</v>
      </c>
      <c r="AX194" s="60">
        <f t="shared" si="46"/>
        <v>0</v>
      </c>
      <c r="AY194" s="64">
        <f t="shared" si="47"/>
        <v>0</v>
      </c>
      <c r="AZ194" s="65">
        <f t="shared" si="40"/>
        <v>0</v>
      </c>
      <c r="BA194" s="65">
        <f t="shared" si="41"/>
        <v>0</v>
      </c>
    </row>
    <row r="195" spans="3:53" s="17" customFormat="1" x14ac:dyDescent="0.25">
      <c r="C195" s="194"/>
      <c r="D195" s="195"/>
      <c r="E195" s="90"/>
      <c r="F195" s="198"/>
      <c r="G195" s="214"/>
      <c r="H195" s="199"/>
      <c r="I195" s="78"/>
      <c r="J195" s="79"/>
      <c r="K195" s="78"/>
      <c r="L195" s="80"/>
      <c r="M195" s="80"/>
      <c r="N195" s="78" t="s">
        <v>39</v>
      </c>
      <c r="O195" s="113"/>
      <c r="P195" s="155"/>
      <c r="Q195" s="114" t="str">
        <f>IFERROR(MIN(VLOOKUP(ROUNDDOWN(P195,0),'Aide calcul'!$B$2:$C$282,2,FALSE),O195+1),"")</f>
        <v/>
      </c>
      <c r="R195" s="115" t="str">
        <f t="shared" si="42"/>
        <v/>
      </c>
      <c r="S195" s="155"/>
      <c r="T195" s="155"/>
      <c r="U195" s="155"/>
      <c r="V195" s="155"/>
      <c r="W195" s="155"/>
      <c r="X195" s="155"/>
      <c r="Y195" s="155"/>
      <c r="Z195" s="78"/>
      <c r="AA195" s="78"/>
      <c r="AB195" s="116" t="str">
        <f>IF(C195="3111. Logements",ROUND(VLOOKUP(C195,'Informations générales'!$C$66:$D$70,2,FALSE)*(AK195/$AL$27)/12,0)*12,IF(C195="3112. Logements",ROUND(VLOOKUP(C195,'Informations générales'!$C$66:$D$70,2,FALSE)*(AK195/$AM$27)/12,0)*12,IF(C195="3113. Logements",ROUND(VLOOKUP(C195,'Informations générales'!$C$66:$D$70,2,FALSE)*(AK195/$AN$27)/12,0)*12,IF(C195="3114. Logements",ROUND(VLOOKUP(C195,'Informations générales'!$C$66:$D$70,2,FALSE)*(AK195/$AO$27)/12,0)*12,IF(C195="3115. Logements",ROUND(VLOOKUP(C195,'Informations générales'!$C$66:$D$70,2,FALSE)*(AK195/$AP$27)/12,0)*12,"")))))</f>
        <v/>
      </c>
      <c r="AC195" s="117"/>
      <c r="AD195" s="116">
        <f t="shared" si="43"/>
        <v>0</v>
      </c>
      <c r="AE195" s="117"/>
      <c r="AF195" s="116" t="str">
        <f>IF(C195="3111. Logements",ROUND(VLOOKUP(C195,'Informations générales'!$C$66:$G$70,5,FALSE)*(AK195/$AL$27)/12,0)*12,IF(C195="3112. Logements",ROUND(VLOOKUP(C195,'Informations générales'!$C$66:$G$70,5,FALSE)*(AK195/$AM$27)/12,0)*12,IF(C195="3113. Logements",ROUND(VLOOKUP(C195,'Informations générales'!$C$66:$G$70,5,FALSE)*(AK195/$AN$27)/12,0)*12,IF(C195="3114. Logements",ROUND(VLOOKUP(C195,'Informations générales'!$C$66:$G$70,5,FALSE)*(AK195/$AO$27)/12,0)*12,IF(C195="3115. Logements",ROUND(VLOOKUP(C195,'Informations générales'!$C$66:$G$70,5,FALSE)*(AK195/$AP$27)/12,0)*12,"")))))</f>
        <v/>
      </c>
      <c r="AG195" s="117"/>
      <c r="AH195" s="116" t="str">
        <f t="shared" si="44"/>
        <v/>
      </c>
      <c r="AI195" s="92"/>
      <c r="AJ195" s="78"/>
      <c r="AK195" s="60">
        <f t="shared" si="45"/>
        <v>0</v>
      </c>
      <c r="AL195" s="60"/>
      <c r="AM195" s="60"/>
      <c r="AN195" s="60"/>
      <c r="AO195" s="60"/>
      <c r="AP195" s="60"/>
      <c r="AQ195" s="60">
        <f t="shared" si="33"/>
        <v>0</v>
      </c>
      <c r="AR195" s="60">
        <f t="shared" si="34"/>
        <v>0</v>
      </c>
      <c r="AS195" s="60">
        <f t="shared" si="35"/>
        <v>0</v>
      </c>
      <c r="AT195" s="60">
        <f t="shared" si="36"/>
        <v>0</v>
      </c>
      <c r="AU195" s="60">
        <f t="shared" si="37"/>
        <v>0</v>
      </c>
      <c r="AV195" s="60">
        <f t="shared" si="38"/>
        <v>0</v>
      </c>
      <c r="AW195" s="60">
        <f t="shared" si="39"/>
        <v>0</v>
      </c>
      <c r="AX195" s="60">
        <f t="shared" si="46"/>
        <v>0</v>
      </c>
      <c r="AY195" s="64">
        <f t="shared" si="47"/>
        <v>0</v>
      </c>
      <c r="AZ195" s="65">
        <f t="shared" si="40"/>
        <v>0</v>
      </c>
      <c r="BA195" s="65">
        <f t="shared" si="41"/>
        <v>0</v>
      </c>
    </row>
    <row r="196" spans="3:53" s="17" customFormat="1" x14ac:dyDescent="0.25">
      <c r="C196" s="194"/>
      <c r="D196" s="195"/>
      <c r="E196" s="90"/>
      <c r="F196" s="198"/>
      <c r="G196" s="214"/>
      <c r="H196" s="199"/>
      <c r="I196" s="78"/>
      <c r="J196" s="79"/>
      <c r="K196" s="78"/>
      <c r="L196" s="80"/>
      <c r="M196" s="80"/>
      <c r="N196" s="78" t="s">
        <v>39</v>
      </c>
      <c r="O196" s="113"/>
      <c r="P196" s="155"/>
      <c r="Q196" s="114" t="str">
        <f>IFERROR(MIN(VLOOKUP(ROUNDDOWN(P196,0),'Aide calcul'!$B$2:$C$282,2,FALSE),O196+1),"")</f>
        <v/>
      </c>
      <c r="R196" s="115" t="str">
        <f t="shared" si="42"/>
        <v/>
      </c>
      <c r="S196" s="155"/>
      <c r="T196" s="155"/>
      <c r="U196" s="155"/>
      <c r="V196" s="155"/>
      <c r="W196" s="155"/>
      <c r="X196" s="155"/>
      <c r="Y196" s="155"/>
      <c r="Z196" s="78"/>
      <c r="AA196" s="78"/>
      <c r="AB196" s="116" t="str">
        <f>IF(C196="3111. Logements",ROUND(VLOOKUP(C196,'Informations générales'!$C$66:$D$70,2,FALSE)*(AK196/$AL$27)/12,0)*12,IF(C196="3112. Logements",ROUND(VLOOKUP(C196,'Informations générales'!$C$66:$D$70,2,FALSE)*(AK196/$AM$27)/12,0)*12,IF(C196="3113. Logements",ROUND(VLOOKUP(C196,'Informations générales'!$C$66:$D$70,2,FALSE)*(AK196/$AN$27)/12,0)*12,IF(C196="3114. Logements",ROUND(VLOOKUP(C196,'Informations générales'!$C$66:$D$70,2,FALSE)*(AK196/$AO$27)/12,0)*12,IF(C196="3115. Logements",ROUND(VLOOKUP(C196,'Informations générales'!$C$66:$D$70,2,FALSE)*(AK196/$AP$27)/12,0)*12,"")))))</f>
        <v/>
      </c>
      <c r="AC196" s="117"/>
      <c r="AD196" s="116">
        <f t="shared" si="43"/>
        <v>0</v>
      </c>
      <c r="AE196" s="117"/>
      <c r="AF196" s="116" t="str">
        <f>IF(C196="3111. Logements",ROUND(VLOOKUP(C196,'Informations générales'!$C$66:$G$70,5,FALSE)*(AK196/$AL$27)/12,0)*12,IF(C196="3112. Logements",ROUND(VLOOKUP(C196,'Informations générales'!$C$66:$G$70,5,FALSE)*(AK196/$AM$27)/12,0)*12,IF(C196="3113. Logements",ROUND(VLOOKUP(C196,'Informations générales'!$C$66:$G$70,5,FALSE)*(AK196/$AN$27)/12,0)*12,IF(C196="3114. Logements",ROUND(VLOOKUP(C196,'Informations générales'!$C$66:$G$70,5,FALSE)*(AK196/$AO$27)/12,0)*12,IF(C196="3115. Logements",ROUND(VLOOKUP(C196,'Informations générales'!$C$66:$G$70,5,FALSE)*(AK196/$AP$27)/12,0)*12,"")))))</f>
        <v/>
      </c>
      <c r="AG196" s="117"/>
      <c r="AH196" s="116" t="str">
        <f t="shared" si="44"/>
        <v/>
      </c>
      <c r="AI196" s="92"/>
      <c r="AJ196" s="78"/>
      <c r="AK196" s="60">
        <f t="shared" si="45"/>
        <v>0</v>
      </c>
      <c r="AL196" s="60"/>
      <c r="AM196" s="60"/>
      <c r="AN196" s="60"/>
      <c r="AO196" s="60"/>
      <c r="AP196" s="60"/>
      <c r="AQ196" s="60">
        <f t="shared" si="33"/>
        <v>0</v>
      </c>
      <c r="AR196" s="60">
        <f t="shared" si="34"/>
        <v>0</v>
      </c>
      <c r="AS196" s="60">
        <f t="shared" si="35"/>
        <v>0</v>
      </c>
      <c r="AT196" s="60">
        <f t="shared" si="36"/>
        <v>0</v>
      </c>
      <c r="AU196" s="60">
        <f t="shared" si="37"/>
        <v>0</v>
      </c>
      <c r="AV196" s="60">
        <f t="shared" si="38"/>
        <v>0</v>
      </c>
      <c r="AW196" s="60">
        <f t="shared" si="39"/>
        <v>0</v>
      </c>
      <c r="AX196" s="60">
        <f t="shared" si="46"/>
        <v>0</v>
      </c>
      <c r="AY196" s="64">
        <f t="shared" si="47"/>
        <v>0</v>
      </c>
      <c r="AZ196" s="65">
        <f t="shared" si="40"/>
        <v>0</v>
      </c>
      <c r="BA196" s="65">
        <f t="shared" si="41"/>
        <v>0</v>
      </c>
    </row>
    <row r="197" spans="3:53" s="17" customFormat="1" x14ac:dyDescent="0.25">
      <c r="C197" s="194"/>
      <c r="D197" s="195"/>
      <c r="E197" s="90"/>
      <c r="F197" s="198"/>
      <c r="G197" s="214"/>
      <c r="H197" s="199"/>
      <c r="I197" s="78"/>
      <c r="J197" s="79"/>
      <c r="K197" s="78"/>
      <c r="L197" s="80"/>
      <c r="M197" s="80"/>
      <c r="N197" s="78" t="s">
        <v>39</v>
      </c>
      <c r="O197" s="113"/>
      <c r="P197" s="155"/>
      <c r="Q197" s="114" t="str">
        <f>IFERROR(MIN(VLOOKUP(ROUNDDOWN(P197,0),'Aide calcul'!$B$2:$C$282,2,FALSE),O197+1),"")</f>
        <v/>
      </c>
      <c r="R197" s="115" t="str">
        <f t="shared" si="42"/>
        <v/>
      </c>
      <c r="S197" s="155"/>
      <c r="T197" s="155"/>
      <c r="U197" s="155"/>
      <c r="V197" s="155"/>
      <c r="W197" s="155"/>
      <c r="X197" s="155"/>
      <c r="Y197" s="155"/>
      <c r="Z197" s="78"/>
      <c r="AA197" s="78"/>
      <c r="AB197" s="116" t="str">
        <f>IF(C197="3111. Logements",ROUND(VLOOKUP(C197,'Informations générales'!$C$66:$D$70,2,FALSE)*(AK197/$AL$27)/12,0)*12,IF(C197="3112. Logements",ROUND(VLOOKUP(C197,'Informations générales'!$C$66:$D$70,2,FALSE)*(AK197/$AM$27)/12,0)*12,IF(C197="3113. Logements",ROUND(VLOOKUP(C197,'Informations générales'!$C$66:$D$70,2,FALSE)*(AK197/$AN$27)/12,0)*12,IF(C197="3114. Logements",ROUND(VLOOKUP(C197,'Informations générales'!$C$66:$D$70,2,FALSE)*(AK197/$AO$27)/12,0)*12,IF(C197="3115. Logements",ROUND(VLOOKUP(C197,'Informations générales'!$C$66:$D$70,2,FALSE)*(AK197/$AP$27)/12,0)*12,"")))))</f>
        <v/>
      </c>
      <c r="AC197" s="117"/>
      <c r="AD197" s="116">
        <f t="shared" si="43"/>
        <v>0</v>
      </c>
      <c r="AE197" s="117"/>
      <c r="AF197" s="116" t="str">
        <f>IF(C197="3111. Logements",ROUND(VLOOKUP(C197,'Informations générales'!$C$66:$G$70,5,FALSE)*(AK197/$AL$27)/12,0)*12,IF(C197="3112. Logements",ROUND(VLOOKUP(C197,'Informations générales'!$C$66:$G$70,5,FALSE)*(AK197/$AM$27)/12,0)*12,IF(C197="3113. Logements",ROUND(VLOOKUP(C197,'Informations générales'!$C$66:$G$70,5,FALSE)*(AK197/$AN$27)/12,0)*12,IF(C197="3114. Logements",ROUND(VLOOKUP(C197,'Informations générales'!$C$66:$G$70,5,FALSE)*(AK197/$AO$27)/12,0)*12,IF(C197="3115. Logements",ROUND(VLOOKUP(C197,'Informations générales'!$C$66:$G$70,5,FALSE)*(AK197/$AP$27)/12,0)*12,"")))))</f>
        <v/>
      </c>
      <c r="AG197" s="117"/>
      <c r="AH197" s="116" t="str">
        <f t="shared" si="44"/>
        <v/>
      </c>
      <c r="AI197" s="92"/>
      <c r="AJ197" s="78"/>
      <c r="AK197" s="60">
        <f t="shared" si="45"/>
        <v>0</v>
      </c>
      <c r="AL197" s="60"/>
      <c r="AM197" s="60"/>
      <c r="AN197" s="60"/>
      <c r="AO197" s="60"/>
      <c r="AP197" s="60"/>
      <c r="AQ197" s="60">
        <f t="shared" si="33"/>
        <v>0</v>
      </c>
      <c r="AR197" s="60">
        <f t="shared" si="34"/>
        <v>0</v>
      </c>
      <c r="AS197" s="60">
        <f t="shared" si="35"/>
        <v>0</v>
      </c>
      <c r="AT197" s="60">
        <f t="shared" si="36"/>
        <v>0</v>
      </c>
      <c r="AU197" s="60">
        <f t="shared" si="37"/>
        <v>0</v>
      </c>
      <c r="AV197" s="60">
        <f t="shared" si="38"/>
        <v>0</v>
      </c>
      <c r="AW197" s="60">
        <f t="shared" si="39"/>
        <v>0</v>
      </c>
      <c r="AX197" s="60">
        <f t="shared" si="46"/>
        <v>0</v>
      </c>
      <c r="AY197" s="64">
        <f t="shared" si="47"/>
        <v>0</v>
      </c>
      <c r="AZ197" s="65">
        <f t="shared" si="40"/>
        <v>0</v>
      </c>
      <c r="BA197" s="65">
        <f t="shared" si="41"/>
        <v>0</v>
      </c>
    </row>
    <row r="198" spans="3:53" s="17" customFormat="1" x14ac:dyDescent="0.25">
      <c r="C198" s="194"/>
      <c r="D198" s="195"/>
      <c r="E198" s="90"/>
      <c r="F198" s="198"/>
      <c r="G198" s="214"/>
      <c r="H198" s="199"/>
      <c r="I198" s="78"/>
      <c r="J198" s="79"/>
      <c r="K198" s="78"/>
      <c r="L198" s="80"/>
      <c r="M198" s="80"/>
      <c r="N198" s="78" t="s">
        <v>39</v>
      </c>
      <c r="O198" s="113"/>
      <c r="P198" s="155"/>
      <c r="Q198" s="114" t="str">
        <f>IFERROR(MIN(VLOOKUP(ROUNDDOWN(P198,0),'Aide calcul'!$B$2:$C$282,2,FALSE),O198+1),"")</f>
        <v/>
      </c>
      <c r="R198" s="115" t="str">
        <f t="shared" si="42"/>
        <v/>
      </c>
      <c r="S198" s="155"/>
      <c r="T198" s="155"/>
      <c r="U198" s="155"/>
      <c r="V198" s="155"/>
      <c r="W198" s="155"/>
      <c r="X198" s="155"/>
      <c r="Y198" s="155"/>
      <c r="Z198" s="78"/>
      <c r="AA198" s="78"/>
      <c r="AB198" s="116" t="str">
        <f>IF(C198="3111. Logements",ROUND(VLOOKUP(C198,'Informations générales'!$C$66:$D$70,2,FALSE)*(AK198/$AL$27)/12,0)*12,IF(C198="3112. Logements",ROUND(VLOOKUP(C198,'Informations générales'!$C$66:$D$70,2,FALSE)*(AK198/$AM$27)/12,0)*12,IF(C198="3113. Logements",ROUND(VLOOKUP(C198,'Informations générales'!$C$66:$D$70,2,FALSE)*(AK198/$AN$27)/12,0)*12,IF(C198="3114. Logements",ROUND(VLOOKUP(C198,'Informations générales'!$C$66:$D$70,2,FALSE)*(AK198/$AO$27)/12,0)*12,IF(C198="3115. Logements",ROUND(VLOOKUP(C198,'Informations générales'!$C$66:$D$70,2,FALSE)*(AK198/$AP$27)/12,0)*12,"")))))</f>
        <v/>
      </c>
      <c r="AC198" s="117"/>
      <c r="AD198" s="116">
        <f t="shared" si="43"/>
        <v>0</v>
      </c>
      <c r="AE198" s="117"/>
      <c r="AF198" s="116" t="str">
        <f>IF(C198="3111. Logements",ROUND(VLOOKUP(C198,'Informations générales'!$C$66:$G$70,5,FALSE)*(AK198/$AL$27)/12,0)*12,IF(C198="3112. Logements",ROUND(VLOOKUP(C198,'Informations générales'!$C$66:$G$70,5,FALSE)*(AK198/$AM$27)/12,0)*12,IF(C198="3113. Logements",ROUND(VLOOKUP(C198,'Informations générales'!$C$66:$G$70,5,FALSE)*(AK198/$AN$27)/12,0)*12,IF(C198="3114. Logements",ROUND(VLOOKUP(C198,'Informations générales'!$C$66:$G$70,5,FALSE)*(AK198/$AO$27)/12,0)*12,IF(C198="3115. Logements",ROUND(VLOOKUP(C198,'Informations générales'!$C$66:$G$70,5,FALSE)*(AK198/$AP$27)/12,0)*12,"")))))</f>
        <v/>
      </c>
      <c r="AG198" s="117"/>
      <c r="AH198" s="116" t="str">
        <f t="shared" si="44"/>
        <v/>
      </c>
      <c r="AI198" s="92"/>
      <c r="AJ198" s="78"/>
      <c r="AK198" s="60">
        <f t="shared" si="45"/>
        <v>0</v>
      </c>
      <c r="AL198" s="60"/>
      <c r="AM198" s="60"/>
      <c r="AN198" s="60"/>
      <c r="AO198" s="60"/>
      <c r="AP198" s="60"/>
      <c r="AQ198" s="60">
        <f t="shared" si="33"/>
        <v>0</v>
      </c>
      <c r="AR198" s="60">
        <f t="shared" si="34"/>
        <v>0</v>
      </c>
      <c r="AS198" s="60">
        <f t="shared" si="35"/>
        <v>0</v>
      </c>
      <c r="AT198" s="60">
        <f t="shared" si="36"/>
        <v>0</v>
      </c>
      <c r="AU198" s="60">
        <f t="shared" si="37"/>
        <v>0</v>
      </c>
      <c r="AV198" s="60">
        <f t="shared" si="38"/>
        <v>0</v>
      </c>
      <c r="AW198" s="60">
        <f t="shared" si="39"/>
        <v>0</v>
      </c>
      <c r="AX198" s="60">
        <f t="shared" si="46"/>
        <v>0</v>
      </c>
      <c r="AY198" s="64">
        <f t="shared" si="47"/>
        <v>0</v>
      </c>
      <c r="AZ198" s="65">
        <f t="shared" si="40"/>
        <v>0</v>
      </c>
      <c r="BA198" s="65">
        <f t="shared" si="41"/>
        <v>0</v>
      </c>
    </row>
    <row r="199" spans="3:53" s="17" customFormat="1" x14ac:dyDescent="0.25">
      <c r="C199" s="194"/>
      <c r="D199" s="195"/>
      <c r="E199" s="90"/>
      <c r="F199" s="198"/>
      <c r="G199" s="214"/>
      <c r="H199" s="199"/>
      <c r="I199" s="78"/>
      <c r="J199" s="79"/>
      <c r="K199" s="78"/>
      <c r="L199" s="80"/>
      <c r="M199" s="80"/>
      <c r="N199" s="78" t="s">
        <v>39</v>
      </c>
      <c r="O199" s="113"/>
      <c r="P199" s="155"/>
      <c r="Q199" s="114" t="str">
        <f>IFERROR(MIN(VLOOKUP(ROUNDDOWN(P199,0),'Aide calcul'!$B$2:$C$282,2,FALSE),O199+1),"")</f>
        <v/>
      </c>
      <c r="R199" s="115" t="str">
        <f t="shared" si="42"/>
        <v/>
      </c>
      <c r="S199" s="155"/>
      <c r="T199" s="155"/>
      <c r="U199" s="155"/>
      <c r="V199" s="155"/>
      <c r="W199" s="155"/>
      <c r="X199" s="155"/>
      <c r="Y199" s="155"/>
      <c r="Z199" s="78"/>
      <c r="AA199" s="78"/>
      <c r="AB199" s="116" t="str">
        <f>IF(C199="3111. Logements",ROUND(VLOOKUP(C199,'Informations générales'!$C$66:$D$70,2,FALSE)*(AK199/$AL$27)/12,0)*12,IF(C199="3112. Logements",ROUND(VLOOKUP(C199,'Informations générales'!$C$66:$D$70,2,FALSE)*(AK199/$AM$27)/12,0)*12,IF(C199="3113. Logements",ROUND(VLOOKUP(C199,'Informations générales'!$C$66:$D$70,2,FALSE)*(AK199/$AN$27)/12,0)*12,IF(C199="3114. Logements",ROUND(VLOOKUP(C199,'Informations générales'!$C$66:$D$70,2,FALSE)*(AK199/$AO$27)/12,0)*12,IF(C199="3115. Logements",ROUND(VLOOKUP(C199,'Informations générales'!$C$66:$D$70,2,FALSE)*(AK199/$AP$27)/12,0)*12,"")))))</f>
        <v/>
      </c>
      <c r="AC199" s="117"/>
      <c r="AD199" s="116">
        <f t="shared" si="43"/>
        <v>0</v>
      </c>
      <c r="AE199" s="117"/>
      <c r="AF199" s="116" t="str">
        <f>IF(C199="3111. Logements",ROUND(VLOOKUP(C199,'Informations générales'!$C$66:$G$70,5,FALSE)*(AK199/$AL$27)/12,0)*12,IF(C199="3112. Logements",ROUND(VLOOKUP(C199,'Informations générales'!$C$66:$G$70,5,FALSE)*(AK199/$AM$27)/12,0)*12,IF(C199="3113. Logements",ROUND(VLOOKUP(C199,'Informations générales'!$C$66:$G$70,5,FALSE)*(AK199/$AN$27)/12,0)*12,IF(C199="3114. Logements",ROUND(VLOOKUP(C199,'Informations générales'!$C$66:$G$70,5,FALSE)*(AK199/$AO$27)/12,0)*12,IF(C199="3115. Logements",ROUND(VLOOKUP(C199,'Informations générales'!$C$66:$G$70,5,FALSE)*(AK199/$AP$27)/12,0)*12,"")))))</f>
        <v/>
      </c>
      <c r="AG199" s="117"/>
      <c r="AH199" s="116" t="str">
        <f t="shared" si="44"/>
        <v/>
      </c>
      <c r="AI199" s="92"/>
      <c r="AJ199" s="78"/>
      <c r="AK199" s="60">
        <f t="shared" si="45"/>
        <v>0</v>
      </c>
      <c r="AL199" s="60"/>
      <c r="AM199" s="60"/>
      <c r="AN199" s="60"/>
      <c r="AO199" s="60"/>
      <c r="AP199" s="60"/>
      <c r="AQ199" s="60">
        <f t="shared" si="33"/>
        <v>0</v>
      </c>
      <c r="AR199" s="60">
        <f t="shared" si="34"/>
        <v>0</v>
      </c>
      <c r="AS199" s="60">
        <f t="shared" si="35"/>
        <v>0</v>
      </c>
      <c r="AT199" s="60">
        <f t="shared" si="36"/>
        <v>0</v>
      </c>
      <c r="AU199" s="60">
        <f t="shared" si="37"/>
        <v>0</v>
      </c>
      <c r="AV199" s="60">
        <f t="shared" si="38"/>
        <v>0</v>
      </c>
      <c r="AW199" s="60">
        <f t="shared" si="39"/>
        <v>0</v>
      </c>
      <c r="AX199" s="60">
        <f t="shared" si="46"/>
        <v>0</v>
      </c>
      <c r="AY199" s="64">
        <f t="shared" si="47"/>
        <v>0</v>
      </c>
      <c r="AZ199" s="65">
        <f t="shared" si="40"/>
        <v>0</v>
      </c>
      <c r="BA199" s="65">
        <f t="shared" si="41"/>
        <v>0</v>
      </c>
    </row>
    <row r="200" spans="3:53" s="17" customFormat="1" x14ac:dyDescent="0.25">
      <c r="C200" s="194"/>
      <c r="D200" s="195"/>
      <c r="E200" s="90"/>
      <c r="F200" s="198"/>
      <c r="G200" s="214"/>
      <c r="H200" s="199"/>
      <c r="I200" s="78"/>
      <c r="J200" s="79"/>
      <c r="K200" s="78"/>
      <c r="L200" s="80"/>
      <c r="M200" s="80"/>
      <c r="N200" s="78" t="s">
        <v>39</v>
      </c>
      <c r="O200" s="113"/>
      <c r="P200" s="155"/>
      <c r="Q200" s="114" t="str">
        <f>IFERROR(MIN(VLOOKUP(ROUNDDOWN(P200,0),'Aide calcul'!$B$2:$C$282,2,FALSE),O200+1),"")</f>
        <v/>
      </c>
      <c r="R200" s="115" t="str">
        <f t="shared" si="42"/>
        <v/>
      </c>
      <c r="S200" s="155"/>
      <c r="T200" s="155"/>
      <c r="U200" s="155"/>
      <c r="V200" s="155"/>
      <c r="W200" s="155"/>
      <c r="X200" s="155"/>
      <c r="Y200" s="155"/>
      <c r="Z200" s="78"/>
      <c r="AA200" s="78"/>
      <c r="AB200" s="116" t="str">
        <f>IF(C200="3111. Logements",ROUND(VLOOKUP(C200,'Informations générales'!$C$66:$D$70,2,FALSE)*(AK200/$AL$27)/12,0)*12,IF(C200="3112. Logements",ROUND(VLOOKUP(C200,'Informations générales'!$C$66:$D$70,2,FALSE)*(AK200/$AM$27)/12,0)*12,IF(C200="3113. Logements",ROUND(VLOOKUP(C200,'Informations générales'!$C$66:$D$70,2,FALSE)*(AK200/$AN$27)/12,0)*12,IF(C200="3114. Logements",ROUND(VLOOKUP(C200,'Informations générales'!$C$66:$D$70,2,FALSE)*(AK200/$AO$27)/12,0)*12,IF(C200="3115. Logements",ROUND(VLOOKUP(C200,'Informations générales'!$C$66:$D$70,2,FALSE)*(AK200/$AP$27)/12,0)*12,"")))))</f>
        <v/>
      </c>
      <c r="AC200" s="117"/>
      <c r="AD200" s="116">
        <f t="shared" si="43"/>
        <v>0</v>
      </c>
      <c r="AE200" s="117"/>
      <c r="AF200" s="116" t="str">
        <f>IF(C200="3111. Logements",ROUND(VLOOKUP(C200,'Informations générales'!$C$66:$G$70,5,FALSE)*(AK200/$AL$27)/12,0)*12,IF(C200="3112. Logements",ROUND(VLOOKUP(C200,'Informations générales'!$C$66:$G$70,5,FALSE)*(AK200/$AM$27)/12,0)*12,IF(C200="3113. Logements",ROUND(VLOOKUP(C200,'Informations générales'!$C$66:$G$70,5,FALSE)*(AK200/$AN$27)/12,0)*12,IF(C200="3114. Logements",ROUND(VLOOKUP(C200,'Informations générales'!$C$66:$G$70,5,FALSE)*(AK200/$AO$27)/12,0)*12,IF(C200="3115. Logements",ROUND(VLOOKUP(C200,'Informations générales'!$C$66:$G$70,5,FALSE)*(AK200/$AP$27)/12,0)*12,"")))))</f>
        <v/>
      </c>
      <c r="AG200" s="117"/>
      <c r="AH200" s="116" t="str">
        <f t="shared" si="44"/>
        <v/>
      </c>
      <c r="AI200" s="92"/>
      <c r="AJ200" s="78"/>
      <c r="AK200" s="60">
        <f t="shared" si="45"/>
        <v>0</v>
      </c>
      <c r="AL200" s="60"/>
      <c r="AM200" s="60"/>
      <c r="AN200" s="60"/>
      <c r="AO200" s="60"/>
      <c r="AP200" s="60"/>
      <c r="AQ200" s="60">
        <f t="shared" si="33"/>
        <v>0</v>
      </c>
      <c r="AR200" s="60">
        <f t="shared" si="34"/>
        <v>0</v>
      </c>
      <c r="AS200" s="60">
        <f t="shared" si="35"/>
        <v>0</v>
      </c>
      <c r="AT200" s="60">
        <f t="shared" si="36"/>
        <v>0</v>
      </c>
      <c r="AU200" s="60">
        <f t="shared" si="37"/>
        <v>0</v>
      </c>
      <c r="AV200" s="60">
        <f t="shared" si="38"/>
        <v>0</v>
      </c>
      <c r="AW200" s="60">
        <f t="shared" si="39"/>
        <v>0</v>
      </c>
      <c r="AX200" s="60">
        <f t="shared" si="46"/>
        <v>0</v>
      </c>
      <c r="AY200" s="64">
        <f t="shared" si="47"/>
        <v>0</v>
      </c>
      <c r="AZ200" s="65">
        <f t="shared" si="40"/>
        <v>0</v>
      </c>
      <c r="BA200" s="65">
        <f t="shared" si="41"/>
        <v>0</v>
      </c>
    </row>
    <row r="201" spans="3:53" s="17" customFormat="1" x14ac:dyDescent="0.25">
      <c r="C201" s="194"/>
      <c r="D201" s="195"/>
      <c r="E201" s="90"/>
      <c r="F201" s="198"/>
      <c r="G201" s="214"/>
      <c r="H201" s="199"/>
      <c r="I201" s="78"/>
      <c r="J201" s="79"/>
      <c r="K201" s="78"/>
      <c r="L201" s="80"/>
      <c r="M201" s="80"/>
      <c r="N201" s="78" t="s">
        <v>39</v>
      </c>
      <c r="O201" s="113"/>
      <c r="P201" s="155"/>
      <c r="Q201" s="114" t="str">
        <f>IFERROR(MIN(VLOOKUP(ROUNDDOWN(P201,0),'Aide calcul'!$B$2:$C$282,2,FALSE),O201+1),"")</f>
        <v/>
      </c>
      <c r="R201" s="115" t="str">
        <f t="shared" si="42"/>
        <v/>
      </c>
      <c r="S201" s="155"/>
      <c r="T201" s="155"/>
      <c r="U201" s="155"/>
      <c r="V201" s="155"/>
      <c r="W201" s="155"/>
      <c r="X201" s="155"/>
      <c r="Y201" s="155"/>
      <c r="Z201" s="78"/>
      <c r="AA201" s="78"/>
      <c r="AB201" s="116" t="str">
        <f>IF(C201="3111. Logements",ROUND(VLOOKUP(C201,'Informations générales'!$C$66:$D$70,2,FALSE)*(AK201/$AL$27)/12,0)*12,IF(C201="3112. Logements",ROUND(VLOOKUP(C201,'Informations générales'!$C$66:$D$70,2,FALSE)*(AK201/$AM$27)/12,0)*12,IF(C201="3113. Logements",ROUND(VLOOKUP(C201,'Informations générales'!$C$66:$D$70,2,FALSE)*(AK201/$AN$27)/12,0)*12,IF(C201="3114. Logements",ROUND(VLOOKUP(C201,'Informations générales'!$C$66:$D$70,2,FALSE)*(AK201/$AO$27)/12,0)*12,IF(C201="3115. Logements",ROUND(VLOOKUP(C201,'Informations générales'!$C$66:$D$70,2,FALSE)*(AK201/$AP$27)/12,0)*12,"")))))</f>
        <v/>
      </c>
      <c r="AC201" s="117"/>
      <c r="AD201" s="116">
        <f t="shared" si="43"/>
        <v>0</v>
      </c>
      <c r="AE201" s="117"/>
      <c r="AF201" s="116" t="str">
        <f>IF(C201="3111. Logements",ROUND(VLOOKUP(C201,'Informations générales'!$C$66:$G$70,5,FALSE)*(AK201/$AL$27)/12,0)*12,IF(C201="3112. Logements",ROUND(VLOOKUP(C201,'Informations générales'!$C$66:$G$70,5,FALSE)*(AK201/$AM$27)/12,0)*12,IF(C201="3113. Logements",ROUND(VLOOKUP(C201,'Informations générales'!$C$66:$G$70,5,FALSE)*(AK201/$AN$27)/12,0)*12,IF(C201="3114. Logements",ROUND(VLOOKUP(C201,'Informations générales'!$C$66:$G$70,5,FALSE)*(AK201/$AO$27)/12,0)*12,IF(C201="3115. Logements",ROUND(VLOOKUP(C201,'Informations générales'!$C$66:$G$70,5,FALSE)*(AK201/$AP$27)/12,0)*12,"")))))</f>
        <v/>
      </c>
      <c r="AG201" s="117"/>
      <c r="AH201" s="116" t="str">
        <f t="shared" si="44"/>
        <v/>
      </c>
      <c r="AI201" s="92"/>
      <c r="AJ201" s="78"/>
      <c r="AK201" s="60">
        <f t="shared" si="45"/>
        <v>0</v>
      </c>
      <c r="AL201" s="60"/>
      <c r="AM201" s="60"/>
      <c r="AN201" s="60"/>
      <c r="AO201" s="60"/>
      <c r="AP201" s="60"/>
      <c r="AQ201" s="60">
        <f t="shared" si="33"/>
        <v>0</v>
      </c>
      <c r="AR201" s="60">
        <f t="shared" si="34"/>
        <v>0</v>
      </c>
      <c r="AS201" s="60">
        <f t="shared" si="35"/>
        <v>0</v>
      </c>
      <c r="AT201" s="60">
        <f t="shared" si="36"/>
        <v>0</v>
      </c>
      <c r="AU201" s="60">
        <f t="shared" si="37"/>
        <v>0</v>
      </c>
      <c r="AV201" s="60">
        <f t="shared" si="38"/>
        <v>0</v>
      </c>
      <c r="AW201" s="60">
        <f t="shared" si="39"/>
        <v>0</v>
      </c>
      <c r="AX201" s="60">
        <f t="shared" si="46"/>
        <v>0</v>
      </c>
      <c r="AY201" s="64">
        <f t="shared" si="47"/>
        <v>0</v>
      </c>
      <c r="AZ201" s="65">
        <f t="shared" si="40"/>
        <v>0</v>
      </c>
      <c r="BA201" s="65">
        <f t="shared" si="41"/>
        <v>0</v>
      </c>
    </row>
    <row r="202" spans="3:53" s="17" customFormat="1" x14ac:dyDescent="0.25">
      <c r="C202" s="194"/>
      <c r="D202" s="195"/>
      <c r="E202" s="90"/>
      <c r="F202" s="198"/>
      <c r="G202" s="214"/>
      <c r="H202" s="199"/>
      <c r="I202" s="78"/>
      <c r="J202" s="79"/>
      <c r="K202" s="78"/>
      <c r="L202" s="80"/>
      <c r="M202" s="80"/>
      <c r="N202" s="78" t="s">
        <v>39</v>
      </c>
      <c r="O202" s="113"/>
      <c r="P202" s="155"/>
      <c r="Q202" s="114" t="str">
        <f>IFERROR(MIN(VLOOKUP(ROUNDDOWN(P202,0),'Aide calcul'!$B$2:$C$282,2,FALSE),O202+1),"")</f>
        <v/>
      </c>
      <c r="R202" s="115" t="str">
        <f t="shared" si="42"/>
        <v/>
      </c>
      <c r="S202" s="155"/>
      <c r="T202" s="155"/>
      <c r="U202" s="155"/>
      <c r="V202" s="155"/>
      <c r="W202" s="155"/>
      <c r="X202" s="155"/>
      <c r="Y202" s="155"/>
      <c r="Z202" s="78"/>
      <c r="AA202" s="78"/>
      <c r="AB202" s="116" t="str">
        <f>IF(C202="3111. Logements",ROUND(VLOOKUP(C202,'Informations générales'!$C$66:$D$70,2,FALSE)*(AK202/$AL$27)/12,0)*12,IF(C202="3112. Logements",ROUND(VLOOKUP(C202,'Informations générales'!$C$66:$D$70,2,FALSE)*(AK202/$AM$27)/12,0)*12,IF(C202="3113. Logements",ROUND(VLOOKUP(C202,'Informations générales'!$C$66:$D$70,2,FALSE)*(AK202/$AN$27)/12,0)*12,IF(C202="3114. Logements",ROUND(VLOOKUP(C202,'Informations générales'!$C$66:$D$70,2,FALSE)*(AK202/$AO$27)/12,0)*12,IF(C202="3115. Logements",ROUND(VLOOKUP(C202,'Informations générales'!$C$66:$D$70,2,FALSE)*(AK202/$AP$27)/12,0)*12,"")))))</f>
        <v/>
      </c>
      <c r="AC202" s="117"/>
      <c r="AD202" s="116">
        <f t="shared" si="43"/>
        <v>0</v>
      </c>
      <c r="AE202" s="117"/>
      <c r="AF202" s="116" t="str">
        <f>IF(C202="3111. Logements",ROUND(VLOOKUP(C202,'Informations générales'!$C$66:$G$70,5,FALSE)*(AK202/$AL$27)/12,0)*12,IF(C202="3112. Logements",ROUND(VLOOKUP(C202,'Informations générales'!$C$66:$G$70,5,FALSE)*(AK202/$AM$27)/12,0)*12,IF(C202="3113. Logements",ROUND(VLOOKUP(C202,'Informations générales'!$C$66:$G$70,5,FALSE)*(AK202/$AN$27)/12,0)*12,IF(C202="3114. Logements",ROUND(VLOOKUP(C202,'Informations générales'!$C$66:$G$70,5,FALSE)*(AK202/$AO$27)/12,0)*12,IF(C202="3115. Logements",ROUND(VLOOKUP(C202,'Informations générales'!$C$66:$G$70,5,FALSE)*(AK202/$AP$27)/12,0)*12,"")))))</f>
        <v/>
      </c>
      <c r="AG202" s="117"/>
      <c r="AH202" s="116" t="str">
        <f t="shared" si="44"/>
        <v/>
      </c>
      <c r="AI202" s="92"/>
      <c r="AJ202" s="78"/>
      <c r="AK202" s="60">
        <f t="shared" si="45"/>
        <v>0</v>
      </c>
      <c r="AL202" s="60"/>
      <c r="AM202" s="60"/>
      <c r="AN202" s="60"/>
      <c r="AO202" s="60"/>
      <c r="AP202" s="60"/>
      <c r="AQ202" s="60">
        <f t="shared" si="33"/>
        <v>0</v>
      </c>
      <c r="AR202" s="60">
        <f t="shared" si="34"/>
        <v>0</v>
      </c>
      <c r="AS202" s="60">
        <f t="shared" si="35"/>
        <v>0</v>
      </c>
      <c r="AT202" s="60">
        <f t="shared" si="36"/>
        <v>0</v>
      </c>
      <c r="AU202" s="60">
        <f t="shared" si="37"/>
        <v>0</v>
      </c>
      <c r="AV202" s="60">
        <f t="shared" si="38"/>
        <v>0</v>
      </c>
      <c r="AW202" s="60">
        <f t="shared" si="39"/>
        <v>0</v>
      </c>
      <c r="AX202" s="60">
        <f t="shared" si="46"/>
        <v>0</v>
      </c>
      <c r="AY202" s="64">
        <f t="shared" si="47"/>
        <v>0</v>
      </c>
      <c r="AZ202" s="65">
        <f t="shared" si="40"/>
        <v>0</v>
      </c>
      <c r="BA202" s="65">
        <f t="shared" si="41"/>
        <v>0</v>
      </c>
    </row>
    <row r="203" spans="3:53" s="17" customFormat="1" x14ac:dyDescent="0.25">
      <c r="C203" s="194"/>
      <c r="D203" s="195"/>
      <c r="E203" s="90"/>
      <c r="F203" s="198"/>
      <c r="G203" s="214"/>
      <c r="H203" s="199"/>
      <c r="I203" s="78"/>
      <c r="J203" s="79"/>
      <c r="K203" s="78"/>
      <c r="L203" s="80"/>
      <c r="M203" s="80"/>
      <c r="N203" s="78" t="s">
        <v>39</v>
      </c>
      <c r="O203" s="113"/>
      <c r="P203" s="155"/>
      <c r="Q203" s="114" t="str">
        <f>IFERROR(MIN(VLOOKUP(ROUNDDOWN(P203,0),'Aide calcul'!$B$2:$C$282,2,FALSE),O203+1),"")</f>
        <v/>
      </c>
      <c r="R203" s="115" t="str">
        <f t="shared" si="42"/>
        <v/>
      </c>
      <c r="S203" s="155"/>
      <c r="T203" s="155"/>
      <c r="U203" s="155"/>
      <c r="V203" s="155"/>
      <c r="W203" s="155"/>
      <c r="X203" s="155"/>
      <c r="Y203" s="155"/>
      <c r="Z203" s="78"/>
      <c r="AA203" s="78"/>
      <c r="AB203" s="116" t="str">
        <f>IF(C203="3111. Logements",ROUND(VLOOKUP(C203,'Informations générales'!$C$66:$D$70,2,FALSE)*(AK203/$AL$27)/12,0)*12,IF(C203="3112. Logements",ROUND(VLOOKUP(C203,'Informations générales'!$C$66:$D$70,2,FALSE)*(AK203/$AM$27)/12,0)*12,IF(C203="3113. Logements",ROUND(VLOOKUP(C203,'Informations générales'!$C$66:$D$70,2,FALSE)*(AK203/$AN$27)/12,0)*12,IF(C203="3114. Logements",ROUND(VLOOKUP(C203,'Informations générales'!$C$66:$D$70,2,FALSE)*(AK203/$AO$27)/12,0)*12,IF(C203="3115. Logements",ROUND(VLOOKUP(C203,'Informations générales'!$C$66:$D$70,2,FALSE)*(AK203/$AP$27)/12,0)*12,"")))))</f>
        <v/>
      </c>
      <c r="AC203" s="117"/>
      <c r="AD203" s="116">
        <f t="shared" si="43"/>
        <v>0</v>
      </c>
      <c r="AE203" s="117"/>
      <c r="AF203" s="116" t="str">
        <f>IF(C203="3111. Logements",ROUND(VLOOKUP(C203,'Informations générales'!$C$66:$G$70,5,FALSE)*(AK203/$AL$27)/12,0)*12,IF(C203="3112. Logements",ROUND(VLOOKUP(C203,'Informations générales'!$C$66:$G$70,5,FALSE)*(AK203/$AM$27)/12,0)*12,IF(C203="3113. Logements",ROUND(VLOOKUP(C203,'Informations générales'!$C$66:$G$70,5,FALSE)*(AK203/$AN$27)/12,0)*12,IF(C203="3114. Logements",ROUND(VLOOKUP(C203,'Informations générales'!$C$66:$G$70,5,FALSE)*(AK203/$AO$27)/12,0)*12,IF(C203="3115. Logements",ROUND(VLOOKUP(C203,'Informations générales'!$C$66:$G$70,5,FALSE)*(AK203/$AP$27)/12,0)*12,"")))))</f>
        <v/>
      </c>
      <c r="AG203" s="117"/>
      <c r="AH203" s="116" t="str">
        <f t="shared" si="44"/>
        <v/>
      </c>
      <c r="AI203" s="92"/>
      <c r="AJ203" s="78"/>
      <c r="AK203" s="60">
        <f t="shared" si="45"/>
        <v>0</v>
      </c>
      <c r="AL203" s="60"/>
      <c r="AM203" s="60"/>
      <c r="AN203" s="60"/>
      <c r="AO203" s="60"/>
      <c r="AP203" s="60"/>
      <c r="AQ203" s="60">
        <f t="shared" si="33"/>
        <v>0</v>
      </c>
      <c r="AR203" s="60">
        <f t="shared" si="34"/>
        <v>0</v>
      </c>
      <c r="AS203" s="60">
        <f t="shared" si="35"/>
        <v>0</v>
      </c>
      <c r="AT203" s="60">
        <f t="shared" si="36"/>
        <v>0</v>
      </c>
      <c r="AU203" s="60">
        <f t="shared" si="37"/>
        <v>0</v>
      </c>
      <c r="AV203" s="60">
        <f t="shared" si="38"/>
        <v>0</v>
      </c>
      <c r="AW203" s="60">
        <f t="shared" si="39"/>
        <v>0</v>
      </c>
      <c r="AX203" s="60">
        <f t="shared" si="46"/>
        <v>0</v>
      </c>
      <c r="AY203" s="64">
        <f t="shared" si="47"/>
        <v>0</v>
      </c>
      <c r="AZ203" s="65">
        <f t="shared" si="40"/>
        <v>0</v>
      </c>
      <c r="BA203" s="65">
        <f t="shared" si="41"/>
        <v>0</v>
      </c>
    </row>
    <row r="204" spans="3:53" s="17" customFormat="1" x14ac:dyDescent="0.25">
      <c r="C204" s="194"/>
      <c r="D204" s="195"/>
      <c r="E204" s="90"/>
      <c r="F204" s="198"/>
      <c r="G204" s="214"/>
      <c r="H204" s="199"/>
      <c r="I204" s="78"/>
      <c r="J204" s="79"/>
      <c r="K204" s="78"/>
      <c r="L204" s="80"/>
      <c r="M204" s="80"/>
      <c r="N204" s="78" t="s">
        <v>39</v>
      </c>
      <c r="O204" s="113"/>
      <c r="P204" s="155"/>
      <c r="Q204" s="114" t="str">
        <f>IFERROR(MIN(VLOOKUP(ROUNDDOWN(P204,0),'Aide calcul'!$B$2:$C$282,2,FALSE),O204+1),"")</f>
        <v/>
      </c>
      <c r="R204" s="115" t="str">
        <f t="shared" si="42"/>
        <v/>
      </c>
      <c r="S204" s="155"/>
      <c r="T204" s="155"/>
      <c r="U204" s="155"/>
      <c r="V204" s="155"/>
      <c r="W204" s="155"/>
      <c r="X204" s="155"/>
      <c r="Y204" s="155"/>
      <c r="Z204" s="78"/>
      <c r="AA204" s="78"/>
      <c r="AB204" s="116" t="str">
        <f>IF(C204="3111. Logements",ROUND(VLOOKUP(C204,'Informations générales'!$C$66:$D$70,2,FALSE)*(AK204/$AL$27)/12,0)*12,IF(C204="3112. Logements",ROUND(VLOOKUP(C204,'Informations générales'!$C$66:$D$70,2,FALSE)*(AK204/$AM$27)/12,0)*12,IF(C204="3113. Logements",ROUND(VLOOKUP(C204,'Informations générales'!$C$66:$D$70,2,FALSE)*(AK204/$AN$27)/12,0)*12,IF(C204="3114. Logements",ROUND(VLOOKUP(C204,'Informations générales'!$C$66:$D$70,2,FALSE)*(AK204/$AO$27)/12,0)*12,IF(C204="3115. Logements",ROUND(VLOOKUP(C204,'Informations générales'!$C$66:$D$70,2,FALSE)*(AK204/$AP$27)/12,0)*12,"")))))</f>
        <v/>
      </c>
      <c r="AC204" s="117"/>
      <c r="AD204" s="116">
        <f t="shared" si="43"/>
        <v>0</v>
      </c>
      <c r="AE204" s="117"/>
      <c r="AF204" s="116" t="str">
        <f>IF(C204="3111. Logements",ROUND(VLOOKUP(C204,'Informations générales'!$C$66:$G$70,5,FALSE)*(AK204/$AL$27)/12,0)*12,IF(C204="3112. Logements",ROUND(VLOOKUP(C204,'Informations générales'!$C$66:$G$70,5,FALSE)*(AK204/$AM$27)/12,0)*12,IF(C204="3113. Logements",ROUND(VLOOKUP(C204,'Informations générales'!$C$66:$G$70,5,FALSE)*(AK204/$AN$27)/12,0)*12,IF(C204="3114. Logements",ROUND(VLOOKUP(C204,'Informations générales'!$C$66:$G$70,5,FALSE)*(AK204/$AO$27)/12,0)*12,IF(C204="3115. Logements",ROUND(VLOOKUP(C204,'Informations générales'!$C$66:$G$70,5,FALSE)*(AK204/$AP$27)/12,0)*12,"")))))</f>
        <v/>
      </c>
      <c r="AG204" s="117"/>
      <c r="AH204" s="116" t="str">
        <f t="shared" si="44"/>
        <v/>
      </c>
      <c r="AI204" s="92"/>
      <c r="AJ204" s="78"/>
      <c r="AK204" s="60">
        <f t="shared" si="45"/>
        <v>0</v>
      </c>
      <c r="AL204" s="60"/>
      <c r="AM204" s="60"/>
      <c r="AN204" s="60"/>
      <c r="AO204" s="60"/>
      <c r="AP204" s="60"/>
      <c r="AQ204" s="60">
        <f t="shared" si="33"/>
        <v>0</v>
      </c>
      <c r="AR204" s="60">
        <f t="shared" si="34"/>
        <v>0</v>
      </c>
      <c r="AS204" s="60">
        <f t="shared" si="35"/>
        <v>0</v>
      </c>
      <c r="AT204" s="60">
        <f t="shared" si="36"/>
        <v>0</v>
      </c>
      <c r="AU204" s="60">
        <f t="shared" si="37"/>
        <v>0</v>
      </c>
      <c r="AV204" s="60">
        <f t="shared" si="38"/>
        <v>0</v>
      </c>
      <c r="AW204" s="60">
        <f t="shared" si="39"/>
        <v>0</v>
      </c>
      <c r="AX204" s="60">
        <f t="shared" si="46"/>
        <v>0</v>
      </c>
      <c r="AY204" s="64">
        <f t="shared" si="47"/>
        <v>0</v>
      </c>
      <c r="AZ204" s="65">
        <f t="shared" si="40"/>
        <v>0</v>
      </c>
      <c r="BA204" s="65">
        <f t="shared" si="41"/>
        <v>0</v>
      </c>
    </row>
    <row r="205" spans="3:53" s="17" customFormat="1" x14ac:dyDescent="0.25">
      <c r="C205" s="194"/>
      <c r="D205" s="195"/>
      <c r="E205" s="90"/>
      <c r="F205" s="198"/>
      <c r="G205" s="214"/>
      <c r="H205" s="199"/>
      <c r="I205" s="78"/>
      <c r="J205" s="79"/>
      <c r="K205" s="78"/>
      <c r="L205" s="80"/>
      <c r="M205" s="80"/>
      <c r="N205" s="78" t="s">
        <v>39</v>
      </c>
      <c r="O205" s="113"/>
      <c r="P205" s="155"/>
      <c r="Q205" s="114" t="str">
        <f>IFERROR(MIN(VLOOKUP(ROUNDDOWN(P205,0),'Aide calcul'!$B$2:$C$282,2,FALSE),O205+1),"")</f>
        <v/>
      </c>
      <c r="R205" s="115" t="str">
        <f t="shared" si="42"/>
        <v/>
      </c>
      <c r="S205" s="155"/>
      <c r="T205" s="155"/>
      <c r="U205" s="155"/>
      <c r="V205" s="155"/>
      <c r="W205" s="155"/>
      <c r="X205" s="155"/>
      <c r="Y205" s="155"/>
      <c r="Z205" s="78"/>
      <c r="AA205" s="78"/>
      <c r="AB205" s="116" t="str">
        <f>IF(C205="3111. Logements",ROUND(VLOOKUP(C205,'Informations générales'!$C$66:$D$70,2,FALSE)*(AK205/$AL$27)/12,0)*12,IF(C205="3112. Logements",ROUND(VLOOKUP(C205,'Informations générales'!$C$66:$D$70,2,FALSE)*(AK205/$AM$27)/12,0)*12,IF(C205="3113. Logements",ROUND(VLOOKUP(C205,'Informations générales'!$C$66:$D$70,2,FALSE)*(AK205/$AN$27)/12,0)*12,IF(C205="3114. Logements",ROUND(VLOOKUP(C205,'Informations générales'!$C$66:$D$70,2,FALSE)*(AK205/$AO$27)/12,0)*12,IF(C205="3115. Logements",ROUND(VLOOKUP(C205,'Informations générales'!$C$66:$D$70,2,FALSE)*(AK205/$AP$27)/12,0)*12,"")))))</f>
        <v/>
      </c>
      <c r="AC205" s="117"/>
      <c r="AD205" s="116">
        <f t="shared" si="43"/>
        <v>0</v>
      </c>
      <c r="AE205" s="117"/>
      <c r="AF205" s="116" t="str">
        <f>IF(C205="3111. Logements",ROUND(VLOOKUP(C205,'Informations générales'!$C$66:$G$70,5,FALSE)*(AK205/$AL$27)/12,0)*12,IF(C205="3112. Logements",ROUND(VLOOKUP(C205,'Informations générales'!$C$66:$G$70,5,FALSE)*(AK205/$AM$27)/12,0)*12,IF(C205="3113. Logements",ROUND(VLOOKUP(C205,'Informations générales'!$C$66:$G$70,5,FALSE)*(AK205/$AN$27)/12,0)*12,IF(C205="3114. Logements",ROUND(VLOOKUP(C205,'Informations générales'!$C$66:$G$70,5,FALSE)*(AK205/$AO$27)/12,0)*12,IF(C205="3115. Logements",ROUND(VLOOKUP(C205,'Informations générales'!$C$66:$G$70,5,FALSE)*(AK205/$AP$27)/12,0)*12,"")))))</f>
        <v/>
      </c>
      <c r="AG205" s="117"/>
      <c r="AH205" s="116" t="str">
        <f t="shared" si="44"/>
        <v/>
      </c>
      <c r="AI205" s="92"/>
      <c r="AJ205" s="78"/>
      <c r="AK205" s="60">
        <f t="shared" si="45"/>
        <v>0</v>
      </c>
      <c r="AL205" s="60"/>
      <c r="AM205" s="60"/>
      <c r="AN205" s="60"/>
      <c r="AO205" s="60"/>
      <c r="AP205" s="60"/>
      <c r="AQ205" s="60">
        <f t="shared" si="33"/>
        <v>0</v>
      </c>
      <c r="AR205" s="60">
        <f t="shared" si="34"/>
        <v>0</v>
      </c>
      <c r="AS205" s="60">
        <f t="shared" si="35"/>
        <v>0</v>
      </c>
      <c r="AT205" s="60">
        <f t="shared" si="36"/>
        <v>0</v>
      </c>
      <c r="AU205" s="60">
        <f t="shared" si="37"/>
        <v>0</v>
      </c>
      <c r="AV205" s="60">
        <f t="shared" si="38"/>
        <v>0</v>
      </c>
      <c r="AW205" s="60">
        <f t="shared" si="39"/>
        <v>0</v>
      </c>
      <c r="AX205" s="60">
        <f t="shared" si="46"/>
        <v>0</v>
      </c>
      <c r="AY205" s="64">
        <f t="shared" si="47"/>
        <v>0</v>
      </c>
      <c r="AZ205" s="65">
        <f t="shared" si="40"/>
        <v>0</v>
      </c>
      <c r="BA205" s="65">
        <f t="shared" si="41"/>
        <v>0</v>
      </c>
    </row>
    <row r="206" spans="3:53" s="17" customFormat="1" x14ac:dyDescent="0.25">
      <c r="C206" s="194"/>
      <c r="D206" s="195"/>
      <c r="E206" s="90"/>
      <c r="F206" s="198"/>
      <c r="G206" s="214"/>
      <c r="H206" s="199"/>
      <c r="I206" s="78"/>
      <c r="J206" s="79"/>
      <c r="K206" s="78"/>
      <c r="L206" s="80"/>
      <c r="M206" s="80"/>
      <c r="N206" s="78" t="s">
        <v>39</v>
      </c>
      <c r="O206" s="113"/>
      <c r="P206" s="155"/>
      <c r="Q206" s="114" t="str">
        <f>IFERROR(MIN(VLOOKUP(ROUNDDOWN(P206,0),'Aide calcul'!$B$2:$C$282,2,FALSE),O206+1),"")</f>
        <v/>
      </c>
      <c r="R206" s="115" t="str">
        <f t="shared" si="42"/>
        <v/>
      </c>
      <c r="S206" s="155"/>
      <c r="T206" s="155"/>
      <c r="U206" s="155"/>
      <c r="V206" s="155"/>
      <c r="W206" s="155"/>
      <c r="X206" s="155"/>
      <c r="Y206" s="155"/>
      <c r="Z206" s="78"/>
      <c r="AA206" s="78"/>
      <c r="AB206" s="116" t="str">
        <f>IF(C206="3111. Logements",ROUND(VLOOKUP(C206,'Informations générales'!$C$66:$D$70,2,FALSE)*(AK206/$AL$27)/12,0)*12,IF(C206="3112. Logements",ROUND(VLOOKUP(C206,'Informations générales'!$C$66:$D$70,2,FALSE)*(AK206/$AM$27)/12,0)*12,IF(C206="3113. Logements",ROUND(VLOOKUP(C206,'Informations générales'!$C$66:$D$70,2,FALSE)*(AK206/$AN$27)/12,0)*12,IF(C206="3114. Logements",ROUND(VLOOKUP(C206,'Informations générales'!$C$66:$D$70,2,FALSE)*(AK206/$AO$27)/12,0)*12,IF(C206="3115. Logements",ROUND(VLOOKUP(C206,'Informations générales'!$C$66:$D$70,2,FALSE)*(AK206/$AP$27)/12,0)*12,"")))))</f>
        <v/>
      </c>
      <c r="AC206" s="117"/>
      <c r="AD206" s="116">
        <f t="shared" si="43"/>
        <v>0</v>
      </c>
      <c r="AE206" s="117"/>
      <c r="AF206" s="116" t="str">
        <f>IF(C206="3111. Logements",ROUND(VLOOKUP(C206,'Informations générales'!$C$66:$G$70,5,FALSE)*(AK206/$AL$27)/12,0)*12,IF(C206="3112. Logements",ROUND(VLOOKUP(C206,'Informations générales'!$C$66:$G$70,5,FALSE)*(AK206/$AM$27)/12,0)*12,IF(C206="3113. Logements",ROUND(VLOOKUP(C206,'Informations générales'!$C$66:$G$70,5,FALSE)*(AK206/$AN$27)/12,0)*12,IF(C206="3114. Logements",ROUND(VLOOKUP(C206,'Informations générales'!$C$66:$G$70,5,FALSE)*(AK206/$AO$27)/12,0)*12,IF(C206="3115. Logements",ROUND(VLOOKUP(C206,'Informations générales'!$C$66:$G$70,5,FALSE)*(AK206/$AP$27)/12,0)*12,"")))))</f>
        <v/>
      </c>
      <c r="AG206" s="117"/>
      <c r="AH206" s="116" t="str">
        <f t="shared" si="44"/>
        <v/>
      </c>
      <c r="AI206" s="92"/>
      <c r="AJ206" s="78"/>
      <c r="AK206" s="60">
        <f t="shared" si="45"/>
        <v>0</v>
      </c>
      <c r="AL206" s="60"/>
      <c r="AM206" s="60"/>
      <c r="AN206" s="60"/>
      <c r="AO206" s="60"/>
      <c r="AP206" s="60"/>
      <c r="AQ206" s="60">
        <f t="shared" si="33"/>
        <v>0</v>
      </c>
      <c r="AR206" s="60">
        <f t="shared" si="34"/>
        <v>0</v>
      </c>
      <c r="AS206" s="60">
        <f t="shared" si="35"/>
        <v>0</v>
      </c>
      <c r="AT206" s="60">
        <f t="shared" si="36"/>
        <v>0</v>
      </c>
      <c r="AU206" s="60">
        <f t="shared" si="37"/>
        <v>0</v>
      </c>
      <c r="AV206" s="60">
        <f t="shared" si="38"/>
        <v>0</v>
      </c>
      <c r="AW206" s="60">
        <f t="shared" si="39"/>
        <v>0</v>
      </c>
      <c r="AX206" s="60">
        <f t="shared" si="46"/>
        <v>0</v>
      </c>
      <c r="AY206" s="64">
        <f t="shared" si="47"/>
        <v>0</v>
      </c>
      <c r="AZ206" s="65">
        <f t="shared" si="40"/>
        <v>0</v>
      </c>
      <c r="BA206" s="65">
        <f t="shared" si="41"/>
        <v>0</v>
      </c>
    </row>
    <row r="207" spans="3:53" s="17" customFormat="1" x14ac:dyDescent="0.25">
      <c r="C207" s="194"/>
      <c r="D207" s="195"/>
      <c r="E207" s="90"/>
      <c r="F207" s="198"/>
      <c r="G207" s="214"/>
      <c r="H207" s="199"/>
      <c r="I207" s="78"/>
      <c r="J207" s="79"/>
      <c r="K207" s="78"/>
      <c r="L207" s="80"/>
      <c r="M207" s="80"/>
      <c r="N207" s="78" t="s">
        <v>39</v>
      </c>
      <c r="O207" s="113"/>
      <c r="P207" s="155"/>
      <c r="Q207" s="114" t="str">
        <f>IFERROR(MIN(VLOOKUP(ROUNDDOWN(P207,0),'Aide calcul'!$B$2:$C$282,2,FALSE),O207+1),"")</f>
        <v/>
      </c>
      <c r="R207" s="115" t="str">
        <f t="shared" si="42"/>
        <v/>
      </c>
      <c r="S207" s="155"/>
      <c r="T207" s="155"/>
      <c r="U207" s="155"/>
      <c r="V207" s="155"/>
      <c r="W207" s="155"/>
      <c r="X207" s="155"/>
      <c r="Y207" s="155"/>
      <c r="Z207" s="78"/>
      <c r="AA207" s="78"/>
      <c r="AB207" s="116" t="str">
        <f>IF(C207="3111. Logements",ROUND(VLOOKUP(C207,'Informations générales'!$C$66:$D$70,2,FALSE)*(AK207/$AL$27)/12,0)*12,IF(C207="3112. Logements",ROUND(VLOOKUP(C207,'Informations générales'!$C$66:$D$70,2,FALSE)*(AK207/$AM$27)/12,0)*12,IF(C207="3113. Logements",ROUND(VLOOKUP(C207,'Informations générales'!$C$66:$D$70,2,FALSE)*(AK207/$AN$27)/12,0)*12,IF(C207="3114. Logements",ROUND(VLOOKUP(C207,'Informations générales'!$C$66:$D$70,2,FALSE)*(AK207/$AO$27)/12,0)*12,IF(C207="3115. Logements",ROUND(VLOOKUP(C207,'Informations générales'!$C$66:$D$70,2,FALSE)*(AK207/$AP$27)/12,0)*12,"")))))</f>
        <v/>
      </c>
      <c r="AC207" s="117"/>
      <c r="AD207" s="116">
        <f t="shared" si="43"/>
        <v>0</v>
      </c>
      <c r="AE207" s="117"/>
      <c r="AF207" s="116" t="str">
        <f>IF(C207="3111. Logements",ROUND(VLOOKUP(C207,'Informations générales'!$C$66:$G$70,5,FALSE)*(AK207/$AL$27)/12,0)*12,IF(C207="3112. Logements",ROUND(VLOOKUP(C207,'Informations générales'!$C$66:$G$70,5,FALSE)*(AK207/$AM$27)/12,0)*12,IF(C207="3113. Logements",ROUND(VLOOKUP(C207,'Informations générales'!$C$66:$G$70,5,FALSE)*(AK207/$AN$27)/12,0)*12,IF(C207="3114. Logements",ROUND(VLOOKUP(C207,'Informations générales'!$C$66:$G$70,5,FALSE)*(AK207/$AO$27)/12,0)*12,IF(C207="3115. Logements",ROUND(VLOOKUP(C207,'Informations générales'!$C$66:$G$70,5,FALSE)*(AK207/$AP$27)/12,0)*12,"")))))</f>
        <v/>
      </c>
      <c r="AG207" s="117"/>
      <c r="AH207" s="116" t="str">
        <f t="shared" si="44"/>
        <v/>
      </c>
      <c r="AI207" s="92"/>
      <c r="AJ207" s="78"/>
      <c r="AK207" s="60">
        <f t="shared" si="45"/>
        <v>0</v>
      </c>
      <c r="AL207" s="60"/>
      <c r="AM207" s="60"/>
      <c r="AN207" s="60"/>
      <c r="AO207" s="60"/>
      <c r="AP207" s="60"/>
      <c r="AQ207" s="60">
        <f t="shared" si="33"/>
        <v>0</v>
      </c>
      <c r="AR207" s="60">
        <f t="shared" si="34"/>
        <v>0</v>
      </c>
      <c r="AS207" s="60">
        <f t="shared" si="35"/>
        <v>0</v>
      </c>
      <c r="AT207" s="60">
        <f t="shared" si="36"/>
        <v>0</v>
      </c>
      <c r="AU207" s="60">
        <f t="shared" si="37"/>
        <v>0</v>
      </c>
      <c r="AV207" s="60">
        <f t="shared" si="38"/>
        <v>0</v>
      </c>
      <c r="AW207" s="60">
        <f t="shared" si="39"/>
        <v>0</v>
      </c>
      <c r="AX207" s="60">
        <f t="shared" si="46"/>
        <v>0</v>
      </c>
      <c r="AY207" s="64">
        <f t="shared" si="47"/>
        <v>0</v>
      </c>
      <c r="AZ207" s="65">
        <f t="shared" si="40"/>
        <v>0</v>
      </c>
      <c r="BA207" s="65">
        <f t="shared" si="41"/>
        <v>0</v>
      </c>
    </row>
    <row r="208" spans="3:53" s="17" customFormat="1" x14ac:dyDescent="0.25">
      <c r="C208" s="194"/>
      <c r="D208" s="195"/>
      <c r="E208" s="90"/>
      <c r="F208" s="198"/>
      <c r="G208" s="214"/>
      <c r="H208" s="199"/>
      <c r="I208" s="78"/>
      <c r="J208" s="79"/>
      <c r="K208" s="78"/>
      <c r="L208" s="80"/>
      <c r="M208" s="80"/>
      <c r="N208" s="78" t="s">
        <v>39</v>
      </c>
      <c r="O208" s="113"/>
      <c r="P208" s="155"/>
      <c r="Q208" s="114" t="str">
        <f>IFERROR(MIN(VLOOKUP(ROUNDDOWN(P208,0),'Aide calcul'!$B$2:$C$282,2,FALSE),O208+1),"")</f>
        <v/>
      </c>
      <c r="R208" s="115" t="str">
        <f t="shared" si="42"/>
        <v/>
      </c>
      <c r="S208" s="155"/>
      <c r="T208" s="155"/>
      <c r="U208" s="155"/>
      <c r="V208" s="155"/>
      <c r="W208" s="155"/>
      <c r="X208" s="155"/>
      <c r="Y208" s="155"/>
      <c r="Z208" s="78"/>
      <c r="AA208" s="78"/>
      <c r="AB208" s="116" t="str">
        <f>IF(C208="3111. Logements",ROUND(VLOOKUP(C208,'Informations générales'!$C$66:$D$70,2,FALSE)*(AK208/$AL$27)/12,0)*12,IF(C208="3112. Logements",ROUND(VLOOKUP(C208,'Informations générales'!$C$66:$D$70,2,FALSE)*(AK208/$AM$27)/12,0)*12,IF(C208="3113. Logements",ROUND(VLOOKUP(C208,'Informations générales'!$C$66:$D$70,2,FALSE)*(AK208/$AN$27)/12,0)*12,IF(C208="3114. Logements",ROUND(VLOOKUP(C208,'Informations générales'!$C$66:$D$70,2,FALSE)*(AK208/$AO$27)/12,0)*12,IF(C208="3115. Logements",ROUND(VLOOKUP(C208,'Informations générales'!$C$66:$D$70,2,FALSE)*(AK208/$AP$27)/12,0)*12,"")))))</f>
        <v/>
      </c>
      <c r="AC208" s="117"/>
      <c r="AD208" s="116">
        <f t="shared" si="43"/>
        <v>0</v>
      </c>
      <c r="AE208" s="117"/>
      <c r="AF208" s="116" t="str">
        <f>IF(C208="3111. Logements",ROUND(VLOOKUP(C208,'Informations générales'!$C$66:$G$70,5,FALSE)*(AK208/$AL$27)/12,0)*12,IF(C208="3112. Logements",ROUND(VLOOKUP(C208,'Informations générales'!$C$66:$G$70,5,FALSE)*(AK208/$AM$27)/12,0)*12,IF(C208="3113. Logements",ROUND(VLOOKUP(C208,'Informations générales'!$C$66:$G$70,5,FALSE)*(AK208/$AN$27)/12,0)*12,IF(C208="3114. Logements",ROUND(VLOOKUP(C208,'Informations générales'!$C$66:$G$70,5,FALSE)*(AK208/$AO$27)/12,0)*12,IF(C208="3115. Logements",ROUND(VLOOKUP(C208,'Informations générales'!$C$66:$G$70,5,FALSE)*(AK208/$AP$27)/12,0)*12,"")))))</f>
        <v/>
      </c>
      <c r="AG208" s="117"/>
      <c r="AH208" s="116" t="str">
        <f t="shared" si="44"/>
        <v/>
      </c>
      <c r="AI208" s="92"/>
      <c r="AJ208" s="78"/>
      <c r="AK208" s="60">
        <f t="shared" si="45"/>
        <v>0</v>
      </c>
      <c r="AL208" s="60"/>
      <c r="AM208" s="60"/>
      <c r="AN208" s="60"/>
      <c r="AO208" s="60"/>
      <c r="AP208" s="60"/>
      <c r="AQ208" s="60">
        <f t="shared" si="33"/>
        <v>0</v>
      </c>
      <c r="AR208" s="60">
        <f t="shared" si="34"/>
        <v>0</v>
      </c>
      <c r="AS208" s="60">
        <f t="shared" si="35"/>
        <v>0</v>
      </c>
      <c r="AT208" s="60">
        <f t="shared" si="36"/>
        <v>0</v>
      </c>
      <c r="AU208" s="60">
        <f t="shared" si="37"/>
        <v>0</v>
      </c>
      <c r="AV208" s="60">
        <f t="shared" si="38"/>
        <v>0</v>
      </c>
      <c r="AW208" s="60">
        <f t="shared" si="39"/>
        <v>0</v>
      </c>
      <c r="AX208" s="60">
        <f t="shared" si="46"/>
        <v>0</v>
      </c>
      <c r="AY208" s="64">
        <f t="shared" si="47"/>
        <v>0</v>
      </c>
      <c r="AZ208" s="65">
        <f t="shared" si="40"/>
        <v>0</v>
      </c>
      <c r="BA208" s="65">
        <f t="shared" si="41"/>
        <v>0</v>
      </c>
    </row>
    <row r="209" spans="3:53" s="17" customFormat="1" x14ac:dyDescent="0.25">
      <c r="C209" s="194"/>
      <c r="D209" s="195"/>
      <c r="E209" s="90"/>
      <c r="F209" s="198"/>
      <c r="G209" s="214"/>
      <c r="H209" s="199"/>
      <c r="I209" s="78"/>
      <c r="J209" s="79"/>
      <c r="K209" s="78"/>
      <c r="L209" s="80"/>
      <c r="M209" s="80"/>
      <c r="N209" s="78" t="s">
        <v>39</v>
      </c>
      <c r="O209" s="113"/>
      <c r="P209" s="155"/>
      <c r="Q209" s="114" t="str">
        <f>IFERROR(MIN(VLOOKUP(ROUNDDOWN(P209,0),'Aide calcul'!$B$2:$C$282,2,FALSE),O209+1),"")</f>
        <v/>
      </c>
      <c r="R209" s="115" t="str">
        <f t="shared" si="42"/>
        <v/>
      </c>
      <c r="S209" s="155"/>
      <c r="T209" s="155"/>
      <c r="U209" s="155"/>
      <c r="V209" s="155"/>
      <c r="W209" s="155"/>
      <c r="X209" s="155"/>
      <c r="Y209" s="155"/>
      <c r="Z209" s="78"/>
      <c r="AA209" s="78"/>
      <c r="AB209" s="116" t="str">
        <f>IF(C209="3111. Logements",ROUND(VLOOKUP(C209,'Informations générales'!$C$66:$D$70,2,FALSE)*(AK209/$AL$27)/12,0)*12,IF(C209="3112. Logements",ROUND(VLOOKUP(C209,'Informations générales'!$C$66:$D$70,2,FALSE)*(AK209/$AM$27)/12,0)*12,IF(C209="3113. Logements",ROUND(VLOOKUP(C209,'Informations générales'!$C$66:$D$70,2,FALSE)*(AK209/$AN$27)/12,0)*12,IF(C209="3114. Logements",ROUND(VLOOKUP(C209,'Informations générales'!$C$66:$D$70,2,FALSE)*(AK209/$AO$27)/12,0)*12,IF(C209="3115. Logements",ROUND(VLOOKUP(C209,'Informations générales'!$C$66:$D$70,2,FALSE)*(AK209/$AP$27)/12,0)*12,"")))))</f>
        <v/>
      </c>
      <c r="AC209" s="117"/>
      <c r="AD209" s="116">
        <f t="shared" si="43"/>
        <v>0</v>
      </c>
      <c r="AE209" s="117"/>
      <c r="AF209" s="116" t="str">
        <f>IF(C209="3111. Logements",ROUND(VLOOKUP(C209,'Informations générales'!$C$66:$G$70,5,FALSE)*(AK209/$AL$27)/12,0)*12,IF(C209="3112. Logements",ROUND(VLOOKUP(C209,'Informations générales'!$C$66:$G$70,5,FALSE)*(AK209/$AM$27)/12,0)*12,IF(C209="3113. Logements",ROUND(VLOOKUP(C209,'Informations générales'!$C$66:$G$70,5,FALSE)*(AK209/$AN$27)/12,0)*12,IF(C209="3114. Logements",ROUND(VLOOKUP(C209,'Informations générales'!$C$66:$G$70,5,FALSE)*(AK209/$AO$27)/12,0)*12,IF(C209="3115. Logements",ROUND(VLOOKUP(C209,'Informations générales'!$C$66:$G$70,5,FALSE)*(AK209/$AP$27)/12,0)*12,"")))))</f>
        <v/>
      </c>
      <c r="AG209" s="117"/>
      <c r="AH209" s="116" t="str">
        <f t="shared" si="44"/>
        <v/>
      </c>
      <c r="AI209" s="92"/>
      <c r="AJ209" s="78"/>
      <c r="AK209" s="60">
        <f t="shared" si="45"/>
        <v>0</v>
      </c>
      <c r="AL209" s="60"/>
      <c r="AM209" s="60"/>
      <c r="AN209" s="60"/>
      <c r="AO209" s="60"/>
      <c r="AP209" s="60"/>
      <c r="AQ209" s="60">
        <f t="shared" si="33"/>
        <v>0</v>
      </c>
      <c r="AR209" s="60">
        <f t="shared" si="34"/>
        <v>0</v>
      </c>
      <c r="AS209" s="60">
        <f t="shared" si="35"/>
        <v>0</v>
      </c>
      <c r="AT209" s="60">
        <f t="shared" si="36"/>
        <v>0</v>
      </c>
      <c r="AU209" s="60">
        <f t="shared" si="37"/>
        <v>0</v>
      </c>
      <c r="AV209" s="60">
        <f t="shared" si="38"/>
        <v>0</v>
      </c>
      <c r="AW209" s="60">
        <f t="shared" si="39"/>
        <v>0</v>
      </c>
      <c r="AX209" s="60">
        <f t="shared" si="46"/>
        <v>0</v>
      </c>
      <c r="AY209" s="64">
        <f t="shared" si="47"/>
        <v>0</v>
      </c>
      <c r="AZ209" s="65">
        <f t="shared" si="40"/>
        <v>0</v>
      </c>
      <c r="BA209" s="65">
        <f t="shared" si="41"/>
        <v>0</v>
      </c>
    </row>
    <row r="210" spans="3:53" s="17" customFormat="1" x14ac:dyDescent="0.25">
      <c r="C210" s="194"/>
      <c r="D210" s="195"/>
      <c r="E210" s="90"/>
      <c r="F210" s="198"/>
      <c r="G210" s="214"/>
      <c r="H210" s="199"/>
      <c r="I210" s="78"/>
      <c r="J210" s="79"/>
      <c r="K210" s="78"/>
      <c r="L210" s="80"/>
      <c r="M210" s="80"/>
      <c r="N210" s="78" t="s">
        <v>39</v>
      </c>
      <c r="O210" s="113"/>
      <c r="P210" s="155"/>
      <c r="Q210" s="114" t="str">
        <f>IFERROR(MIN(VLOOKUP(ROUNDDOWN(P210,0),'Aide calcul'!$B$2:$C$282,2,FALSE),O210+1),"")</f>
        <v/>
      </c>
      <c r="R210" s="115" t="str">
        <f t="shared" si="42"/>
        <v/>
      </c>
      <c r="S210" s="155"/>
      <c r="T210" s="155"/>
      <c r="U210" s="155"/>
      <c r="V210" s="155"/>
      <c r="W210" s="155"/>
      <c r="X210" s="155"/>
      <c r="Y210" s="155"/>
      <c r="Z210" s="78"/>
      <c r="AA210" s="78"/>
      <c r="AB210" s="116" t="str">
        <f>IF(C210="3111. Logements",ROUND(VLOOKUP(C210,'Informations générales'!$C$66:$D$70,2,FALSE)*(AK210/$AL$27)/12,0)*12,IF(C210="3112. Logements",ROUND(VLOOKUP(C210,'Informations générales'!$C$66:$D$70,2,FALSE)*(AK210/$AM$27)/12,0)*12,IF(C210="3113. Logements",ROUND(VLOOKUP(C210,'Informations générales'!$C$66:$D$70,2,FALSE)*(AK210/$AN$27)/12,0)*12,IF(C210="3114. Logements",ROUND(VLOOKUP(C210,'Informations générales'!$C$66:$D$70,2,FALSE)*(AK210/$AO$27)/12,0)*12,IF(C210="3115. Logements",ROUND(VLOOKUP(C210,'Informations générales'!$C$66:$D$70,2,FALSE)*(AK210/$AP$27)/12,0)*12,"")))))</f>
        <v/>
      </c>
      <c r="AC210" s="117"/>
      <c r="AD210" s="116">
        <f t="shared" si="43"/>
        <v>0</v>
      </c>
      <c r="AE210" s="117"/>
      <c r="AF210" s="116" t="str">
        <f>IF(C210="3111. Logements",ROUND(VLOOKUP(C210,'Informations générales'!$C$66:$G$70,5,FALSE)*(AK210/$AL$27)/12,0)*12,IF(C210="3112. Logements",ROUND(VLOOKUP(C210,'Informations générales'!$C$66:$G$70,5,FALSE)*(AK210/$AM$27)/12,0)*12,IF(C210="3113. Logements",ROUND(VLOOKUP(C210,'Informations générales'!$C$66:$G$70,5,FALSE)*(AK210/$AN$27)/12,0)*12,IF(C210="3114. Logements",ROUND(VLOOKUP(C210,'Informations générales'!$C$66:$G$70,5,FALSE)*(AK210/$AO$27)/12,0)*12,IF(C210="3115. Logements",ROUND(VLOOKUP(C210,'Informations générales'!$C$66:$G$70,5,FALSE)*(AK210/$AP$27)/12,0)*12,"")))))</f>
        <v/>
      </c>
      <c r="AG210" s="117"/>
      <c r="AH210" s="116" t="str">
        <f t="shared" si="44"/>
        <v/>
      </c>
      <c r="AI210" s="92"/>
      <c r="AJ210" s="78"/>
      <c r="AK210" s="60">
        <f t="shared" si="45"/>
        <v>0</v>
      </c>
      <c r="AL210" s="60"/>
      <c r="AM210" s="60"/>
      <c r="AN210" s="60"/>
      <c r="AO210" s="60"/>
      <c r="AP210" s="60"/>
      <c r="AQ210" s="60">
        <f t="shared" si="33"/>
        <v>0</v>
      </c>
      <c r="AR210" s="60">
        <f t="shared" si="34"/>
        <v>0</v>
      </c>
      <c r="AS210" s="60">
        <f t="shared" si="35"/>
        <v>0</v>
      </c>
      <c r="AT210" s="60">
        <f t="shared" si="36"/>
        <v>0</v>
      </c>
      <c r="AU210" s="60">
        <f t="shared" si="37"/>
        <v>0</v>
      </c>
      <c r="AV210" s="60">
        <f t="shared" si="38"/>
        <v>0</v>
      </c>
      <c r="AW210" s="60">
        <f t="shared" si="39"/>
        <v>0</v>
      </c>
      <c r="AX210" s="60">
        <f t="shared" si="46"/>
        <v>0</v>
      </c>
      <c r="AY210" s="64">
        <f t="shared" si="47"/>
        <v>0</v>
      </c>
      <c r="AZ210" s="65">
        <f t="shared" si="40"/>
        <v>0</v>
      </c>
      <c r="BA210" s="65">
        <f t="shared" si="41"/>
        <v>0</v>
      </c>
    </row>
    <row r="211" spans="3:53" s="17" customFormat="1" x14ac:dyDescent="0.25">
      <c r="C211" s="194"/>
      <c r="D211" s="195"/>
      <c r="E211" s="90"/>
      <c r="F211" s="198"/>
      <c r="G211" s="214"/>
      <c r="H211" s="199"/>
      <c r="I211" s="78"/>
      <c r="J211" s="79"/>
      <c r="K211" s="78"/>
      <c r="L211" s="80"/>
      <c r="M211" s="80"/>
      <c r="N211" s="78" t="s">
        <v>39</v>
      </c>
      <c r="O211" s="113"/>
      <c r="P211" s="155"/>
      <c r="Q211" s="114" t="str">
        <f>IFERROR(MIN(VLOOKUP(ROUNDDOWN(P211,0),'Aide calcul'!$B$2:$C$282,2,FALSE),O211+1),"")</f>
        <v/>
      </c>
      <c r="R211" s="115" t="str">
        <f t="shared" si="42"/>
        <v/>
      </c>
      <c r="S211" s="155"/>
      <c r="T211" s="155"/>
      <c r="U211" s="155"/>
      <c r="V211" s="155"/>
      <c r="W211" s="155"/>
      <c r="X211" s="155"/>
      <c r="Y211" s="155"/>
      <c r="Z211" s="78"/>
      <c r="AA211" s="78"/>
      <c r="AB211" s="116" t="str">
        <f>IF(C211="3111. Logements",ROUND(VLOOKUP(C211,'Informations générales'!$C$66:$D$70,2,FALSE)*(AK211/$AL$27)/12,0)*12,IF(C211="3112. Logements",ROUND(VLOOKUP(C211,'Informations générales'!$C$66:$D$70,2,FALSE)*(AK211/$AM$27)/12,0)*12,IF(C211="3113. Logements",ROUND(VLOOKUP(C211,'Informations générales'!$C$66:$D$70,2,FALSE)*(AK211/$AN$27)/12,0)*12,IF(C211="3114. Logements",ROUND(VLOOKUP(C211,'Informations générales'!$C$66:$D$70,2,FALSE)*(AK211/$AO$27)/12,0)*12,IF(C211="3115. Logements",ROUND(VLOOKUP(C211,'Informations générales'!$C$66:$D$70,2,FALSE)*(AK211/$AP$27)/12,0)*12,"")))))</f>
        <v/>
      </c>
      <c r="AC211" s="117"/>
      <c r="AD211" s="116">
        <f t="shared" si="43"/>
        <v>0</v>
      </c>
      <c r="AE211" s="117"/>
      <c r="AF211" s="116" t="str">
        <f>IF(C211="3111. Logements",ROUND(VLOOKUP(C211,'Informations générales'!$C$66:$G$70,5,FALSE)*(AK211/$AL$27)/12,0)*12,IF(C211="3112. Logements",ROUND(VLOOKUP(C211,'Informations générales'!$C$66:$G$70,5,FALSE)*(AK211/$AM$27)/12,0)*12,IF(C211="3113. Logements",ROUND(VLOOKUP(C211,'Informations générales'!$C$66:$G$70,5,FALSE)*(AK211/$AN$27)/12,0)*12,IF(C211="3114. Logements",ROUND(VLOOKUP(C211,'Informations générales'!$C$66:$G$70,5,FALSE)*(AK211/$AO$27)/12,0)*12,IF(C211="3115. Logements",ROUND(VLOOKUP(C211,'Informations générales'!$C$66:$G$70,5,FALSE)*(AK211/$AP$27)/12,0)*12,"")))))</f>
        <v/>
      </c>
      <c r="AG211" s="117"/>
      <c r="AH211" s="116" t="str">
        <f t="shared" si="44"/>
        <v/>
      </c>
      <c r="AI211" s="92"/>
      <c r="AJ211" s="78"/>
      <c r="AK211" s="60">
        <f t="shared" si="45"/>
        <v>0</v>
      </c>
      <c r="AL211" s="60"/>
      <c r="AM211" s="60"/>
      <c r="AN211" s="60"/>
      <c r="AO211" s="60"/>
      <c r="AP211" s="60"/>
      <c r="AQ211" s="60">
        <f t="shared" si="33"/>
        <v>0</v>
      </c>
      <c r="AR211" s="60">
        <f t="shared" si="34"/>
        <v>0</v>
      </c>
      <c r="AS211" s="60">
        <f t="shared" si="35"/>
        <v>0</v>
      </c>
      <c r="AT211" s="60">
        <f t="shared" si="36"/>
        <v>0</v>
      </c>
      <c r="AU211" s="60">
        <f t="shared" si="37"/>
        <v>0</v>
      </c>
      <c r="AV211" s="60">
        <f t="shared" si="38"/>
        <v>0</v>
      </c>
      <c r="AW211" s="60">
        <f t="shared" si="39"/>
        <v>0</v>
      </c>
      <c r="AX211" s="60">
        <f t="shared" si="46"/>
        <v>0</v>
      </c>
      <c r="AY211" s="64">
        <f t="shared" si="47"/>
        <v>0</v>
      </c>
      <c r="AZ211" s="65">
        <f t="shared" si="40"/>
        <v>0</v>
      </c>
      <c r="BA211" s="65">
        <f t="shared" si="41"/>
        <v>0</v>
      </c>
    </row>
    <row r="212" spans="3:53" s="17" customFormat="1" x14ac:dyDescent="0.25">
      <c r="C212" s="194"/>
      <c r="D212" s="195"/>
      <c r="E212" s="90"/>
      <c r="F212" s="198"/>
      <c r="G212" s="214"/>
      <c r="H212" s="199"/>
      <c r="I212" s="78"/>
      <c r="J212" s="79"/>
      <c r="K212" s="78"/>
      <c r="L212" s="80"/>
      <c r="M212" s="80"/>
      <c r="N212" s="78" t="s">
        <v>39</v>
      </c>
      <c r="O212" s="113"/>
      <c r="P212" s="155"/>
      <c r="Q212" s="114" t="str">
        <f>IFERROR(MIN(VLOOKUP(ROUNDDOWN(P212,0),'Aide calcul'!$B$2:$C$282,2,FALSE),O212+1),"")</f>
        <v/>
      </c>
      <c r="R212" s="115" t="str">
        <f t="shared" si="42"/>
        <v/>
      </c>
      <c r="S212" s="155"/>
      <c r="T212" s="155"/>
      <c r="U212" s="155"/>
      <c r="V212" s="155"/>
      <c r="W212" s="155"/>
      <c r="X212" s="155"/>
      <c r="Y212" s="155"/>
      <c r="Z212" s="78"/>
      <c r="AA212" s="78"/>
      <c r="AB212" s="116" t="str">
        <f>IF(C212="3111. Logements",ROUND(VLOOKUP(C212,'Informations générales'!$C$66:$D$70,2,FALSE)*(AK212/$AL$27)/12,0)*12,IF(C212="3112. Logements",ROUND(VLOOKUP(C212,'Informations générales'!$C$66:$D$70,2,FALSE)*(AK212/$AM$27)/12,0)*12,IF(C212="3113. Logements",ROUND(VLOOKUP(C212,'Informations générales'!$C$66:$D$70,2,FALSE)*(AK212/$AN$27)/12,0)*12,IF(C212="3114. Logements",ROUND(VLOOKUP(C212,'Informations générales'!$C$66:$D$70,2,FALSE)*(AK212/$AO$27)/12,0)*12,IF(C212="3115. Logements",ROUND(VLOOKUP(C212,'Informations générales'!$C$66:$D$70,2,FALSE)*(AK212/$AP$27)/12,0)*12,"")))))</f>
        <v/>
      </c>
      <c r="AC212" s="117"/>
      <c r="AD212" s="116">
        <f t="shared" si="43"/>
        <v>0</v>
      </c>
      <c r="AE212" s="117"/>
      <c r="AF212" s="116" t="str">
        <f>IF(C212="3111. Logements",ROUND(VLOOKUP(C212,'Informations générales'!$C$66:$G$70,5,FALSE)*(AK212/$AL$27)/12,0)*12,IF(C212="3112. Logements",ROUND(VLOOKUP(C212,'Informations générales'!$C$66:$G$70,5,FALSE)*(AK212/$AM$27)/12,0)*12,IF(C212="3113. Logements",ROUND(VLOOKUP(C212,'Informations générales'!$C$66:$G$70,5,FALSE)*(AK212/$AN$27)/12,0)*12,IF(C212="3114. Logements",ROUND(VLOOKUP(C212,'Informations générales'!$C$66:$G$70,5,FALSE)*(AK212/$AO$27)/12,0)*12,IF(C212="3115. Logements",ROUND(VLOOKUP(C212,'Informations générales'!$C$66:$G$70,5,FALSE)*(AK212/$AP$27)/12,0)*12,"")))))</f>
        <v/>
      </c>
      <c r="AG212" s="117"/>
      <c r="AH212" s="116" t="str">
        <f t="shared" si="44"/>
        <v/>
      </c>
      <c r="AI212" s="92"/>
      <c r="AJ212" s="78"/>
      <c r="AK212" s="60">
        <f t="shared" si="45"/>
        <v>0</v>
      </c>
      <c r="AL212" s="60"/>
      <c r="AM212" s="60"/>
      <c r="AN212" s="60"/>
      <c r="AO212" s="60"/>
      <c r="AP212" s="60"/>
      <c r="AQ212" s="60">
        <f t="shared" si="33"/>
        <v>0</v>
      </c>
      <c r="AR212" s="60">
        <f t="shared" si="34"/>
        <v>0</v>
      </c>
      <c r="AS212" s="60">
        <f t="shared" si="35"/>
        <v>0</v>
      </c>
      <c r="AT212" s="60">
        <f t="shared" si="36"/>
        <v>0</v>
      </c>
      <c r="AU212" s="60">
        <f t="shared" si="37"/>
        <v>0</v>
      </c>
      <c r="AV212" s="60">
        <f t="shared" si="38"/>
        <v>0</v>
      </c>
      <c r="AW212" s="60">
        <f t="shared" si="39"/>
        <v>0</v>
      </c>
      <c r="AX212" s="60">
        <f t="shared" si="46"/>
        <v>0</v>
      </c>
      <c r="AY212" s="64">
        <f t="shared" si="47"/>
        <v>0</v>
      </c>
      <c r="AZ212" s="65">
        <f t="shared" si="40"/>
        <v>0</v>
      </c>
      <c r="BA212" s="65">
        <f t="shared" si="41"/>
        <v>0</v>
      </c>
    </row>
    <row r="213" spans="3:53" s="17" customFormat="1" x14ac:dyDescent="0.25">
      <c r="C213" s="194"/>
      <c r="D213" s="195"/>
      <c r="E213" s="90"/>
      <c r="F213" s="198"/>
      <c r="G213" s="214"/>
      <c r="H213" s="199"/>
      <c r="I213" s="78"/>
      <c r="J213" s="79"/>
      <c r="K213" s="78"/>
      <c r="L213" s="80"/>
      <c r="M213" s="80"/>
      <c r="N213" s="78" t="s">
        <v>39</v>
      </c>
      <c r="O213" s="113"/>
      <c r="P213" s="155"/>
      <c r="Q213" s="114" t="str">
        <f>IFERROR(MIN(VLOOKUP(ROUNDDOWN(P213,0),'Aide calcul'!$B$2:$C$282,2,FALSE),O213+1),"")</f>
        <v/>
      </c>
      <c r="R213" s="115" t="str">
        <f t="shared" si="42"/>
        <v/>
      </c>
      <c r="S213" s="155"/>
      <c r="T213" s="155"/>
      <c r="U213" s="155"/>
      <c r="V213" s="155"/>
      <c r="W213" s="155"/>
      <c r="X213" s="155"/>
      <c r="Y213" s="155"/>
      <c r="Z213" s="78"/>
      <c r="AA213" s="78"/>
      <c r="AB213" s="116" t="str">
        <f>IF(C213="3111. Logements",ROUND(VLOOKUP(C213,'Informations générales'!$C$66:$D$70,2,FALSE)*(AK213/$AL$27)/12,0)*12,IF(C213="3112. Logements",ROUND(VLOOKUP(C213,'Informations générales'!$C$66:$D$70,2,FALSE)*(AK213/$AM$27)/12,0)*12,IF(C213="3113. Logements",ROUND(VLOOKUP(C213,'Informations générales'!$C$66:$D$70,2,FALSE)*(AK213/$AN$27)/12,0)*12,IF(C213="3114. Logements",ROUND(VLOOKUP(C213,'Informations générales'!$C$66:$D$70,2,FALSE)*(AK213/$AO$27)/12,0)*12,IF(C213="3115. Logements",ROUND(VLOOKUP(C213,'Informations générales'!$C$66:$D$70,2,FALSE)*(AK213/$AP$27)/12,0)*12,"")))))</f>
        <v/>
      </c>
      <c r="AC213" s="117"/>
      <c r="AD213" s="116">
        <f t="shared" si="43"/>
        <v>0</v>
      </c>
      <c r="AE213" s="117"/>
      <c r="AF213" s="116" t="str">
        <f>IF(C213="3111. Logements",ROUND(VLOOKUP(C213,'Informations générales'!$C$66:$G$70,5,FALSE)*(AK213/$AL$27)/12,0)*12,IF(C213="3112. Logements",ROUND(VLOOKUP(C213,'Informations générales'!$C$66:$G$70,5,FALSE)*(AK213/$AM$27)/12,0)*12,IF(C213="3113. Logements",ROUND(VLOOKUP(C213,'Informations générales'!$C$66:$G$70,5,FALSE)*(AK213/$AN$27)/12,0)*12,IF(C213="3114. Logements",ROUND(VLOOKUP(C213,'Informations générales'!$C$66:$G$70,5,FALSE)*(AK213/$AO$27)/12,0)*12,IF(C213="3115. Logements",ROUND(VLOOKUP(C213,'Informations générales'!$C$66:$G$70,5,FALSE)*(AK213/$AP$27)/12,0)*12,"")))))</f>
        <v/>
      </c>
      <c r="AG213" s="117"/>
      <c r="AH213" s="116" t="str">
        <f t="shared" si="44"/>
        <v/>
      </c>
      <c r="AI213" s="92"/>
      <c r="AJ213" s="78"/>
      <c r="AK213" s="60">
        <f t="shared" si="45"/>
        <v>0</v>
      </c>
      <c r="AL213" s="60"/>
      <c r="AM213" s="60"/>
      <c r="AN213" s="60"/>
      <c r="AO213" s="60"/>
      <c r="AP213" s="60"/>
      <c r="AQ213" s="60">
        <f t="shared" si="33"/>
        <v>0</v>
      </c>
      <c r="AR213" s="60">
        <f t="shared" si="34"/>
        <v>0</v>
      </c>
      <c r="AS213" s="60">
        <f t="shared" si="35"/>
        <v>0</v>
      </c>
      <c r="AT213" s="60">
        <f t="shared" si="36"/>
        <v>0</v>
      </c>
      <c r="AU213" s="60">
        <f t="shared" si="37"/>
        <v>0</v>
      </c>
      <c r="AV213" s="60">
        <f t="shared" si="38"/>
        <v>0</v>
      </c>
      <c r="AW213" s="60">
        <f t="shared" si="39"/>
        <v>0</v>
      </c>
      <c r="AX213" s="60">
        <f t="shared" si="46"/>
        <v>0</v>
      </c>
      <c r="AY213" s="64">
        <f t="shared" si="47"/>
        <v>0</v>
      </c>
      <c r="AZ213" s="65">
        <f t="shared" si="40"/>
        <v>0</v>
      </c>
      <c r="BA213" s="65">
        <f t="shared" si="41"/>
        <v>0</v>
      </c>
    </row>
    <row r="214" spans="3:53" s="17" customFormat="1" x14ac:dyDescent="0.25">
      <c r="C214" s="194"/>
      <c r="D214" s="195"/>
      <c r="E214" s="90"/>
      <c r="F214" s="198"/>
      <c r="G214" s="214"/>
      <c r="H214" s="199"/>
      <c r="I214" s="78"/>
      <c r="J214" s="79"/>
      <c r="K214" s="78"/>
      <c r="L214" s="80"/>
      <c r="M214" s="80"/>
      <c r="N214" s="78" t="s">
        <v>39</v>
      </c>
      <c r="O214" s="113"/>
      <c r="P214" s="155"/>
      <c r="Q214" s="114" t="str">
        <f>IFERROR(MIN(VLOOKUP(ROUNDDOWN(P214,0),'Aide calcul'!$B$2:$C$282,2,FALSE),O214+1),"")</f>
        <v/>
      </c>
      <c r="R214" s="115" t="str">
        <f t="shared" si="42"/>
        <v/>
      </c>
      <c r="S214" s="155"/>
      <c r="T214" s="155"/>
      <c r="U214" s="155"/>
      <c r="V214" s="155"/>
      <c r="W214" s="155"/>
      <c r="X214" s="155"/>
      <c r="Y214" s="155"/>
      <c r="Z214" s="78"/>
      <c r="AA214" s="78"/>
      <c r="AB214" s="116" t="str">
        <f>IF(C214="3111. Logements",ROUND(VLOOKUP(C214,'Informations générales'!$C$66:$D$70,2,FALSE)*(AK214/$AL$27)/12,0)*12,IF(C214="3112. Logements",ROUND(VLOOKUP(C214,'Informations générales'!$C$66:$D$70,2,FALSE)*(AK214/$AM$27)/12,0)*12,IF(C214="3113. Logements",ROUND(VLOOKUP(C214,'Informations générales'!$C$66:$D$70,2,FALSE)*(AK214/$AN$27)/12,0)*12,IF(C214="3114. Logements",ROUND(VLOOKUP(C214,'Informations générales'!$C$66:$D$70,2,FALSE)*(AK214/$AO$27)/12,0)*12,IF(C214="3115. Logements",ROUND(VLOOKUP(C214,'Informations générales'!$C$66:$D$70,2,FALSE)*(AK214/$AP$27)/12,0)*12,"")))))</f>
        <v/>
      </c>
      <c r="AC214" s="117"/>
      <c r="AD214" s="116">
        <f t="shared" si="43"/>
        <v>0</v>
      </c>
      <c r="AE214" s="117"/>
      <c r="AF214" s="116" t="str">
        <f>IF(C214="3111. Logements",ROUND(VLOOKUP(C214,'Informations générales'!$C$66:$G$70,5,FALSE)*(AK214/$AL$27)/12,0)*12,IF(C214="3112. Logements",ROUND(VLOOKUP(C214,'Informations générales'!$C$66:$G$70,5,FALSE)*(AK214/$AM$27)/12,0)*12,IF(C214="3113. Logements",ROUND(VLOOKUP(C214,'Informations générales'!$C$66:$G$70,5,FALSE)*(AK214/$AN$27)/12,0)*12,IF(C214="3114. Logements",ROUND(VLOOKUP(C214,'Informations générales'!$C$66:$G$70,5,FALSE)*(AK214/$AO$27)/12,0)*12,IF(C214="3115. Logements",ROUND(VLOOKUP(C214,'Informations générales'!$C$66:$G$70,5,FALSE)*(AK214/$AP$27)/12,0)*12,"")))))</f>
        <v/>
      </c>
      <c r="AG214" s="117"/>
      <c r="AH214" s="116" t="str">
        <f t="shared" si="44"/>
        <v/>
      </c>
      <c r="AI214" s="92"/>
      <c r="AJ214" s="78"/>
      <c r="AK214" s="60">
        <f t="shared" si="45"/>
        <v>0</v>
      </c>
      <c r="AL214" s="60"/>
      <c r="AM214" s="60"/>
      <c r="AN214" s="60"/>
      <c r="AO214" s="60"/>
      <c r="AP214" s="60"/>
      <c r="AQ214" s="60">
        <f t="shared" si="33"/>
        <v>0</v>
      </c>
      <c r="AR214" s="60">
        <f t="shared" si="34"/>
        <v>0</v>
      </c>
      <c r="AS214" s="60">
        <f t="shared" si="35"/>
        <v>0</v>
      </c>
      <c r="AT214" s="60">
        <f t="shared" si="36"/>
        <v>0</v>
      </c>
      <c r="AU214" s="60">
        <f t="shared" si="37"/>
        <v>0</v>
      </c>
      <c r="AV214" s="60">
        <f t="shared" si="38"/>
        <v>0</v>
      </c>
      <c r="AW214" s="60">
        <f t="shared" si="39"/>
        <v>0</v>
      </c>
      <c r="AX214" s="60">
        <f t="shared" si="46"/>
        <v>0</v>
      </c>
      <c r="AY214" s="64">
        <f t="shared" si="47"/>
        <v>0</v>
      </c>
      <c r="AZ214" s="65">
        <f t="shared" si="40"/>
        <v>0</v>
      </c>
      <c r="BA214" s="65">
        <f t="shared" si="41"/>
        <v>0</v>
      </c>
    </row>
    <row r="215" spans="3:53" s="17" customFormat="1" x14ac:dyDescent="0.25">
      <c r="C215" s="194"/>
      <c r="D215" s="195"/>
      <c r="E215" s="90"/>
      <c r="F215" s="198"/>
      <c r="G215" s="214"/>
      <c r="H215" s="199"/>
      <c r="I215" s="78"/>
      <c r="J215" s="79"/>
      <c r="K215" s="78"/>
      <c r="L215" s="80"/>
      <c r="M215" s="80"/>
      <c r="N215" s="78" t="s">
        <v>39</v>
      </c>
      <c r="O215" s="113"/>
      <c r="P215" s="155"/>
      <c r="Q215" s="114" t="str">
        <f>IFERROR(MIN(VLOOKUP(ROUNDDOWN(P215,0),'Aide calcul'!$B$2:$C$282,2,FALSE),O215+1),"")</f>
        <v/>
      </c>
      <c r="R215" s="115" t="str">
        <f t="shared" si="42"/>
        <v/>
      </c>
      <c r="S215" s="155"/>
      <c r="T215" s="155"/>
      <c r="U215" s="155"/>
      <c r="V215" s="155"/>
      <c r="W215" s="155"/>
      <c r="X215" s="155"/>
      <c r="Y215" s="155"/>
      <c r="Z215" s="78"/>
      <c r="AA215" s="78"/>
      <c r="AB215" s="116" t="str">
        <f>IF(C215="3111. Logements",ROUND(VLOOKUP(C215,'Informations générales'!$C$66:$D$70,2,FALSE)*(AK215/$AL$27)/12,0)*12,IF(C215="3112. Logements",ROUND(VLOOKUP(C215,'Informations générales'!$C$66:$D$70,2,FALSE)*(AK215/$AM$27)/12,0)*12,IF(C215="3113. Logements",ROUND(VLOOKUP(C215,'Informations générales'!$C$66:$D$70,2,FALSE)*(AK215/$AN$27)/12,0)*12,IF(C215="3114. Logements",ROUND(VLOOKUP(C215,'Informations générales'!$C$66:$D$70,2,FALSE)*(AK215/$AO$27)/12,0)*12,IF(C215="3115. Logements",ROUND(VLOOKUP(C215,'Informations générales'!$C$66:$D$70,2,FALSE)*(AK215/$AP$27)/12,0)*12,"")))))</f>
        <v/>
      </c>
      <c r="AC215" s="117"/>
      <c r="AD215" s="116">
        <f t="shared" si="43"/>
        <v>0</v>
      </c>
      <c r="AE215" s="117"/>
      <c r="AF215" s="116" t="str">
        <f>IF(C215="3111. Logements",ROUND(VLOOKUP(C215,'Informations générales'!$C$66:$G$70,5,FALSE)*(AK215/$AL$27)/12,0)*12,IF(C215="3112. Logements",ROUND(VLOOKUP(C215,'Informations générales'!$C$66:$G$70,5,FALSE)*(AK215/$AM$27)/12,0)*12,IF(C215="3113. Logements",ROUND(VLOOKUP(C215,'Informations générales'!$C$66:$G$70,5,FALSE)*(AK215/$AN$27)/12,0)*12,IF(C215="3114. Logements",ROUND(VLOOKUP(C215,'Informations générales'!$C$66:$G$70,5,FALSE)*(AK215/$AO$27)/12,0)*12,IF(C215="3115. Logements",ROUND(VLOOKUP(C215,'Informations générales'!$C$66:$G$70,5,FALSE)*(AK215/$AP$27)/12,0)*12,"")))))</f>
        <v/>
      </c>
      <c r="AG215" s="117"/>
      <c r="AH215" s="116" t="str">
        <f t="shared" si="44"/>
        <v/>
      </c>
      <c r="AI215" s="92"/>
      <c r="AJ215" s="78"/>
      <c r="AK215" s="60">
        <f t="shared" si="45"/>
        <v>0</v>
      </c>
      <c r="AL215" s="60"/>
      <c r="AM215" s="60"/>
      <c r="AN215" s="60"/>
      <c r="AO215" s="60"/>
      <c r="AP215" s="60"/>
      <c r="AQ215" s="60">
        <f t="shared" si="33"/>
        <v>0</v>
      </c>
      <c r="AR215" s="60">
        <f t="shared" si="34"/>
        <v>0</v>
      </c>
      <c r="AS215" s="60">
        <f t="shared" si="35"/>
        <v>0</v>
      </c>
      <c r="AT215" s="60">
        <f t="shared" si="36"/>
        <v>0</v>
      </c>
      <c r="AU215" s="60">
        <f t="shared" si="37"/>
        <v>0</v>
      </c>
      <c r="AV215" s="60">
        <f t="shared" si="38"/>
        <v>0</v>
      </c>
      <c r="AW215" s="60">
        <f t="shared" si="39"/>
        <v>0</v>
      </c>
      <c r="AX215" s="60">
        <f t="shared" si="46"/>
        <v>0</v>
      </c>
      <c r="AY215" s="64">
        <f t="shared" si="47"/>
        <v>0</v>
      </c>
      <c r="AZ215" s="65">
        <f t="shared" si="40"/>
        <v>0</v>
      </c>
      <c r="BA215" s="65">
        <f t="shared" si="41"/>
        <v>0</v>
      </c>
    </row>
    <row r="216" spans="3:53" s="17" customFormat="1" x14ac:dyDescent="0.25">
      <c r="C216" s="194"/>
      <c r="D216" s="195"/>
      <c r="E216" s="90"/>
      <c r="F216" s="198"/>
      <c r="G216" s="214"/>
      <c r="H216" s="199"/>
      <c r="I216" s="78"/>
      <c r="J216" s="79"/>
      <c r="K216" s="78"/>
      <c r="L216" s="80"/>
      <c r="M216" s="80"/>
      <c r="N216" s="78" t="s">
        <v>39</v>
      </c>
      <c r="O216" s="113"/>
      <c r="P216" s="155"/>
      <c r="Q216" s="114" t="str">
        <f>IFERROR(MIN(VLOOKUP(ROUNDDOWN(P216,0),'Aide calcul'!$B$2:$C$282,2,FALSE),O216+1),"")</f>
        <v/>
      </c>
      <c r="R216" s="115" t="str">
        <f t="shared" si="42"/>
        <v/>
      </c>
      <c r="S216" s="155"/>
      <c r="T216" s="155"/>
      <c r="U216" s="155"/>
      <c r="V216" s="155"/>
      <c r="W216" s="155"/>
      <c r="X216" s="155"/>
      <c r="Y216" s="155"/>
      <c r="Z216" s="78"/>
      <c r="AA216" s="78"/>
      <c r="AB216" s="116" t="str">
        <f>IF(C216="3111. Logements",ROUND(VLOOKUP(C216,'Informations générales'!$C$66:$D$70,2,FALSE)*(AK216/$AL$27)/12,0)*12,IF(C216="3112. Logements",ROUND(VLOOKUP(C216,'Informations générales'!$C$66:$D$70,2,FALSE)*(AK216/$AM$27)/12,0)*12,IF(C216="3113. Logements",ROUND(VLOOKUP(C216,'Informations générales'!$C$66:$D$70,2,FALSE)*(AK216/$AN$27)/12,0)*12,IF(C216="3114. Logements",ROUND(VLOOKUP(C216,'Informations générales'!$C$66:$D$70,2,FALSE)*(AK216/$AO$27)/12,0)*12,IF(C216="3115. Logements",ROUND(VLOOKUP(C216,'Informations générales'!$C$66:$D$70,2,FALSE)*(AK216/$AP$27)/12,0)*12,"")))))</f>
        <v/>
      </c>
      <c r="AC216" s="117"/>
      <c r="AD216" s="116">
        <f t="shared" si="43"/>
        <v>0</v>
      </c>
      <c r="AE216" s="117"/>
      <c r="AF216" s="116" t="str">
        <f>IF(C216="3111. Logements",ROUND(VLOOKUP(C216,'Informations générales'!$C$66:$G$70,5,FALSE)*(AK216/$AL$27)/12,0)*12,IF(C216="3112. Logements",ROUND(VLOOKUP(C216,'Informations générales'!$C$66:$G$70,5,FALSE)*(AK216/$AM$27)/12,0)*12,IF(C216="3113. Logements",ROUND(VLOOKUP(C216,'Informations générales'!$C$66:$G$70,5,FALSE)*(AK216/$AN$27)/12,0)*12,IF(C216="3114. Logements",ROUND(VLOOKUP(C216,'Informations générales'!$C$66:$G$70,5,FALSE)*(AK216/$AO$27)/12,0)*12,IF(C216="3115. Logements",ROUND(VLOOKUP(C216,'Informations générales'!$C$66:$G$70,5,FALSE)*(AK216/$AP$27)/12,0)*12,"")))))</f>
        <v/>
      </c>
      <c r="AG216" s="117"/>
      <c r="AH216" s="116" t="str">
        <f t="shared" si="44"/>
        <v/>
      </c>
      <c r="AI216" s="92"/>
      <c r="AJ216" s="78"/>
      <c r="AK216" s="60">
        <f t="shared" si="45"/>
        <v>0</v>
      </c>
      <c r="AL216" s="60"/>
      <c r="AM216" s="60"/>
      <c r="AN216" s="60"/>
      <c r="AO216" s="60"/>
      <c r="AP216" s="60"/>
      <c r="AQ216" s="60">
        <f t="shared" si="33"/>
        <v>0</v>
      </c>
      <c r="AR216" s="60">
        <f t="shared" si="34"/>
        <v>0</v>
      </c>
      <c r="AS216" s="60">
        <f t="shared" si="35"/>
        <v>0</v>
      </c>
      <c r="AT216" s="60">
        <f t="shared" si="36"/>
        <v>0</v>
      </c>
      <c r="AU216" s="60">
        <f t="shared" si="37"/>
        <v>0</v>
      </c>
      <c r="AV216" s="60">
        <f t="shared" si="38"/>
        <v>0</v>
      </c>
      <c r="AW216" s="60">
        <f t="shared" si="39"/>
        <v>0</v>
      </c>
      <c r="AX216" s="60">
        <f t="shared" si="46"/>
        <v>0</v>
      </c>
      <c r="AY216" s="64">
        <f t="shared" si="47"/>
        <v>0</v>
      </c>
      <c r="AZ216" s="65">
        <f t="shared" si="40"/>
        <v>0</v>
      </c>
      <c r="BA216" s="65">
        <f t="shared" si="41"/>
        <v>0</v>
      </c>
    </row>
    <row r="217" spans="3:53" s="17" customFormat="1" x14ac:dyDescent="0.25">
      <c r="C217" s="194"/>
      <c r="D217" s="195"/>
      <c r="E217" s="90"/>
      <c r="F217" s="198"/>
      <c r="G217" s="214"/>
      <c r="H217" s="199"/>
      <c r="I217" s="78"/>
      <c r="J217" s="79"/>
      <c r="K217" s="78"/>
      <c r="L217" s="80"/>
      <c r="M217" s="80"/>
      <c r="N217" s="78" t="s">
        <v>39</v>
      </c>
      <c r="O217" s="113"/>
      <c r="P217" s="155"/>
      <c r="Q217" s="114" t="str">
        <f>IFERROR(MIN(VLOOKUP(ROUNDDOWN(P217,0),'Aide calcul'!$B$2:$C$282,2,FALSE),O217+1),"")</f>
        <v/>
      </c>
      <c r="R217" s="115" t="str">
        <f t="shared" si="42"/>
        <v/>
      </c>
      <c r="S217" s="155"/>
      <c r="T217" s="155"/>
      <c r="U217" s="155"/>
      <c r="V217" s="155"/>
      <c r="W217" s="155"/>
      <c r="X217" s="155"/>
      <c r="Y217" s="155"/>
      <c r="Z217" s="78"/>
      <c r="AA217" s="78"/>
      <c r="AB217" s="116" t="str">
        <f>IF(C217="3111. Logements",ROUND(VLOOKUP(C217,'Informations générales'!$C$66:$D$70,2,FALSE)*(AK217/$AL$27)/12,0)*12,IF(C217="3112. Logements",ROUND(VLOOKUP(C217,'Informations générales'!$C$66:$D$70,2,FALSE)*(AK217/$AM$27)/12,0)*12,IF(C217="3113. Logements",ROUND(VLOOKUP(C217,'Informations générales'!$C$66:$D$70,2,FALSE)*(AK217/$AN$27)/12,0)*12,IF(C217="3114. Logements",ROUND(VLOOKUP(C217,'Informations générales'!$C$66:$D$70,2,FALSE)*(AK217/$AO$27)/12,0)*12,IF(C217="3115. Logements",ROUND(VLOOKUP(C217,'Informations générales'!$C$66:$D$70,2,FALSE)*(AK217/$AP$27)/12,0)*12,"")))))</f>
        <v/>
      </c>
      <c r="AC217" s="117"/>
      <c r="AD217" s="116">
        <f t="shared" si="43"/>
        <v>0</v>
      </c>
      <c r="AE217" s="117"/>
      <c r="AF217" s="116" t="str">
        <f>IF(C217="3111. Logements",ROUND(VLOOKUP(C217,'Informations générales'!$C$66:$G$70,5,FALSE)*(AK217/$AL$27)/12,0)*12,IF(C217="3112. Logements",ROUND(VLOOKUP(C217,'Informations générales'!$C$66:$G$70,5,FALSE)*(AK217/$AM$27)/12,0)*12,IF(C217="3113. Logements",ROUND(VLOOKUP(C217,'Informations générales'!$C$66:$G$70,5,FALSE)*(AK217/$AN$27)/12,0)*12,IF(C217="3114. Logements",ROUND(VLOOKUP(C217,'Informations générales'!$C$66:$G$70,5,FALSE)*(AK217/$AO$27)/12,0)*12,IF(C217="3115. Logements",ROUND(VLOOKUP(C217,'Informations générales'!$C$66:$G$70,5,FALSE)*(AK217/$AP$27)/12,0)*12,"")))))</f>
        <v/>
      </c>
      <c r="AG217" s="117"/>
      <c r="AH217" s="116" t="str">
        <f t="shared" si="44"/>
        <v/>
      </c>
      <c r="AI217" s="92"/>
      <c r="AJ217" s="78"/>
      <c r="AK217" s="60">
        <f t="shared" si="45"/>
        <v>0</v>
      </c>
      <c r="AL217" s="60"/>
      <c r="AM217" s="60"/>
      <c r="AN217" s="60"/>
      <c r="AO217" s="60"/>
      <c r="AP217" s="60"/>
      <c r="AQ217" s="60">
        <f t="shared" si="33"/>
        <v>0</v>
      </c>
      <c r="AR217" s="60">
        <f t="shared" si="34"/>
        <v>0</v>
      </c>
      <c r="AS217" s="60">
        <f t="shared" si="35"/>
        <v>0</v>
      </c>
      <c r="AT217" s="60">
        <f t="shared" si="36"/>
        <v>0</v>
      </c>
      <c r="AU217" s="60">
        <f t="shared" si="37"/>
        <v>0</v>
      </c>
      <c r="AV217" s="60">
        <f t="shared" si="38"/>
        <v>0</v>
      </c>
      <c r="AW217" s="60">
        <f t="shared" si="39"/>
        <v>0</v>
      </c>
      <c r="AX217" s="60">
        <f t="shared" si="46"/>
        <v>0</v>
      </c>
      <c r="AY217" s="64">
        <f t="shared" si="47"/>
        <v>0</v>
      </c>
      <c r="AZ217" s="65">
        <f t="shared" si="40"/>
        <v>0</v>
      </c>
      <c r="BA217" s="65">
        <f t="shared" si="41"/>
        <v>0</v>
      </c>
    </row>
    <row r="218" spans="3:53" s="17" customFormat="1" x14ac:dyDescent="0.25">
      <c r="C218" s="194"/>
      <c r="D218" s="195"/>
      <c r="E218" s="90"/>
      <c r="F218" s="198"/>
      <c r="G218" s="214"/>
      <c r="H218" s="199"/>
      <c r="I218" s="78"/>
      <c r="J218" s="79"/>
      <c r="K218" s="78"/>
      <c r="L218" s="80"/>
      <c r="M218" s="80"/>
      <c r="N218" s="78" t="s">
        <v>39</v>
      </c>
      <c r="O218" s="113"/>
      <c r="P218" s="155"/>
      <c r="Q218" s="114" t="str">
        <f>IFERROR(MIN(VLOOKUP(ROUNDDOWN(P218,0),'Aide calcul'!$B$2:$C$282,2,FALSE),O218+1),"")</f>
        <v/>
      </c>
      <c r="R218" s="115" t="str">
        <f t="shared" si="42"/>
        <v/>
      </c>
      <c r="S218" s="155"/>
      <c r="T218" s="155"/>
      <c r="U218" s="155"/>
      <c r="V218" s="155"/>
      <c r="W218" s="155"/>
      <c r="X218" s="155"/>
      <c r="Y218" s="155"/>
      <c r="Z218" s="78"/>
      <c r="AA218" s="78"/>
      <c r="AB218" s="116" t="str">
        <f>IF(C218="3111. Logements",ROUND(VLOOKUP(C218,'Informations générales'!$C$66:$D$70,2,FALSE)*(AK218/$AL$27)/12,0)*12,IF(C218="3112. Logements",ROUND(VLOOKUP(C218,'Informations générales'!$C$66:$D$70,2,FALSE)*(AK218/$AM$27)/12,0)*12,IF(C218="3113. Logements",ROUND(VLOOKUP(C218,'Informations générales'!$C$66:$D$70,2,FALSE)*(AK218/$AN$27)/12,0)*12,IF(C218="3114. Logements",ROUND(VLOOKUP(C218,'Informations générales'!$C$66:$D$70,2,FALSE)*(AK218/$AO$27)/12,0)*12,IF(C218="3115. Logements",ROUND(VLOOKUP(C218,'Informations générales'!$C$66:$D$70,2,FALSE)*(AK218/$AP$27)/12,0)*12,"")))))</f>
        <v/>
      </c>
      <c r="AC218" s="117"/>
      <c r="AD218" s="116">
        <f t="shared" si="43"/>
        <v>0</v>
      </c>
      <c r="AE218" s="117"/>
      <c r="AF218" s="116" t="str">
        <f>IF(C218="3111. Logements",ROUND(VLOOKUP(C218,'Informations générales'!$C$66:$G$70,5,FALSE)*(AK218/$AL$27)/12,0)*12,IF(C218="3112. Logements",ROUND(VLOOKUP(C218,'Informations générales'!$C$66:$G$70,5,FALSE)*(AK218/$AM$27)/12,0)*12,IF(C218="3113. Logements",ROUND(VLOOKUP(C218,'Informations générales'!$C$66:$G$70,5,FALSE)*(AK218/$AN$27)/12,0)*12,IF(C218="3114. Logements",ROUND(VLOOKUP(C218,'Informations générales'!$C$66:$G$70,5,FALSE)*(AK218/$AO$27)/12,0)*12,IF(C218="3115. Logements",ROUND(VLOOKUP(C218,'Informations générales'!$C$66:$G$70,5,FALSE)*(AK218/$AP$27)/12,0)*12,"")))))</f>
        <v/>
      </c>
      <c r="AG218" s="117"/>
      <c r="AH218" s="116" t="str">
        <f t="shared" si="44"/>
        <v/>
      </c>
      <c r="AI218" s="92"/>
      <c r="AJ218" s="78"/>
      <c r="AK218" s="60">
        <f t="shared" si="45"/>
        <v>0</v>
      </c>
      <c r="AL218" s="60"/>
      <c r="AM218" s="60"/>
      <c r="AN218" s="60"/>
      <c r="AO218" s="60"/>
      <c r="AP218" s="60"/>
      <c r="AQ218" s="60">
        <f t="shared" si="33"/>
        <v>0</v>
      </c>
      <c r="AR218" s="60">
        <f t="shared" si="34"/>
        <v>0</v>
      </c>
      <c r="AS218" s="60">
        <f t="shared" si="35"/>
        <v>0</v>
      </c>
      <c r="AT218" s="60">
        <f t="shared" si="36"/>
        <v>0</v>
      </c>
      <c r="AU218" s="60">
        <f t="shared" si="37"/>
        <v>0</v>
      </c>
      <c r="AV218" s="60">
        <f t="shared" si="38"/>
        <v>0</v>
      </c>
      <c r="AW218" s="60">
        <f t="shared" si="39"/>
        <v>0</v>
      </c>
      <c r="AX218" s="60">
        <f t="shared" si="46"/>
        <v>0</v>
      </c>
      <c r="AY218" s="64">
        <f t="shared" si="47"/>
        <v>0</v>
      </c>
      <c r="AZ218" s="65">
        <f t="shared" si="40"/>
        <v>0</v>
      </c>
      <c r="BA218" s="65">
        <f t="shared" si="41"/>
        <v>0</v>
      </c>
    </row>
    <row r="219" spans="3:53" s="17" customFormat="1" x14ac:dyDescent="0.25">
      <c r="C219" s="194"/>
      <c r="D219" s="195"/>
      <c r="E219" s="90"/>
      <c r="F219" s="198"/>
      <c r="G219" s="214"/>
      <c r="H219" s="199"/>
      <c r="I219" s="78"/>
      <c r="J219" s="79"/>
      <c r="K219" s="78"/>
      <c r="L219" s="80"/>
      <c r="M219" s="80"/>
      <c r="N219" s="78" t="s">
        <v>39</v>
      </c>
      <c r="O219" s="113"/>
      <c r="P219" s="155"/>
      <c r="Q219" s="114" t="str">
        <f>IFERROR(MIN(VLOOKUP(ROUNDDOWN(P219,0),'Aide calcul'!$B$2:$C$282,2,FALSE),O219+1),"")</f>
        <v/>
      </c>
      <c r="R219" s="115" t="str">
        <f t="shared" si="42"/>
        <v/>
      </c>
      <c r="S219" s="155"/>
      <c r="T219" s="155"/>
      <c r="U219" s="155"/>
      <c r="V219" s="155"/>
      <c r="W219" s="155"/>
      <c r="X219" s="155"/>
      <c r="Y219" s="155"/>
      <c r="Z219" s="78"/>
      <c r="AA219" s="78"/>
      <c r="AB219" s="116" t="str">
        <f>IF(C219="3111. Logements",ROUND(VLOOKUP(C219,'Informations générales'!$C$66:$D$70,2,FALSE)*(AK219/$AL$27)/12,0)*12,IF(C219="3112. Logements",ROUND(VLOOKUP(C219,'Informations générales'!$C$66:$D$70,2,FALSE)*(AK219/$AM$27)/12,0)*12,IF(C219="3113. Logements",ROUND(VLOOKUP(C219,'Informations générales'!$C$66:$D$70,2,FALSE)*(AK219/$AN$27)/12,0)*12,IF(C219="3114. Logements",ROUND(VLOOKUP(C219,'Informations générales'!$C$66:$D$70,2,FALSE)*(AK219/$AO$27)/12,0)*12,IF(C219="3115. Logements",ROUND(VLOOKUP(C219,'Informations générales'!$C$66:$D$70,2,FALSE)*(AK219/$AP$27)/12,0)*12,"")))))</f>
        <v/>
      </c>
      <c r="AC219" s="117"/>
      <c r="AD219" s="116">
        <f t="shared" si="43"/>
        <v>0</v>
      </c>
      <c r="AE219" s="117"/>
      <c r="AF219" s="116" t="str">
        <f>IF(C219="3111. Logements",ROUND(VLOOKUP(C219,'Informations générales'!$C$66:$G$70,5,FALSE)*(AK219/$AL$27)/12,0)*12,IF(C219="3112. Logements",ROUND(VLOOKUP(C219,'Informations générales'!$C$66:$G$70,5,FALSE)*(AK219/$AM$27)/12,0)*12,IF(C219="3113. Logements",ROUND(VLOOKUP(C219,'Informations générales'!$C$66:$G$70,5,FALSE)*(AK219/$AN$27)/12,0)*12,IF(C219="3114. Logements",ROUND(VLOOKUP(C219,'Informations générales'!$C$66:$G$70,5,FALSE)*(AK219/$AO$27)/12,0)*12,IF(C219="3115. Logements",ROUND(VLOOKUP(C219,'Informations générales'!$C$66:$G$70,5,FALSE)*(AK219/$AP$27)/12,0)*12,"")))))</f>
        <v/>
      </c>
      <c r="AG219" s="117"/>
      <c r="AH219" s="116" t="str">
        <f t="shared" si="44"/>
        <v/>
      </c>
      <c r="AI219" s="92"/>
      <c r="AJ219" s="78"/>
      <c r="AK219" s="60">
        <f t="shared" si="45"/>
        <v>0</v>
      </c>
      <c r="AL219" s="60"/>
      <c r="AM219" s="60"/>
      <c r="AN219" s="60"/>
      <c r="AO219" s="60"/>
      <c r="AP219" s="60"/>
      <c r="AQ219" s="60">
        <f t="shared" ref="AQ219:AQ282" si="48">S219*$E$13</f>
        <v>0</v>
      </c>
      <c r="AR219" s="60">
        <f t="shared" ref="AR219:AR282" si="49">T219*$E$14</f>
        <v>0</v>
      </c>
      <c r="AS219" s="60">
        <f t="shared" ref="AS219:AS282" si="50">U219*$E$15</f>
        <v>0</v>
      </c>
      <c r="AT219" s="60">
        <f t="shared" ref="AT219:AT282" si="51">V219*$E$16</f>
        <v>0</v>
      </c>
      <c r="AU219" s="60">
        <f t="shared" ref="AU219:AU282" si="52">W219*$E$17</f>
        <v>0</v>
      </c>
      <c r="AV219" s="60">
        <f t="shared" ref="AV219:AV282" si="53">X219*$E$18</f>
        <v>0</v>
      </c>
      <c r="AW219" s="60">
        <f t="shared" ref="AW219:AW282" si="54">Y219*$E$19</f>
        <v>0</v>
      </c>
      <c r="AX219" s="60">
        <f t="shared" si="46"/>
        <v>0</v>
      </c>
      <c r="AY219" s="64">
        <f t="shared" si="47"/>
        <v>0</v>
      </c>
      <c r="AZ219" s="65">
        <f t="shared" ref="AZ219:AZ282" si="55">IFERROR(VLOOKUP(Z219,$H$12:$I$22,2,FALSE),0)</f>
        <v>0</v>
      </c>
      <c r="BA219" s="65">
        <f t="shared" ref="BA219:BA282" si="56">IFERROR(VLOOKUP(AA219,$L$12:$N$19,3,FALSE),0)</f>
        <v>0</v>
      </c>
    </row>
    <row r="220" spans="3:53" s="17" customFormat="1" x14ac:dyDescent="0.25">
      <c r="C220" s="194"/>
      <c r="D220" s="195"/>
      <c r="E220" s="90"/>
      <c r="F220" s="198"/>
      <c r="G220" s="214"/>
      <c r="H220" s="199"/>
      <c r="I220" s="78"/>
      <c r="J220" s="79"/>
      <c r="K220" s="78"/>
      <c r="L220" s="80"/>
      <c r="M220" s="80"/>
      <c r="N220" s="78" t="s">
        <v>39</v>
      </c>
      <c r="O220" s="113"/>
      <c r="P220" s="155"/>
      <c r="Q220" s="114" t="str">
        <f>IFERROR(MIN(VLOOKUP(ROUNDDOWN(P220,0),'Aide calcul'!$B$2:$C$282,2,FALSE),O220+1),"")</f>
        <v/>
      </c>
      <c r="R220" s="115" t="str">
        <f t="shared" ref="R220:R283" si="57">IFERROR(TRUNC(Q220-0.5),"")</f>
        <v/>
      </c>
      <c r="S220" s="155"/>
      <c r="T220" s="155"/>
      <c r="U220" s="155"/>
      <c r="V220" s="155"/>
      <c r="W220" s="155"/>
      <c r="X220" s="155"/>
      <c r="Y220" s="155"/>
      <c r="Z220" s="78"/>
      <c r="AA220" s="78"/>
      <c r="AB220" s="116" t="str">
        <f>IF(C220="3111. Logements",ROUND(VLOOKUP(C220,'Informations générales'!$C$66:$D$70,2,FALSE)*(AK220/$AL$27)/12,0)*12,IF(C220="3112. Logements",ROUND(VLOOKUP(C220,'Informations générales'!$C$66:$D$70,2,FALSE)*(AK220/$AM$27)/12,0)*12,IF(C220="3113. Logements",ROUND(VLOOKUP(C220,'Informations générales'!$C$66:$D$70,2,FALSE)*(AK220/$AN$27)/12,0)*12,IF(C220="3114. Logements",ROUND(VLOOKUP(C220,'Informations générales'!$C$66:$D$70,2,FALSE)*(AK220/$AO$27)/12,0)*12,IF(C220="3115. Logements",ROUND(VLOOKUP(C220,'Informations générales'!$C$66:$D$70,2,FALSE)*(AK220/$AP$27)/12,0)*12,"")))))</f>
        <v/>
      </c>
      <c r="AC220" s="117"/>
      <c r="AD220" s="116">
        <f t="shared" ref="AD220:AD283" si="58">MIN(AB220,AC220)</f>
        <v>0</v>
      </c>
      <c r="AE220" s="117"/>
      <c r="AF220" s="116" t="str">
        <f>IF(C220="3111. Logements",ROUND(VLOOKUP(C220,'Informations générales'!$C$66:$G$70,5,FALSE)*(AK220/$AL$27)/12,0)*12,IF(C220="3112. Logements",ROUND(VLOOKUP(C220,'Informations générales'!$C$66:$G$70,5,FALSE)*(AK220/$AM$27)/12,0)*12,IF(C220="3113. Logements",ROUND(VLOOKUP(C220,'Informations générales'!$C$66:$G$70,5,FALSE)*(AK220/$AN$27)/12,0)*12,IF(C220="3114. Logements",ROUND(VLOOKUP(C220,'Informations générales'!$C$66:$G$70,5,FALSE)*(AK220/$AO$27)/12,0)*12,IF(C220="3115. Logements",ROUND(VLOOKUP(C220,'Informations générales'!$C$66:$G$70,5,FALSE)*(AK220/$AP$27)/12,0)*12,"")))))</f>
        <v/>
      </c>
      <c r="AG220" s="117"/>
      <c r="AH220" s="116" t="str">
        <f t="shared" ref="AH220:AH283" si="59">IFERROR(IF(AE220/S220&lt;&gt;0,AE220/S220,AB220/S220),"")</f>
        <v/>
      </c>
      <c r="AI220" s="92"/>
      <c r="AJ220" s="78"/>
      <c r="AK220" s="60">
        <f t="shared" ref="AK220:AK283" si="60">AX220*(SUM(1,AY220,AZ220,BA220))</f>
        <v>0</v>
      </c>
      <c r="AL220" s="60"/>
      <c r="AM220" s="60"/>
      <c r="AN220" s="60"/>
      <c r="AO220" s="60"/>
      <c r="AP220" s="60"/>
      <c r="AQ220" s="60">
        <f t="shared" si="48"/>
        <v>0</v>
      </c>
      <c r="AR220" s="60">
        <f t="shared" si="49"/>
        <v>0</v>
      </c>
      <c r="AS220" s="60">
        <f t="shared" si="50"/>
        <v>0</v>
      </c>
      <c r="AT220" s="60">
        <f t="shared" si="51"/>
        <v>0</v>
      </c>
      <c r="AU220" s="60">
        <f t="shared" si="52"/>
        <v>0</v>
      </c>
      <c r="AV220" s="60">
        <f t="shared" si="53"/>
        <v>0</v>
      </c>
      <c r="AW220" s="60">
        <f t="shared" si="54"/>
        <v>0</v>
      </c>
      <c r="AX220" s="60">
        <f t="shared" ref="AX220:AX283" si="61">SUM(AQ220:AW220)</f>
        <v>0</v>
      </c>
      <c r="AY220" s="64">
        <f t="shared" ref="AY220:AY283" si="62">IFERROR(I220*$E$12,0)</f>
        <v>0</v>
      </c>
      <c r="AZ220" s="65">
        <f t="shared" si="55"/>
        <v>0</v>
      </c>
      <c r="BA220" s="65">
        <f t="shared" si="56"/>
        <v>0</v>
      </c>
    </row>
    <row r="221" spans="3:53" s="17" customFormat="1" x14ac:dyDescent="0.25">
      <c r="C221" s="194"/>
      <c r="D221" s="195"/>
      <c r="E221" s="90"/>
      <c r="F221" s="198"/>
      <c r="G221" s="214"/>
      <c r="H221" s="199"/>
      <c r="I221" s="78"/>
      <c r="J221" s="79"/>
      <c r="K221" s="78"/>
      <c r="L221" s="80"/>
      <c r="M221" s="80"/>
      <c r="N221" s="78" t="s">
        <v>39</v>
      </c>
      <c r="O221" s="113"/>
      <c r="P221" s="155"/>
      <c r="Q221" s="114" t="str">
        <f>IFERROR(MIN(VLOOKUP(ROUNDDOWN(P221,0),'Aide calcul'!$B$2:$C$282,2,FALSE),O221+1),"")</f>
        <v/>
      </c>
      <c r="R221" s="115" t="str">
        <f t="shared" si="57"/>
        <v/>
      </c>
      <c r="S221" s="155"/>
      <c r="T221" s="155"/>
      <c r="U221" s="155"/>
      <c r="V221" s="155"/>
      <c r="W221" s="155"/>
      <c r="X221" s="155"/>
      <c r="Y221" s="155"/>
      <c r="Z221" s="78"/>
      <c r="AA221" s="78"/>
      <c r="AB221" s="116" t="str">
        <f>IF(C221="3111. Logements",ROUND(VLOOKUP(C221,'Informations générales'!$C$66:$D$70,2,FALSE)*(AK221/$AL$27)/12,0)*12,IF(C221="3112. Logements",ROUND(VLOOKUP(C221,'Informations générales'!$C$66:$D$70,2,FALSE)*(AK221/$AM$27)/12,0)*12,IF(C221="3113. Logements",ROUND(VLOOKUP(C221,'Informations générales'!$C$66:$D$70,2,FALSE)*(AK221/$AN$27)/12,0)*12,IF(C221="3114. Logements",ROUND(VLOOKUP(C221,'Informations générales'!$C$66:$D$70,2,FALSE)*(AK221/$AO$27)/12,0)*12,IF(C221="3115. Logements",ROUND(VLOOKUP(C221,'Informations générales'!$C$66:$D$70,2,FALSE)*(AK221/$AP$27)/12,0)*12,"")))))</f>
        <v/>
      </c>
      <c r="AC221" s="117"/>
      <c r="AD221" s="116">
        <f t="shared" si="58"/>
        <v>0</v>
      </c>
      <c r="AE221" s="117"/>
      <c r="AF221" s="116" t="str">
        <f>IF(C221="3111. Logements",ROUND(VLOOKUP(C221,'Informations générales'!$C$66:$G$70,5,FALSE)*(AK221/$AL$27)/12,0)*12,IF(C221="3112. Logements",ROUND(VLOOKUP(C221,'Informations générales'!$C$66:$G$70,5,FALSE)*(AK221/$AM$27)/12,0)*12,IF(C221="3113. Logements",ROUND(VLOOKUP(C221,'Informations générales'!$C$66:$G$70,5,FALSE)*(AK221/$AN$27)/12,0)*12,IF(C221="3114. Logements",ROUND(VLOOKUP(C221,'Informations générales'!$C$66:$G$70,5,FALSE)*(AK221/$AO$27)/12,0)*12,IF(C221="3115. Logements",ROUND(VLOOKUP(C221,'Informations générales'!$C$66:$G$70,5,FALSE)*(AK221/$AP$27)/12,0)*12,"")))))</f>
        <v/>
      </c>
      <c r="AG221" s="117"/>
      <c r="AH221" s="116" t="str">
        <f t="shared" si="59"/>
        <v/>
      </c>
      <c r="AI221" s="92"/>
      <c r="AJ221" s="78"/>
      <c r="AK221" s="60">
        <f t="shared" si="60"/>
        <v>0</v>
      </c>
      <c r="AL221" s="60"/>
      <c r="AM221" s="60"/>
      <c r="AN221" s="60"/>
      <c r="AO221" s="60"/>
      <c r="AP221" s="60"/>
      <c r="AQ221" s="60">
        <f t="shared" si="48"/>
        <v>0</v>
      </c>
      <c r="AR221" s="60">
        <f t="shared" si="49"/>
        <v>0</v>
      </c>
      <c r="AS221" s="60">
        <f t="shared" si="50"/>
        <v>0</v>
      </c>
      <c r="AT221" s="60">
        <f t="shared" si="51"/>
        <v>0</v>
      </c>
      <c r="AU221" s="60">
        <f t="shared" si="52"/>
        <v>0</v>
      </c>
      <c r="AV221" s="60">
        <f t="shared" si="53"/>
        <v>0</v>
      </c>
      <c r="AW221" s="60">
        <f t="shared" si="54"/>
        <v>0</v>
      </c>
      <c r="AX221" s="60">
        <f t="shared" si="61"/>
        <v>0</v>
      </c>
      <c r="AY221" s="64">
        <f t="shared" si="62"/>
        <v>0</v>
      </c>
      <c r="AZ221" s="65">
        <f t="shared" si="55"/>
        <v>0</v>
      </c>
      <c r="BA221" s="65">
        <f t="shared" si="56"/>
        <v>0</v>
      </c>
    </row>
    <row r="222" spans="3:53" s="17" customFormat="1" x14ac:dyDescent="0.25">
      <c r="C222" s="194"/>
      <c r="D222" s="195"/>
      <c r="E222" s="90"/>
      <c r="F222" s="198"/>
      <c r="G222" s="214"/>
      <c r="H222" s="199"/>
      <c r="I222" s="78"/>
      <c r="J222" s="79"/>
      <c r="K222" s="78"/>
      <c r="L222" s="80"/>
      <c r="M222" s="80"/>
      <c r="N222" s="78" t="s">
        <v>39</v>
      </c>
      <c r="O222" s="113"/>
      <c r="P222" s="155"/>
      <c r="Q222" s="114" t="str">
        <f>IFERROR(MIN(VLOOKUP(ROUNDDOWN(P222,0),'Aide calcul'!$B$2:$C$282,2,FALSE),O222+1),"")</f>
        <v/>
      </c>
      <c r="R222" s="115" t="str">
        <f t="shared" si="57"/>
        <v/>
      </c>
      <c r="S222" s="155"/>
      <c r="T222" s="155"/>
      <c r="U222" s="155"/>
      <c r="V222" s="155"/>
      <c r="W222" s="155"/>
      <c r="X222" s="155"/>
      <c r="Y222" s="155"/>
      <c r="Z222" s="78"/>
      <c r="AA222" s="78"/>
      <c r="AB222" s="116" t="str">
        <f>IF(C222="3111. Logements",ROUND(VLOOKUP(C222,'Informations générales'!$C$66:$D$70,2,FALSE)*(AK222/$AL$27)/12,0)*12,IF(C222="3112. Logements",ROUND(VLOOKUP(C222,'Informations générales'!$C$66:$D$70,2,FALSE)*(AK222/$AM$27)/12,0)*12,IF(C222="3113. Logements",ROUND(VLOOKUP(C222,'Informations générales'!$C$66:$D$70,2,FALSE)*(AK222/$AN$27)/12,0)*12,IF(C222="3114. Logements",ROUND(VLOOKUP(C222,'Informations générales'!$C$66:$D$70,2,FALSE)*(AK222/$AO$27)/12,0)*12,IF(C222="3115. Logements",ROUND(VLOOKUP(C222,'Informations générales'!$C$66:$D$70,2,FALSE)*(AK222/$AP$27)/12,0)*12,"")))))</f>
        <v/>
      </c>
      <c r="AC222" s="117"/>
      <c r="AD222" s="116">
        <f t="shared" si="58"/>
        <v>0</v>
      </c>
      <c r="AE222" s="117"/>
      <c r="AF222" s="116" t="str">
        <f>IF(C222="3111. Logements",ROUND(VLOOKUP(C222,'Informations générales'!$C$66:$G$70,5,FALSE)*(AK222/$AL$27)/12,0)*12,IF(C222="3112. Logements",ROUND(VLOOKUP(C222,'Informations générales'!$C$66:$G$70,5,FALSE)*(AK222/$AM$27)/12,0)*12,IF(C222="3113. Logements",ROUND(VLOOKUP(C222,'Informations générales'!$C$66:$G$70,5,FALSE)*(AK222/$AN$27)/12,0)*12,IF(C222="3114. Logements",ROUND(VLOOKUP(C222,'Informations générales'!$C$66:$G$70,5,FALSE)*(AK222/$AO$27)/12,0)*12,IF(C222="3115. Logements",ROUND(VLOOKUP(C222,'Informations générales'!$C$66:$G$70,5,FALSE)*(AK222/$AP$27)/12,0)*12,"")))))</f>
        <v/>
      </c>
      <c r="AG222" s="117"/>
      <c r="AH222" s="116" t="str">
        <f t="shared" si="59"/>
        <v/>
      </c>
      <c r="AI222" s="92"/>
      <c r="AJ222" s="78"/>
      <c r="AK222" s="60">
        <f t="shared" si="60"/>
        <v>0</v>
      </c>
      <c r="AL222" s="60"/>
      <c r="AM222" s="60"/>
      <c r="AN222" s="60"/>
      <c r="AO222" s="60"/>
      <c r="AP222" s="60"/>
      <c r="AQ222" s="60">
        <f t="shared" si="48"/>
        <v>0</v>
      </c>
      <c r="AR222" s="60">
        <f t="shared" si="49"/>
        <v>0</v>
      </c>
      <c r="AS222" s="60">
        <f t="shared" si="50"/>
        <v>0</v>
      </c>
      <c r="AT222" s="60">
        <f t="shared" si="51"/>
        <v>0</v>
      </c>
      <c r="AU222" s="60">
        <f t="shared" si="52"/>
        <v>0</v>
      </c>
      <c r="AV222" s="60">
        <f t="shared" si="53"/>
        <v>0</v>
      </c>
      <c r="AW222" s="60">
        <f t="shared" si="54"/>
        <v>0</v>
      </c>
      <c r="AX222" s="60">
        <f t="shared" si="61"/>
        <v>0</v>
      </c>
      <c r="AY222" s="64">
        <f t="shared" si="62"/>
        <v>0</v>
      </c>
      <c r="AZ222" s="65">
        <f t="shared" si="55"/>
        <v>0</v>
      </c>
      <c r="BA222" s="65">
        <f t="shared" si="56"/>
        <v>0</v>
      </c>
    </row>
    <row r="223" spans="3:53" s="17" customFormat="1" x14ac:dyDescent="0.25">
      <c r="C223" s="194"/>
      <c r="D223" s="195"/>
      <c r="E223" s="90"/>
      <c r="F223" s="198"/>
      <c r="G223" s="214"/>
      <c r="H223" s="199"/>
      <c r="I223" s="78"/>
      <c r="J223" s="79"/>
      <c r="K223" s="78"/>
      <c r="L223" s="80"/>
      <c r="M223" s="80"/>
      <c r="N223" s="78" t="s">
        <v>39</v>
      </c>
      <c r="O223" s="113"/>
      <c r="P223" s="155"/>
      <c r="Q223" s="114" t="str">
        <f>IFERROR(MIN(VLOOKUP(ROUNDDOWN(P223,0),'Aide calcul'!$B$2:$C$282,2,FALSE),O223+1),"")</f>
        <v/>
      </c>
      <c r="R223" s="115" t="str">
        <f t="shared" si="57"/>
        <v/>
      </c>
      <c r="S223" s="155"/>
      <c r="T223" s="155"/>
      <c r="U223" s="155"/>
      <c r="V223" s="155"/>
      <c r="W223" s="155"/>
      <c r="X223" s="155"/>
      <c r="Y223" s="155"/>
      <c r="Z223" s="78"/>
      <c r="AA223" s="78"/>
      <c r="AB223" s="116" t="str">
        <f>IF(C223="3111. Logements",ROUND(VLOOKUP(C223,'Informations générales'!$C$66:$D$70,2,FALSE)*(AK223/$AL$27)/12,0)*12,IF(C223="3112. Logements",ROUND(VLOOKUP(C223,'Informations générales'!$C$66:$D$70,2,FALSE)*(AK223/$AM$27)/12,0)*12,IF(C223="3113. Logements",ROUND(VLOOKUP(C223,'Informations générales'!$C$66:$D$70,2,FALSE)*(AK223/$AN$27)/12,0)*12,IF(C223="3114. Logements",ROUND(VLOOKUP(C223,'Informations générales'!$C$66:$D$70,2,FALSE)*(AK223/$AO$27)/12,0)*12,IF(C223="3115. Logements",ROUND(VLOOKUP(C223,'Informations générales'!$C$66:$D$70,2,FALSE)*(AK223/$AP$27)/12,0)*12,"")))))</f>
        <v/>
      </c>
      <c r="AC223" s="117"/>
      <c r="AD223" s="116">
        <f t="shared" si="58"/>
        <v>0</v>
      </c>
      <c r="AE223" s="117"/>
      <c r="AF223" s="116" t="str">
        <f>IF(C223="3111. Logements",ROUND(VLOOKUP(C223,'Informations générales'!$C$66:$G$70,5,FALSE)*(AK223/$AL$27)/12,0)*12,IF(C223="3112. Logements",ROUND(VLOOKUP(C223,'Informations générales'!$C$66:$G$70,5,FALSE)*(AK223/$AM$27)/12,0)*12,IF(C223="3113. Logements",ROUND(VLOOKUP(C223,'Informations générales'!$C$66:$G$70,5,FALSE)*(AK223/$AN$27)/12,0)*12,IF(C223="3114. Logements",ROUND(VLOOKUP(C223,'Informations générales'!$C$66:$G$70,5,FALSE)*(AK223/$AO$27)/12,0)*12,IF(C223="3115. Logements",ROUND(VLOOKUP(C223,'Informations générales'!$C$66:$G$70,5,FALSE)*(AK223/$AP$27)/12,0)*12,"")))))</f>
        <v/>
      </c>
      <c r="AG223" s="117"/>
      <c r="AH223" s="116" t="str">
        <f t="shared" si="59"/>
        <v/>
      </c>
      <c r="AI223" s="92"/>
      <c r="AJ223" s="78"/>
      <c r="AK223" s="60">
        <f t="shared" si="60"/>
        <v>0</v>
      </c>
      <c r="AL223" s="60"/>
      <c r="AM223" s="60"/>
      <c r="AN223" s="60"/>
      <c r="AO223" s="60"/>
      <c r="AP223" s="60"/>
      <c r="AQ223" s="60">
        <f t="shared" si="48"/>
        <v>0</v>
      </c>
      <c r="AR223" s="60">
        <f t="shared" si="49"/>
        <v>0</v>
      </c>
      <c r="AS223" s="60">
        <f t="shared" si="50"/>
        <v>0</v>
      </c>
      <c r="AT223" s="60">
        <f t="shared" si="51"/>
        <v>0</v>
      </c>
      <c r="AU223" s="60">
        <f t="shared" si="52"/>
        <v>0</v>
      </c>
      <c r="AV223" s="60">
        <f t="shared" si="53"/>
        <v>0</v>
      </c>
      <c r="AW223" s="60">
        <f t="shared" si="54"/>
        <v>0</v>
      </c>
      <c r="AX223" s="60">
        <f t="shared" si="61"/>
        <v>0</v>
      </c>
      <c r="AY223" s="64">
        <f t="shared" si="62"/>
        <v>0</v>
      </c>
      <c r="AZ223" s="65">
        <f t="shared" si="55"/>
        <v>0</v>
      </c>
      <c r="BA223" s="65">
        <f t="shared" si="56"/>
        <v>0</v>
      </c>
    </row>
    <row r="224" spans="3:53" s="17" customFormat="1" x14ac:dyDescent="0.25">
      <c r="C224" s="194"/>
      <c r="D224" s="195"/>
      <c r="E224" s="90"/>
      <c r="F224" s="198"/>
      <c r="G224" s="214"/>
      <c r="H224" s="199"/>
      <c r="I224" s="78"/>
      <c r="J224" s="79"/>
      <c r="K224" s="78"/>
      <c r="L224" s="80"/>
      <c r="M224" s="80"/>
      <c r="N224" s="78" t="s">
        <v>39</v>
      </c>
      <c r="O224" s="113"/>
      <c r="P224" s="155"/>
      <c r="Q224" s="114" t="str">
        <f>IFERROR(MIN(VLOOKUP(ROUNDDOWN(P224,0),'Aide calcul'!$B$2:$C$282,2,FALSE),O224+1),"")</f>
        <v/>
      </c>
      <c r="R224" s="115" t="str">
        <f t="shared" si="57"/>
        <v/>
      </c>
      <c r="S224" s="155"/>
      <c r="T224" s="155"/>
      <c r="U224" s="155"/>
      <c r="V224" s="155"/>
      <c r="W224" s="155"/>
      <c r="X224" s="155"/>
      <c r="Y224" s="155"/>
      <c r="Z224" s="78"/>
      <c r="AA224" s="78"/>
      <c r="AB224" s="116" t="str">
        <f>IF(C224="3111. Logements",ROUND(VLOOKUP(C224,'Informations générales'!$C$66:$D$70,2,FALSE)*(AK224/$AL$27)/12,0)*12,IF(C224="3112. Logements",ROUND(VLOOKUP(C224,'Informations générales'!$C$66:$D$70,2,FALSE)*(AK224/$AM$27)/12,0)*12,IF(C224="3113. Logements",ROUND(VLOOKUP(C224,'Informations générales'!$C$66:$D$70,2,FALSE)*(AK224/$AN$27)/12,0)*12,IF(C224="3114. Logements",ROUND(VLOOKUP(C224,'Informations générales'!$C$66:$D$70,2,FALSE)*(AK224/$AO$27)/12,0)*12,IF(C224="3115. Logements",ROUND(VLOOKUP(C224,'Informations générales'!$C$66:$D$70,2,FALSE)*(AK224/$AP$27)/12,0)*12,"")))))</f>
        <v/>
      </c>
      <c r="AC224" s="117"/>
      <c r="AD224" s="116">
        <f t="shared" si="58"/>
        <v>0</v>
      </c>
      <c r="AE224" s="117"/>
      <c r="AF224" s="116" t="str">
        <f>IF(C224="3111. Logements",ROUND(VLOOKUP(C224,'Informations générales'!$C$66:$G$70,5,FALSE)*(AK224/$AL$27)/12,0)*12,IF(C224="3112. Logements",ROUND(VLOOKUP(C224,'Informations générales'!$C$66:$G$70,5,FALSE)*(AK224/$AM$27)/12,0)*12,IF(C224="3113. Logements",ROUND(VLOOKUP(C224,'Informations générales'!$C$66:$G$70,5,FALSE)*(AK224/$AN$27)/12,0)*12,IF(C224="3114. Logements",ROUND(VLOOKUP(C224,'Informations générales'!$C$66:$G$70,5,FALSE)*(AK224/$AO$27)/12,0)*12,IF(C224="3115. Logements",ROUND(VLOOKUP(C224,'Informations générales'!$C$66:$G$70,5,FALSE)*(AK224/$AP$27)/12,0)*12,"")))))</f>
        <v/>
      </c>
      <c r="AG224" s="117"/>
      <c r="AH224" s="116" t="str">
        <f t="shared" si="59"/>
        <v/>
      </c>
      <c r="AI224" s="92"/>
      <c r="AJ224" s="78"/>
      <c r="AK224" s="60">
        <f t="shared" si="60"/>
        <v>0</v>
      </c>
      <c r="AL224" s="60"/>
      <c r="AM224" s="60"/>
      <c r="AN224" s="60"/>
      <c r="AO224" s="60"/>
      <c r="AP224" s="60"/>
      <c r="AQ224" s="60">
        <f t="shared" si="48"/>
        <v>0</v>
      </c>
      <c r="AR224" s="60">
        <f t="shared" si="49"/>
        <v>0</v>
      </c>
      <c r="AS224" s="60">
        <f t="shared" si="50"/>
        <v>0</v>
      </c>
      <c r="AT224" s="60">
        <f t="shared" si="51"/>
        <v>0</v>
      </c>
      <c r="AU224" s="60">
        <f t="shared" si="52"/>
        <v>0</v>
      </c>
      <c r="AV224" s="60">
        <f t="shared" si="53"/>
        <v>0</v>
      </c>
      <c r="AW224" s="60">
        <f t="shared" si="54"/>
        <v>0</v>
      </c>
      <c r="AX224" s="60">
        <f t="shared" si="61"/>
        <v>0</v>
      </c>
      <c r="AY224" s="64">
        <f t="shared" si="62"/>
        <v>0</v>
      </c>
      <c r="AZ224" s="65">
        <f t="shared" si="55"/>
        <v>0</v>
      </c>
      <c r="BA224" s="65">
        <f t="shared" si="56"/>
        <v>0</v>
      </c>
    </row>
    <row r="225" spans="3:53" s="17" customFormat="1" x14ac:dyDescent="0.25">
      <c r="C225" s="194"/>
      <c r="D225" s="195"/>
      <c r="E225" s="90"/>
      <c r="F225" s="198"/>
      <c r="G225" s="214"/>
      <c r="H225" s="199"/>
      <c r="I225" s="78"/>
      <c r="J225" s="79"/>
      <c r="K225" s="78"/>
      <c r="L225" s="80"/>
      <c r="M225" s="80"/>
      <c r="N225" s="78" t="s">
        <v>39</v>
      </c>
      <c r="O225" s="113"/>
      <c r="P225" s="155"/>
      <c r="Q225" s="114" t="str">
        <f>IFERROR(MIN(VLOOKUP(ROUNDDOWN(P225,0),'Aide calcul'!$B$2:$C$282,2,FALSE),O225+1),"")</f>
        <v/>
      </c>
      <c r="R225" s="115" t="str">
        <f t="shared" si="57"/>
        <v/>
      </c>
      <c r="S225" s="155"/>
      <c r="T225" s="155"/>
      <c r="U225" s="155"/>
      <c r="V225" s="155"/>
      <c r="W225" s="155"/>
      <c r="X225" s="155"/>
      <c r="Y225" s="155"/>
      <c r="Z225" s="78"/>
      <c r="AA225" s="78"/>
      <c r="AB225" s="116" t="str">
        <f>IF(C225="3111. Logements",ROUND(VLOOKUP(C225,'Informations générales'!$C$66:$D$70,2,FALSE)*(AK225/$AL$27)/12,0)*12,IF(C225="3112. Logements",ROUND(VLOOKUP(C225,'Informations générales'!$C$66:$D$70,2,FALSE)*(AK225/$AM$27)/12,0)*12,IF(C225="3113. Logements",ROUND(VLOOKUP(C225,'Informations générales'!$C$66:$D$70,2,FALSE)*(AK225/$AN$27)/12,0)*12,IF(C225="3114. Logements",ROUND(VLOOKUP(C225,'Informations générales'!$C$66:$D$70,2,FALSE)*(AK225/$AO$27)/12,0)*12,IF(C225="3115. Logements",ROUND(VLOOKUP(C225,'Informations générales'!$C$66:$D$70,2,FALSE)*(AK225/$AP$27)/12,0)*12,"")))))</f>
        <v/>
      </c>
      <c r="AC225" s="117"/>
      <c r="AD225" s="116">
        <f t="shared" si="58"/>
        <v>0</v>
      </c>
      <c r="AE225" s="117"/>
      <c r="AF225" s="116" t="str">
        <f>IF(C225="3111. Logements",ROUND(VLOOKUP(C225,'Informations générales'!$C$66:$G$70,5,FALSE)*(AK225/$AL$27)/12,0)*12,IF(C225="3112. Logements",ROUND(VLOOKUP(C225,'Informations générales'!$C$66:$G$70,5,FALSE)*(AK225/$AM$27)/12,0)*12,IF(C225="3113. Logements",ROUND(VLOOKUP(C225,'Informations générales'!$C$66:$G$70,5,FALSE)*(AK225/$AN$27)/12,0)*12,IF(C225="3114. Logements",ROUND(VLOOKUP(C225,'Informations générales'!$C$66:$G$70,5,FALSE)*(AK225/$AO$27)/12,0)*12,IF(C225="3115. Logements",ROUND(VLOOKUP(C225,'Informations générales'!$C$66:$G$70,5,FALSE)*(AK225/$AP$27)/12,0)*12,"")))))</f>
        <v/>
      </c>
      <c r="AG225" s="117"/>
      <c r="AH225" s="116" t="str">
        <f t="shared" si="59"/>
        <v/>
      </c>
      <c r="AI225" s="92"/>
      <c r="AJ225" s="78"/>
      <c r="AK225" s="60">
        <f t="shared" si="60"/>
        <v>0</v>
      </c>
      <c r="AL225" s="60"/>
      <c r="AM225" s="60"/>
      <c r="AN225" s="60"/>
      <c r="AO225" s="60"/>
      <c r="AP225" s="60"/>
      <c r="AQ225" s="60">
        <f t="shared" si="48"/>
        <v>0</v>
      </c>
      <c r="AR225" s="60">
        <f t="shared" si="49"/>
        <v>0</v>
      </c>
      <c r="AS225" s="60">
        <f t="shared" si="50"/>
        <v>0</v>
      </c>
      <c r="AT225" s="60">
        <f t="shared" si="51"/>
        <v>0</v>
      </c>
      <c r="AU225" s="60">
        <f t="shared" si="52"/>
        <v>0</v>
      </c>
      <c r="AV225" s="60">
        <f t="shared" si="53"/>
        <v>0</v>
      </c>
      <c r="AW225" s="60">
        <f t="shared" si="54"/>
        <v>0</v>
      </c>
      <c r="AX225" s="60">
        <f t="shared" si="61"/>
        <v>0</v>
      </c>
      <c r="AY225" s="64">
        <f t="shared" si="62"/>
        <v>0</v>
      </c>
      <c r="AZ225" s="65">
        <f t="shared" si="55"/>
        <v>0</v>
      </c>
      <c r="BA225" s="65">
        <f t="shared" si="56"/>
        <v>0</v>
      </c>
    </row>
    <row r="226" spans="3:53" s="17" customFormat="1" x14ac:dyDescent="0.25">
      <c r="C226" s="194"/>
      <c r="D226" s="195"/>
      <c r="E226" s="90"/>
      <c r="F226" s="198"/>
      <c r="G226" s="214"/>
      <c r="H226" s="199"/>
      <c r="I226" s="78"/>
      <c r="J226" s="79"/>
      <c r="K226" s="78"/>
      <c r="L226" s="80"/>
      <c r="M226" s="80"/>
      <c r="N226" s="78" t="s">
        <v>39</v>
      </c>
      <c r="O226" s="113"/>
      <c r="P226" s="155"/>
      <c r="Q226" s="114" t="str">
        <f>IFERROR(MIN(VLOOKUP(ROUNDDOWN(P226,0),'Aide calcul'!$B$2:$C$282,2,FALSE),O226+1),"")</f>
        <v/>
      </c>
      <c r="R226" s="115" t="str">
        <f t="shared" si="57"/>
        <v/>
      </c>
      <c r="S226" s="155"/>
      <c r="T226" s="155"/>
      <c r="U226" s="155"/>
      <c r="V226" s="155"/>
      <c r="W226" s="155"/>
      <c r="X226" s="155"/>
      <c r="Y226" s="155"/>
      <c r="Z226" s="78"/>
      <c r="AA226" s="78"/>
      <c r="AB226" s="116" t="str">
        <f>IF(C226="3111. Logements",ROUND(VLOOKUP(C226,'Informations générales'!$C$66:$D$70,2,FALSE)*(AK226/$AL$27)/12,0)*12,IF(C226="3112. Logements",ROUND(VLOOKUP(C226,'Informations générales'!$C$66:$D$70,2,FALSE)*(AK226/$AM$27)/12,0)*12,IF(C226="3113. Logements",ROUND(VLOOKUP(C226,'Informations générales'!$C$66:$D$70,2,FALSE)*(AK226/$AN$27)/12,0)*12,IF(C226="3114. Logements",ROUND(VLOOKUP(C226,'Informations générales'!$C$66:$D$70,2,FALSE)*(AK226/$AO$27)/12,0)*12,IF(C226="3115. Logements",ROUND(VLOOKUP(C226,'Informations générales'!$C$66:$D$70,2,FALSE)*(AK226/$AP$27)/12,0)*12,"")))))</f>
        <v/>
      </c>
      <c r="AC226" s="117"/>
      <c r="AD226" s="116">
        <f t="shared" si="58"/>
        <v>0</v>
      </c>
      <c r="AE226" s="117"/>
      <c r="AF226" s="116" t="str">
        <f>IF(C226="3111. Logements",ROUND(VLOOKUP(C226,'Informations générales'!$C$66:$G$70,5,FALSE)*(AK226/$AL$27)/12,0)*12,IF(C226="3112. Logements",ROUND(VLOOKUP(C226,'Informations générales'!$C$66:$G$70,5,FALSE)*(AK226/$AM$27)/12,0)*12,IF(C226="3113. Logements",ROUND(VLOOKUP(C226,'Informations générales'!$C$66:$G$70,5,FALSE)*(AK226/$AN$27)/12,0)*12,IF(C226="3114. Logements",ROUND(VLOOKUP(C226,'Informations générales'!$C$66:$G$70,5,FALSE)*(AK226/$AO$27)/12,0)*12,IF(C226="3115. Logements",ROUND(VLOOKUP(C226,'Informations générales'!$C$66:$G$70,5,FALSE)*(AK226/$AP$27)/12,0)*12,"")))))</f>
        <v/>
      </c>
      <c r="AG226" s="117"/>
      <c r="AH226" s="116" t="str">
        <f t="shared" si="59"/>
        <v/>
      </c>
      <c r="AI226" s="92"/>
      <c r="AJ226" s="78"/>
      <c r="AK226" s="60">
        <f t="shared" si="60"/>
        <v>0</v>
      </c>
      <c r="AL226" s="60"/>
      <c r="AM226" s="60"/>
      <c r="AN226" s="60"/>
      <c r="AO226" s="60"/>
      <c r="AP226" s="60"/>
      <c r="AQ226" s="60">
        <f t="shared" si="48"/>
        <v>0</v>
      </c>
      <c r="AR226" s="60">
        <f t="shared" si="49"/>
        <v>0</v>
      </c>
      <c r="AS226" s="60">
        <f t="shared" si="50"/>
        <v>0</v>
      </c>
      <c r="AT226" s="60">
        <f t="shared" si="51"/>
        <v>0</v>
      </c>
      <c r="AU226" s="60">
        <f t="shared" si="52"/>
        <v>0</v>
      </c>
      <c r="AV226" s="60">
        <f t="shared" si="53"/>
        <v>0</v>
      </c>
      <c r="AW226" s="60">
        <f t="shared" si="54"/>
        <v>0</v>
      </c>
      <c r="AX226" s="60">
        <f t="shared" si="61"/>
        <v>0</v>
      </c>
      <c r="AY226" s="64">
        <f t="shared" si="62"/>
        <v>0</v>
      </c>
      <c r="AZ226" s="65">
        <f t="shared" si="55"/>
        <v>0</v>
      </c>
      <c r="BA226" s="65">
        <f t="shared" si="56"/>
        <v>0</v>
      </c>
    </row>
    <row r="227" spans="3:53" s="17" customFormat="1" x14ac:dyDescent="0.25">
      <c r="C227" s="194"/>
      <c r="D227" s="195"/>
      <c r="E227" s="90"/>
      <c r="F227" s="198"/>
      <c r="G227" s="214"/>
      <c r="H227" s="199"/>
      <c r="I227" s="78"/>
      <c r="J227" s="79"/>
      <c r="K227" s="78"/>
      <c r="L227" s="80"/>
      <c r="M227" s="80"/>
      <c r="N227" s="78" t="s">
        <v>39</v>
      </c>
      <c r="O227" s="113"/>
      <c r="P227" s="155"/>
      <c r="Q227" s="114" t="str">
        <f>IFERROR(MIN(VLOOKUP(ROUNDDOWN(P227,0),'Aide calcul'!$B$2:$C$282,2,FALSE),O227+1),"")</f>
        <v/>
      </c>
      <c r="R227" s="115" t="str">
        <f t="shared" si="57"/>
        <v/>
      </c>
      <c r="S227" s="155"/>
      <c r="T227" s="155"/>
      <c r="U227" s="155"/>
      <c r="V227" s="155"/>
      <c r="W227" s="155"/>
      <c r="X227" s="155"/>
      <c r="Y227" s="155"/>
      <c r="Z227" s="78"/>
      <c r="AA227" s="78"/>
      <c r="AB227" s="116" t="str">
        <f>IF(C227="3111. Logements",ROUND(VLOOKUP(C227,'Informations générales'!$C$66:$D$70,2,FALSE)*(AK227/$AL$27)/12,0)*12,IF(C227="3112. Logements",ROUND(VLOOKUP(C227,'Informations générales'!$C$66:$D$70,2,FALSE)*(AK227/$AM$27)/12,0)*12,IF(C227="3113. Logements",ROUND(VLOOKUP(C227,'Informations générales'!$C$66:$D$70,2,FALSE)*(AK227/$AN$27)/12,0)*12,IF(C227="3114. Logements",ROUND(VLOOKUP(C227,'Informations générales'!$C$66:$D$70,2,FALSE)*(AK227/$AO$27)/12,0)*12,IF(C227="3115. Logements",ROUND(VLOOKUP(C227,'Informations générales'!$C$66:$D$70,2,FALSE)*(AK227/$AP$27)/12,0)*12,"")))))</f>
        <v/>
      </c>
      <c r="AC227" s="117"/>
      <c r="AD227" s="116">
        <f t="shared" si="58"/>
        <v>0</v>
      </c>
      <c r="AE227" s="117"/>
      <c r="AF227" s="116" t="str">
        <f>IF(C227="3111. Logements",ROUND(VLOOKUP(C227,'Informations générales'!$C$66:$G$70,5,FALSE)*(AK227/$AL$27)/12,0)*12,IF(C227="3112. Logements",ROUND(VLOOKUP(C227,'Informations générales'!$C$66:$G$70,5,FALSE)*(AK227/$AM$27)/12,0)*12,IF(C227="3113. Logements",ROUND(VLOOKUP(C227,'Informations générales'!$C$66:$G$70,5,FALSE)*(AK227/$AN$27)/12,0)*12,IF(C227="3114. Logements",ROUND(VLOOKUP(C227,'Informations générales'!$C$66:$G$70,5,FALSE)*(AK227/$AO$27)/12,0)*12,IF(C227="3115. Logements",ROUND(VLOOKUP(C227,'Informations générales'!$C$66:$G$70,5,FALSE)*(AK227/$AP$27)/12,0)*12,"")))))</f>
        <v/>
      </c>
      <c r="AG227" s="117"/>
      <c r="AH227" s="116" t="str">
        <f t="shared" si="59"/>
        <v/>
      </c>
      <c r="AI227" s="92"/>
      <c r="AJ227" s="78"/>
      <c r="AK227" s="60">
        <f t="shared" si="60"/>
        <v>0</v>
      </c>
      <c r="AL227" s="60"/>
      <c r="AM227" s="60"/>
      <c r="AN227" s="60"/>
      <c r="AO227" s="60"/>
      <c r="AP227" s="60"/>
      <c r="AQ227" s="60">
        <f t="shared" si="48"/>
        <v>0</v>
      </c>
      <c r="AR227" s="60">
        <f t="shared" si="49"/>
        <v>0</v>
      </c>
      <c r="AS227" s="60">
        <f t="shared" si="50"/>
        <v>0</v>
      </c>
      <c r="AT227" s="60">
        <f t="shared" si="51"/>
        <v>0</v>
      </c>
      <c r="AU227" s="60">
        <f t="shared" si="52"/>
        <v>0</v>
      </c>
      <c r="AV227" s="60">
        <f t="shared" si="53"/>
        <v>0</v>
      </c>
      <c r="AW227" s="60">
        <f t="shared" si="54"/>
        <v>0</v>
      </c>
      <c r="AX227" s="60">
        <f t="shared" si="61"/>
        <v>0</v>
      </c>
      <c r="AY227" s="64">
        <f t="shared" si="62"/>
        <v>0</v>
      </c>
      <c r="AZ227" s="65">
        <f t="shared" si="55"/>
        <v>0</v>
      </c>
      <c r="BA227" s="65">
        <f t="shared" si="56"/>
        <v>0</v>
      </c>
    </row>
    <row r="228" spans="3:53" s="17" customFormat="1" x14ac:dyDescent="0.25">
      <c r="C228" s="194"/>
      <c r="D228" s="195"/>
      <c r="E228" s="90"/>
      <c r="F228" s="198"/>
      <c r="G228" s="214"/>
      <c r="H228" s="199"/>
      <c r="I228" s="78"/>
      <c r="J228" s="79"/>
      <c r="K228" s="78"/>
      <c r="L228" s="80"/>
      <c r="M228" s="80"/>
      <c r="N228" s="78" t="s">
        <v>39</v>
      </c>
      <c r="O228" s="113"/>
      <c r="P228" s="155"/>
      <c r="Q228" s="114" t="str">
        <f>IFERROR(MIN(VLOOKUP(ROUNDDOWN(P228,0),'Aide calcul'!$B$2:$C$282,2,FALSE),O228+1),"")</f>
        <v/>
      </c>
      <c r="R228" s="115" t="str">
        <f t="shared" si="57"/>
        <v/>
      </c>
      <c r="S228" s="155"/>
      <c r="T228" s="155"/>
      <c r="U228" s="155"/>
      <c r="V228" s="155"/>
      <c r="W228" s="155"/>
      <c r="X228" s="155"/>
      <c r="Y228" s="155"/>
      <c r="Z228" s="78"/>
      <c r="AA228" s="78"/>
      <c r="AB228" s="116" t="str">
        <f>IF(C228="3111. Logements",ROUND(VLOOKUP(C228,'Informations générales'!$C$66:$D$70,2,FALSE)*(AK228/$AL$27)/12,0)*12,IF(C228="3112. Logements",ROUND(VLOOKUP(C228,'Informations générales'!$C$66:$D$70,2,FALSE)*(AK228/$AM$27)/12,0)*12,IF(C228="3113. Logements",ROUND(VLOOKUP(C228,'Informations générales'!$C$66:$D$70,2,FALSE)*(AK228/$AN$27)/12,0)*12,IF(C228="3114. Logements",ROUND(VLOOKUP(C228,'Informations générales'!$C$66:$D$70,2,FALSE)*(AK228/$AO$27)/12,0)*12,IF(C228="3115. Logements",ROUND(VLOOKUP(C228,'Informations générales'!$C$66:$D$70,2,FALSE)*(AK228/$AP$27)/12,0)*12,"")))))</f>
        <v/>
      </c>
      <c r="AC228" s="117"/>
      <c r="AD228" s="116">
        <f t="shared" si="58"/>
        <v>0</v>
      </c>
      <c r="AE228" s="117"/>
      <c r="AF228" s="116" t="str">
        <f>IF(C228="3111. Logements",ROUND(VLOOKUP(C228,'Informations générales'!$C$66:$G$70,5,FALSE)*(AK228/$AL$27)/12,0)*12,IF(C228="3112. Logements",ROUND(VLOOKUP(C228,'Informations générales'!$C$66:$G$70,5,FALSE)*(AK228/$AM$27)/12,0)*12,IF(C228="3113. Logements",ROUND(VLOOKUP(C228,'Informations générales'!$C$66:$G$70,5,FALSE)*(AK228/$AN$27)/12,0)*12,IF(C228="3114. Logements",ROUND(VLOOKUP(C228,'Informations générales'!$C$66:$G$70,5,FALSE)*(AK228/$AO$27)/12,0)*12,IF(C228="3115. Logements",ROUND(VLOOKUP(C228,'Informations générales'!$C$66:$G$70,5,FALSE)*(AK228/$AP$27)/12,0)*12,"")))))</f>
        <v/>
      </c>
      <c r="AG228" s="117"/>
      <c r="AH228" s="116" t="str">
        <f t="shared" si="59"/>
        <v/>
      </c>
      <c r="AI228" s="92"/>
      <c r="AJ228" s="78"/>
      <c r="AK228" s="60">
        <f t="shared" si="60"/>
        <v>0</v>
      </c>
      <c r="AL228" s="60"/>
      <c r="AM228" s="60"/>
      <c r="AN228" s="60"/>
      <c r="AO228" s="60"/>
      <c r="AP228" s="60"/>
      <c r="AQ228" s="60">
        <f t="shared" si="48"/>
        <v>0</v>
      </c>
      <c r="AR228" s="60">
        <f t="shared" si="49"/>
        <v>0</v>
      </c>
      <c r="AS228" s="60">
        <f t="shared" si="50"/>
        <v>0</v>
      </c>
      <c r="AT228" s="60">
        <f t="shared" si="51"/>
        <v>0</v>
      </c>
      <c r="AU228" s="60">
        <f t="shared" si="52"/>
        <v>0</v>
      </c>
      <c r="AV228" s="60">
        <f t="shared" si="53"/>
        <v>0</v>
      </c>
      <c r="AW228" s="60">
        <f t="shared" si="54"/>
        <v>0</v>
      </c>
      <c r="AX228" s="60">
        <f t="shared" si="61"/>
        <v>0</v>
      </c>
      <c r="AY228" s="64">
        <f t="shared" si="62"/>
        <v>0</v>
      </c>
      <c r="AZ228" s="65">
        <f t="shared" si="55"/>
        <v>0</v>
      </c>
      <c r="BA228" s="65">
        <f t="shared" si="56"/>
        <v>0</v>
      </c>
    </row>
    <row r="229" spans="3:53" s="17" customFormat="1" x14ac:dyDescent="0.25">
      <c r="C229" s="194"/>
      <c r="D229" s="195"/>
      <c r="E229" s="90"/>
      <c r="F229" s="198"/>
      <c r="G229" s="214"/>
      <c r="H229" s="199"/>
      <c r="I229" s="78"/>
      <c r="J229" s="79"/>
      <c r="K229" s="78"/>
      <c r="L229" s="80"/>
      <c r="M229" s="80"/>
      <c r="N229" s="78" t="s">
        <v>39</v>
      </c>
      <c r="O229" s="113"/>
      <c r="P229" s="155"/>
      <c r="Q229" s="114" t="str">
        <f>IFERROR(MIN(VLOOKUP(ROUNDDOWN(P229,0),'Aide calcul'!$B$2:$C$282,2,FALSE),O229+1),"")</f>
        <v/>
      </c>
      <c r="R229" s="115" t="str">
        <f t="shared" si="57"/>
        <v/>
      </c>
      <c r="S229" s="155"/>
      <c r="T229" s="155"/>
      <c r="U229" s="155"/>
      <c r="V229" s="155"/>
      <c r="W229" s="155"/>
      <c r="X229" s="155"/>
      <c r="Y229" s="155"/>
      <c r="Z229" s="78"/>
      <c r="AA229" s="78"/>
      <c r="AB229" s="116" t="str">
        <f>IF(C229="3111. Logements",ROUND(VLOOKUP(C229,'Informations générales'!$C$66:$D$70,2,FALSE)*(AK229/$AL$27)/12,0)*12,IF(C229="3112. Logements",ROUND(VLOOKUP(C229,'Informations générales'!$C$66:$D$70,2,FALSE)*(AK229/$AM$27)/12,0)*12,IF(C229="3113. Logements",ROUND(VLOOKUP(C229,'Informations générales'!$C$66:$D$70,2,FALSE)*(AK229/$AN$27)/12,0)*12,IF(C229="3114. Logements",ROUND(VLOOKUP(C229,'Informations générales'!$C$66:$D$70,2,FALSE)*(AK229/$AO$27)/12,0)*12,IF(C229="3115. Logements",ROUND(VLOOKUP(C229,'Informations générales'!$C$66:$D$70,2,FALSE)*(AK229/$AP$27)/12,0)*12,"")))))</f>
        <v/>
      </c>
      <c r="AC229" s="117"/>
      <c r="AD229" s="116">
        <f t="shared" si="58"/>
        <v>0</v>
      </c>
      <c r="AE229" s="117"/>
      <c r="AF229" s="116" t="str">
        <f>IF(C229="3111. Logements",ROUND(VLOOKUP(C229,'Informations générales'!$C$66:$G$70,5,FALSE)*(AK229/$AL$27)/12,0)*12,IF(C229="3112. Logements",ROUND(VLOOKUP(C229,'Informations générales'!$C$66:$G$70,5,FALSE)*(AK229/$AM$27)/12,0)*12,IF(C229="3113. Logements",ROUND(VLOOKUP(C229,'Informations générales'!$C$66:$G$70,5,FALSE)*(AK229/$AN$27)/12,0)*12,IF(C229="3114. Logements",ROUND(VLOOKUP(C229,'Informations générales'!$C$66:$G$70,5,FALSE)*(AK229/$AO$27)/12,0)*12,IF(C229="3115. Logements",ROUND(VLOOKUP(C229,'Informations générales'!$C$66:$G$70,5,FALSE)*(AK229/$AP$27)/12,0)*12,"")))))</f>
        <v/>
      </c>
      <c r="AG229" s="117"/>
      <c r="AH229" s="116" t="str">
        <f t="shared" si="59"/>
        <v/>
      </c>
      <c r="AI229" s="92"/>
      <c r="AJ229" s="78"/>
      <c r="AK229" s="60">
        <f t="shared" si="60"/>
        <v>0</v>
      </c>
      <c r="AL229" s="60"/>
      <c r="AM229" s="60"/>
      <c r="AN229" s="60"/>
      <c r="AO229" s="60"/>
      <c r="AP229" s="60"/>
      <c r="AQ229" s="60">
        <f t="shared" si="48"/>
        <v>0</v>
      </c>
      <c r="AR229" s="60">
        <f t="shared" si="49"/>
        <v>0</v>
      </c>
      <c r="AS229" s="60">
        <f t="shared" si="50"/>
        <v>0</v>
      </c>
      <c r="AT229" s="60">
        <f t="shared" si="51"/>
        <v>0</v>
      </c>
      <c r="AU229" s="60">
        <f t="shared" si="52"/>
        <v>0</v>
      </c>
      <c r="AV229" s="60">
        <f t="shared" si="53"/>
        <v>0</v>
      </c>
      <c r="AW229" s="60">
        <f t="shared" si="54"/>
        <v>0</v>
      </c>
      <c r="AX229" s="60">
        <f t="shared" si="61"/>
        <v>0</v>
      </c>
      <c r="AY229" s="64">
        <f t="shared" si="62"/>
        <v>0</v>
      </c>
      <c r="AZ229" s="65">
        <f t="shared" si="55"/>
        <v>0</v>
      </c>
      <c r="BA229" s="65">
        <f t="shared" si="56"/>
        <v>0</v>
      </c>
    </row>
    <row r="230" spans="3:53" s="17" customFormat="1" x14ac:dyDescent="0.25">
      <c r="C230" s="194"/>
      <c r="D230" s="195"/>
      <c r="E230" s="90"/>
      <c r="F230" s="198"/>
      <c r="G230" s="214"/>
      <c r="H230" s="199"/>
      <c r="I230" s="78"/>
      <c r="J230" s="79"/>
      <c r="K230" s="78"/>
      <c r="L230" s="80"/>
      <c r="M230" s="80"/>
      <c r="N230" s="78" t="s">
        <v>39</v>
      </c>
      <c r="O230" s="113"/>
      <c r="P230" s="155"/>
      <c r="Q230" s="114" t="str">
        <f>IFERROR(MIN(VLOOKUP(ROUNDDOWN(P230,0),'Aide calcul'!$B$2:$C$282,2,FALSE),O230+1),"")</f>
        <v/>
      </c>
      <c r="R230" s="115" t="str">
        <f t="shared" si="57"/>
        <v/>
      </c>
      <c r="S230" s="155"/>
      <c r="T230" s="155"/>
      <c r="U230" s="155"/>
      <c r="V230" s="155"/>
      <c r="W230" s="155"/>
      <c r="X230" s="155"/>
      <c r="Y230" s="155"/>
      <c r="Z230" s="78"/>
      <c r="AA230" s="78"/>
      <c r="AB230" s="116" t="str">
        <f>IF(C230="3111. Logements",ROUND(VLOOKUP(C230,'Informations générales'!$C$66:$D$70,2,FALSE)*(AK230/$AL$27)/12,0)*12,IF(C230="3112. Logements",ROUND(VLOOKUP(C230,'Informations générales'!$C$66:$D$70,2,FALSE)*(AK230/$AM$27)/12,0)*12,IF(C230="3113. Logements",ROUND(VLOOKUP(C230,'Informations générales'!$C$66:$D$70,2,FALSE)*(AK230/$AN$27)/12,0)*12,IF(C230="3114. Logements",ROUND(VLOOKUP(C230,'Informations générales'!$C$66:$D$70,2,FALSE)*(AK230/$AO$27)/12,0)*12,IF(C230="3115. Logements",ROUND(VLOOKUP(C230,'Informations générales'!$C$66:$D$70,2,FALSE)*(AK230/$AP$27)/12,0)*12,"")))))</f>
        <v/>
      </c>
      <c r="AC230" s="117"/>
      <c r="AD230" s="116">
        <f t="shared" si="58"/>
        <v>0</v>
      </c>
      <c r="AE230" s="117"/>
      <c r="AF230" s="116" t="str">
        <f>IF(C230="3111. Logements",ROUND(VLOOKUP(C230,'Informations générales'!$C$66:$G$70,5,FALSE)*(AK230/$AL$27)/12,0)*12,IF(C230="3112. Logements",ROUND(VLOOKUP(C230,'Informations générales'!$C$66:$G$70,5,FALSE)*(AK230/$AM$27)/12,0)*12,IF(C230="3113. Logements",ROUND(VLOOKUP(C230,'Informations générales'!$C$66:$G$70,5,FALSE)*(AK230/$AN$27)/12,0)*12,IF(C230="3114. Logements",ROUND(VLOOKUP(C230,'Informations générales'!$C$66:$G$70,5,FALSE)*(AK230/$AO$27)/12,0)*12,IF(C230="3115. Logements",ROUND(VLOOKUP(C230,'Informations générales'!$C$66:$G$70,5,FALSE)*(AK230/$AP$27)/12,0)*12,"")))))</f>
        <v/>
      </c>
      <c r="AG230" s="117"/>
      <c r="AH230" s="116" t="str">
        <f t="shared" si="59"/>
        <v/>
      </c>
      <c r="AI230" s="92"/>
      <c r="AJ230" s="78"/>
      <c r="AK230" s="60">
        <f t="shared" si="60"/>
        <v>0</v>
      </c>
      <c r="AL230" s="60"/>
      <c r="AM230" s="60"/>
      <c r="AN230" s="60"/>
      <c r="AO230" s="60"/>
      <c r="AP230" s="60"/>
      <c r="AQ230" s="60">
        <f t="shared" si="48"/>
        <v>0</v>
      </c>
      <c r="AR230" s="60">
        <f t="shared" si="49"/>
        <v>0</v>
      </c>
      <c r="AS230" s="60">
        <f t="shared" si="50"/>
        <v>0</v>
      </c>
      <c r="AT230" s="60">
        <f t="shared" si="51"/>
        <v>0</v>
      </c>
      <c r="AU230" s="60">
        <f t="shared" si="52"/>
        <v>0</v>
      </c>
      <c r="AV230" s="60">
        <f t="shared" si="53"/>
        <v>0</v>
      </c>
      <c r="AW230" s="60">
        <f t="shared" si="54"/>
        <v>0</v>
      </c>
      <c r="AX230" s="60">
        <f t="shared" si="61"/>
        <v>0</v>
      </c>
      <c r="AY230" s="64">
        <f t="shared" si="62"/>
        <v>0</v>
      </c>
      <c r="AZ230" s="65">
        <f t="shared" si="55"/>
        <v>0</v>
      </c>
      <c r="BA230" s="65">
        <f t="shared" si="56"/>
        <v>0</v>
      </c>
    </row>
    <row r="231" spans="3:53" s="17" customFormat="1" x14ac:dyDescent="0.25">
      <c r="C231" s="194"/>
      <c r="D231" s="195"/>
      <c r="E231" s="90"/>
      <c r="F231" s="198"/>
      <c r="G231" s="214"/>
      <c r="H231" s="199"/>
      <c r="I231" s="78"/>
      <c r="J231" s="79"/>
      <c r="K231" s="78"/>
      <c r="L231" s="80"/>
      <c r="M231" s="80"/>
      <c r="N231" s="78" t="s">
        <v>39</v>
      </c>
      <c r="O231" s="113"/>
      <c r="P231" s="155"/>
      <c r="Q231" s="114" t="str">
        <f>IFERROR(MIN(VLOOKUP(ROUNDDOWN(P231,0),'Aide calcul'!$B$2:$C$282,2,FALSE),O231+1),"")</f>
        <v/>
      </c>
      <c r="R231" s="115" t="str">
        <f t="shared" si="57"/>
        <v/>
      </c>
      <c r="S231" s="155"/>
      <c r="T231" s="155"/>
      <c r="U231" s="155"/>
      <c r="V231" s="155"/>
      <c r="W231" s="155"/>
      <c r="X231" s="155"/>
      <c r="Y231" s="155"/>
      <c r="Z231" s="78"/>
      <c r="AA231" s="78"/>
      <c r="AB231" s="116" t="str">
        <f>IF(C231="3111. Logements",ROUND(VLOOKUP(C231,'Informations générales'!$C$66:$D$70,2,FALSE)*(AK231/$AL$27)/12,0)*12,IF(C231="3112. Logements",ROUND(VLOOKUP(C231,'Informations générales'!$C$66:$D$70,2,FALSE)*(AK231/$AM$27)/12,0)*12,IF(C231="3113. Logements",ROUND(VLOOKUP(C231,'Informations générales'!$C$66:$D$70,2,FALSE)*(AK231/$AN$27)/12,0)*12,IF(C231="3114. Logements",ROUND(VLOOKUP(C231,'Informations générales'!$C$66:$D$70,2,FALSE)*(AK231/$AO$27)/12,0)*12,IF(C231="3115. Logements",ROUND(VLOOKUP(C231,'Informations générales'!$C$66:$D$70,2,FALSE)*(AK231/$AP$27)/12,0)*12,"")))))</f>
        <v/>
      </c>
      <c r="AC231" s="117"/>
      <c r="AD231" s="116">
        <f t="shared" si="58"/>
        <v>0</v>
      </c>
      <c r="AE231" s="117"/>
      <c r="AF231" s="116" t="str">
        <f>IF(C231="3111. Logements",ROUND(VLOOKUP(C231,'Informations générales'!$C$66:$G$70,5,FALSE)*(AK231/$AL$27)/12,0)*12,IF(C231="3112. Logements",ROUND(VLOOKUP(C231,'Informations générales'!$C$66:$G$70,5,FALSE)*(AK231/$AM$27)/12,0)*12,IF(C231="3113. Logements",ROUND(VLOOKUP(C231,'Informations générales'!$C$66:$G$70,5,FALSE)*(AK231/$AN$27)/12,0)*12,IF(C231="3114. Logements",ROUND(VLOOKUP(C231,'Informations générales'!$C$66:$G$70,5,FALSE)*(AK231/$AO$27)/12,0)*12,IF(C231="3115. Logements",ROUND(VLOOKUP(C231,'Informations générales'!$C$66:$G$70,5,FALSE)*(AK231/$AP$27)/12,0)*12,"")))))</f>
        <v/>
      </c>
      <c r="AG231" s="117"/>
      <c r="AH231" s="116" t="str">
        <f t="shared" si="59"/>
        <v/>
      </c>
      <c r="AI231" s="92"/>
      <c r="AJ231" s="78"/>
      <c r="AK231" s="60">
        <f t="shared" si="60"/>
        <v>0</v>
      </c>
      <c r="AL231" s="60"/>
      <c r="AM231" s="60"/>
      <c r="AN231" s="60"/>
      <c r="AO231" s="60"/>
      <c r="AP231" s="60"/>
      <c r="AQ231" s="60">
        <f t="shared" si="48"/>
        <v>0</v>
      </c>
      <c r="AR231" s="60">
        <f t="shared" si="49"/>
        <v>0</v>
      </c>
      <c r="AS231" s="60">
        <f t="shared" si="50"/>
        <v>0</v>
      </c>
      <c r="AT231" s="60">
        <f t="shared" si="51"/>
        <v>0</v>
      </c>
      <c r="AU231" s="60">
        <f t="shared" si="52"/>
        <v>0</v>
      </c>
      <c r="AV231" s="60">
        <f t="shared" si="53"/>
        <v>0</v>
      </c>
      <c r="AW231" s="60">
        <f t="shared" si="54"/>
        <v>0</v>
      </c>
      <c r="AX231" s="60">
        <f t="shared" si="61"/>
        <v>0</v>
      </c>
      <c r="AY231" s="64">
        <f t="shared" si="62"/>
        <v>0</v>
      </c>
      <c r="AZ231" s="65">
        <f t="shared" si="55"/>
        <v>0</v>
      </c>
      <c r="BA231" s="65">
        <f t="shared" si="56"/>
        <v>0</v>
      </c>
    </row>
    <row r="232" spans="3:53" s="17" customFormat="1" x14ac:dyDescent="0.25">
      <c r="C232" s="194"/>
      <c r="D232" s="195"/>
      <c r="E232" s="90"/>
      <c r="F232" s="198"/>
      <c r="G232" s="214"/>
      <c r="H232" s="199"/>
      <c r="I232" s="78"/>
      <c r="J232" s="79"/>
      <c r="K232" s="78"/>
      <c r="L232" s="80"/>
      <c r="M232" s="80"/>
      <c r="N232" s="78" t="s">
        <v>39</v>
      </c>
      <c r="O232" s="113"/>
      <c r="P232" s="155"/>
      <c r="Q232" s="114" t="str">
        <f>IFERROR(MIN(VLOOKUP(ROUNDDOWN(P232,0),'Aide calcul'!$B$2:$C$282,2,FALSE),O232+1),"")</f>
        <v/>
      </c>
      <c r="R232" s="115" t="str">
        <f t="shared" si="57"/>
        <v/>
      </c>
      <c r="S232" s="155"/>
      <c r="T232" s="155"/>
      <c r="U232" s="155"/>
      <c r="V232" s="155"/>
      <c r="W232" s="155"/>
      <c r="X232" s="155"/>
      <c r="Y232" s="155"/>
      <c r="Z232" s="78"/>
      <c r="AA232" s="78"/>
      <c r="AB232" s="116" t="str">
        <f>IF(C232="3111. Logements",ROUND(VLOOKUP(C232,'Informations générales'!$C$66:$D$70,2,FALSE)*(AK232/$AL$27)/12,0)*12,IF(C232="3112. Logements",ROUND(VLOOKUP(C232,'Informations générales'!$C$66:$D$70,2,FALSE)*(AK232/$AM$27)/12,0)*12,IF(C232="3113. Logements",ROUND(VLOOKUP(C232,'Informations générales'!$C$66:$D$70,2,FALSE)*(AK232/$AN$27)/12,0)*12,IF(C232="3114. Logements",ROUND(VLOOKUP(C232,'Informations générales'!$C$66:$D$70,2,FALSE)*(AK232/$AO$27)/12,0)*12,IF(C232="3115. Logements",ROUND(VLOOKUP(C232,'Informations générales'!$C$66:$D$70,2,FALSE)*(AK232/$AP$27)/12,0)*12,"")))))</f>
        <v/>
      </c>
      <c r="AC232" s="117"/>
      <c r="AD232" s="116">
        <f t="shared" si="58"/>
        <v>0</v>
      </c>
      <c r="AE232" s="117"/>
      <c r="AF232" s="116" t="str">
        <f>IF(C232="3111. Logements",ROUND(VLOOKUP(C232,'Informations générales'!$C$66:$G$70,5,FALSE)*(AK232/$AL$27)/12,0)*12,IF(C232="3112. Logements",ROUND(VLOOKUP(C232,'Informations générales'!$C$66:$G$70,5,FALSE)*(AK232/$AM$27)/12,0)*12,IF(C232="3113. Logements",ROUND(VLOOKUP(C232,'Informations générales'!$C$66:$G$70,5,FALSE)*(AK232/$AN$27)/12,0)*12,IF(C232="3114. Logements",ROUND(VLOOKUP(C232,'Informations générales'!$C$66:$G$70,5,FALSE)*(AK232/$AO$27)/12,0)*12,IF(C232="3115. Logements",ROUND(VLOOKUP(C232,'Informations générales'!$C$66:$G$70,5,FALSE)*(AK232/$AP$27)/12,0)*12,"")))))</f>
        <v/>
      </c>
      <c r="AG232" s="117"/>
      <c r="AH232" s="116" t="str">
        <f t="shared" si="59"/>
        <v/>
      </c>
      <c r="AI232" s="92"/>
      <c r="AJ232" s="78"/>
      <c r="AK232" s="60">
        <f t="shared" si="60"/>
        <v>0</v>
      </c>
      <c r="AL232" s="60"/>
      <c r="AM232" s="60"/>
      <c r="AN232" s="60"/>
      <c r="AO232" s="60"/>
      <c r="AP232" s="60"/>
      <c r="AQ232" s="60">
        <f t="shared" si="48"/>
        <v>0</v>
      </c>
      <c r="AR232" s="60">
        <f t="shared" si="49"/>
        <v>0</v>
      </c>
      <c r="AS232" s="60">
        <f t="shared" si="50"/>
        <v>0</v>
      </c>
      <c r="AT232" s="60">
        <f t="shared" si="51"/>
        <v>0</v>
      </c>
      <c r="AU232" s="60">
        <f t="shared" si="52"/>
        <v>0</v>
      </c>
      <c r="AV232" s="60">
        <f t="shared" si="53"/>
        <v>0</v>
      </c>
      <c r="AW232" s="60">
        <f t="shared" si="54"/>
        <v>0</v>
      </c>
      <c r="AX232" s="60">
        <f t="shared" si="61"/>
        <v>0</v>
      </c>
      <c r="AY232" s="64">
        <f t="shared" si="62"/>
        <v>0</v>
      </c>
      <c r="AZ232" s="65">
        <f t="shared" si="55"/>
        <v>0</v>
      </c>
      <c r="BA232" s="65">
        <f t="shared" si="56"/>
        <v>0</v>
      </c>
    </row>
    <row r="233" spans="3:53" s="17" customFormat="1" x14ac:dyDescent="0.25">
      <c r="C233" s="194"/>
      <c r="D233" s="195"/>
      <c r="E233" s="90"/>
      <c r="F233" s="198"/>
      <c r="G233" s="214"/>
      <c r="H233" s="199"/>
      <c r="I233" s="78"/>
      <c r="J233" s="79"/>
      <c r="K233" s="78"/>
      <c r="L233" s="80"/>
      <c r="M233" s="80"/>
      <c r="N233" s="78" t="s">
        <v>39</v>
      </c>
      <c r="O233" s="113"/>
      <c r="P233" s="155"/>
      <c r="Q233" s="114" t="str">
        <f>IFERROR(MIN(VLOOKUP(ROUNDDOWN(P233,0),'Aide calcul'!$B$2:$C$282,2,FALSE),O233+1),"")</f>
        <v/>
      </c>
      <c r="R233" s="115" t="str">
        <f t="shared" si="57"/>
        <v/>
      </c>
      <c r="S233" s="155"/>
      <c r="T233" s="155"/>
      <c r="U233" s="155"/>
      <c r="V233" s="155"/>
      <c r="W233" s="155"/>
      <c r="X233" s="155"/>
      <c r="Y233" s="155"/>
      <c r="Z233" s="78"/>
      <c r="AA233" s="78"/>
      <c r="AB233" s="116" t="str">
        <f>IF(C233="3111. Logements",ROUND(VLOOKUP(C233,'Informations générales'!$C$66:$D$70,2,FALSE)*(AK233/$AL$27)/12,0)*12,IF(C233="3112. Logements",ROUND(VLOOKUP(C233,'Informations générales'!$C$66:$D$70,2,FALSE)*(AK233/$AM$27)/12,0)*12,IF(C233="3113. Logements",ROUND(VLOOKUP(C233,'Informations générales'!$C$66:$D$70,2,FALSE)*(AK233/$AN$27)/12,0)*12,IF(C233="3114. Logements",ROUND(VLOOKUP(C233,'Informations générales'!$C$66:$D$70,2,FALSE)*(AK233/$AO$27)/12,0)*12,IF(C233="3115. Logements",ROUND(VLOOKUP(C233,'Informations générales'!$C$66:$D$70,2,FALSE)*(AK233/$AP$27)/12,0)*12,"")))))</f>
        <v/>
      </c>
      <c r="AC233" s="117"/>
      <c r="AD233" s="116">
        <f t="shared" si="58"/>
        <v>0</v>
      </c>
      <c r="AE233" s="117"/>
      <c r="AF233" s="116" t="str">
        <f>IF(C233="3111. Logements",ROUND(VLOOKUP(C233,'Informations générales'!$C$66:$G$70,5,FALSE)*(AK233/$AL$27)/12,0)*12,IF(C233="3112. Logements",ROUND(VLOOKUP(C233,'Informations générales'!$C$66:$G$70,5,FALSE)*(AK233/$AM$27)/12,0)*12,IF(C233="3113. Logements",ROUND(VLOOKUP(C233,'Informations générales'!$C$66:$G$70,5,FALSE)*(AK233/$AN$27)/12,0)*12,IF(C233="3114. Logements",ROUND(VLOOKUP(C233,'Informations générales'!$C$66:$G$70,5,FALSE)*(AK233/$AO$27)/12,0)*12,IF(C233="3115. Logements",ROUND(VLOOKUP(C233,'Informations générales'!$C$66:$G$70,5,FALSE)*(AK233/$AP$27)/12,0)*12,"")))))</f>
        <v/>
      </c>
      <c r="AG233" s="117"/>
      <c r="AH233" s="116" t="str">
        <f t="shared" si="59"/>
        <v/>
      </c>
      <c r="AI233" s="92"/>
      <c r="AJ233" s="78"/>
      <c r="AK233" s="60">
        <f t="shared" si="60"/>
        <v>0</v>
      </c>
      <c r="AL233" s="60"/>
      <c r="AM233" s="60"/>
      <c r="AN233" s="60"/>
      <c r="AO233" s="60"/>
      <c r="AP233" s="60"/>
      <c r="AQ233" s="60">
        <f t="shared" si="48"/>
        <v>0</v>
      </c>
      <c r="AR233" s="60">
        <f t="shared" si="49"/>
        <v>0</v>
      </c>
      <c r="AS233" s="60">
        <f t="shared" si="50"/>
        <v>0</v>
      </c>
      <c r="AT233" s="60">
        <f t="shared" si="51"/>
        <v>0</v>
      </c>
      <c r="AU233" s="60">
        <f t="shared" si="52"/>
        <v>0</v>
      </c>
      <c r="AV233" s="60">
        <f t="shared" si="53"/>
        <v>0</v>
      </c>
      <c r="AW233" s="60">
        <f t="shared" si="54"/>
        <v>0</v>
      </c>
      <c r="AX233" s="60">
        <f t="shared" si="61"/>
        <v>0</v>
      </c>
      <c r="AY233" s="64">
        <f t="shared" si="62"/>
        <v>0</v>
      </c>
      <c r="AZ233" s="65">
        <f t="shared" si="55"/>
        <v>0</v>
      </c>
      <c r="BA233" s="65">
        <f t="shared" si="56"/>
        <v>0</v>
      </c>
    </row>
    <row r="234" spans="3:53" s="17" customFormat="1" x14ac:dyDescent="0.25">
      <c r="C234" s="194"/>
      <c r="D234" s="195"/>
      <c r="E234" s="90"/>
      <c r="F234" s="198"/>
      <c r="G234" s="214"/>
      <c r="H234" s="199"/>
      <c r="I234" s="78"/>
      <c r="J234" s="79"/>
      <c r="K234" s="78"/>
      <c r="L234" s="80"/>
      <c r="M234" s="80"/>
      <c r="N234" s="78" t="s">
        <v>39</v>
      </c>
      <c r="O234" s="113"/>
      <c r="P234" s="155"/>
      <c r="Q234" s="114" t="str">
        <f>IFERROR(MIN(VLOOKUP(ROUNDDOWN(P234,0),'Aide calcul'!$B$2:$C$282,2,FALSE),O234+1),"")</f>
        <v/>
      </c>
      <c r="R234" s="115" t="str">
        <f t="shared" si="57"/>
        <v/>
      </c>
      <c r="S234" s="155"/>
      <c r="T234" s="155"/>
      <c r="U234" s="155"/>
      <c r="V234" s="155"/>
      <c r="W234" s="155"/>
      <c r="X234" s="155"/>
      <c r="Y234" s="155"/>
      <c r="Z234" s="78"/>
      <c r="AA234" s="78"/>
      <c r="AB234" s="116" t="str">
        <f>IF(C234="3111. Logements",ROUND(VLOOKUP(C234,'Informations générales'!$C$66:$D$70,2,FALSE)*(AK234/$AL$27)/12,0)*12,IF(C234="3112. Logements",ROUND(VLOOKUP(C234,'Informations générales'!$C$66:$D$70,2,FALSE)*(AK234/$AM$27)/12,0)*12,IF(C234="3113. Logements",ROUND(VLOOKUP(C234,'Informations générales'!$C$66:$D$70,2,FALSE)*(AK234/$AN$27)/12,0)*12,IF(C234="3114. Logements",ROUND(VLOOKUP(C234,'Informations générales'!$C$66:$D$70,2,FALSE)*(AK234/$AO$27)/12,0)*12,IF(C234="3115. Logements",ROUND(VLOOKUP(C234,'Informations générales'!$C$66:$D$70,2,FALSE)*(AK234/$AP$27)/12,0)*12,"")))))</f>
        <v/>
      </c>
      <c r="AC234" s="117"/>
      <c r="AD234" s="116">
        <f t="shared" si="58"/>
        <v>0</v>
      </c>
      <c r="AE234" s="117"/>
      <c r="AF234" s="116" t="str">
        <f>IF(C234="3111. Logements",ROUND(VLOOKUP(C234,'Informations générales'!$C$66:$G$70,5,FALSE)*(AK234/$AL$27)/12,0)*12,IF(C234="3112. Logements",ROUND(VLOOKUP(C234,'Informations générales'!$C$66:$G$70,5,FALSE)*(AK234/$AM$27)/12,0)*12,IF(C234="3113. Logements",ROUND(VLOOKUP(C234,'Informations générales'!$C$66:$G$70,5,FALSE)*(AK234/$AN$27)/12,0)*12,IF(C234="3114. Logements",ROUND(VLOOKUP(C234,'Informations générales'!$C$66:$G$70,5,FALSE)*(AK234/$AO$27)/12,0)*12,IF(C234="3115. Logements",ROUND(VLOOKUP(C234,'Informations générales'!$C$66:$G$70,5,FALSE)*(AK234/$AP$27)/12,0)*12,"")))))</f>
        <v/>
      </c>
      <c r="AG234" s="117"/>
      <c r="AH234" s="116" t="str">
        <f t="shared" si="59"/>
        <v/>
      </c>
      <c r="AI234" s="92"/>
      <c r="AJ234" s="78"/>
      <c r="AK234" s="60">
        <f t="shared" si="60"/>
        <v>0</v>
      </c>
      <c r="AL234" s="60"/>
      <c r="AM234" s="60"/>
      <c r="AN234" s="60"/>
      <c r="AO234" s="60"/>
      <c r="AP234" s="60"/>
      <c r="AQ234" s="60">
        <f t="shared" si="48"/>
        <v>0</v>
      </c>
      <c r="AR234" s="60">
        <f t="shared" si="49"/>
        <v>0</v>
      </c>
      <c r="AS234" s="60">
        <f t="shared" si="50"/>
        <v>0</v>
      </c>
      <c r="AT234" s="60">
        <f t="shared" si="51"/>
        <v>0</v>
      </c>
      <c r="AU234" s="60">
        <f t="shared" si="52"/>
        <v>0</v>
      </c>
      <c r="AV234" s="60">
        <f t="shared" si="53"/>
        <v>0</v>
      </c>
      <c r="AW234" s="60">
        <f t="shared" si="54"/>
        <v>0</v>
      </c>
      <c r="AX234" s="60">
        <f t="shared" si="61"/>
        <v>0</v>
      </c>
      <c r="AY234" s="64">
        <f t="shared" si="62"/>
        <v>0</v>
      </c>
      <c r="AZ234" s="65">
        <f t="shared" si="55"/>
        <v>0</v>
      </c>
      <c r="BA234" s="65">
        <f t="shared" si="56"/>
        <v>0</v>
      </c>
    </row>
    <row r="235" spans="3:53" s="17" customFormat="1" x14ac:dyDescent="0.25">
      <c r="C235" s="194"/>
      <c r="D235" s="195"/>
      <c r="E235" s="90"/>
      <c r="F235" s="198"/>
      <c r="G235" s="214"/>
      <c r="H235" s="199"/>
      <c r="I235" s="78"/>
      <c r="J235" s="79"/>
      <c r="K235" s="78"/>
      <c r="L235" s="80"/>
      <c r="M235" s="80"/>
      <c r="N235" s="78" t="s">
        <v>39</v>
      </c>
      <c r="O235" s="113"/>
      <c r="P235" s="155"/>
      <c r="Q235" s="114" t="str">
        <f>IFERROR(MIN(VLOOKUP(ROUNDDOWN(P235,0),'Aide calcul'!$B$2:$C$282,2,FALSE),O235+1),"")</f>
        <v/>
      </c>
      <c r="R235" s="115" t="str">
        <f t="shared" si="57"/>
        <v/>
      </c>
      <c r="S235" s="155"/>
      <c r="T235" s="155"/>
      <c r="U235" s="155"/>
      <c r="V235" s="155"/>
      <c r="W235" s="155"/>
      <c r="X235" s="155"/>
      <c r="Y235" s="155"/>
      <c r="Z235" s="78"/>
      <c r="AA235" s="78"/>
      <c r="AB235" s="116" t="str">
        <f>IF(C235="3111. Logements",ROUND(VLOOKUP(C235,'Informations générales'!$C$66:$D$70,2,FALSE)*(AK235/$AL$27)/12,0)*12,IF(C235="3112. Logements",ROUND(VLOOKUP(C235,'Informations générales'!$C$66:$D$70,2,FALSE)*(AK235/$AM$27)/12,0)*12,IF(C235="3113. Logements",ROUND(VLOOKUP(C235,'Informations générales'!$C$66:$D$70,2,FALSE)*(AK235/$AN$27)/12,0)*12,IF(C235="3114. Logements",ROUND(VLOOKUP(C235,'Informations générales'!$C$66:$D$70,2,FALSE)*(AK235/$AO$27)/12,0)*12,IF(C235="3115. Logements",ROUND(VLOOKUP(C235,'Informations générales'!$C$66:$D$70,2,FALSE)*(AK235/$AP$27)/12,0)*12,"")))))</f>
        <v/>
      </c>
      <c r="AC235" s="117"/>
      <c r="AD235" s="116">
        <f t="shared" si="58"/>
        <v>0</v>
      </c>
      <c r="AE235" s="117"/>
      <c r="AF235" s="116" t="str">
        <f>IF(C235="3111. Logements",ROUND(VLOOKUP(C235,'Informations générales'!$C$66:$G$70,5,FALSE)*(AK235/$AL$27)/12,0)*12,IF(C235="3112. Logements",ROUND(VLOOKUP(C235,'Informations générales'!$C$66:$G$70,5,FALSE)*(AK235/$AM$27)/12,0)*12,IF(C235="3113. Logements",ROUND(VLOOKUP(C235,'Informations générales'!$C$66:$G$70,5,FALSE)*(AK235/$AN$27)/12,0)*12,IF(C235="3114. Logements",ROUND(VLOOKUP(C235,'Informations générales'!$C$66:$G$70,5,FALSE)*(AK235/$AO$27)/12,0)*12,IF(C235="3115. Logements",ROUND(VLOOKUP(C235,'Informations générales'!$C$66:$G$70,5,FALSE)*(AK235/$AP$27)/12,0)*12,"")))))</f>
        <v/>
      </c>
      <c r="AG235" s="117"/>
      <c r="AH235" s="116" t="str">
        <f t="shared" si="59"/>
        <v/>
      </c>
      <c r="AI235" s="92"/>
      <c r="AJ235" s="78"/>
      <c r="AK235" s="60">
        <f t="shared" si="60"/>
        <v>0</v>
      </c>
      <c r="AL235" s="60"/>
      <c r="AM235" s="60"/>
      <c r="AN235" s="60"/>
      <c r="AO235" s="60"/>
      <c r="AP235" s="60"/>
      <c r="AQ235" s="60">
        <f t="shared" si="48"/>
        <v>0</v>
      </c>
      <c r="AR235" s="60">
        <f t="shared" si="49"/>
        <v>0</v>
      </c>
      <c r="AS235" s="60">
        <f t="shared" si="50"/>
        <v>0</v>
      </c>
      <c r="AT235" s="60">
        <f t="shared" si="51"/>
        <v>0</v>
      </c>
      <c r="AU235" s="60">
        <f t="shared" si="52"/>
        <v>0</v>
      </c>
      <c r="AV235" s="60">
        <f t="shared" si="53"/>
        <v>0</v>
      </c>
      <c r="AW235" s="60">
        <f t="shared" si="54"/>
        <v>0</v>
      </c>
      <c r="AX235" s="60">
        <f t="shared" si="61"/>
        <v>0</v>
      </c>
      <c r="AY235" s="64">
        <f t="shared" si="62"/>
        <v>0</v>
      </c>
      <c r="AZ235" s="65">
        <f t="shared" si="55"/>
        <v>0</v>
      </c>
      <c r="BA235" s="65">
        <f t="shared" si="56"/>
        <v>0</v>
      </c>
    </row>
    <row r="236" spans="3:53" s="17" customFormat="1" x14ac:dyDescent="0.25">
      <c r="C236" s="194"/>
      <c r="D236" s="195"/>
      <c r="E236" s="90"/>
      <c r="F236" s="198"/>
      <c r="G236" s="214"/>
      <c r="H236" s="199"/>
      <c r="I236" s="78"/>
      <c r="J236" s="79"/>
      <c r="K236" s="78"/>
      <c r="L236" s="80"/>
      <c r="M236" s="80"/>
      <c r="N236" s="78" t="s">
        <v>39</v>
      </c>
      <c r="O236" s="113"/>
      <c r="P236" s="155"/>
      <c r="Q236" s="114" t="str">
        <f>IFERROR(MIN(VLOOKUP(ROUNDDOWN(P236,0),'Aide calcul'!$B$2:$C$282,2,FALSE),O236+1),"")</f>
        <v/>
      </c>
      <c r="R236" s="115" t="str">
        <f t="shared" si="57"/>
        <v/>
      </c>
      <c r="S236" s="155"/>
      <c r="T236" s="155"/>
      <c r="U236" s="155"/>
      <c r="V236" s="155"/>
      <c r="W236" s="155"/>
      <c r="X236" s="155"/>
      <c r="Y236" s="155"/>
      <c r="Z236" s="78"/>
      <c r="AA236" s="78"/>
      <c r="AB236" s="116" t="str">
        <f>IF(C236="3111. Logements",ROUND(VLOOKUP(C236,'Informations générales'!$C$66:$D$70,2,FALSE)*(AK236/$AL$27)/12,0)*12,IF(C236="3112. Logements",ROUND(VLOOKUP(C236,'Informations générales'!$C$66:$D$70,2,FALSE)*(AK236/$AM$27)/12,0)*12,IF(C236="3113. Logements",ROUND(VLOOKUP(C236,'Informations générales'!$C$66:$D$70,2,FALSE)*(AK236/$AN$27)/12,0)*12,IF(C236="3114. Logements",ROUND(VLOOKUP(C236,'Informations générales'!$C$66:$D$70,2,FALSE)*(AK236/$AO$27)/12,0)*12,IF(C236="3115. Logements",ROUND(VLOOKUP(C236,'Informations générales'!$C$66:$D$70,2,FALSE)*(AK236/$AP$27)/12,0)*12,"")))))</f>
        <v/>
      </c>
      <c r="AC236" s="117"/>
      <c r="AD236" s="116">
        <f t="shared" si="58"/>
        <v>0</v>
      </c>
      <c r="AE236" s="117"/>
      <c r="AF236" s="116" t="str">
        <f>IF(C236="3111. Logements",ROUND(VLOOKUP(C236,'Informations générales'!$C$66:$G$70,5,FALSE)*(AK236/$AL$27)/12,0)*12,IF(C236="3112. Logements",ROUND(VLOOKUP(C236,'Informations générales'!$C$66:$G$70,5,FALSE)*(AK236/$AM$27)/12,0)*12,IF(C236="3113. Logements",ROUND(VLOOKUP(C236,'Informations générales'!$C$66:$G$70,5,FALSE)*(AK236/$AN$27)/12,0)*12,IF(C236="3114. Logements",ROUND(VLOOKUP(C236,'Informations générales'!$C$66:$G$70,5,FALSE)*(AK236/$AO$27)/12,0)*12,IF(C236="3115. Logements",ROUND(VLOOKUP(C236,'Informations générales'!$C$66:$G$70,5,FALSE)*(AK236/$AP$27)/12,0)*12,"")))))</f>
        <v/>
      </c>
      <c r="AG236" s="117"/>
      <c r="AH236" s="116" t="str">
        <f t="shared" si="59"/>
        <v/>
      </c>
      <c r="AI236" s="92"/>
      <c r="AJ236" s="78"/>
      <c r="AK236" s="60">
        <f t="shared" si="60"/>
        <v>0</v>
      </c>
      <c r="AL236" s="60"/>
      <c r="AM236" s="60"/>
      <c r="AN236" s="60"/>
      <c r="AO236" s="60"/>
      <c r="AP236" s="60"/>
      <c r="AQ236" s="60">
        <f t="shared" si="48"/>
        <v>0</v>
      </c>
      <c r="AR236" s="60">
        <f t="shared" si="49"/>
        <v>0</v>
      </c>
      <c r="AS236" s="60">
        <f t="shared" si="50"/>
        <v>0</v>
      </c>
      <c r="AT236" s="60">
        <f t="shared" si="51"/>
        <v>0</v>
      </c>
      <c r="AU236" s="60">
        <f t="shared" si="52"/>
        <v>0</v>
      </c>
      <c r="AV236" s="60">
        <f t="shared" si="53"/>
        <v>0</v>
      </c>
      <c r="AW236" s="60">
        <f t="shared" si="54"/>
        <v>0</v>
      </c>
      <c r="AX236" s="60">
        <f t="shared" si="61"/>
        <v>0</v>
      </c>
      <c r="AY236" s="64">
        <f t="shared" si="62"/>
        <v>0</v>
      </c>
      <c r="AZ236" s="65">
        <f t="shared" si="55"/>
        <v>0</v>
      </c>
      <c r="BA236" s="65">
        <f t="shared" si="56"/>
        <v>0</v>
      </c>
    </row>
    <row r="237" spans="3:53" s="17" customFormat="1" x14ac:dyDescent="0.25">
      <c r="C237" s="194"/>
      <c r="D237" s="195"/>
      <c r="E237" s="90"/>
      <c r="F237" s="198"/>
      <c r="G237" s="214"/>
      <c r="H237" s="199"/>
      <c r="I237" s="78"/>
      <c r="J237" s="79"/>
      <c r="K237" s="78"/>
      <c r="L237" s="80"/>
      <c r="M237" s="80"/>
      <c r="N237" s="78" t="s">
        <v>39</v>
      </c>
      <c r="O237" s="113"/>
      <c r="P237" s="155"/>
      <c r="Q237" s="114" t="str">
        <f>IFERROR(MIN(VLOOKUP(ROUNDDOWN(P237,0),'Aide calcul'!$B$2:$C$282,2,FALSE),O237+1),"")</f>
        <v/>
      </c>
      <c r="R237" s="115" t="str">
        <f t="shared" si="57"/>
        <v/>
      </c>
      <c r="S237" s="155"/>
      <c r="T237" s="155"/>
      <c r="U237" s="155"/>
      <c r="V237" s="155"/>
      <c r="W237" s="155"/>
      <c r="X237" s="155"/>
      <c r="Y237" s="155"/>
      <c r="Z237" s="78"/>
      <c r="AA237" s="78"/>
      <c r="AB237" s="116" t="str">
        <f>IF(C237="3111. Logements",ROUND(VLOOKUP(C237,'Informations générales'!$C$66:$D$70,2,FALSE)*(AK237/$AL$27)/12,0)*12,IF(C237="3112. Logements",ROUND(VLOOKUP(C237,'Informations générales'!$C$66:$D$70,2,FALSE)*(AK237/$AM$27)/12,0)*12,IF(C237="3113. Logements",ROUND(VLOOKUP(C237,'Informations générales'!$C$66:$D$70,2,FALSE)*(AK237/$AN$27)/12,0)*12,IF(C237="3114. Logements",ROUND(VLOOKUP(C237,'Informations générales'!$C$66:$D$70,2,FALSE)*(AK237/$AO$27)/12,0)*12,IF(C237="3115. Logements",ROUND(VLOOKUP(C237,'Informations générales'!$C$66:$D$70,2,FALSE)*(AK237/$AP$27)/12,0)*12,"")))))</f>
        <v/>
      </c>
      <c r="AC237" s="117"/>
      <c r="AD237" s="116">
        <f t="shared" si="58"/>
        <v>0</v>
      </c>
      <c r="AE237" s="117"/>
      <c r="AF237" s="116" t="str">
        <f>IF(C237="3111. Logements",ROUND(VLOOKUP(C237,'Informations générales'!$C$66:$G$70,5,FALSE)*(AK237/$AL$27)/12,0)*12,IF(C237="3112. Logements",ROUND(VLOOKUP(C237,'Informations générales'!$C$66:$G$70,5,FALSE)*(AK237/$AM$27)/12,0)*12,IF(C237="3113. Logements",ROUND(VLOOKUP(C237,'Informations générales'!$C$66:$G$70,5,FALSE)*(AK237/$AN$27)/12,0)*12,IF(C237="3114. Logements",ROUND(VLOOKUP(C237,'Informations générales'!$C$66:$G$70,5,FALSE)*(AK237/$AO$27)/12,0)*12,IF(C237="3115. Logements",ROUND(VLOOKUP(C237,'Informations générales'!$C$66:$G$70,5,FALSE)*(AK237/$AP$27)/12,0)*12,"")))))</f>
        <v/>
      </c>
      <c r="AG237" s="117"/>
      <c r="AH237" s="116" t="str">
        <f t="shared" si="59"/>
        <v/>
      </c>
      <c r="AI237" s="92"/>
      <c r="AJ237" s="78"/>
      <c r="AK237" s="60">
        <f t="shared" si="60"/>
        <v>0</v>
      </c>
      <c r="AL237" s="60"/>
      <c r="AM237" s="60"/>
      <c r="AN237" s="60"/>
      <c r="AO237" s="60"/>
      <c r="AP237" s="60"/>
      <c r="AQ237" s="60">
        <f t="shared" si="48"/>
        <v>0</v>
      </c>
      <c r="AR237" s="60">
        <f t="shared" si="49"/>
        <v>0</v>
      </c>
      <c r="AS237" s="60">
        <f t="shared" si="50"/>
        <v>0</v>
      </c>
      <c r="AT237" s="60">
        <f t="shared" si="51"/>
        <v>0</v>
      </c>
      <c r="AU237" s="60">
        <f t="shared" si="52"/>
        <v>0</v>
      </c>
      <c r="AV237" s="60">
        <f t="shared" si="53"/>
        <v>0</v>
      </c>
      <c r="AW237" s="60">
        <f t="shared" si="54"/>
        <v>0</v>
      </c>
      <c r="AX237" s="60">
        <f t="shared" si="61"/>
        <v>0</v>
      </c>
      <c r="AY237" s="64">
        <f t="shared" si="62"/>
        <v>0</v>
      </c>
      <c r="AZ237" s="65">
        <f t="shared" si="55"/>
        <v>0</v>
      </c>
      <c r="BA237" s="65">
        <f t="shared" si="56"/>
        <v>0</v>
      </c>
    </row>
    <row r="238" spans="3:53" s="17" customFormat="1" x14ac:dyDescent="0.25">
      <c r="C238" s="194"/>
      <c r="D238" s="195"/>
      <c r="E238" s="90"/>
      <c r="F238" s="198"/>
      <c r="G238" s="214"/>
      <c r="H238" s="199"/>
      <c r="I238" s="78"/>
      <c r="J238" s="79"/>
      <c r="K238" s="78"/>
      <c r="L238" s="80"/>
      <c r="M238" s="80"/>
      <c r="N238" s="78" t="s">
        <v>39</v>
      </c>
      <c r="O238" s="113"/>
      <c r="P238" s="155"/>
      <c r="Q238" s="114" t="str">
        <f>IFERROR(MIN(VLOOKUP(ROUNDDOWN(P238,0),'Aide calcul'!$B$2:$C$282,2,FALSE),O238+1),"")</f>
        <v/>
      </c>
      <c r="R238" s="115" t="str">
        <f t="shared" si="57"/>
        <v/>
      </c>
      <c r="S238" s="155"/>
      <c r="T238" s="155"/>
      <c r="U238" s="155"/>
      <c r="V238" s="155"/>
      <c r="W238" s="155"/>
      <c r="X238" s="155"/>
      <c r="Y238" s="155"/>
      <c r="Z238" s="78"/>
      <c r="AA238" s="78"/>
      <c r="AB238" s="116" t="str">
        <f>IF(C238="3111. Logements",ROUND(VLOOKUP(C238,'Informations générales'!$C$66:$D$70,2,FALSE)*(AK238/$AL$27)/12,0)*12,IF(C238="3112. Logements",ROUND(VLOOKUP(C238,'Informations générales'!$C$66:$D$70,2,FALSE)*(AK238/$AM$27)/12,0)*12,IF(C238="3113. Logements",ROUND(VLOOKUP(C238,'Informations générales'!$C$66:$D$70,2,FALSE)*(AK238/$AN$27)/12,0)*12,IF(C238="3114. Logements",ROUND(VLOOKUP(C238,'Informations générales'!$C$66:$D$70,2,FALSE)*(AK238/$AO$27)/12,0)*12,IF(C238="3115. Logements",ROUND(VLOOKUP(C238,'Informations générales'!$C$66:$D$70,2,FALSE)*(AK238/$AP$27)/12,0)*12,"")))))</f>
        <v/>
      </c>
      <c r="AC238" s="117"/>
      <c r="AD238" s="116">
        <f t="shared" si="58"/>
        <v>0</v>
      </c>
      <c r="AE238" s="117"/>
      <c r="AF238" s="116" t="str">
        <f>IF(C238="3111. Logements",ROUND(VLOOKUP(C238,'Informations générales'!$C$66:$G$70,5,FALSE)*(AK238/$AL$27)/12,0)*12,IF(C238="3112. Logements",ROUND(VLOOKUP(C238,'Informations générales'!$C$66:$G$70,5,FALSE)*(AK238/$AM$27)/12,0)*12,IF(C238="3113. Logements",ROUND(VLOOKUP(C238,'Informations générales'!$C$66:$G$70,5,FALSE)*(AK238/$AN$27)/12,0)*12,IF(C238="3114. Logements",ROUND(VLOOKUP(C238,'Informations générales'!$C$66:$G$70,5,FALSE)*(AK238/$AO$27)/12,0)*12,IF(C238="3115. Logements",ROUND(VLOOKUP(C238,'Informations générales'!$C$66:$G$70,5,FALSE)*(AK238/$AP$27)/12,0)*12,"")))))</f>
        <v/>
      </c>
      <c r="AG238" s="117"/>
      <c r="AH238" s="116" t="str">
        <f t="shared" si="59"/>
        <v/>
      </c>
      <c r="AI238" s="92"/>
      <c r="AJ238" s="78"/>
      <c r="AK238" s="60">
        <f t="shared" si="60"/>
        <v>0</v>
      </c>
      <c r="AL238" s="60"/>
      <c r="AM238" s="60"/>
      <c r="AN238" s="60"/>
      <c r="AO238" s="60"/>
      <c r="AP238" s="60"/>
      <c r="AQ238" s="60">
        <f t="shared" si="48"/>
        <v>0</v>
      </c>
      <c r="AR238" s="60">
        <f t="shared" si="49"/>
        <v>0</v>
      </c>
      <c r="AS238" s="60">
        <f t="shared" si="50"/>
        <v>0</v>
      </c>
      <c r="AT238" s="60">
        <f t="shared" si="51"/>
        <v>0</v>
      </c>
      <c r="AU238" s="60">
        <f t="shared" si="52"/>
        <v>0</v>
      </c>
      <c r="AV238" s="60">
        <f t="shared" si="53"/>
        <v>0</v>
      </c>
      <c r="AW238" s="60">
        <f t="shared" si="54"/>
        <v>0</v>
      </c>
      <c r="AX238" s="60">
        <f t="shared" si="61"/>
        <v>0</v>
      </c>
      <c r="AY238" s="64">
        <f t="shared" si="62"/>
        <v>0</v>
      </c>
      <c r="AZ238" s="65">
        <f t="shared" si="55"/>
        <v>0</v>
      </c>
      <c r="BA238" s="65">
        <f t="shared" si="56"/>
        <v>0</v>
      </c>
    </row>
    <row r="239" spans="3:53" s="17" customFormat="1" x14ac:dyDescent="0.25">
      <c r="C239" s="194"/>
      <c r="D239" s="195"/>
      <c r="E239" s="90"/>
      <c r="F239" s="198"/>
      <c r="G239" s="214"/>
      <c r="H239" s="199"/>
      <c r="I239" s="78"/>
      <c r="J239" s="79"/>
      <c r="K239" s="78"/>
      <c r="L239" s="80"/>
      <c r="M239" s="80"/>
      <c r="N239" s="78" t="s">
        <v>39</v>
      </c>
      <c r="O239" s="113"/>
      <c r="P239" s="155"/>
      <c r="Q239" s="114" t="str">
        <f>IFERROR(MIN(VLOOKUP(ROUNDDOWN(P239,0),'Aide calcul'!$B$2:$C$282,2,FALSE),O239+1),"")</f>
        <v/>
      </c>
      <c r="R239" s="115" t="str">
        <f t="shared" si="57"/>
        <v/>
      </c>
      <c r="S239" s="155"/>
      <c r="T239" s="155"/>
      <c r="U239" s="155"/>
      <c r="V239" s="155"/>
      <c r="W239" s="155"/>
      <c r="X239" s="155"/>
      <c r="Y239" s="155"/>
      <c r="Z239" s="78"/>
      <c r="AA239" s="78"/>
      <c r="AB239" s="116" t="str">
        <f>IF(C239="3111. Logements",ROUND(VLOOKUP(C239,'Informations générales'!$C$66:$D$70,2,FALSE)*(AK239/$AL$27)/12,0)*12,IF(C239="3112. Logements",ROUND(VLOOKUP(C239,'Informations générales'!$C$66:$D$70,2,FALSE)*(AK239/$AM$27)/12,0)*12,IF(C239="3113. Logements",ROUND(VLOOKUP(C239,'Informations générales'!$C$66:$D$70,2,FALSE)*(AK239/$AN$27)/12,0)*12,IF(C239="3114. Logements",ROUND(VLOOKUP(C239,'Informations générales'!$C$66:$D$70,2,FALSE)*(AK239/$AO$27)/12,0)*12,IF(C239="3115. Logements",ROUND(VLOOKUP(C239,'Informations générales'!$C$66:$D$70,2,FALSE)*(AK239/$AP$27)/12,0)*12,"")))))</f>
        <v/>
      </c>
      <c r="AC239" s="117"/>
      <c r="AD239" s="116">
        <f t="shared" si="58"/>
        <v>0</v>
      </c>
      <c r="AE239" s="117"/>
      <c r="AF239" s="116" t="str">
        <f>IF(C239="3111. Logements",ROUND(VLOOKUP(C239,'Informations générales'!$C$66:$G$70,5,FALSE)*(AK239/$AL$27)/12,0)*12,IF(C239="3112. Logements",ROUND(VLOOKUP(C239,'Informations générales'!$C$66:$G$70,5,FALSE)*(AK239/$AM$27)/12,0)*12,IF(C239="3113. Logements",ROUND(VLOOKUP(C239,'Informations générales'!$C$66:$G$70,5,FALSE)*(AK239/$AN$27)/12,0)*12,IF(C239="3114. Logements",ROUND(VLOOKUP(C239,'Informations générales'!$C$66:$G$70,5,FALSE)*(AK239/$AO$27)/12,0)*12,IF(C239="3115. Logements",ROUND(VLOOKUP(C239,'Informations générales'!$C$66:$G$70,5,FALSE)*(AK239/$AP$27)/12,0)*12,"")))))</f>
        <v/>
      </c>
      <c r="AG239" s="117"/>
      <c r="AH239" s="116" t="str">
        <f t="shared" si="59"/>
        <v/>
      </c>
      <c r="AI239" s="92"/>
      <c r="AJ239" s="78"/>
      <c r="AK239" s="60">
        <f t="shared" si="60"/>
        <v>0</v>
      </c>
      <c r="AL239" s="60"/>
      <c r="AM239" s="60"/>
      <c r="AN239" s="60"/>
      <c r="AO239" s="60"/>
      <c r="AP239" s="60"/>
      <c r="AQ239" s="60">
        <f t="shared" si="48"/>
        <v>0</v>
      </c>
      <c r="AR239" s="60">
        <f t="shared" si="49"/>
        <v>0</v>
      </c>
      <c r="AS239" s="60">
        <f t="shared" si="50"/>
        <v>0</v>
      </c>
      <c r="AT239" s="60">
        <f t="shared" si="51"/>
        <v>0</v>
      </c>
      <c r="AU239" s="60">
        <f t="shared" si="52"/>
        <v>0</v>
      </c>
      <c r="AV239" s="60">
        <f t="shared" si="53"/>
        <v>0</v>
      </c>
      <c r="AW239" s="60">
        <f t="shared" si="54"/>
        <v>0</v>
      </c>
      <c r="AX239" s="60">
        <f t="shared" si="61"/>
        <v>0</v>
      </c>
      <c r="AY239" s="64">
        <f t="shared" si="62"/>
        <v>0</v>
      </c>
      <c r="AZ239" s="65">
        <f t="shared" si="55"/>
        <v>0</v>
      </c>
      <c r="BA239" s="65">
        <f t="shared" si="56"/>
        <v>0</v>
      </c>
    </row>
    <row r="240" spans="3:53" s="17" customFormat="1" x14ac:dyDescent="0.25">
      <c r="C240" s="194"/>
      <c r="D240" s="195"/>
      <c r="E240" s="90"/>
      <c r="F240" s="198"/>
      <c r="G240" s="214"/>
      <c r="H240" s="199"/>
      <c r="I240" s="78"/>
      <c r="J240" s="79"/>
      <c r="K240" s="78"/>
      <c r="L240" s="80"/>
      <c r="M240" s="80"/>
      <c r="N240" s="78" t="s">
        <v>39</v>
      </c>
      <c r="O240" s="113"/>
      <c r="P240" s="155"/>
      <c r="Q240" s="114" t="str">
        <f>IFERROR(MIN(VLOOKUP(ROUNDDOWN(P240,0),'Aide calcul'!$B$2:$C$282,2,FALSE),O240+1),"")</f>
        <v/>
      </c>
      <c r="R240" s="115" t="str">
        <f t="shared" si="57"/>
        <v/>
      </c>
      <c r="S240" s="155"/>
      <c r="T240" s="155"/>
      <c r="U240" s="155"/>
      <c r="V240" s="155"/>
      <c r="W240" s="155"/>
      <c r="X240" s="155"/>
      <c r="Y240" s="155"/>
      <c r="Z240" s="78"/>
      <c r="AA240" s="78"/>
      <c r="AB240" s="116" t="str">
        <f>IF(C240="3111. Logements",ROUND(VLOOKUP(C240,'Informations générales'!$C$66:$D$70,2,FALSE)*(AK240/$AL$27)/12,0)*12,IF(C240="3112. Logements",ROUND(VLOOKUP(C240,'Informations générales'!$C$66:$D$70,2,FALSE)*(AK240/$AM$27)/12,0)*12,IF(C240="3113. Logements",ROUND(VLOOKUP(C240,'Informations générales'!$C$66:$D$70,2,FALSE)*(AK240/$AN$27)/12,0)*12,IF(C240="3114. Logements",ROUND(VLOOKUP(C240,'Informations générales'!$C$66:$D$70,2,FALSE)*(AK240/$AO$27)/12,0)*12,IF(C240="3115. Logements",ROUND(VLOOKUP(C240,'Informations générales'!$C$66:$D$70,2,FALSE)*(AK240/$AP$27)/12,0)*12,"")))))</f>
        <v/>
      </c>
      <c r="AC240" s="117"/>
      <c r="AD240" s="116">
        <f t="shared" si="58"/>
        <v>0</v>
      </c>
      <c r="AE240" s="117"/>
      <c r="AF240" s="116" t="str">
        <f>IF(C240="3111. Logements",ROUND(VLOOKUP(C240,'Informations générales'!$C$66:$G$70,5,FALSE)*(AK240/$AL$27)/12,0)*12,IF(C240="3112. Logements",ROUND(VLOOKUP(C240,'Informations générales'!$C$66:$G$70,5,FALSE)*(AK240/$AM$27)/12,0)*12,IF(C240="3113. Logements",ROUND(VLOOKUP(C240,'Informations générales'!$C$66:$G$70,5,FALSE)*(AK240/$AN$27)/12,0)*12,IF(C240="3114. Logements",ROUND(VLOOKUP(C240,'Informations générales'!$C$66:$G$70,5,FALSE)*(AK240/$AO$27)/12,0)*12,IF(C240="3115. Logements",ROUND(VLOOKUP(C240,'Informations générales'!$C$66:$G$70,5,FALSE)*(AK240/$AP$27)/12,0)*12,"")))))</f>
        <v/>
      </c>
      <c r="AG240" s="117"/>
      <c r="AH240" s="116" t="str">
        <f t="shared" si="59"/>
        <v/>
      </c>
      <c r="AI240" s="92"/>
      <c r="AJ240" s="78"/>
      <c r="AK240" s="60">
        <f t="shared" si="60"/>
        <v>0</v>
      </c>
      <c r="AL240" s="60"/>
      <c r="AM240" s="60"/>
      <c r="AN240" s="60"/>
      <c r="AO240" s="60"/>
      <c r="AP240" s="60"/>
      <c r="AQ240" s="60">
        <f t="shared" si="48"/>
        <v>0</v>
      </c>
      <c r="AR240" s="60">
        <f t="shared" si="49"/>
        <v>0</v>
      </c>
      <c r="AS240" s="60">
        <f t="shared" si="50"/>
        <v>0</v>
      </c>
      <c r="AT240" s="60">
        <f t="shared" si="51"/>
        <v>0</v>
      </c>
      <c r="AU240" s="60">
        <f t="shared" si="52"/>
        <v>0</v>
      </c>
      <c r="AV240" s="60">
        <f t="shared" si="53"/>
        <v>0</v>
      </c>
      <c r="AW240" s="60">
        <f t="shared" si="54"/>
        <v>0</v>
      </c>
      <c r="AX240" s="60">
        <f t="shared" si="61"/>
        <v>0</v>
      </c>
      <c r="AY240" s="64">
        <f t="shared" si="62"/>
        <v>0</v>
      </c>
      <c r="AZ240" s="65">
        <f t="shared" si="55"/>
        <v>0</v>
      </c>
      <c r="BA240" s="65">
        <f t="shared" si="56"/>
        <v>0</v>
      </c>
    </row>
    <row r="241" spans="3:53" s="17" customFormat="1" x14ac:dyDescent="0.25">
      <c r="C241" s="194"/>
      <c r="D241" s="195"/>
      <c r="E241" s="90"/>
      <c r="F241" s="198"/>
      <c r="G241" s="214"/>
      <c r="H241" s="199"/>
      <c r="I241" s="78"/>
      <c r="J241" s="79"/>
      <c r="K241" s="78"/>
      <c r="L241" s="80"/>
      <c r="M241" s="80"/>
      <c r="N241" s="78" t="s">
        <v>39</v>
      </c>
      <c r="O241" s="113"/>
      <c r="P241" s="155"/>
      <c r="Q241" s="114" t="str">
        <f>IFERROR(MIN(VLOOKUP(ROUNDDOWN(P241,0),'Aide calcul'!$B$2:$C$282,2,FALSE),O241+1),"")</f>
        <v/>
      </c>
      <c r="R241" s="115" t="str">
        <f t="shared" si="57"/>
        <v/>
      </c>
      <c r="S241" s="155"/>
      <c r="T241" s="155"/>
      <c r="U241" s="155"/>
      <c r="V241" s="155"/>
      <c r="W241" s="155"/>
      <c r="X241" s="155"/>
      <c r="Y241" s="155"/>
      <c r="Z241" s="78"/>
      <c r="AA241" s="78"/>
      <c r="AB241" s="116" t="str">
        <f>IF(C241="3111. Logements",ROUND(VLOOKUP(C241,'Informations générales'!$C$66:$D$70,2,FALSE)*(AK241/$AL$27)/12,0)*12,IF(C241="3112. Logements",ROUND(VLOOKUP(C241,'Informations générales'!$C$66:$D$70,2,FALSE)*(AK241/$AM$27)/12,0)*12,IF(C241="3113. Logements",ROUND(VLOOKUP(C241,'Informations générales'!$C$66:$D$70,2,FALSE)*(AK241/$AN$27)/12,0)*12,IF(C241="3114. Logements",ROUND(VLOOKUP(C241,'Informations générales'!$C$66:$D$70,2,FALSE)*(AK241/$AO$27)/12,0)*12,IF(C241="3115. Logements",ROUND(VLOOKUP(C241,'Informations générales'!$C$66:$D$70,2,FALSE)*(AK241/$AP$27)/12,0)*12,"")))))</f>
        <v/>
      </c>
      <c r="AC241" s="117"/>
      <c r="AD241" s="116">
        <f t="shared" si="58"/>
        <v>0</v>
      </c>
      <c r="AE241" s="117"/>
      <c r="AF241" s="116" t="str">
        <f>IF(C241="3111. Logements",ROUND(VLOOKUP(C241,'Informations générales'!$C$66:$G$70,5,FALSE)*(AK241/$AL$27)/12,0)*12,IF(C241="3112. Logements",ROUND(VLOOKUP(C241,'Informations générales'!$C$66:$G$70,5,FALSE)*(AK241/$AM$27)/12,0)*12,IF(C241="3113. Logements",ROUND(VLOOKUP(C241,'Informations générales'!$C$66:$G$70,5,FALSE)*(AK241/$AN$27)/12,0)*12,IF(C241="3114. Logements",ROUND(VLOOKUP(C241,'Informations générales'!$C$66:$G$70,5,FALSE)*(AK241/$AO$27)/12,0)*12,IF(C241="3115. Logements",ROUND(VLOOKUP(C241,'Informations générales'!$C$66:$G$70,5,FALSE)*(AK241/$AP$27)/12,0)*12,"")))))</f>
        <v/>
      </c>
      <c r="AG241" s="117"/>
      <c r="AH241" s="116" t="str">
        <f t="shared" si="59"/>
        <v/>
      </c>
      <c r="AI241" s="92"/>
      <c r="AJ241" s="78"/>
      <c r="AK241" s="60">
        <f t="shared" si="60"/>
        <v>0</v>
      </c>
      <c r="AL241" s="60"/>
      <c r="AM241" s="60"/>
      <c r="AN241" s="60"/>
      <c r="AO241" s="60"/>
      <c r="AP241" s="60"/>
      <c r="AQ241" s="60">
        <f t="shared" si="48"/>
        <v>0</v>
      </c>
      <c r="AR241" s="60">
        <f t="shared" si="49"/>
        <v>0</v>
      </c>
      <c r="AS241" s="60">
        <f t="shared" si="50"/>
        <v>0</v>
      </c>
      <c r="AT241" s="60">
        <f t="shared" si="51"/>
        <v>0</v>
      </c>
      <c r="AU241" s="60">
        <f t="shared" si="52"/>
        <v>0</v>
      </c>
      <c r="AV241" s="60">
        <f t="shared" si="53"/>
        <v>0</v>
      </c>
      <c r="AW241" s="60">
        <f t="shared" si="54"/>
        <v>0</v>
      </c>
      <c r="AX241" s="60">
        <f t="shared" si="61"/>
        <v>0</v>
      </c>
      <c r="AY241" s="64">
        <f t="shared" si="62"/>
        <v>0</v>
      </c>
      <c r="AZ241" s="65">
        <f t="shared" si="55"/>
        <v>0</v>
      </c>
      <c r="BA241" s="65">
        <f t="shared" si="56"/>
        <v>0</v>
      </c>
    </row>
    <row r="242" spans="3:53" s="17" customFormat="1" x14ac:dyDescent="0.25">
      <c r="C242" s="194"/>
      <c r="D242" s="195"/>
      <c r="E242" s="90"/>
      <c r="F242" s="198"/>
      <c r="G242" s="214"/>
      <c r="H242" s="199"/>
      <c r="I242" s="78"/>
      <c r="J242" s="79"/>
      <c r="K242" s="78"/>
      <c r="L242" s="80"/>
      <c r="M242" s="80"/>
      <c r="N242" s="78" t="s">
        <v>39</v>
      </c>
      <c r="O242" s="113"/>
      <c r="P242" s="155"/>
      <c r="Q242" s="114" t="str">
        <f>IFERROR(MIN(VLOOKUP(ROUNDDOWN(P242,0),'Aide calcul'!$B$2:$C$282,2,FALSE),O242+1),"")</f>
        <v/>
      </c>
      <c r="R242" s="115" t="str">
        <f t="shared" si="57"/>
        <v/>
      </c>
      <c r="S242" s="155"/>
      <c r="T242" s="155"/>
      <c r="U242" s="155"/>
      <c r="V242" s="155"/>
      <c r="W242" s="155"/>
      <c r="X242" s="155"/>
      <c r="Y242" s="155"/>
      <c r="Z242" s="78"/>
      <c r="AA242" s="78"/>
      <c r="AB242" s="116" t="str">
        <f>IF(C242="3111. Logements",ROUND(VLOOKUP(C242,'Informations générales'!$C$66:$D$70,2,FALSE)*(AK242/$AL$27)/12,0)*12,IF(C242="3112. Logements",ROUND(VLOOKUP(C242,'Informations générales'!$C$66:$D$70,2,FALSE)*(AK242/$AM$27)/12,0)*12,IF(C242="3113. Logements",ROUND(VLOOKUP(C242,'Informations générales'!$C$66:$D$70,2,FALSE)*(AK242/$AN$27)/12,0)*12,IF(C242="3114. Logements",ROUND(VLOOKUP(C242,'Informations générales'!$C$66:$D$70,2,FALSE)*(AK242/$AO$27)/12,0)*12,IF(C242="3115. Logements",ROUND(VLOOKUP(C242,'Informations générales'!$C$66:$D$70,2,FALSE)*(AK242/$AP$27)/12,0)*12,"")))))</f>
        <v/>
      </c>
      <c r="AC242" s="117"/>
      <c r="AD242" s="116">
        <f t="shared" si="58"/>
        <v>0</v>
      </c>
      <c r="AE242" s="117"/>
      <c r="AF242" s="116" t="str">
        <f>IF(C242="3111. Logements",ROUND(VLOOKUP(C242,'Informations générales'!$C$66:$G$70,5,FALSE)*(AK242/$AL$27)/12,0)*12,IF(C242="3112. Logements",ROUND(VLOOKUP(C242,'Informations générales'!$C$66:$G$70,5,FALSE)*(AK242/$AM$27)/12,0)*12,IF(C242="3113. Logements",ROUND(VLOOKUP(C242,'Informations générales'!$C$66:$G$70,5,FALSE)*(AK242/$AN$27)/12,0)*12,IF(C242="3114. Logements",ROUND(VLOOKUP(C242,'Informations générales'!$C$66:$G$70,5,FALSE)*(AK242/$AO$27)/12,0)*12,IF(C242="3115. Logements",ROUND(VLOOKUP(C242,'Informations générales'!$C$66:$G$70,5,FALSE)*(AK242/$AP$27)/12,0)*12,"")))))</f>
        <v/>
      </c>
      <c r="AG242" s="117"/>
      <c r="AH242" s="116" t="str">
        <f t="shared" si="59"/>
        <v/>
      </c>
      <c r="AI242" s="92"/>
      <c r="AJ242" s="78"/>
      <c r="AK242" s="60">
        <f t="shared" si="60"/>
        <v>0</v>
      </c>
      <c r="AL242" s="60"/>
      <c r="AM242" s="60"/>
      <c r="AN242" s="60"/>
      <c r="AO242" s="60"/>
      <c r="AP242" s="60"/>
      <c r="AQ242" s="60">
        <f t="shared" si="48"/>
        <v>0</v>
      </c>
      <c r="AR242" s="60">
        <f t="shared" si="49"/>
        <v>0</v>
      </c>
      <c r="AS242" s="60">
        <f t="shared" si="50"/>
        <v>0</v>
      </c>
      <c r="AT242" s="60">
        <f t="shared" si="51"/>
        <v>0</v>
      </c>
      <c r="AU242" s="60">
        <f t="shared" si="52"/>
        <v>0</v>
      </c>
      <c r="AV242" s="60">
        <f t="shared" si="53"/>
        <v>0</v>
      </c>
      <c r="AW242" s="60">
        <f t="shared" si="54"/>
        <v>0</v>
      </c>
      <c r="AX242" s="60">
        <f t="shared" si="61"/>
        <v>0</v>
      </c>
      <c r="AY242" s="64">
        <f t="shared" si="62"/>
        <v>0</v>
      </c>
      <c r="AZ242" s="65">
        <f t="shared" si="55"/>
        <v>0</v>
      </c>
      <c r="BA242" s="65">
        <f t="shared" si="56"/>
        <v>0</v>
      </c>
    </row>
    <row r="243" spans="3:53" s="17" customFormat="1" x14ac:dyDescent="0.25">
      <c r="C243" s="194"/>
      <c r="D243" s="195"/>
      <c r="E243" s="90"/>
      <c r="F243" s="198"/>
      <c r="G243" s="214"/>
      <c r="H243" s="199"/>
      <c r="I243" s="78"/>
      <c r="J243" s="79"/>
      <c r="K243" s="78"/>
      <c r="L243" s="80"/>
      <c r="M243" s="80"/>
      <c r="N243" s="78" t="s">
        <v>39</v>
      </c>
      <c r="O243" s="113"/>
      <c r="P243" s="155"/>
      <c r="Q243" s="114" t="str">
        <f>IFERROR(MIN(VLOOKUP(ROUNDDOWN(P243,0),'Aide calcul'!$B$2:$C$282,2,FALSE),O243+1),"")</f>
        <v/>
      </c>
      <c r="R243" s="115" t="str">
        <f t="shared" si="57"/>
        <v/>
      </c>
      <c r="S243" s="155"/>
      <c r="T243" s="155"/>
      <c r="U243" s="155"/>
      <c r="V243" s="155"/>
      <c r="W243" s="155"/>
      <c r="X243" s="155"/>
      <c r="Y243" s="155"/>
      <c r="Z243" s="78"/>
      <c r="AA243" s="78"/>
      <c r="AB243" s="116" t="str">
        <f>IF(C243="3111. Logements",ROUND(VLOOKUP(C243,'Informations générales'!$C$66:$D$70,2,FALSE)*(AK243/$AL$27)/12,0)*12,IF(C243="3112. Logements",ROUND(VLOOKUP(C243,'Informations générales'!$C$66:$D$70,2,FALSE)*(AK243/$AM$27)/12,0)*12,IF(C243="3113. Logements",ROUND(VLOOKUP(C243,'Informations générales'!$C$66:$D$70,2,FALSE)*(AK243/$AN$27)/12,0)*12,IF(C243="3114. Logements",ROUND(VLOOKUP(C243,'Informations générales'!$C$66:$D$70,2,FALSE)*(AK243/$AO$27)/12,0)*12,IF(C243="3115. Logements",ROUND(VLOOKUP(C243,'Informations générales'!$C$66:$D$70,2,FALSE)*(AK243/$AP$27)/12,0)*12,"")))))</f>
        <v/>
      </c>
      <c r="AC243" s="117"/>
      <c r="AD243" s="116">
        <f t="shared" si="58"/>
        <v>0</v>
      </c>
      <c r="AE243" s="117"/>
      <c r="AF243" s="116" t="str">
        <f>IF(C243="3111. Logements",ROUND(VLOOKUP(C243,'Informations générales'!$C$66:$G$70,5,FALSE)*(AK243/$AL$27)/12,0)*12,IF(C243="3112. Logements",ROUND(VLOOKUP(C243,'Informations générales'!$C$66:$G$70,5,FALSE)*(AK243/$AM$27)/12,0)*12,IF(C243="3113. Logements",ROUND(VLOOKUP(C243,'Informations générales'!$C$66:$G$70,5,FALSE)*(AK243/$AN$27)/12,0)*12,IF(C243="3114. Logements",ROUND(VLOOKUP(C243,'Informations générales'!$C$66:$G$70,5,FALSE)*(AK243/$AO$27)/12,0)*12,IF(C243="3115. Logements",ROUND(VLOOKUP(C243,'Informations générales'!$C$66:$G$70,5,FALSE)*(AK243/$AP$27)/12,0)*12,"")))))</f>
        <v/>
      </c>
      <c r="AG243" s="117"/>
      <c r="AH243" s="116" t="str">
        <f t="shared" si="59"/>
        <v/>
      </c>
      <c r="AI243" s="92"/>
      <c r="AJ243" s="78"/>
      <c r="AK243" s="60">
        <f t="shared" si="60"/>
        <v>0</v>
      </c>
      <c r="AL243" s="60"/>
      <c r="AM243" s="60"/>
      <c r="AN243" s="60"/>
      <c r="AO243" s="60"/>
      <c r="AP243" s="60"/>
      <c r="AQ243" s="60">
        <f t="shared" si="48"/>
        <v>0</v>
      </c>
      <c r="AR243" s="60">
        <f t="shared" si="49"/>
        <v>0</v>
      </c>
      <c r="AS243" s="60">
        <f t="shared" si="50"/>
        <v>0</v>
      </c>
      <c r="AT243" s="60">
        <f t="shared" si="51"/>
        <v>0</v>
      </c>
      <c r="AU243" s="60">
        <f t="shared" si="52"/>
        <v>0</v>
      </c>
      <c r="AV243" s="60">
        <f t="shared" si="53"/>
        <v>0</v>
      </c>
      <c r="AW243" s="60">
        <f t="shared" si="54"/>
        <v>0</v>
      </c>
      <c r="AX243" s="60">
        <f t="shared" si="61"/>
        <v>0</v>
      </c>
      <c r="AY243" s="64">
        <f t="shared" si="62"/>
        <v>0</v>
      </c>
      <c r="AZ243" s="65">
        <f t="shared" si="55"/>
        <v>0</v>
      </c>
      <c r="BA243" s="65">
        <f t="shared" si="56"/>
        <v>0</v>
      </c>
    </row>
    <row r="244" spans="3:53" s="17" customFormat="1" x14ac:dyDescent="0.25">
      <c r="C244" s="194"/>
      <c r="D244" s="195"/>
      <c r="E244" s="90"/>
      <c r="F244" s="198"/>
      <c r="G244" s="214"/>
      <c r="H244" s="199"/>
      <c r="I244" s="78"/>
      <c r="J244" s="79"/>
      <c r="K244" s="78"/>
      <c r="L244" s="80"/>
      <c r="M244" s="80"/>
      <c r="N244" s="78" t="s">
        <v>39</v>
      </c>
      <c r="O244" s="113"/>
      <c r="P244" s="155"/>
      <c r="Q244" s="114" t="str">
        <f>IFERROR(MIN(VLOOKUP(ROUNDDOWN(P244,0),'Aide calcul'!$B$2:$C$282,2,FALSE),O244+1),"")</f>
        <v/>
      </c>
      <c r="R244" s="115" t="str">
        <f t="shared" si="57"/>
        <v/>
      </c>
      <c r="S244" s="155"/>
      <c r="T244" s="155"/>
      <c r="U244" s="155"/>
      <c r="V244" s="155"/>
      <c r="W244" s="155"/>
      <c r="X244" s="155"/>
      <c r="Y244" s="155"/>
      <c r="Z244" s="78"/>
      <c r="AA244" s="78"/>
      <c r="AB244" s="116" t="str">
        <f>IF(C244="3111. Logements",ROUND(VLOOKUP(C244,'Informations générales'!$C$66:$D$70,2,FALSE)*(AK244/$AL$27)/12,0)*12,IF(C244="3112. Logements",ROUND(VLOOKUP(C244,'Informations générales'!$C$66:$D$70,2,FALSE)*(AK244/$AM$27)/12,0)*12,IF(C244="3113. Logements",ROUND(VLOOKUP(C244,'Informations générales'!$C$66:$D$70,2,FALSE)*(AK244/$AN$27)/12,0)*12,IF(C244="3114. Logements",ROUND(VLOOKUP(C244,'Informations générales'!$C$66:$D$70,2,FALSE)*(AK244/$AO$27)/12,0)*12,IF(C244="3115. Logements",ROUND(VLOOKUP(C244,'Informations générales'!$C$66:$D$70,2,FALSE)*(AK244/$AP$27)/12,0)*12,"")))))</f>
        <v/>
      </c>
      <c r="AC244" s="117"/>
      <c r="AD244" s="116">
        <f t="shared" si="58"/>
        <v>0</v>
      </c>
      <c r="AE244" s="117"/>
      <c r="AF244" s="116" t="str">
        <f>IF(C244="3111. Logements",ROUND(VLOOKUP(C244,'Informations générales'!$C$66:$G$70,5,FALSE)*(AK244/$AL$27)/12,0)*12,IF(C244="3112. Logements",ROUND(VLOOKUP(C244,'Informations générales'!$C$66:$G$70,5,FALSE)*(AK244/$AM$27)/12,0)*12,IF(C244="3113. Logements",ROUND(VLOOKUP(C244,'Informations générales'!$C$66:$G$70,5,FALSE)*(AK244/$AN$27)/12,0)*12,IF(C244="3114. Logements",ROUND(VLOOKUP(C244,'Informations générales'!$C$66:$G$70,5,FALSE)*(AK244/$AO$27)/12,0)*12,IF(C244="3115. Logements",ROUND(VLOOKUP(C244,'Informations générales'!$C$66:$G$70,5,FALSE)*(AK244/$AP$27)/12,0)*12,"")))))</f>
        <v/>
      </c>
      <c r="AG244" s="117"/>
      <c r="AH244" s="116" t="str">
        <f t="shared" si="59"/>
        <v/>
      </c>
      <c r="AI244" s="92"/>
      <c r="AJ244" s="78"/>
      <c r="AK244" s="60">
        <f t="shared" si="60"/>
        <v>0</v>
      </c>
      <c r="AL244" s="60"/>
      <c r="AM244" s="60"/>
      <c r="AN244" s="60"/>
      <c r="AO244" s="60"/>
      <c r="AP244" s="60"/>
      <c r="AQ244" s="60">
        <f t="shared" si="48"/>
        <v>0</v>
      </c>
      <c r="AR244" s="60">
        <f t="shared" si="49"/>
        <v>0</v>
      </c>
      <c r="AS244" s="60">
        <f t="shared" si="50"/>
        <v>0</v>
      </c>
      <c r="AT244" s="60">
        <f t="shared" si="51"/>
        <v>0</v>
      </c>
      <c r="AU244" s="60">
        <f t="shared" si="52"/>
        <v>0</v>
      </c>
      <c r="AV244" s="60">
        <f t="shared" si="53"/>
        <v>0</v>
      </c>
      <c r="AW244" s="60">
        <f t="shared" si="54"/>
        <v>0</v>
      </c>
      <c r="AX244" s="60">
        <f t="shared" si="61"/>
        <v>0</v>
      </c>
      <c r="AY244" s="64">
        <f t="shared" si="62"/>
        <v>0</v>
      </c>
      <c r="AZ244" s="65">
        <f t="shared" si="55"/>
        <v>0</v>
      </c>
      <c r="BA244" s="65">
        <f t="shared" si="56"/>
        <v>0</v>
      </c>
    </row>
    <row r="245" spans="3:53" s="17" customFormat="1" x14ac:dyDescent="0.25">
      <c r="C245" s="194"/>
      <c r="D245" s="195"/>
      <c r="E245" s="90"/>
      <c r="F245" s="198"/>
      <c r="G245" s="214"/>
      <c r="H245" s="199"/>
      <c r="I245" s="78"/>
      <c r="J245" s="79"/>
      <c r="K245" s="78"/>
      <c r="L245" s="80"/>
      <c r="M245" s="80"/>
      <c r="N245" s="78" t="s">
        <v>39</v>
      </c>
      <c r="O245" s="113"/>
      <c r="P245" s="155"/>
      <c r="Q245" s="114" t="str">
        <f>IFERROR(MIN(VLOOKUP(ROUNDDOWN(P245,0),'Aide calcul'!$B$2:$C$282,2,FALSE),O245+1),"")</f>
        <v/>
      </c>
      <c r="R245" s="115" t="str">
        <f t="shared" si="57"/>
        <v/>
      </c>
      <c r="S245" s="155"/>
      <c r="T245" s="155"/>
      <c r="U245" s="155"/>
      <c r="V245" s="155"/>
      <c r="W245" s="155"/>
      <c r="X245" s="155"/>
      <c r="Y245" s="155"/>
      <c r="Z245" s="78"/>
      <c r="AA245" s="78"/>
      <c r="AB245" s="116" t="str">
        <f>IF(C245="3111. Logements",ROUND(VLOOKUP(C245,'Informations générales'!$C$66:$D$70,2,FALSE)*(AK245/$AL$27)/12,0)*12,IF(C245="3112. Logements",ROUND(VLOOKUP(C245,'Informations générales'!$C$66:$D$70,2,FALSE)*(AK245/$AM$27)/12,0)*12,IF(C245="3113. Logements",ROUND(VLOOKUP(C245,'Informations générales'!$C$66:$D$70,2,FALSE)*(AK245/$AN$27)/12,0)*12,IF(C245="3114. Logements",ROUND(VLOOKUP(C245,'Informations générales'!$C$66:$D$70,2,FALSE)*(AK245/$AO$27)/12,0)*12,IF(C245="3115. Logements",ROUND(VLOOKUP(C245,'Informations générales'!$C$66:$D$70,2,FALSE)*(AK245/$AP$27)/12,0)*12,"")))))</f>
        <v/>
      </c>
      <c r="AC245" s="117"/>
      <c r="AD245" s="116">
        <f t="shared" si="58"/>
        <v>0</v>
      </c>
      <c r="AE245" s="117"/>
      <c r="AF245" s="116" t="str">
        <f>IF(C245="3111. Logements",ROUND(VLOOKUP(C245,'Informations générales'!$C$66:$G$70,5,FALSE)*(AK245/$AL$27)/12,0)*12,IF(C245="3112. Logements",ROUND(VLOOKUP(C245,'Informations générales'!$C$66:$G$70,5,FALSE)*(AK245/$AM$27)/12,0)*12,IF(C245="3113. Logements",ROUND(VLOOKUP(C245,'Informations générales'!$C$66:$G$70,5,FALSE)*(AK245/$AN$27)/12,0)*12,IF(C245="3114. Logements",ROUND(VLOOKUP(C245,'Informations générales'!$C$66:$G$70,5,FALSE)*(AK245/$AO$27)/12,0)*12,IF(C245="3115. Logements",ROUND(VLOOKUP(C245,'Informations générales'!$C$66:$G$70,5,FALSE)*(AK245/$AP$27)/12,0)*12,"")))))</f>
        <v/>
      </c>
      <c r="AG245" s="117"/>
      <c r="AH245" s="116" t="str">
        <f t="shared" si="59"/>
        <v/>
      </c>
      <c r="AI245" s="92"/>
      <c r="AJ245" s="78"/>
      <c r="AK245" s="60">
        <f t="shared" si="60"/>
        <v>0</v>
      </c>
      <c r="AL245" s="60"/>
      <c r="AM245" s="60"/>
      <c r="AN245" s="60"/>
      <c r="AO245" s="60"/>
      <c r="AP245" s="60"/>
      <c r="AQ245" s="60">
        <f t="shared" si="48"/>
        <v>0</v>
      </c>
      <c r="AR245" s="60">
        <f t="shared" si="49"/>
        <v>0</v>
      </c>
      <c r="AS245" s="60">
        <f t="shared" si="50"/>
        <v>0</v>
      </c>
      <c r="AT245" s="60">
        <f t="shared" si="51"/>
        <v>0</v>
      </c>
      <c r="AU245" s="60">
        <f t="shared" si="52"/>
        <v>0</v>
      </c>
      <c r="AV245" s="60">
        <f t="shared" si="53"/>
        <v>0</v>
      </c>
      <c r="AW245" s="60">
        <f t="shared" si="54"/>
        <v>0</v>
      </c>
      <c r="AX245" s="60">
        <f t="shared" si="61"/>
        <v>0</v>
      </c>
      <c r="AY245" s="64">
        <f t="shared" si="62"/>
        <v>0</v>
      </c>
      <c r="AZ245" s="65">
        <f t="shared" si="55"/>
        <v>0</v>
      </c>
      <c r="BA245" s="65">
        <f t="shared" si="56"/>
        <v>0</v>
      </c>
    </row>
    <row r="246" spans="3:53" s="17" customFormat="1" x14ac:dyDescent="0.25">
      <c r="C246" s="194"/>
      <c r="D246" s="195"/>
      <c r="E246" s="90"/>
      <c r="F246" s="198"/>
      <c r="G246" s="214"/>
      <c r="H246" s="199"/>
      <c r="I246" s="78"/>
      <c r="J246" s="79"/>
      <c r="K246" s="78"/>
      <c r="L246" s="80"/>
      <c r="M246" s="80"/>
      <c r="N246" s="78" t="s">
        <v>39</v>
      </c>
      <c r="O246" s="113"/>
      <c r="P246" s="155"/>
      <c r="Q246" s="114" t="str">
        <f>IFERROR(MIN(VLOOKUP(ROUNDDOWN(P246,0),'Aide calcul'!$B$2:$C$282,2,FALSE),O246+1),"")</f>
        <v/>
      </c>
      <c r="R246" s="115" t="str">
        <f t="shared" si="57"/>
        <v/>
      </c>
      <c r="S246" s="155"/>
      <c r="T246" s="155"/>
      <c r="U246" s="155"/>
      <c r="V246" s="155"/>
      <c r="W246" s="155"/>
      <c r="X246" s="155"/>
      <c r="Y246" s="155"/>
      <c r="Z246" s="78"/>
      <c r="AA246" s="78"/>
      <c r="AB246" s="116" t="str">
        <f>IF(C246="3111. Logements",ROUND(VLOOKUP(C246,'Informations générales'!$C$66:$D$70,2,FALSE)*(AK246/$AL$27)/12,0)*12,IF(C246="3112. Logements",ROUND(VLOOKUP(C246,'Informations générales'!$C$66:$D$70,2,FALSE)*(AK246/$AM$27)/12,0)*12,IF(C246="3113. Logements",ROUND(VLOOKUP(C246,'Informations générales'!$C$66:$D$70,2,FALSE)*(AK246/$AN$27)/12,0)*12,IF(C246="3114. Logements",ROUND(VLOOKUP(C246,'Informations générales'!$C$66:$D$70,2,FALSE)*(AK246/$AO$27)/12,0)*12,IF(C246="3115. Logements",ROUND(VLOOKUP(C246,'Informations générales'!$C$66:$D$70,2,FALSE)*(AK246/$AP$27)/12,0)*12,"")))))</f>
        <v/>
      </c>
      <c r="AC246" s="117"/>
      <c r="AD246" s="116">
        <f t="shared" si="58"/>
        <v>0</v>
      </c>
      <c r="AE246" s="117"/>
      <c r="AF246" s="116" t="str">
        <f>IF(C246="3111. Logements",ROUND(VLOOKUP(C246,'Informations générales'!$C$66:$G$70,5,FALSE)*(AK246/$AL$27)/12,0)*12,IF(C246="3112. Logements",ROUND(VLOOKUP(C246,'Informations générales'!$C$66:$G$70,5,FALSE)*(AK246/$AM$27)/12,0)*12,IF(C246="3113. Logements",ROUND(VLOOKUP(C246,'Informations générales'!$C$66:$G$70,5,FALSE)*(AK246/$AN$27)/12,0)*12,IF(C246="3114. Logements",ROUND(VLOOKUP(C246,'Informations générales'!$C$66:$G$70,5,FALSE)*(AK246/$AO$27)/12,0)*12,IF(C246="3115. Logements",ROUND(VLOOKUP(C246,'Informations générales'!$C$66:$G$70,5,FALSE)*(AK246/$AP$27)/12,0)*12,"")))))</f>
        <v/>
      </c>
      <c r="AG246" s="117"/>
      <c r="AH246" s="116" t="str">
        <f t="shared" si="59"/>
        <v/>
      </c>
      <c r="AI246" s="92"/>
      <c r="AJ246" s="78"/>
      <c r="AK246" s="60">
        <f t="shared" si="60"/>
        <v>0</v>
      </c>
      <c r="AL246" s="60"/>
      <c r="AM246" s="60"/>
      <c r="AN246" s="60"/>
      <c r="AO246" s="60"/>
      <c r="AP246" s="60"/>
      <c r="AQ246" s="60">
        <f t="shared" si="48"/>
        <v>0</v>
      </c>
      <c r="AR246" s="60">
        <f t="shared" si="49"/>
        <v>0</v>
      </c>
      <c r="AS246" s="60">
        <f t="shared" si="50"/>
        <v>0</v>
      </c>
      <c r="AT246" s="60">
        <f t="shared" si="51"/>
        <v>0</v>
      </c>
      <c r="AU246" s="60">
        <f t="shared" si="52"/>
        <v>0</v>
      </c>
      <c r="AV246" s="60">
        <f t="shared" si="53"/>
        <v>0</v>
      </c>
      <c r="AW246" s="60">
        <f t="shared" si="54"/>
        <v>0</v>
      </c>
      <c r="AX246" s="60">
        <f t="shared" si="61"/>
        <v>0</v>
      </c>
      <c r="AY246" s="64">
        <f t="shared" si="62"/>
        <v>0</v>
      </c>
      <c r="AZ246" s="65">
        <f t="shared" si="55"/>
        <v>0</v>
      </c>
      <c r="BA246" s="65">
        <f t="shared" si="56"/>
        <v>0</v>
      </c>
    </row>
    <row r="247" spans="3:53" s="17" customFormat="1" x14ac:dyDescent="0.25">
      <c r="C247" s="194"/>
      <c r="D247" s="195"/>
      <c r="E247" s="90"/>
      <c r="F247" s="198"/>
      <c r="G247" s="214"/>
      <c r="H247" s="199"/>
      <c r="I247" s="78"/>
      <c r="J247" s="79"/>
      <c r="K247" s="78"/>
      <c r="L247" s="80"/>
      <c r="M247" s="80"/>
      <c r="N247" s="78" t="s">
        <v>39</v>
      </c>
      <c r="O247" s="113"/>
      <c r="P247" s="155"/>
      <c r="Q247" s="114" t="str">
        <f>IFERROR(MIN(VLOOKUP(ROUNDDOWN(P247,0),'Aide calcul'!$B$2:$C$282,2,FALSE),O247+1),"")</f>
        <v/>
      </c>
      <c r="R247" s="115" t="str">
        <f t="shared" si="57"/>
        <v/>
      </c>
      <c r="S247" s="155"/>
      <c r="T247" s="155"/>
      <c r="U247" s="155"/>
      <c r="V247" s="155"/>
      <c r="W247" s="155"/>
      <c r="X247" s="155"/>
      <c r="Y247" s="155"/>
      <c r="Z247" s="78"/>
      <c r="AA247" s="78"/>
      <c r="AB247" s="116" t="str">
        <f>IF(C247="3111. Logements",ROUND(VLOOKUP(C247,'Informations générales'!$C$66:$D$70,2,FALSE)*(AK247/$AL$27)/12,0)*12,IF(C247="3112. Logements",ROUND(VLOOKUP(C247,'Informations générales'!$C$66:$D$70,2,FALSE)*(AK247/$AM$27)/12,0)*12,IF(C247="3113. Logements",ROUND(VLOOKUP(C247,'Informations générales'!$C$66:$D$70,2,FALSE)*(AK247/$AN$27)/12,0)*12,IF(C247="3114. Logements",ROUND(VLOOKUP(C247,'Informations générales'!$C$66:$D$70,2,FALSE)*(AK247/$AO$27)/12,0)*12,IF(C247="3115. Logements",ROUND(VLOOKUP(C247,'Informations générales'!$C$66:$D$70,2,FALSE)*(AK247/$AP$27)/12,0)*12,"")))))</f>
        <v/>
      </c>
      <c r="AC247" s="117"/>
      <c r="AD247" s="116">
        <f t="shared" si="58"/>
        <v>0</v>
      </c>
      <c r="AE247" s="117"/>
      <c r="AF247" s="116" t="str">
        <f>IF(C247="3111. Logements",ROUND(VLOOKUP(C247,'Informations générales'!$C$66:$G$70,5,FALSE)*(AK247/$AL$27)/12,0)*12,IF(C247="3112. Logements",ROUND(VLOOKUP(C247,'Informations générales'!$C$66:$G$70,5,FALSE)*(AK247/$AM$27)/12,0)*12,IF(C247="3113. Logements",ROUND(VLOOKUP(C247,'Informations générales'!$C$66:$G$70,5,FALSE)*(AK247/$AN$27)/12,0)*12,IF(C247="3114. Logements",ROUND(VLOOKUP(C247,'Informations générales'!$C$66:$G$70,5,FALSE)*(AK247/$AO$27)/12,0)*12,IF(C247="3115. Logements",ROUND(VLOOKUP(C247,'Informations générales'!$C$66:$G$70,5,FALSE)*(AK247/$AP$27)/12,0)*12,"")))))</f>
        <v/>
      </c>
      <c r="AG247" s="117"/>
      <c r="AH247" s="116" t="str">
        <f t="shared" si="59"/>
        <v/>
      </c>
      <c r="AI247" s="92"/>
      <c r="AJ247" s="78"/>
      <c r="AK247" s="60">
        <f t="shared" si="60"/>
        <v>0</v>
      </c>
      <c r="AL247" s="60"/>
      <c r="AM247" s="60"/>
      <c r="AN247" s="60"/>
      <c r="AO247" s="60"/>
      <c r="AP247" s="60"/>
      <c r="AQ247" s="60">
        <f t="shared" si="48"/>
        <v>0</v>
      </c>
      <c r="AR247" s="60">
        <f t="shared" si="49"/>
        <v>0</v>
      </c>
      <c r="AS247" s="60">
        <f t="shared" si="50"/>
        <v>0</v>
      </c>
      <c r="AT247" s="60">
        <f t="shared" si="51"/>
        <v>0</v>
      </c>
      <c r="AU247" s="60">
        <f t="shared" si="52"/>
        <v>0</v>
      </c>
      <c r="AV247" s="60">
        <f t="shared" si="53"/>
        <v>0</v>
      </c>
      <c r="AW247" s="60">
        <f t="shared" si="54"/>
        <v>0</v>
      </c>
      <c r="AX247" s="60">
        <f t="shared" si="61"/>
        <v>0</v>
      </c>
      <c r="AY247" s="64">
        <f t="shared" si="62"/>
        <v>0</v>
      </c>
      <c r="AZ247" s="65">
        <f t="shared" si="55"/>
        <v>0</v>
      </c>
      <c r="BA247" s="65">
        <f t="shared" si="56"/>
        <v>0</v>
      </c>
    </row>
    <row r="248" spans="3:53" s="17" customFormat="1" x14ac:dyDescent="0.25">
      <c r="C248" s="194"/>
      <c r="D248" s="195"/>
      <c r="E248" s="90"/>
      <c r="F248" s="198"/>
      <c r="G248" s="214"/>
      <c r="H248" s="199"/>
      <c r="I248" s="78"/>
      <c r="J248" s="79"/>
      <c r="K248" s="78"/>
      <c r="L248" s="80"/>
      <c r="M248" s="80"/>
      <c r="N248" s="78" t="s">
        <v>39</v>
      </c>
      <c r="O248" s="113"/>
      <c r="P248" s="155"/>
      <c r="Q248" s="114" t="str">
        <f>IFERROR(MIN(VLOOKUP(ROUNDDOWN(P248,0),'Aide calcul'!$B$2:$C$282,2,FALSE),O248+1),"")</f>
        <v/>
      </c>
      <c r="R248" s="115" t="str">
        <f t="shared" si="57"/>
        <v/>
      </c>
      <c r="S248" s="155"/>
      <c r="T248" s="155"/>
      <c r="U248" s="155"/>
      <c r="V248" s="155"/>
      <c r="W248" s="155"/>
      <c r="X248" s="155"/>
      <c r="Y248" s="155"/>
      <c r="Z248" s="78"/>
      <c r="AA248" s="78"/>
      <c r="AB248" s="116" t="str">
        <f>IF(C248="3111. Logements",ROUND(VLOOKUP(C248,'Informations générales'!$C$66:$D$70,2,FALSE)*(AK248/$AL$27)/12,0)*12,IF(C248="3112. Logements",ROUND(VLOOKUP(C248,'Informations générales'!$C$66:$D$70,2,FALSE)*(AK248/$AM$27)/12,0)*12,IF(C248="3113. Logements",ROUND(VLOOKUP(C248,'Informations générales'!$C$66:$D$70,2,FALSE)*(AK248/$AN$27)/12,0)*12,IF(C248="3114. Logements",ROUND(VLOOKUP(C248,'Informations générales'!$C$66:$D$70,2,FALSE)*(AK248/$AO$27)/12,0)*12,IF(C248="3115. Logements",ROUND(VLOOKUP(C248,'Informations générales'!$C$66:$D$70,2,FALSE)*(AK248/$AP$27)/12,0)*12,"")))))</f>
        <v/>
      </c>
      <c r="AC248" s="117"/>
      <c r="AD248" s="116">
        <f t="shared" si="58"/>
        <v>0</v>
      </c>
      <c r="AE248" s="117"/>
      <c r="AF248" s="116" t="str">
        <f>IF(C248="3111. Logements",ROUND(VLOOKUP(C248,'Informations générales'!$C$66:$G$70,5,FALSE)*(AK248/$AL$27)/12,0)*12,IF(C248="3112. Logements",ROUND(VLOOKUP(C248,'Informations générales'!$C$66:$G$70,5,FALSE)*(AK248/$AM$27)/12,0)*12,IF(C248="3113. Logements",ROUND(VLOOKUP(C248,'Informations générales'!$C$66:$G$70,5,FALSE)*(AK248/$AN$27)/12,0)*12,IF(C248="3114. Logements",ROUND(VLOOKUP(C248,'Informations générales'!$C$66:$G$70,5,FALSE)*(AK248/$AO$27)/12,0)*12,IF(C248="3115. Logements",ROUND(VLOOKUP(C248,'Informations générales'!$C$66:$G$70,5,FALSE)*(AK248/$AP$27)/12,0)*12,"")))))</f>
        <v/>
      </c>
      <c r="AG248" s="117"/>
      <c r="AH248" s="116" t="str">
        <f t="shared" si="59"/>
        <v/>
      </c>
      <c r="AI248" s="92"/>
      <c r="AJ248" s="78"/>
      <c r="AK248" s="60">
        <f t="shared" si="60"/>
        <v>0</v>
      </c>
      <c r="AL248" s="60"/>
      <c r="AM248" s="60"/>
      <c r="AN248" s="60"/>
      <c r="AO248" s="60"/>
      <c r="AP248" s="60"/>
      <c r="AQ248" s="60">
        <f t="shared" si="48"/>
        <v>0</v>
      </c>
      <c r="AR248" s="60">
        <f t="shared" si="49"/>
        <v>0</v>
      </c>
      <c r="AS248" s="60">
        <f t="shared" si="50"/>
        <v>0</v>
      </c>
      <c r="AT248" s="60">
        <f t="shared" si="51"/>
        <v>0</v>
      </c>
      <c r="AU248" s="60">
        <f t="shared" si="52"/>
        <v>0</v>
      </c>
      <c r="AV248" s="60">
        <f t="shared" si="53"/>
        <v>0</v>
      </c>
      <c r="AW248" s="60">
        <f t="shared" si="54"/>
        <v>0</v>
      </c>
      <c r="AX248" s="60">
        <f t="shared" si="61"/>
        <v>0</v>
      </c>
      <c r="AY248" s="64">
        <f t="shared" si="62"/>
        <v>0</v>
      </c>
      <c r="AZ248" s="65">
        <f t="shared" si="55"/>
        <v>0</v>
      </c>
      <c r="BA248" s="65">
        <f t="shared" si="56"/>
        <v>0</v>
      </c>
    </row>
    <row r="249" spans="3:53" s="17" customFormat="1" x14ac:dyDescent="0.25">
      <c r="C249" s="194"/>
      <c r="D249" s="195"/>
      <c r="E249" s="90"/>
      <c r="F249" s="198"/>
      <c r="G249" s="214"/>
      <c r="H249" s="199"/>
      <c r="I249" s="78"/>
      <c r="J249" s="79"/>
      <c r="K249" s="78"/>
      <c r="L249" s="80"/>
      <c r="M249" s="80"/>
      <c r="N249" s="78" t="s">
        <v>39</v>
      </c>
      <c r="O249" s="113"/>
      <c r="P249" s="155"/>
      <c r="Q249" s="114" t="str">
        <f>IFERROR(MIN(VLOOKUP(ROUNDDOWN(P249,0),'Aide calcul'!$B$2:$C$282,2,FALSE),O249+1),"")</f>
        <v/>
      </c>
      <c r="R249" s="115" t="str">
        <f t="shared" si="57"/>
        <v/>
      </c>
      <c r="S249" s="155"/>
      <c r="T249" s="155"/>
      <c r="U249" s="155"/>
      <c r="V249" s="155"/>
      <c r="W249" s="155"/>
      <c r="X249" s="155"/>
      <c r="Y249" s="155"/>
      <c r="Z249" s="78"/>
      <c r="AA249" s="78"/>
      <c r="AB249" s="116" t="str">
        <f>IF(C249="3111. Logements",ROUND(VLOOKUP(C249,'Informations générales'!$C$66:$D$70,2,FALSE)*(AK249/$AL$27)/12,0)*12,IF(C249="3112. Logements",ROUND(VLOOKUP(C249,'Informations générales'!$C$66:$D$70,2,FALSE)*(AK249/$AM$27)/12,0)*12,IF(C249="3113. Logements",ROUND(VLOOKUP(C249,'Informations générales'!$C$66:$D$70,2,FALSE)*(AK249/$AN$27)/12,0)*12,IF(C249="3114. Logements",ROUND(VLOOKUP(C249,'Informations générales'!$C$66:$D$70,2,FALSE)*(AK249/$AO$27)/12,0)*12,IF(C249="3115. Logements",ROUND(VLOOKUP(C249,'Informations générales'!$C$66:$D$70,2,FALSE)*(AK249/$AP$27)/12,0)*12,"")))))</f>
        <v/>
      </c>
      <c r="AC249" s="117"/>
      <c r="AD249" s="116">
        <f t="shared" si="58"/>
        <v>0</v>
      </c>
      <c r="AE249" s="117"/>
      <c r="AF249" s="116" t="str">
        <f>IF(C249="3111. Logements",ROUND(VLOOKUP(C249,'Informations générales'!$C$66:$G$70,5,FALSE)*(AK249/$AL$27)/12,0)*12,IF(C249="3112. Logements",ROUND(VLOOKUP(C249,'Informations générales'!$C$66:$G$70,5,FALSE)*(AK249/$AM$27)/12,0)*12,IF(C249="3113. Logements",ROUND(VLOOKUP(C249,'Informations générales'!$C$66:$G$70,5,FALSE)*(AK249/$AN$27)/12,0)*12,IF(C249="3114. Logements",ROUND(VLOOKUP(C249,'Informations générales'!$C$66:$G$70,5,FALSE)*(AK249/$AO$27)/12,0)*12,IF(C249="3115. Logements",ROUND(VLOOKUP(C249,'Informations générales'!$C$66:$G$70,5,FALSE)*(AK249/$AP$27)/12,0)*12,"")))))</f>
        <v/>
      </c>
      <c r="AG249" s="117"/>
      <c r="AH249" s="116" t="str">
        <f t="shared" si="59"/>
        <v/>
      </c>
      <c r="AI249" s="92"/>
      <c r="AJ249" s="78"/>
      <c r="AK249" s="60">
        <f t="shared" si="60"/>
        <v>0</v>
      </c>
      <c r="AL249" s="60"/>
      <c r="AM249" s="60"/>
      <c r="AN249" s="60"/>
      <c r="AO249" s="60"/>
      <c r="AP249" s="60"/>
      <c r="AQ249" s="60">
        <f t="shared" si="48"/>
        <v>0</v>
      </c>
      <c r="AR249" s="60">
        <f t="shared" si="49"/>
        <v>0</v>
      </c>
      <c r="AS249" s="60">
        <f t="shared" si="50"/>
        <v>0</v>
      </c>
      <c r="AT249" s="60">
        <f t="shared" si="51"/>
        <v>0</v>
      </c>
      <c r="AU249" s="60">
        <f t="shared" si="52"/>
        <v>0</v>
      </c>
      <c r="AV249" s="60">
        <f t="shared" si="53"/>
        <v>0</v>
      </c>
      <c r="AW249" s="60">
        <f t="shared" si="54"/>
        <v>0</v>
      </c>
      <c r="AX249" s="60">
        <f t="shared" si="61"/>
        <v>0</v>
      </c>
      <c r="AY249" s="64">
        <f t="shared" si="62"/>
        <v>0</v>
      </c>
      <c r="AZ249" s="65">
        <f t="shared" si="55"/>
        <v>0</v>
      </c>
      <c r="BA249" s="65">
        <f t="shared" si="56"/>
        <v>0</v>
      </c>
    </row>
    <row r="250" spans="3:53" s="17" customFormat="1" x14ac:dyDescent="0.25">
      <c r="C250" s="194"/>
      <c r="D250" s="195"/>
      <c r="E250" s="90"/>
      <c r="F250" s="198"/>
      <c r="G250" s="214"/>
      <c r="H250" s="199"/>
      <c r="I250" s="78"/>
      <c r="J250" s="79"/>
      <c r="K250" s="78"/>
      <c r="L250" s="80"/>
      <c r="M250" s="80"/>
      <c r="N250" s="78" t="s">
        <v>39</v>
      </c>
      <c r="O250" s="113"/>
      <c r="P250" s="155"/>
      <c r="Q250" s="114" t="str">
        <f>IFERROR(MIN(VLOOKUP(ROUNDDOWN(P250,0),'Aide calcul'!$B$2:$C$282,2,FALSE),O250+1),"")</f>
        <v/>
      </c>
      <c r="R250" s="115" t="str">
        <f t="shared" si="57"/>
        <v/>
      </c>
      <c r="S250" s="155"/>
      <c r="T250" s="155"/>
      <c r="U250" s="155"/>
      <c r="V250" s="155"/>
      <c r="W250" s="155"/>
      <c r="X250" s="155"/>
      <c r="Y250" s="155"/>
      <c r="Z250" s="78"/>
      <c r="AA250" s="78"/>
      <c r="AB250" s="116" t="str">
        <f>IF(C250="3111. Logements",ROUND(VLOOKUP(C250,'Informations générales'!$C$66:$D$70,2,FALSE)*(AK250/$AL$27)/12,0)*12,IF(C250="3112. Logements",ROUND(VLOOKUP(C250,'Informations générales'!$C$66:$D$70,2,FALSE)*(AK250/$AM$27)/12,0)*12,IF(C250="3113. Logements",ROUND(VLOOKUP(C250,'Informations générales'!$C$66:$D$70,2,FALSE)*(AK250/$AN$27)/12,0)*12,IF(C250="3114. Logements",ROUND(VLOOKUP(C250,'Informations générales'!$C$66:$D$70,2,FALSE)*(AK250/$AO$27)/12,0)*12,IF(C250="3115. Logements",ROUND(VLOOKUP(C250,'Informations générales'!$C$66:$D$70,2,FALSE)*(AK250/$AP$27)/12,0)*12,"")))))</f>
        <v/>
      </c>
      <c r="AC250" s="117"/>
      <c r="AD250" s="116">
        <f t="shared" si="58"/>
        <v>0</v>
      </c>
      <c r="AE250" s="117"/>
      <c r="AF250" s="116" t="str">
        <f>IF(C250="3111. Logements",ROUND(VLOOKUP(C250,'Informations générales'!$C$66:$G$70,5,FALSE)*(AK250/$AL$27)/12,0)*12,IF(C250="3112. Logements",ROUND(VLOOKUP(C250,'Informations générales'!$C$66:$G$70,5,FALSE)*(AK250/$AM$27)/12,0)*12,IF(C250="3113. Logements",ROUND(VLOOKUP(C250,'Informations générales'!$C$66:$G$70,5,FALSE)*(AK250/$AN$27)/12,0)*12,IF(C250="3114. Logements",ROUND(VLOOKUP(C250,'Informations générales'!$C$66:$G$70,5,FALSE)*(AK250/$AO$27)/12,0)*12,IF(C250="3115. Logements",ROUND(VLOOKUP(C250,'Informations générales'!$C$66:$G$70,5,FALSE)*(AK250/$AP$27)/12,0)*12,"")))))</f>
        <v/>
      </c>
      <c r="AG250" s="117"/>
      <c r="AH250" s="116" t="str">
        <f t="shared" si="59"/>
        <v/>
      </c>
      <c r="AI250" s="92"/>
      <c r="AJ250" s="78"/>
      <c r="AK250" s="60">
        <f t="shared" si="60"/>
        <v>0</v>
      </c>
      <c r="AL250" s="60"/>
      <c r="AM250" s="60"/>
      <c r="AN250" s="60"/>
      <c r="AO250" s="60"/>
      <c r="AP250" s="60"/>
      <c r="AQ250" s="60">
        <f t="shared" si="48"/>
        <v>0</v>
      </c>
      <c r="AR250" s="60">
        <f t="shared" si="49"/>
        <v>0</v>
      </c>
      <c r="AS250" s="60">
        <f t="shared" si="50"/>
        <v>0</v>
      </c>
      <c r="AT250" s="60">
        <f t="shared" si="51"/>
        <v>0</v>
      </c>
      <c r="AU250" s="60">
        <f t="shared" si="52"/>
        <v>0</v>
      </c>
      <c r="AV250" s="60">
        <f t="shared" si="53"/>
        <v>0</v>
      </c>
      <c r="AW250" s="60">
        <f t="shared" si="54"/>
        <v>0</v>
      </c>
      <c r="AX250" s="60">
        <f t="shared" si="61"/>
        <v>0</v>
      </c>
      <c r="AY250" s="64">
        <f t="shared" si="62"/>
        <v>0</v>
      </c>
      <c r="AZ250" s="65">
        <f t="shared" si="55"/>
        <v>0</v>
      </c>
      <c r="BA250" s="65">
        <f t="shared" si="56"/>
        <v>0</v>
      </c>
    </row>
    <row r="251" spans="3:53" s="17" customFormat="1" x14ac:dyDescent="0.25">
      <c r="C251" s="194"/>
      <c r="D251" s="195"/>
      <c r="E251" s="90"/>
      <c r="F251" s="198"/>
      <c r="G251" s="214"/>
      <c r="H251" s="199"/>
      <c r="I251" s="78"/>
      <c r="J251" s="79"/>
      <c r="K251" s="78"/>
      <c r="L251" s="80"/>
      <c r="M251" s="80"/>
      <c r="N251" s="78" t="s">
        <v>39</v>
      </c>
      <c r="O251" s="113"/>
      <c r="P251" s="155"/>
      <c r="Q251" s="114" t="str">
        <f>IFERROR(MIN(VLOOKUP(ROUNDDOWN(P251,0),'Aide calcul'!$B$2:$C$282,2,FALSE),O251+1),"")</f>
        <v/>
      </c>
      <c r="R251" s="115" t="str">
        <f t="shared" si="57"/>
        <v/>
      </c>
      <c r="S251" s="155"/>
      <c r="T251" s="155"/>
      <c r="U251" s="155"/>
      <c r="V251" s="155"/>
      <c r="W251" s="155"/>
      <c r="X251" s="155"/>
      <c r="Y251" s="155"/>
      <c r="Z251" s="78"/>
      <c r="AA251" s="78"/>
      <c r="AB251" s="116" t="str">
        <f>IF(C251="3111. Logements",ROUND(VLOOKUP(C251,'Informations générales'!$C$66:$D$70,2,FALSE)*(AK251/$AL$27)/12,0)*12,IF(C251="3112. Logements",ROUND(VLOOKUP(C251,'Informations générales'!$C$66:$D$70,2,FALSE)*(AK251/$AM$27)/12,0)*12,IF(C251="3113. Logements",ROUND(VLOOKUP(C251,'Informations générales'!$C$66:$D$70,2,FALSE)*(AK251/$AN$27)/12,0)*12,IF(C251="3114. Logements",ROUND(VLOOKUP(C251,'Informations générales'!$C$66:$D$70,2,FALSE)*(AK251/$AO$27)/12,0)*12,IF(C251="3115. Logements",ROUND(VLOOKUP(C251,'Informations générales'!$C$66:$D$70,2,FALSE)*(AK251/$AP$27)/12,0)*12,"")))))</f>
        <v/>
      </c>
      <c r="AC251" s="117"/>
      <c r="AD251" s="116">
        <f t="shared" si="58"/>
        <v>0</v>
      </c>
      <c r="AE251" s="117"/>
      <c r="AF251" s="116" t="str">
        <f>IF(C251="3111. Logements",ROUND(VLOOKUP(C251,'Informations générales'!$C$66:$G$70,5,FALSE)*(AK251/$AL$27)/12,0)*12,IF(C251="3112. Logements",ROUND(VLOOKUP(C251,'Informations générales'!$C$66:$G$70,5,FALSE)*(AK251/$AM$27)/12,0)*12,IF(C251="3113. Logements",ROUND(VLOOKUP(C251,'Informations générales'!$C$66:$G$70,5,FALSE)*(AK251/$AN$27)/12,0)*12,IF(C251="3114. Logements",ROUND(VLOOKUP(C251,'Informations générales'!$C$66:$G$70,5,FALSE)*(AK251/$AO$27)/12,0)*12,IF(C251="3115. Logements",ROUND(VLOOKUP(C251,'Informations générales'!$C$66:$G$70,5,FALSE)*(AK251/$AP$27)/12,0)*12,"")))))</f>
        <v/>
      </c>
      <c r="AG251" s="117"/>
      <c r="AH251" s="116" t="str">
        <f t="shared" si="59"/>
        <v/>
      </c>
      <c r="AI251" s="92"/>
      <c r="AJ251" s="78"/>
      <c r="AK251" s="60">
        <f t="shared" si="60"/>
        <v>0</v>
      </c>
      <c r="AL251" s="60"/>
      <c r="AM251" s="60"/>
      <c r="AN251" s="60"/>
      <c r="AO251" s="60"/>
      <c r="AP251" s="60"/>
      <c r="AQ251" s="60">
        <f t="shared" si="48"/>
        <v>0</v>
      </c>
      <c r="AR251" s="60">
        <f t="shared" si="49"/>
        <v>0</v>
      </c>
      <c r="AS251" s="60">
        <f t="shared" si="50"/>
        <v>0</v>
      </c>
      <c r="AT251" s="60">
        <f t="shared" si="51"/>
        <v>0</v>
      </c>
      <c r="AU251" s="60">
        <f t="shared" si="52"/>
        <v>0</v>
      </c>
      <c r="AV251" s="60">
        <f t="shared" si="53"/>
        <v>0</v>
      </c>
      <c r="AW251" s="60">
        <f t="shared" si="54"/>
        <v>0</v>
      </c>
      <c r="AX251" s="60">
        <f t="shared" si="61"/>
        <v>0</v>
      </c>
      <c r="AY251" s="64">
        <f t="shared" si="62"/>
        <v>0</v>
      </c>
      <c r="AZ251" s="65">
        <f t="shared" si="55"/>
        <v>0</v>
      </c>
      <c r="BA251" s="65">
        <f t="shared" si="56"/>
        <v>0</v>
      </c>
    </row>
    <row r="252" spans="3:53" s="17" customFormat="1" x14ac:dyDescent="0.25">
      <c r="C252" s="194"/>
      <c r="D252" s="195"/>
      <c r="E252" s="90"/>
      <c r="F252" s="198"/>
      <c r="G252" s="214"/>
      <c r="H252" s="199"/>
      <c r="I252" s="78"/>
      <c r="J252" s="79"/>
      <c r="K252" s="78"/>
      <c r="L252" s="80"/>
      <c r="M252" s="80"/>
      <c r="N252" s="78" t="s">
        <v>39</v>
      </c>
      <c r="O252" s="113"/>
      <c r="P252" s="155"/>
      <c r="Q252" s="114" t="str">
        <f>IFERROR(MIN(VLOOKUP(ROUNDDOWN(P252,0),'Aide calcul'!$B$2:$C$282,2,FALSE),O252+1),"")</f>
        <v/>
      </c>
      <c r="R252" s="115" t="str">
        <f t="shared" si="57"/>
        <v/>
      </c>
      <c r="S252" s="155"/>
      <c r="T252" s="155"/>
      <c r="U252" s="155"/>
      <c r="V252" s="155"/>
      <c r="W252" s="155"/>
      <c r="X252" s="155"/>
      <c r="Y252" s="155"/>
      <c r="Z252" s="78"/>
      <c r="AA252" s="78"/>
      <c r="AB252" s="116" t="str">
        <f>IF(C252="3111. Logements",ROUND(VLOOKUP(C252,'Informations générales'!$C$66:$D$70,2,FALSE)*(AK252/$AL$27)/12,0)*12,IF(C252="3112. Logements",ROUND(VLOOKUP(C252,'Informations générales'!$C$66:$D$70,2,FALSE)*(AK252/$AM$27)/12,0)*12,IF(C252="3113. Logements",ROUND(VLOOKUP(C252,'Informations générales'!$C$66:$D$70,2,FALSE)*(AK252/$AN$27)/12,0)*12,IF(C252="3114. Logements",ROUND(VLOOKUP(C252,'Informations générales'!$C$66:$D$70,2,FALSE)*(AK252/$AO$27)/12,0)*12,IF(C252="3115. Logements",ROUND(VLOOKUP(C252,'Informations générales'!$C$66:$D$70,2,FALSE)*(AK252/$AP$27)/12,0)*12,"")))))</f>
        <v/>
      </c>
      <c r="AC252" s="117"/>
      <c r="AD252" s="116">
        <f t="shared" si="58"/>
        <v>0</v>
      </c>
      <c r="AE252" s="117"/>
      <c r="AF252" s="116" t="str">
        <f>IF(C252="3111. Logements",ROUND(VLOOKUP(C252,'Informations générales'!$C$66:$G$70,5,FALSE)*(AK252/$AL$27)/12,0)*12,IF(C252="3112. Logements",ROUND(VLOOKUP(C252,'Informations générales'!$C$66:$G$70,5,FALSE)*(AK252/$AM$27)/12,0)*12,IF(C252="3113. Logements",ROUND(VLOOKUP(C252,'Informations générales'!$C$66:$G$70,5,FALSE)*(AK252/$AN$27)/12,0)*12,IF(C252="3114. Logements",ROUND(VLOOKUP(C252,'Informations générales'!$C$66:$G$70,5,FALSE)*(AK252/$AO$27)/12,0)*12,IF(C252="3115. Logements",ROUND(VLOOKUP(C252,'Informations générales'!$C$66:$G$70,5,FALSE)*(AK252/$AP$27)/12,0)*12,"")))))</f>
        <v/>
      </c>
      <c r="AG252" s="117"/>
      <c r="AH252" s="116" t="str">
        <f t="shared" si="59"/>
        <v/>
      </c>
      <c r="AI252" s="92"/>
      <c r="AJ252" s="78"/>
      <c r="AK252" s="60">
        <f t="shared" si="60"/>
        <v>0</v>
      </c>
      <c r="AL252" s="60"/>
      <c r="AM252" s="60"/>
      <c r="AN252" s="60"/>
      <c r="AO252" s="60"/>
      <c r="AP252" s="60"/>
      <c r="AQ252" s="60">
        <f t="shared" si="48"/>
        <v>0</v>
      </c>
      <c r="AR252" s="60">
        <f t="shared" si="49"/>
        <v>0</v>
      </c>
      <c r="AS252" s="60">
        <f t="shared" si="50"/>
        <v>0</v>
      </c>
      <c r="AT252" s="60">
        <f t="shared" si="51"/>
        <v>0</v>
      </c>
      <c r="AU252" s="60">
        <f t="shared" si="52"/>
        <v>0</v>
      </c>
      <c r="AV252" s="60">
        <f t="shared" si="53"/>
        <v>0</v>
      </c>
      <c r="AW252" s="60">
        <f t="shared" si="54"/>
        <v>0</v>
      </c>
      <c r="AX252" s="60">
        <f t="shared" si="61"/>
        <v>0</v>
      </c>
      <c r="AY252" s="64">
        <f t="shared" si="62"/>
        <v>0</v>
      </c>
      <c r="AZ252" s="65">
        <f t="shared" si="55"/>
        <v>0</v>
      </c>
      <c r="BA252" s="65">
        <f t="shared" si="56"/>
        <v>0</v>
      </c>
    </row>
    <row r="253" spans="3:53" s="17" customFormat="1" x14ac:dyDescent="0.25">
      <c r="C253" s="194"/>
      <c r="D253" s="195"/>
      <c r="E253" s="90"/>
      <c r="F253" s="198"/>
      <c r="G253" s="214"/>
      <c r="H253" s="199"/>
      <c r="I253" s="78"/>
      <c r="J253" s="79"/>
      <c r="K253" s="78"/>
      <c r="L253" s="80"/>
      <c r="M253" s="80"/>
      <c r="N253" s="78" t="s">
        <v>39</v>
      </c>
      <c r="O253" s="113"/>
      <c r="P253" s="155"/>
      <c r="Q253" s="114" t="str">
        <f>IFERROR(MIN(VLOOKUP(ROUNDDOWN(P253,0),'Aide calcul'!$B$2:$C$282,2,FALSE),O253+1),"")</f>
        <v/>
      </c>
      <c r="R253" s="115" t="str">
        <f t="shared" si="57"/>
        <v/>
      </c>
      <c r="S253" s="155"/>
      <c r="T253" s="155"/>
      <c r="U253" s="155"/>
      <c r="V253" s="155"/>
      <c r="W253" s="155"/>
      <c r="X253" s="155"/>
      <c r="Y253" s="155"/>
      <c r="Z253" s="78"/>
      <c r="AA253" s="78"/>
      <c r="AB253" s="116" t="str">
        <f>IF(C253="3111. Logements",ROUND(VLOOKUP(C253,'Informations générales'!$C$66:$D$70,2,FALSE)*(AK253/$AL$27)/12,0)*12,IF(C253="3112. Logements",ROUND(VLOOKUP(C253,'Informations générales'!$C$66:$D$70,2,FALSE)*(AK253/$AM$27)/12,0)*12,IF(C253="3113. Logements",ROUND(VLOOKUP(C253,'Informations générales'!$C$66:$D$70,2,FALSE)*(AK253/$AN$27)/12,0)*12,IF(C253="3114. Logements",ROUND(VLOOKUP(C253,'Informations générales'!$C$66:$D$70,2,FALSE)*(AK253/$AO$27)/12,0)*12,IF(C253="3115. Logements",ROUND(VLOOKUP(C253,'Informations générales'!$C$66:$D$70,2,FALSE)*(AK253/$AP$27)/12,0)*12,"")))))</f>
        <v/>
      </c>
      <c r="AC253" s="117"/>
      <c r="AD253" s="116">
        <f t="shared" si="58"/>
        <v>0</v>
      </c>
      <c r="AE253" s="117"/>
      <c r="AF253" s="116" t="str">
        <f>IF(C253="3111. Logements",ROUND(VLOOKUP(C253,'Informations générales'!$C$66:$G$70,5,FALSE)*(AK253/$AL$27)/12,0)*12,IF(C253="3112. Logements",ROUND(VLOOKUP(C253,'Informations générales'!$C$66:$G$70,5,FALSE)*(AK253/$AM$27)/12,0)*12,IF(C253="3113. Logements",ROUND(VLOOKUP(C253,'Informations générales'!$C$66:$G$70,5,FALSE)*(AK253/$AN$27)/12,0)*12,IF(C253="3114. Logements",ROUND(VLOOKUP(C253,'Informations générales'!$C$66:$G$70,5,FALSE)*(AK253/$AO$27)/12,0)*12,IF(C253="3115. Logements",ROUND(VLOOKUP(C253,'Informations générales'!$C$66:$G$70,5,FALSE)*(AK253/$AP$27)/12,0)*12,"")))))</f>
        <v/>
      </c>
      <c r="AG253" s="117"/>
      <c r="AH253" s="116" t="str">
        <f t="shared" si="59"/>
        <v/>
      </c>
      <c r="AI253" s="92"/>
      <c r="AJ253" s="78"/>
      <c r="AK253" s="60">
        <f t="shared" si="60"/>
        <v>0</v>
      </c>
      <c r="AL253" s="60"/>
      <c r="AM253" s="60"/>
      <c r="AN253" s="60"/>
      <c r="AO253" s="60"/>
      <c r="AP253" s="60"/>
      <c r="AQ253" s="60">
        <f t="shared" si="48"/>
        <v>0</v>
      </c>
      <c r="AR253" s="60">
        <f t="shared" si="49"/>
        <v>0</v>
      </c>
      <c r="AS253" s="60">
        <f t="shared" si="50"/>
        <v>0</v>
      </c>
      <c r="AT253" s="60">
        <f t="shared" si="51"/>
        <v>0</v>
      </c>
      <c r="AU253" s="60">
        <f t="shared" si="52"/>
        <v>0</v>
      </c>
      <c r="AV253" s="60">
        <f t="shared" si="53"/>
        <v>0</v>
      </c>
      <c r="AW253" s="60">
        <f t="shared" si="54"/>
        <v>0</v>
      </c>
      <c r="AX253" s="60">
        <f t="shared" si="61"/>
        <v>0</v>
      </c>
      <c r="AY253" s="64">
        <f t="shared" si="62"/>
        <v>0</v>
      </c>
      <c r="AZ253" s="65">
        <f t="shared" si="55"/>
        <v>0</v>
      </c>
      <c r="BA253" s="65">
        <f t="shared" si="56"/>
        <v>0</v>
      </c>
    </row>
    <row r="254" spans="3:53" s="17" customFormat="1" x14ac:dyDescent="0.25">
      <c r="C254" s="194"/>
      <c r="D254" s="195"/>
      <c r="E254" s="90"/>
      <c r="F254" s="198"/>
      <c r="G254" s="214"/>
      <c r="H254" s="199"/>
      <c r="I254" s="78"/>
      <c r="J254" s="79"/>
      <c r="K254" s="78"/>
      <c r="L254" s="80"/>
      <c r="M254" s="80"/>
      <c r="N254" s="78" t="s">
        <v>39</v>
      </c>
      <c r="O254" s="113"/>
      <c r="P254" s="155"/>
      <c r="Q254" s="114" t="str">
        <f>IFERROR(MIN(VLOOKUP(ROUNDDOWN(P254,0),'Aide calcul'!$B$2:$C$282,2,FALSE),O254+1),"")</f>
        <v/>
      </c>
      <c r="R254" s="115" t="str">
        <f t="shared" si="57"/>
        <v/>
      </c>
      <c r="S254" s="155"/>
      <c r="T254" s="155"/>
      <c r="U254" s="155"/>
      <c r="V254" s="155"/>
      <c r="W254" s="155"/>
      <c r="X254" s="155"/>
      <c r="Y254" s="155"/>
      <c r="Z254" s="78"/>
      <c r="AA254" s="78"/>
      <c r="AB254" s="116" t="str">
        <f>IF(C254="3111. Logements",ROUND(VLOOKUP(C254,'Informations générales'!$C$66:$D$70,2,FALSE)*(AK254/$AL$27)/12,0)*12,IF(C254="3112. Logements",ROUND(VLOOKUP(C254,'Informations générales'!$C$66:$D$70,2,FALSE)*(AK254/$AM$27)/12,0)*12,IF(C254="3113. Logements",ROUND(VLOOKUP(C254,'Informations générales'!$C$66:$D$70,2,FALSE)*(AK254/$AN$27)/12,0)*12,IF(C254="3114. Logements",ROUND(VLOOKUP(C254,'Informations générales'!$C$66:$D$70,2,FALSE)*(AK254/$AO$27)/12,0)*12,IF(C254="3115. Logements",ROUND(VLOOKUP(C254,'Informations générales'!$C$66:$D$70,2,FALSE)*(AK254/$AP$27)/12,0)*12,"")))))</f>
        <v/>
      </c>
      <c r="AC254" s="117"/>
      <c r="AD254" s="116">
        <f t="shared" si="58"/>
        <v>0</v>
      </c>
      <c r="AE254" s="117"/>
      <c r="AF254" s="116" t="str">
        <f>IF(C254="3111. Logements",ROUND(VLOOKUP(C254,'Informations générales'!$C$66:$G$70,5,FALSE)*(AK254/$AL$27)/12,0)*12,IF(C254="3112. Logements",ROUND(VLOOKUP(C254,'Informations générales'!$C$66:$G$70,5,FALSE)*(AK254/$AM$27)/12,0)*12,IF(C254="3113. Logements",ROUND(VLOOKUP(C254,'Informations générales'!$C$66:$G$70,5,FALSE)*(AK254/$AN$27)/12,0)*12,IF(C254="3114. Logements",ROUND(VLOOKUP(C254,'Informations générales'!$C$66:$G$70,5,FALSE)*(AK254/$AO$27)/12,0)*12,IF(C254="3115. Logements",ROUND(VLOOKUP(C254,'Informations générales'!$C$66:$G$70,5,FALSE)*(AK254/$AP$27)/12,0)*12,"")))))</f>
        <v/>
      </c>
      <c r="AG254" s="117"/>
      <c r="AH254" s="116" t="str">
        <f t="shared" si="59"/>
        <v/>
      </c>
      <c r="AI254" s="92"/>
      <c r="AJ254" s="78"/>
      <c r="AK254" s="60">
        <f t="shared" si="60"/>
        <v>0</v>
      </c>
      <c r="AL254" s="60"/>
      <c r="AM254" s="60"/>
      <c r="AN254" s="60"/>
      <c r="AO254" s="60"/>
      <c r="AP254" s="60"/>
      <c r="AQ254" s="60">
        <f t="shared" si="48"/>
        <v>0</v>
      </c>
      <c r="AR254" s="60">
        <f t="shared" si="49"/>
        <v>0</v>
      </c>
      <c r="AS254" s="60">
        <f t="shared" si="50"/>
        <v>0</v>
      </c>
      <c r="AT254" s="60">
        <f t="shared" si="51"/>
        <v>0</v>
      </c>
      <c r="AU254" s="60">
        <f t="shared" si="52"/>
        <v>0</v>
      </c>
      <c r="AV254" s="60">
        <f t="shared" si="53"/>
        <v>0</v>
      </c>
      <c r="AW254" s="60">
        <f t="shared" si="54"/>
        <v>0</v>
      </c>
      <c r="AX254" s="60">
        <f t="shared" si="61"/>
        <v>0</v>
      </c>
      <c r="AY254" s="64">
        <f t="shared" si="62"/>
        <v>0</v>
      </c>
      <c r="AZ254" s="65">
        <f t="shared" si="55"/>
        <v>0</v>
      </c>
      <c r="BA254" s="65">
        <f t="shared" si="56"/>
        <v>0</v>
      </c>
    </row>
    <row r="255" spans="3:53" s="17" customFormat="1" x14ac:dyDescent="0.25">
      <c r="C255" s="194"/>
      <c r="D255" s="195"/>
      <c r="E255" s="90"/>
      <c r="F255" s="198"/>
      <c r="G255" s="214"/>
      <c r="H255" s="199"/>
      <c r="I255" s="78"/>
      <c r="J255" s="79"/>
      <c r="K255" s="78"/>
      <c r="L255" s="80"/>
      <c r="M255" s="80"/>
      <c r="N255" s="78" t="s">
        <v>39</v>
      </c>
      <c r="O255" s="113"/>
      <c r="P255" s="155"/>
      <c r="Q255" s="114" t="str">
        <f>IFERROR(MIN(VLOOKUP(ROUNDDOWN(P255,0),'Aide calcul'!$B$2:$C$282,2,FALSE),O255+1),"")</f>
        <v/>
      </c>
      <c r="R255" s="115" t="str">
        <f t="shared" si="57"/>
        <v/>
      </c>
      <c r="S255" s="155"/>
      <c r="T255" s="155"/>
      <c r="U255" s="155"/>
      <c r="V255" s="155"/>
      <c r="W255" s="155"/>
      <c r="X255" s="155"/>
      <c r="Y255" s="155"/>
      <c r="Z255" s="78"/>
      <c r="AA255" s="78"/>
      <c r="AB255" s="116" t="str">
        <f>IF(C255="3111. Logements",ROUND(VLOOKUP(C255,'Informations générales'!$C$66:$D$70,2,FALSE)*(AK255/$AL$27)/12,0)*12,IF(C255="3112. Logements",ROUND(VLOOKUP(C255,'Informations générales'!$C$66:$D$70,2,FALSE)*(AK255/$AM$27)/12,0)*12,IF(C255="3113. Logements",ROUND(VLOOKUP(C255,'Informations générales'!$C$66:$D$70,2,FALSE)*(AK255/$AN$27)/12,0)*12,IF(C255="3114. Logements",ROUND(VLOOKUP(C255,'Informations générales'!$C$66:$D$70,2,FALSE)*(AK255/$AO$27)/12,0)*12,IF(C255="3115. Logements",ROUND(VLOOKUP(C255,'Informations générales'!$C$66:$D$70,2,FALSE)*(AK255/$AP$27)/12,0)*12,"")))))</f>
        <v/>
      </c>
      <c r="AC255" s="117"/>
      <c r="AD255" s="116">
        <f t="shared" si="58"/>
        <v>0</v>
      </c>
      <c r="AE255" s="117"/>
      <c r="AF255" s="116" t="str">
        <f>IF(C255="3111. Logements",ROUND(VLOOKUP(C255,'Informations générales'!$C$66:$G$70,5,FALSE)*(AK255/$AL$27)/12,0)*12,IF(C255="3112. Logements",ROUND(VLOOKUP(C255,'Informations générales'!$C$66:$G$70,5,FALSE)*(AK255/$AM$27)/12,0)*12,IF(C255="3113. Logements",ROUND(VLOOKUP(C255,'Informations générales'!$C$66:$G$70,5,FALSE)*(AK255/$AN$27)/12,0)*12,IF(C255="3114. Logements",ROUND(VLOOKUP(C255,'Informations générales'!$C$66:$G$70,5,FALSE)*(AK255/$AO$27)/12,0)*12,IF(C255="3115. Logements",ROUND(VLOOKUP(C255,'Informations générales'!$C$66:$G$70,5,FALSE)*(AK255/$AP$27)/12,0)*12,"")))))</f>
        <v/>
      </c>
      <c r="AG255" s="117"/>
      <c r="AH255" s="116" t="str">
        <f t="shared" si="59"/>
        <v/>
      </c>
      <c r="AI255" s="92"/>
      <c r="AJ255" s="78"/>
      <c r="AK255" s="60">
        <f t="shared" si="60"/>
        <v>0</v>
      </c>
      <c r="AL255" s="60"/>
      <c r="AM255" s="60"/>
      <c r="AN255" s="60"/>
      <c r="AO255" s="60"/>
      <c r="AP255" s="60"/>
      <c r="AQ255" s="60">
        <f t="shared" si="48"/>
        <v>0</v>
      </c>
      <c r="AR255" s="60">
        <f t="shared" si="49"/>
        <v>0</v>
      </c>
      <c r="AS255" s="60">
        <f t="shared" si="50"/>
        <v>0</v>
      </c>
      <c r="AT255" s="60">
        <f t="shared" si="51"/>
        <v>0</v>
      </c>
      <c r="AU255" s="60">
        <f t="shared" si="52"/>
        <v>0</v>
      </c>
      <c r="AV255" s="60">
        <f t="shared" si="53"/>
        <v>0</v>
      </c>
      <c r="AW255" s="60">
        <f t="shared" si="54"/>
        <v>0</v>
      </c>
      <c r="AX255" s="60">
        <f t="shared" si="61"/>
        <v>0</v>
      </c>
      <c r="AY255" s="64">
        <f t="shared" si="62"/>
        <v>0</v>
      </c>
      <c r="AZ255" s="65">
        <f t="shared" si="55"/>
        <v>0</v>
      </c>
      <c r="BA255" s="65">
        <f t="shared" si="56"/>
        <v>0</v>
      </c>
    </row>
    <row r="256" spans="3:53" s="17" customFormat="1" x14ac:dyDescent="0.25">
      <c r="C256" s="194"/>
      <c r="D256" s="195"/>
      <c r="E256" s="90"/>
      <c r="F256" s="198"/>
      <c r="G256" s="214"/>
      <c r="H256" s="199"/>
      <c r="I256" s="78"/>
      <c r="J256" s="79"/>
      <c r="K256" s="78"/>
      <c r="L256" s="80"/>
      <c r="M256" s="80"/>
      <c r="N256" s="78" t="s">
        <v>39</v>
      </c>
      <c r="O256" s="113"/>
      <c r="P256" s="155"/>
      <c r="Q256" s="114" t="str">
        <f>IFERROR(MIN(VLOOKUP(ROUNDDOWN(P256,0),'Aide calcul'!$B$2:$C$282,2,FALSE),O256+1),"")</f>
        <v/>
      </c>
      <c r="R256" s="115" t="str">
        <f t="shared" si="57"/>
        <v/>
      </c>
      <c r="S256" s="155"/>
      <c r="T256" s="155"/>
      <c r="U256" s="155"/>
      <c r="V256" s="155"/>
      <c r="W256" s="155"/>
      <c r="X256" s="155"/>
      <c r="Y256" s="155"/>
      <c r="Z256" s="78"/>
      <c r="AA256" s="78"/>
      <c r="AB256" s="116" t="str">
        <f>IF(C256="3111. Logements",ROUND(VLOOKUP(C256,'Informations générales'!$C$66:$D$70,2,FALSE)*(AK256/$AL$27)/12,0)*12,IF(C256="3112. Logements",ROUND(VLOOKUP(C256,'Informations générales'!$C$66:$D$70,2,FALSE)*(AK256/$AM$27)/12,0)*12,IF(C256="3113. Logements",ROUND(VLOOKUP(C256,'Informations générales'!$C$66:$D$70,2,FALSE)*(AK256/$AN$27)/12,0)*12,IF(C256="3114. Logements",ROUND(VLOOKUP(C256,'Informations générales'!$C$66:$D$70,2,FALSE)*(AK256/$AO$27)/12,0)*12,IF(C256="3115. Logements",ROUND(VLOOKUP(C256,'Informations générales'!$C$66:$D$70,2,FALSE)*(AK256/$AP$27)/12,0)*12,"")))))</f>
        <v/>
      </c>
      <c r="AC256" s="117"/>
      <c r="AD256" s="116">
        <f t="shared" si="58"/>
        <v>0</v>
      </c>
      <c r="AE256" s="117"/>
      <c r="AF256" s="116" t="str">
        <f>IF(C256="3111. Logements",ROUND(VLOOKUP(C256,'Informations générales'!$C$66:$G$70,5,FALSE)*(AK256/$AL$27)/12,0)*12,IF(C256="3112. Logements",ROUND(VLOOKUP(C256,'Informations générales'!$C$66:$G$70,5,FALSE)*(AK256/$AM$27)/12,0)*12,IF(C256="3113. Logements",ROUND(VLOOKUP(C256,'Informations générales'!$C$66:$G$70,5,FALSE)*(AK256/$AN$27)/12,0)*12,IF(C256="3114. Logements",ROUND(VLOOKUP(C256,'Informations générales'!$C$66:$G$70,5,FALSE)*(AK256/$AO$27)/12,0)*12,IF(C256="3115. Logements",ROUND(VLOOKUP(C256,'Informations générales'!$C$66:$G$70,5,FALSE)*(AK256/$AP$27)/12,0)*12,"")))))</f>
        <v/>
      </c>
      <c r="AG256" s="117"/>
      <c r="AH256" s="116" t="str">
        <f t="shared" si="59"/>
        <v/>
      </c>
      <c r="AI256" s="92"/>
      <c r="AJ256" s="78"/>
      <c r="AK256" s="60">
        <f t="shared" si="60"/>
        <v>0</v>
      </c>
      <c r="AL256" s="60"/>
      <c r="AM256" s="60"/>
      <c r="AN256" s="60"/>
      <c r="AO256" s="60"/>
      <c r="AP256" s="60"/>
      <c r="AQ256" s="60">
        <f t="shared" si="48"/>
        <v>0</v>
      </c>
      <c r="AR256" s="60">
        <f t="shared" si="49"/>
        <v>0</v>
      </c>
      <c r="AS256" s="60">
        <f t="shared" si="50"/>
        <v>0</v>
      </c>
      <c r="AT256" s="60">
        <f t="shared" si="51"/>
        <v>0</v>
      </c>
      <c r="AU256" s="60">
        <f t="shared" si="52"/>
        <v>0</v>
      </c>
      <c r="AV256" s="60">
        <f t="shared" si="53"/>
        <v>0</v>
      </c>
      <c r="AW256" s="60">
        <f t="shared" si="54"/>
        <v>0</v>
      </c>
      <c r="AX256" s="60">
        <f t="shared" si="61"/>
        <v>0</v>
      </c>
      <c r="AY256" s="64">
        <f t="shared" si="62"/>
        <v>0</v>
      </c>
      <c r="AZ256" s="65">
        <f t="shared" si="55"/>
        <v>0</v>
      </c>
      <c r="BA256" s="65">
        <f t="shared" si="56"/>
        <v>0</v>
      </c>
    </row>
    <row r="257" spans="3:53" s="17" customFormat="1" x14ac:dyDescent="0.25">
      <c r="C257" s="194"/>
      <c r="D257" s="195"/>
      <c r="E257" s="90"/>
      <c r="F257" s="198"/>
      <c r="G257" s="214"/>
      <c r="H257" s="199"/>
      <c r="I257" s="78"/>
      <c r="J257" s="79"/>
      <c r="K257" s="78"/>
      <c r="L257" s="80"/>
      <c r="M257" s="80"/>
      <c r="N257" s="78" t="s">
        <v>39</v>
      </c>
      <c r="O257" s="113"/>
      <c r="P257" s="155"/>
      <c r="Q257" s="114" t="str">
        <f>IFERROR(MIN(VLOOKUP(ROUNDDOWN(P257,0),'Aide calcul'!$B$2:$C$282,2,FALSE),O257+1),"")</f>
        <v/>
      </c>
      <c r="R257" s="115" t="str">
        <f t="shared" si="57"/>
        <v/>
      </c>
      <c r="S257" s="155"/>
      <c r="T257" s="155"/>
      <c r="U257" s="155"/>
      <c r="V257" s="155"/>
      <c r="W257" s="155"/>
      <c r="X257" s="155"/>
      <c r="Y257" s="155"/>
      <c r="Z257" s="78"/>
      <c r="AA257" s="78"/>
      <c r="AB257" s="116" t="str">
        <f>IF(C257="3111. Logements",ROUND(VLOOKUP(C257,'Informations générales'!$C$66:$D$70,2,FALSE)*(AK257/$AL$27)/12,0)*12,IF(C257="3112. Logements",ROUND(VLOOKUP(C257,'Informations générales'!$C$66:$D$70,2,FALSE)*(AK257/$AM$27)/12,0)*12,IF(C257="3113. Logements",ROUND(VLOOKUP(C257,'Informations générales'!$C$66:$D$70,2,FALSE)*(AK257/$AN$27)/12,0)*12,IF(C257="3114. Logements",ROUND(VLOOKUP(C257,'Informations générales'!$C$66:$D$70,2,FALSE)*(AK257/$AO$27)/12,0)*12,IF(C257="3115. Logements",ROUND(VLOOKUP(C257,'Informations générales'!$C$66:$D$70,2,FALSE)*(AK257/$AP$27)/12,0)*12,"")))))</f>
        <v/>
      </c>
      <c r="AC257" s="117"/>
      <c r="AD257" s="116">
        <f t="shared" si="58"/>
        <v>0</v>
      </c>
      <c r="AE257" s="117"/>
      <c r="AF257" s="116" t="str">
        <f>IF(C257="3111. Logements",ROUND(VLOOKUP(C257,'Informations générales'!$C$66:$G$70,5,FALSE)*(AK257/$AL$27)/12,0)*12,IF(C257="3112. Logements",ROUND(VLOOKUP(C257,'Informations générales'!$C$66:$G$70,5,FALSE)*(AK257/$AM$27)/12,0)*12,IF(C257="3113. Logements",ROUND(VLOOKUP(C257,'Informations générales'!$C$66:$G$70,5,FALSE)*(AK257/$AN$27)/12,0)*12,IF(C257="3114. Logements",ROUND(VLOOKUP(C257,'Informations générales'!$C$66:$G$70,5,FALSE)*(AK257/$AO$27)/12,0)*12,IF(C257="3115. Logements",ROUND(VLOOKUP(C257,'Informations générales'!$C$66:$G$70,5,FALSE)*(AK257/$AP$27)/12,0)*12,"")))))</f>
        <v/>
      </c>
      <c r="AG257" s="117"/>
      <c r="AH257" s="116" t="str">
        <f t="shared" si="59"/>
        <v/>
      </c>
      <c r="AI257" s="92"/>
      <c r="AJ257" s="78"/>
      <c r="AK257" s="60">
        <f t="shared" si="60"/>
        <v>0</v>
      </c>
      <c r="AL257" s="60"/>
      <c r="AM257" s="60"/>
      <c r="AN257" s="60"/>
      <c r="AO257" s="60"/>
      <c r="AP257" s="60"/>
      <c r="AQ257" s="60">
        <f t="shared" si="48"/>
        <v>0</v>
      </c>
      <c r="AR257" s="60">
        <f t="shared" si="49"/>
        <v>0</v>
      </c>
      <c r="AS257" s="60">
        <f t="shared" si="50"/>
        <v>0</v>
      </c>
      <c r="AT257" s="60">
        <f t="shared" si="51"/>
        <v>0</v>
      </c>
      <c r="AU257" s="60">
        <f t="shared" si="52"/>
        <v>0</v>
      </c>
      <c r="AV257" s="60">
        <f t="shared" si="53"/>
        <v>0</v>
      </c>
      <c r="AW257" s="60">
        <f t="shared" si="54"/>
        <v>0</v>
      </c>
      <c r="AX257" s="60">
        <f t="shared" si="61"/>
        <v>0</v>
      </c>
      <c r="AY257" s="64">
        <f t="shared" si="62"/>
        <v>0</v>
      </c>
      <c r="AZ257" s="65">
        <f t="shared" si="55"/>
        <v>0</v>
      </c>
      <c r="BA257" s="65">
        <f t="shared" si="56"/>
        <v>0</v>
      </c>
    </row>
    <row r="258" spans="3:53" s="17" customFormat="1" x14ac:dyDescent="0.25">
      <c r="C258" s="194"/>
      <c r="D258" s="195"/>
      <c r="E258" s="90"/>
      <c r="F258" s="198"/>
      <c r="G258" s="214"/>
      <c r="H258" s="199"/>
      <c r="I258" s="78"/>
      <c r="J258" s="79"/>
      <c r="K258" s="78"/>
      <c r="L258" s="80"/>
      <c r="M258" s="80"/>
      <c r="N258" s="78" t="s">
        <v>39</v>
      </c>
      <c r="O258" s="113"/>
      <c r="P258" s="155"/>
      <c r="Q258" s="114" t="str">
        <f>IFERROR(MIN(VLOOKUP(ROUNDDOWN(P258,0),'Aide calcul'!$B$2:$C$282,2,FALSE),O258+1),"")</f>
        <v/>
      </c>
      <c r="R258" s="115" t="str">
        <f t="shared" si="57"/>
        <v/>
      </c>
      <c r="S258" s="155"/>
      <c r="T258" s="155"/>
      <c r="U258" s="155"/>
      <c r="V258" s="155"/>
      <c r="W258" s="155"/>
      <c r="X258" s="155"/>
      <c r="Y258" s="155"/>
      <c r="Z258" s="78"/>
      <c r="AA258" s="78"/>
      <c r="AB258" s="116" t="str">
        <f>IF(C258="3111. Logements",ROUND(VLOOKUP(C258,'Informations générales'!$C$66:$D$70,2,FALSE)*(AK258/$AL$27)/12,0)*12,IF(C258="3112. Logements",ROUND(VLOOKUP(C258,'Informations générales'!$C$66:$D$70,2,FALSE)*(AK258/$AM$27)/12,0)*12,IF(C258="3113. Logements",ROUND(VLOOKUP(C258,'Informations générales'!$C$66:$D$70,2,FALSE)*(AK258/$AN$27)/12,0)*12,IF(C258="3114. Logements",ROUND(VLOOKUP(C258,'Informations générales'!$C$66:$D$70,2,FALSE)*(AK258/$AO$27)/12,0)*12,IF(C258="3115. Logements",ROUND(VLOOKUP(C258,'Informations générales'!$C$66:$D$70,2,FALSE)*(AK258/$AP$27)/12,0)*12,"")))))</f>
        <v/>
      </c>
      <c r="AC258" s="117"/>
      <c r="AD258" s="116">
        <f t="shared" si="58"/>
        <v>0</v>
      </c>
      <c r="AE258" s="117"/>
      <c r="AF258" s="116" t="str">
        <f>IF(C258="3111. Logements",ROUND(VLOOKUP(C258,'Informations générales'!$C$66:$G$70,5,FALSE)*(AK258/$AL$27)/12,0)*12,IF(C258="3112. Logements",ROUND(VLOOKUP(C258,'Informations générales'!$C$66:$G$70,5,FALSE)*(AK258/$AM$27)/12,0)*12,IF(C258="3113. Logements",ROUND(VLOOKUP(C258,'Informations générales'!$C$66:$G$70,5,FALSE)*(AK258/$AN$27)/12,0)*12,IF(C258="3114. Logements",ROUND(VLOOKUP(C258,'Informations générales'!$C$66:$G$70,5,FALSE)*(AK258/$AO$27)/12,0)*12,IF(C258="3115. Logements",ROUND(VLOOKUP(C258,'Informations générales'!$C$66:$G$70,5,FALSE)*(AK258/$AP$27)/12,0)*12,"")))))</f>
        <v/>
      </c>
      <c r="AG258" s="117"/>
      <c r="AH258" s="116" t="str">
        <f t="shared" si="59"/>
        <v/>
      </c>
      <c r="AI258" s="92"/>
      <c r="AJ258" s="78"/>
      <c r="AK258" s="60">
        <f t="shared" si="60"/>
        <v>0</v>
      </c>
      <c r="AL258" s="60"/>
      <c r="AM258" s="60"/>
      <c r="AN258" s="60"/>
      <c r="AO258" s="60"/>
      <c r="AP258" s="60"/>
      <c r="AQ258" s="60">
        <f t="shared" si="48"/>
        <v>0</v>
      </c>
      <c r="AR258" s="60">
        <f t="shared" si="49"/>
        <v>0</v>
      </c>
      <c r="AS258" s="60">
        <f t="shared" si="50"/>
        <v>0</v>
      </c>
      <c r="AT258" s="60">
        <f t="shared" si="51"/>
        <v>0</v>
      </c>
      <c r="AU258" s="60">
        <f t="shared" si="52"/>
        <v>0</v>
      </c>
      <c r="AV258" s="60">
        <f t="shared" si="53"/>
        <v>0</v>
      </c>
      <c r="AW258" s="60">
        <f t="shared" si="54"/>
        <v>0</v>
      </c>
      <c r="AX258" s="60">
        <f t="shared" si="61"/>
        <v>0</v>
      </c>
      <c r="AY258" s="64">
        <f t="shared" si="62"/>
        <v>0</v>
      </c>
      <c r="AZ258" s="65">
        <f t="shared" si="55"/>
        <v>0</v>
      </c>
      <c r="BA258" s="65">
        <f t="shared" si="56"/>
        <v>0</v>
      </c>
    </row>
    <row r="259" spans="3:53" s="17" customFormat="1" x14ac:dyDescent="0.25">
      <c r="C259" s="194"/>
      <c r="D259" s="195"/>
      <c r="E259" s="90"/>
      <c r="F259" s="198"/>
      <c r="G259" s="214"/>
      <c r="H259" s="199"/>
      <c r="I259" s="78"/>
      <c r="J259" s="79"/>
      <c r="K259" s="78"/>
      <c r="L259" s="80"/>
      <c r="M259" s="80"/>
      <c r="N259" s="78" t="s">
        <v>39</v>
      </c>
      <c r="O259" s="113"/>
      <c r="P259" s="155"/>
      <c r="Q259" s="114" t="str">
        <f>IFERROR(MIN(VLOOKUP(ROUNDDOWN(P259,0),'Aide calcul'!$B$2:$C$282,2,FALSE),O259+1),"")</f>
        <v/>
      </c>
      <c r="R259" s="115" t="str">
        <f t="shared" si="57"/>
        <v/>
      </c>
      <c r="S259" s="155"/>
      <c r="T259" s="155"/>
      <c r="U259" s="155"/>
      <c r="V259" s="155"/>
      <c r="W259" s="155"/>
      <c r="X259" s="155"/>
      <c r="Y259" s="155"/>
      <c r="Z259" s="78"/>
      <c r="AA259" s="78"/>
      <c r="AB259" s="116" t="str">
        <f>IF(C259="3111. Logements",ROUND(VLOOKUP(C259,'Informations générales'!$C$66:$D$70,2,FALSE)*(AK259/$AL$27)/12,0)*12,IF(C259="3112. Logements",ROUND(VLOOKUP(C259,'Informations générales'!$C$66:$D$70,2,FALSE)*(AK259/$AM$27)/12,0)*12,IF(C259="3113. Logements",ROUND(VLOOKUP(C259,'Informations générales'!$C$66:$D$70,2,FALSE)*(AK259/$AN$27)/12,0)*12,IF(C259="3114. Logements",ROUND(VLOOKUP(C259,'Informations générales'!$C$66:$D$70,2,FALSE)*(AK259/$AO$27)/12,0)*12,IF(C259="3115. Logements",ROUND(VLOOKUP(C259,'Informations générales'!$C$66:$D$70,2,FALSE)*(AK259/$AP$27)/12,0)*12,"")))))</f>
        <v/>
      </c>
      <c r="AC259" s="117"/>
      <c r="AD259" s="116">
        <f t="shared" si="58"/>
        <v>0</v>
      </c>
      <c r="AE259" s="117"/>
      <c r="AF259" s="116" t="str">
        <f>IF(C259="3111. Logements",ROUND(VLOOKUP(C259,'Informations générales'!$C$66:$G$70,5,FALSE)*(AK259/$AL$27)/12,0)*12,IF(C259="3112. Logements",ROUND(VLOOKUP(C259,'Informations générales'!$C$66:$G$70,5,FALSE)*(AK259/$AM$27)/12,0)*12,IF(C259="3113. Logements",ROUND(VLOOKUP(C259,'Informations générales'!$C$66:$G$70,5,FALSE)*(AK259/$AN$27)/12,0)*12,IF(C259="3114. Logements",ROUND(VLOOKUP(C259,'Informations générales'!$C$66:$G$70,5,FALSE)*(AK259/$AO$27)/12,0)*12,IF(C259="3115. Logements",ROUND(VLOOKUP(C259,'Informations générales'!$C$66:$G$70,5,FALSE)*(AK259/$AP$27)/12,0)*12,"")))))</f>
        <v/>
      </c>
      <c r="AG259" s="117"/>
      <c r="AH259" s="116" t="str">
        <f t="shared" si="59"/>
        <v/>
      </c>
      <c r="AI259" s="92"/>
      <c r="AJ259" s="78"/>
      <c r="AK259" s="60">
        <f t="shared" si="60"/>
        <v>0</v>
      </c>
      <c r="AL259" s="60"/>
      <c r="AM259" s="60"/>
      <c r="AN259" s="60"/>
      <c r="AO259" s="60"/>
      <c r="AP259" s="60"/>
      <c r="AQ259" s="60">
        <f t="shared" si="48"/>
        <v>0</v>
      </c>
      <c r="AR259" s="60">
        <f t="shared" si="49"/>
        <v>0</v>
      </c>
      <c r="AS259" s="60">
        <f t="shared" si="50"/>
        <v>0</v>
      </c>
      <c r="AT259" s="60">
        <f t="shared" si="51"/>
        <v>0</v>
      </c>
      <c r="AU259" s="60">
        <f t="shared" si="52"/>
        <v>0</v>
      </c>
      <c r="AV259" s="60">
        <f t="shared" si="53"/>
        <v>0</v>
      </c>
      <c r="AW259" s="60">
        <f t="shared" si="54"/>
        <v>0</v>
      </c>
      <c r="AX259" s="60">
        <f t="shared" si="61"/>
        <v>0</v>
      </c>
      <c r="AY259" s="64">
        <f t="shared" si="62"/>
        <v>0</v>
      </c>
      <c r="AZ259" s="65">
        <f t="shared" si="55"/>
        <v>0</v>
      </c>
      <c r="BA259" s="65">
        <f t="shared" si="56"/>
        <v>0</v>
      </c>
    </row>
    <row r="260" spans="3:53" s="17" customFormat="1" x14ac:dyDescent="0.25">
      <c r="C260" s="194"/>
      <c r="D260" s="195"/>
      <c r="E260" s="90"/>
      <c r="F260" s="198"/>
      <c r="G260" s="214"/>
      <c r="H260" s="199"/>
      <c r="I260" s="78"/>
      <c r="J260" s="79"/>
      <c r="K260" s="78"/>
      <c r="L260" s="80"/>
      <c r="M260" s="80"/>
      <c r="N260" s="78" t="s">
        <v>39</v>
      </c>
      <c r="O260" s="113"/>
      <c r="P260" s="155"/>
      <c r="Q260" s="114" t="str">
        <f>IFERROR(MIN(VLOOKUP(ROUNDDOWN(P260,0),'Aide calcul'!$B$2:$C$282,2,FALSE),O260+1),"")</f>
        <v/>
      </c>
      <c r="R260" s="115" t="str">
        <f t="shared" si="57"/>
        <v/>
      </c>
      <c r="S260" s="155"/>
      <c r="T260" s="155"/>
      <c r="U260" s="155"/>
      <c r="V260" s="155"/>
      <c r="W260" s="155"/>
      <c r="X260" s="155"/>
      <c r="Y260" s="155"/>
      <c r="Z260" s="78"/>
      <c r="AA260" s="78"/>
      <c r="AB260" s="116" t="str">
        <f>IF(C260="3111. Logements",ROUND(VLOOKUP(C260,'Informations générales'!$C$66:$D$70,2,FALSE)*(AK260/$AL$27)/12,0)*12,IF(C260="3112. Logements",ROUND(VLOOKUP(C260,'Informations générales'!$C$66:$D$70,2,FALSE)*(AK260/$AM$27)/12,0)*12,IF(C260="3113. Logements",ROUND(VLOOKUP(C260,'Informations générales'!$C$66:$D$70,2,FALSE)*(AK260/$AN$27)/12,0)*12,IF(C260="3114. Logements",ROUND(VLOOKUP(C260,'Informations générales'!$C$66:$D$70,2,FALSE)*(AK260/$AO$27)/12,0)*12,IF(C260="3115. Logements",ROUND(VLOOKUP(C260,'Informations générales'!$C$66:$D$70,2,FALSE)*(AK260/$AP$27)/12,0)*12,"")))))</f>
        <v/>
      </c>
      <c r="AC260" s="117"/>
      <c r="AD260" s="116">
        <f t="shared" si="58"/>
        <v>0</v>
      </c>
      <c r="AE260" s="117"/>
      <c r="AF260" s="116" t="str">
        <f>IF(C260="3111. Logements",ROUND(VLOOKUP(C260,'Informations générales'!$C$66:$G$70,5,FALSE)*(AK260/$AL$27)/12,0)*12,IF(C260="3112. Logements",ROUND(VLOOKUP(C260,'Informations générales'!$C$66:$G$70,5,FALSE)*(AK260/$AM$27)/12,0)*12,IF(C260="3113. Logements",ROUND(VLOOKUP(C260,'Informations générales'!$C$66:$G$70,5,FALSE)*(AK260/$AN$27)/12,0)*12,IF(C260="3114. Logements",ROUND(VLOOKUP(C260,'Informations générales'!$C$66:$G$70,5,FALSE)*(AK260/$AO$27)/12,0)*12,IF(C260="3115. Logements",ROUND(VLOOKUP(C260,'Informations générales'!$C$66:$G$70,5,FALSE)*(AK260/$AP$27)/12,0)*12,"")))))</f>
        <v/>
      </c>
      <c r="AG260" s="117"/>
      <c r="AH260" s="116" t="str">
        <f t="shared" si="59"/>
        <v/>
      </c>
      <c r="AI260" s="92"/>
      <c r="AJ260" s="78"/>
      <c r="AK260" s="60">
        <f t="shared" si="60"/>
        <v>0</v>
      </c>
      <c r="AL260" s="60"/>
      <c r="AM260" s="60"/>
      <c r="AN260" s="60"/>
      <c r="AO260" s="60"/>
      <c r="AP260" s="60"/>
      <c r="AQ260" s="60">
        <f t="shared" si="48"/>
        <v>0</v>
      </c>
      <c r="AR260" s="60">
        <f t="shared" si="49"/>
        <v>0</v>
      </c>
      <c r="AS260" s="60">
        <f t="shared" si="50"/>
        <v>0</v>
      </c>
      <c r="AT260" s="60">
        <f t="shared" si="51"/>
        <v>0</v>
      </c>
      <c r="AU260" s="60">
        <f t="shared" si="52"/>
        <v>0</v>
      </c>
      <c r="AV260" s="60">
        <f t="shared" si="53"/>
        <v>0</v>
      </c>
      <c r="AW260" s="60">
        <f t="shared" si="54"/>
        <v>0</v>
      </c>
      <c r="AX260" s="60">
        <f t="shared" si="61"/>
        <v>0</v>
      </c>
      <c r="AY260" s="64">
        <f t="shared" si="62"/>
        <v>0</v>
      </c>
      <c r="AZ260" s="65">
        <f t="shared" si="55"/>
        <v>0</v>
      </c>
      <c r="BA260" s="65">
        <f t="shared" si="56"/>
        <v>0</v>
      </c>
    </row>
    <row r="261" spans="3:53" s="17" customFormat="1" x14ac:dyDescent="0.25">
      <c r="C261" s="194"/>
      <c r="D261" s="195"/>
      <c r="E261" s="90"/>
      <c r="F261" s="198"/>
      <c r="G261" s="214"/>
      <c r="H261" s="199"/>
      <c r="I261" s="78"/>
      <c r="J261" s="79"/>
      <c r="K261" s="78"/>
      <c r="L261" s="80"/>
      <c r="M261" s="80"/>
      <c r="N261" s="78" t="s">
        <v>39</v>
      </c>
      <c r="O261" s="113"/>
      <c r="P261" s="155"/>
      <c r="Q261" s="114" t="str">
        <f>IFERROR(MIN(VLOOKUP(ROUNDDOWN(P261,0),'Aide calcul'!$B$2:$C$282,2,FALSE),O261+1),"")</f>
        <v/>
      </c>
      <c r="R261" s="115" t="str">
        <f t="shared" si="57"/>
        <v/>
      </c>
      <c r="S261" s="155"/>
      <c r="T261" s="155"/>
      <c r="U261" s="155"/>
      <c r="V261" s="155"/>
      <c r="W261" s="155"/>
      <c r="X261" s="155"/>
      <c r="Y261" s="155"/>
      <c r="Z261" s="78"/>
      <c r="AA261" s="78"/>
      <c r="AB261" s="116" t="str">
        <f>IF(C261="3111. Logements",ROUND(VLOOKUP(C261,'Informations générales'!$C$66:$D$70,2,FALSE)*(AK261/$AL$27)/12,0)*12,IF(C261="3112. Logements",ROUND(VLOOKUP(C261,'Informations générales'!$C$66:$D$70,2,FALSE)*(AK261/$AM$27)/12,0)*12,IF(C261="3113. Logements",ROUND(VLOOKUP(C261,'Informations générales'!$C$66:$D$70,2,FALSE)*(AK261/$AN$27)/12,0)*12,IF(C261="3114. Logements",ROUND(VLOOKUP(C261,'Informations générales'!$C$66:$D$70,2,FALSE)*(AK261/$AO$27)/12,0)*12,IF(C261="3115. Logements",ROUND(VLOOKUP(C261,'Informations générales'!$C$66:$D$70,2,FALSE)*(AK261/$AP$27)/12,0)*12,"")))))</f>
        <v/>
      </c>
      <c r="AC261" s="117"/>
      <c r="AD261" s="116">
        <f t="shared" si="58"/>
        <v>0</v>
      </c>
      <c r="AE261" s="117"/>
      <c r="AF261" s="116" t="str">
        <f>IF(C261="3111. Logements",ROUND(VLOOKUP(C261,'Informations générales'!$C$66:$G$70,5,FALSE)*(AK261/$AL$27)/12,0)*12,IF(C261="3112. Logements",ROUND(VLOOKUP(C261,'Informations générales'!$C$66:$G$70,5,FALSE)*(AK261/$AM$27)/12,0)*12,IF(C261="3113. Logements",ROUND(VLOOKUP(C261,'Informations générales'!$C$66:$G$70,5,FALSE)*(AK261/$AN$27)/12,0)*12,IF(C261="3114. Logements",ROUND(VLOOKUP(C261,'Informations générales'!$C$66:$G$70,5,FALSE)*(AK261/$AO$27)/12,0)*12,IF(C261="3115. Logements",ROUND(VLOOKUP(C261,'Informations générales'!$C$66:$G$70,5,FALSE)*(AK261/$AP$27)/12,0)*12,"")))))</f>
        <v/>
      </c>
      <c r="AG261" s="117"/>
      <c r="AH261" s="116" t="str">
        <f t="shared" si="59"/>
        <v/>
      </c>
      <c r="AI261" s="92"/>
      <c r="AJ261" s="78"/>
      <c r="AK261" s="60">
        <f t="shared" si="60"/>
        <v>0</v>
      </c>
      <c r="AL261" s="60"/>
      <c r="AM261" s="60"/>
      <c r="AN261" s="60"/>
      <c r="AO261" s="60"/>
      <c r="AP261" s="60"/>
      <c r="AQ261" s="60">
        <f t="shared" si="48"/>
        <v>0</v>
      </c>
      <c r="AR261" s="60">
        <f t="shared" si="49"/>
        <v>0</v>
      </c>
      <c r="AS261" s="60">
        <f t="shared" si="50"/>
        <v>0</v>
      </c>
      <c r="AT261" s="60">
        <f t="shared" si="51"/>
        <v>0</v>
      </c>
      <c r="AU261" s="60">
        <f t="shared" si="52"/>
        <v>0</v>
      </c>
      <c r="AV261" s="60">
        <f t="shared" si="53"/>
        <v>0</v>
      </c>
      <c r="AW261" s="60">
        <f t="shared" si="54"/>
        <v>0</v>
      </c>
      <c r="AX261" s="60">
        <f t="shared" si="61"/>
        <v>0</v>
      </c>
      <c r="AY261" s="64">
        <f t="shared" si="62"/>
        <v>0</v>
      </c>
      <c r="AZ261" s="65">
        <f t="shared" si="55"/>
        <v>0</v>
      </c>
      <c r="BA261" s="65">
        <f t="shared" si="56"/>
        <v>0</v>
      </c>
    </row>
    <row r="262" spans="3:53" s="17" customFormat="1" x14ac:dyDescent="0.25">
      <c r="C262" s="194"/>
      <c r="D262" s="195"/>
      <c r="E262" s="90"/>
      <c r="F262" s="198"/>
      <c r="G262" s="214"/>
      <c r="H262" s="199"/>
      <c r="I262" s="78"/>
      <c r="J262" s="79"/>
      <c r="K262" s="78"/>
      <c r="L262" s="80"/>
      <c r="M262" s="80"/>
      <c r="N262" s="78" t="s">
        <v>39</v>
      </c>
      <c r="O262" s="113"/>
      <c r="P262" s="155"/>
      <c r="Q262" s="114" t="str">
        <f>IFERROR(MIN(VLOOKUP(ROUNDDOWN(P262,0),'Aide calcul'!$B$2:$C$282,2,FALSE),O262+1),"")</f>
        <v/>
      </c>
      <c r="R262" s="115" t="str">
        <f t="shared" si="57"/>
        <v/>
      </c>
      <c r="S262" s="155"/>
      <c r="T262" s="155"/>
      <c r="U262" s="155"/>
      <c r="V262" s="155"/>
      <c r="W262" s="155"/>
      <c r="X262" s="155"/>
      <c r="Y262" s="155"/>
      <c r="Z262" s="78"/>
      <c r="AA262" s="78"/>
      <c r="AB262" s="116" t="str">
        <f>IF(C262="3111. Logements",ROUND(VLOOKUP(C262,'Informations générales'!$C$66:$D$70,2,FALSE)*(AK262/$AL$27)/12,0)*12,IF(C262="3112. Logements",ROUND(VLOOKUP(C262,'Informations générales'!$C$66:$D$70,2,FALSE)*(AK262/$AM$27)/12,0)*12,IF(C262="3113. Logements",ROUND(VLOOKUP(C262,'Informations générales'!$C$66:$D$70,2,FALSE)*(AK262/$AN$27)/12,0)*12,IF(C262="3114. Logements",ROUND(VLOOKUP(C262,'Informations générales'!$C$66:$D$70,2,FALSE)*(AK262/$AO$27)/12,0)*12,IF(C262="3115. Logements",ROUND(VLOOKUP(C262,'Informations générales'!$C$66:$D$70,2,FALSE)*(AK262/$AP$27)/12,0)*12,"")))))</f>
        <v/>
      </c>
      <c r="AC262" s="117"/>
      <c r="AD262" s="116">
        <f t="shared" si="58"/>
        <v>0</v>
      </c>
      <c r="AE262" s="117"/>
      <c r="AF262" s="116" t="str">
        <f>IF(C262="3111. Logements",ROUND(VLOOKUP(C262,'Informations générales'!$C$66:$G$70,5,FALSE)*(AK262/$AL$27)/12,0)*12,IF(C262="3112. Logements",ROUND(VLOOKUP(C262,'Informations générales'!$C$66:$G$70,5,FALSE)*(AK262/$AM$27)/12,0)*12,IF(C262="3113. Logements",ROUND(VLOOKUP(C262,'Informations générales'!$C$66:$G$70,5,FALSE)*(AK262/$AN$27)/12,0)*12,IF(C262="3114. Logements",ROUND(VLOOKUP(C262,'Informations générales'!$C$66:$G$70,5,FALSE)*(AK262/$AO$27)/12,0)*12,IF(C262="3115. Logements",ROUND(VLOOKUP(C262,'Informations générales'!$C$66:$G$70,5,FALSE)*(AK262/$AP$27)/12,0)*12,"")))))</f>
        <v/>
      </c>
      <c r="AG262" s="117"/>
      <c r="AH262" s="116" t="str">
        <f t="shared" si="59"/>
        <v/>
      </c>
      <c r="AI262" s="92"/>
      <c r="AJ262" s="78"/>
      <c r="AK262" s="60">
        <f t="shared" si="60"/>
        <v>0</v>
      </c>
      <c r="AL262" s="60"/>
      <c r="AM262" s="60"/>
      <c r="AN262" s="60"/>
      <c r="AO262" s="60"/>
      <c r="AP262" s="60"/>
      <c r="AQ262" s="60">
        <f t="shared" si="48"/>
        <v>0</v>
      </c>
      <c r="AR262" s="60">
        <f t="shared" si="49"/>
        <v>0</v>
      </c>
      <c r="AS262" s="60">
        <f t="shared" si="50"/>
        <v>0</v>
      </c>
      <c r="AT262" s="60">
        <f t="shared" si="51"/>
        <v>0</v>
      </c>
      <c r="AU262" s="60">
        <f t="shared" si="52"/>
        <v>0</v>
      </c>
      <c r="AV262" s="60">
        <f t="shared" si="53"/>
        <v>0</v>
      </c>
      <c r="AW262" s="60">
        <f t="shared" si="54"/>
        <v>0</v>
      </c>
      <c r="AX262" s="60">
        <f t="shared" si="61"/>
        <v>0</v>
      </c>
      <c r="AY262" s="64">
        <f t="shared" si="62"/>
        <v>0</v>
      </c>
      <c r="AZ262" s="65">
        <f t="shared" si="55"/>
        <v>0</v>
      </c>
      <c r="BA262" s="65">
        <f t="shared" si="56"/>
        <v>0</v>
      </c>
    </row>
    <row r="263" spans="3:53" s="17" customFormat="1" x14ac:dyDescent="0.25">
      <c r="C263" s="194"/>
      <c r="D263" s="195"/>
      <c r="E263" s="90"/>
      <c r="F263" s="198"/>
      <c r="G263" s="214"/>
      <c r="H263" s="199"/>
      <c r="I263" s="78"/>
      <c r="J263" s="79"/>
      <c r="K263" s="78"/>
      <c r="L263" s="80"/>
      <c r="M263" s="80"/>
      <c r="N263" s="78" t="s">
        <v>39</v>
      </c>
      <c r="O263" s="113"/>
      <c r="P263" s="155"/>
      <c r="Q263" s="114" t="str">
        <f>IFERROR(MIN(VLOOKUP(ROUNDDOWN(P263,0),'Aide calcul'!$B$2:$C$282,2,FALSE),O263+1),"")</f>
        <v/>
      </c>
      <c r="R263" s="115" t="str">
        <f t="shared" si="57"/>
        <v/>
      </c>
      <c r="S263" s="155"/>
      <c r="T263" s="155"/>
      <c r="U263" s="155"/>
      <c r="V263" s="155"/>
      <c r="W263" s="155"/>
      <c r="X263" s="155"/>
      <c r="Y263" s="155"/>
      <c r="Z263" s="78"/>
      <c r="AA263" s="78"/>
      <c r="AB263" s="116" t="str">
        <f>IF(C263="3111. Logements",ROUND(VLOOKUP(C263,'Informations générales'!$C$66:$D$70,2,FALSE)*(AK263/$AL$27)/12,0)*12,IF(C263="3112. Logements",ROUND(VLOOKUP(C263,'Informations générales'!$C$66:$D$70,2,FALSE)*(AK263/$AM$27)/12,0)*12,IF(C263="3113. Logements",ROUND(VLOOKUP(C263,'Informations générales'!$C$66:$D$70,2,FALSE)*(AK263/$AN$27)/12,0)*12,IF(C263="3114. Logements",ROUND(VLOOKUP(C263,'Informations générales'!$C$66:$D$70,2,FALSE)*(AK263/$AO$27)/12,0)*12,IF(C263="3115. Logements",ROUND(VLOOKUP(C263,'Informations générales'!$C$66:$D$70,2,FALSE)*(AK263/$AP$27)/12,0)*12,"")))))</f>
        <v/>
      </c>
      <c r="AC263" s="117"/>
      <c r="AD263" s="116">
        <f t="shared" si="58"/>
        <v>0</v>
      </c>
      <c r="AE263" s="117"/>
      <c r="AF263" s="116" t="str">
        <f>IF(C263="3111. Logements",ROUND(VLOOKUP(C263,'Informations générales'!$C$66:$G$70,5,FALSE)*(AK263/$AL$27)/12,0)*12,IF(C263="3112. Logements",ROUND(VLOOKUP(C263,'Informations générales'!$C$66:$G$70,5,FALSE)*(AK263/$AM$27)/12,0)*12,IF(C263="3113. Logements",ROUND(VLOOKUP(C263,'Informations générales'!$C$66:$G$70,5,FALSE)*(AK263/$AN$27)/12,0)*12,IF(C263="3114. Logements",ROUND(VLOOKUP(C263,'Informations générales'!$C$66:$G$70,5,FALSE)*(AK263/$AO$27)/12,0)*12,IF(C263="3115. Logements",ROUND(VLOOKUP(C263,'Informations générales'!$C$66:$G$70,5,FALSE)*(AK263/$AP$27)/12,0)*12,"")))))</f>
        <v/>
      </c>
      <c r="AG263" s="117"/>
      <c r="AH263" s="116" t="str">
        <f t="shared" si="59"/>
        <v/>
      </c>
      <c r="AI263" s="92"/>
      <c r="AJ263" s="78"/>
      <c r="AK263" s="60">
        <f t="shared" si="60"/>
        <v>0</v>
      </c>
      <c r="AL263" s="60"/>
      <c r="AM263" s="60"/>
      <c r="AN263" s="60"/>
      <c r="AO263" s="60"/>
      <c r="AP263" s="60"/>
      <c r="AQ263" s="60">
        <f t="shared" si="48"/>
        <v>0</v>
      </c>
      <c r="AR263" s="60">
        <f t="shared" si="49"/>
        <v>0</v>
      </c>
      <c r="AS263" s="60">
        <f t="shared" si="50"/>
        <v>0</v>
      </c>
      <c r="AT263" s="60">
        <f t="shared" si="51"/>
        <v>0</v>
      </c>
      <c r="AU263" s="60">
        <f t="shared" si="52"/>
        <v>0</v>
      </c>
      <c r="AV263" s="60">
        <f t="shared" si="53"/>
        <v>0</v>
      </c>
      <c r="AW263" s="60">
        <f t="shared" si="54"/>
        <v>0</v>
      </c>
      <c r="AX263" s="60">
        <f t="shared" si="61"/>
        <v>0</v>
      </c>
      <c r="AY263" s="64">
        <f t="shared" si="62"/>
        <v>0</v>
      </c>
      <c r="AZ263" s="65">
        <f t="shared" si="55"/>
        <v>0</v>
      </c>
      <c r="BA263" s="65">
        <f t="shared" si="56"/>
        <v>0</v>
      </c>
    </row>
    <row r="264" spans="3:53" s="17" customFormat="1" x14ac:dyDescent="0.25">
      <c r="C264" s="194"/>
      <c r="D264" s="195"/>
      <c r="E264" s="90"/>
      <c r="F264" s="198"/>
      <c r="G264" s="214"/>
      <c r="H264" s="199"/>
      <c r="I264" s="78"/>
      <c r="J264" s="79"/>
      <c r="K264" s="78"/>
      <c r="L264" s="80"/>
      <c r="M264" s="80"/>
      <c r="N264" s="78" t="s">
        <v>39</v>
      </c>
      <c r="O264" s="113"/>
      <c r="P264" s="155"/>
      <c r="Q264" s="114" t="str">
        <f>IFERROR(MIN(VLOOKUP(ROUNDDOWN(P264,0),'Aide calcul'!$B$2:$C$282,2,FALSE),O264+1),"")</f>
        <v/>
      </c>
      <c r="R264" s="115" t="str">
        <f t="shared" si="57"/>
        <v/>
      </c>
      <c r="S264" s="155"/>
      <c r="T264" s="155"/>
      <c r="U264" s="155"/>
      <c r="V264" s="155"/>
      <c r="W264" s="155"/>
      <c r="X264" s="155"/>
      <c r="Y264" s="155"/>
      <c r="Z264" s="78"/>
      <c r="AA264" s="78"/>
      <c r="AB264" s="116" t="str">
        <f>IF(C264="3111. Logements",ROUND(VLOOKUP(C264,'Informations générales'!$C$66:$D$70,2,FALSE)*(AK264/$AL$27)/12,0)*12,IF(C264="3112. Logements",ROUND(VLOOKUP(C264,'Informations générales'!$C$66:$D$70,2,FALSE)*(AK264/$AM$27)/12,0)*12,IF(C264="3113. Logements",ROUND(VLOOKUP(C264,'Informations générales'!$C$66:$D$70,2,FALSE)*(AK264/$AN$27)/12,0)*12,IF(C264="3114. Logements",ROUND(VLOOKUP(C264,'Informations générales'!$C$66:$D$70,2,FALSE)*(AK264/$AO$27)/12,0)*12,IF(C264="3115. Logements",ROUND(VLOOKUP(C264,'Informations générales'!$C$66:$D$70,2,FALSE)*(AK264/$AP$27)/12,0)*12,"")))))</f>
        <v/>
      </c>
      <c r="AC264" s="117"/>
      <c r="AD264" s="116">
        <f t="shared" si="58"/>
        <v>0</v>
      </c>
      <c r="AE264" s="117"/>
      <c r="AF264" s="116" t="str">
        <f>IF(C264="3111. Logements",ROUND(VLOOKUP(C264,'Informations générales'!$C$66:$G$70,5,FALSE)*(AK264/$AL$27)/12,0)*12,IF(C264="3112. Logements",ROUND(VLOOKUP(C264,'Informations générales'!$C$66:$G$70,5,FALSE)*(AK264/$AM$27)/12,0)*12,IF(C264="3113. Logements",ROUND(VLOOKUP(C264,'Informations générales'!$C$66:$G$70,5,FALSE)*(AK264/$AN$27)/12,0)*12,IF(C264="3114. Logements",ROUND(VLOOKUP(C264,'Informations générales'!$C$66:$G$70,5,FALSE)*(AK264/$AO$27)/12,0)*12,IF(C264="3115. Logements",ROUND(VLOOKUP(C264,'Informations générales'!$C$66:$G$70,5,FALSE)*(AK264/$AP$27)/12,0)*12,"")))))</f>
        <v/>
      </c>
      <c r="AG264" s="117"/>
      <c r="AH264" s="116" t="str">
        <f t="shared" si="59"/>
        <v/>
      </c>
      <c r="AI264" s="92"/>
      <c r="AJ264" s="78"/>
      <c r="AK264" s="60">
        <f t="shared" si="60"/>
        <v>0</v>
      </c>
      <c r="AL264" s="60"/>
      <c r="AM264" s="60"/>
      <c r="AN264" s="60"/>
      <c r="AO264" s="60"/>
      <c r="AP264" s="60"/>
      <c r="AQ264" s="60">
        <f t="shared" si="48"/>
        <v>0</v>
      </c>
      <c r="AR264" s="60">
        <f t="shared" si="49"/>
        <v>0</v>
      </c>
      <c r="AS264" s="60">
        <f t="shared" si="50"/>
        <v>0</v>
      </c>
      <c r="AT264" s="60">
        <f t="shared" si="51"/>
        <v>0</v>
      </c>
      <c r="AU264" s="60">
        <f t="shared" si="52"/>
        <v>0</v>
      </c>
      <c r="AV264" s="60">
        <f t="shared" si="53"/>
        <v>0</v>
      </c>
      <c r="AW264" s="60">
        <f t="shared" si="54"/>
        <v>0</v>
      </c>
      <c r="AX264" s="60">
        <f t="shared" si="61"/>
        <v>0</v>
      </c>
      <c r="AY264" s="64">
        <f t="shared" si="62"/>
        <v>0</v>
      </c>
      <c r="AZ264" s="65">
        <f t="shared" si="55"/>
        <v>0</v>
      </c>
      <c r="BA264" s="65">
        <f t="shared" si="56"/>
        <v>0</v>
      </c>
    </row>
    <row r="265" spans="3:53" s="17" customFormat="1" x14ac:dyDescent="0.25">
      <c r="C265" s="194"/>
      <c r="D265" s="195"/>
      <c r="E265" s="90"/>
      <c r="F265" s="198"/>
      <c r="G265" s="214"/>
      <c r="H265" s="199"/>
      <c r="I265" s="78"/>
      <c r="J265" s="79"/>
      <c r="K265" s="78"/>
      <c r="L265" s="80"/>
      <c r="M265" s="80"/>
      <c r="N265" s="78" t="s">
        <v>39</v>
      </c>
      <c r="O265" s="113"/>
      <c r="P265" s="155"/>
      <c r="Q265" s="114" t="str">
        <f>IFERROR(MIN(VLOOKUP(ROUNDDOWN(P265,0),'Aide calcul'!$B$2:$C$282,2,FALSE),O265+1),"")</f>
        <v/>
      </c>
      <c r="R265" s="115" t="str">
        <f t="shared" si="57"/>
        <v/>
      </c>
      <c r="S265" s="155"/>
      <c r="T265" s="155"/>
      <c r="U265" s="155"/>
      <c r="V265" s="155"/>
      <c r="W265" s="155"/>
      <c r="X265" s="155"/>
      <c r="Y265" s="155"/>
      <c r="Z265" s="78"/>
      <c r="AA265" s="78"/>
      <c r="AB265" s="116" t="str">
        <f>IF(C265="3111. Logements",ROUND(VLOOKUP(C265,'Informations générales'!$C$66:$D$70,2,FALSE)*(AK265/$AL$27)/12,0)*12,IF(C265="3112. Logements",ROUND(VLOOKUP(C265,'Informations générales'!$C$66:$D$70,2,FALSE)*(AK265/$AM$27)/12,0)*12,IF(C265="3113. Logements",ROUND(VLOOKUP(C265,'Informations générales'!$C$66:$D$70,2,FALSE)*(AK265/$AN$27)/12,0)*12,IF(C265="3114. Logements",ROUND(VLOOKUP(C265,'Informations générales'!$C$66:$D$70,2,FALSE)*(AK265/$AO$27)/12,0)*12,IF(C265="3115. Logements",ROUND(VLOOKUP(C265,'Informations générales'!$C$66:$D$70,2,FALSE)*(AK265/$AP$27)/12,0)*12,"")))))</f>
        <v/>
      </c>
      <c r="AC265" s="117"/>
      <c r="AD265" s="116">
        <f t="shared" si="58"/>
        <v>0</v>
      </c>
      <c r="AE265" s="117"/>
      <c r="AF265" s="116" t="str">
        <f>IF(C265="3111. Logements",ROUND(VLOOKUP(C265,'Informations générales'!$C$66:$G$70,5,FALSE)*(AK265/$AL$27)/12,0)*12,IF(C265="3112. Logements",ROUND(VLOOKUP(C265,'Informations générales'!$C$66:$G$70,5,FALSE)*(AK265/$AM$27)/12,0)*12,IF(C265="3113. Logements",ROUND(VLOOKUP(C265,'Informations générales'!$C$66:$G$70,5,FALSE)*(AK265/$AN$27)/12,0)*12,IF(C265="3114. Logements",ROUND(VLOOKUP(C265,'Informations générales'!$C$66:$G$70,5,FALSE)*(AK265/$AO$27)/12,0)*12,IF(C265="3115. Logements",ROUND(VLOOKUP(C265,'Informations générales'!$C$66:$G$70,5,FALSE)*(AK265/$AP$27)/12,0)*12,"")))))</f>
        <v/>
      </c>
      <c r="AG265" s="117"/>
      <c r="AH265" s="116" t="str">
        <f t="shared" si="59"/>
        <v/>
      </c>
      <c r="AI265" s="92"/>
      <c r="AJ265" s="78"/>
      <c r="AK265" s="60">
        <f t="shared" si="60"/>
        <v>0</v>
      </c>
      <c r="AL265" s="60"/>
      <c r="AM265" s="60"/>
      <c r="AN265" s="60"/>
      <c r="AO265" s="60"/>
      <c r="AP265" s="60"/>
      <c r="AQ265" s="60">
        <f t="shared" si="48"/>
        <v>0</v>
      </c>
      <c r="AR265" s="60">
        <f t="shared" si="49"/>
        <v>0</v>
      </c>
      <c r="AS265" s="60">
        <f t="shared" si="50"/>
        <v>0</v>
      </c>
      <c r="AT265" s="60">
        <f t="shared" si="51"/>
        <v>0</v>
      </c>
      <c r="AU265" s="60">
        <f t="shared" si="52"/>
        <v>0</v>
      </c>
      <c r="AV265" s="60">
        <f t="shared" si="53"/>
        <v>0</v>
      </c>
      <c r="AW265" s="60">
        <f t="shared" si="54"/>
        <v>0</v>
      </c>
      <c r="AX265" s="60">
        <f t="shared" si="61"/>
        <v>0</v>
      </c>
      <c r="AY265" s="64">
        <f t="shared" si="62"/>
        <v>0</v>
      </c>
      <c r="AZ265" s="65">
        <f t="shared" si="55"/>
        <v>0</v>
      </c>
      <c r="BA265" s="65">
        <f t="shared" si="56"/>
        <v>0</v>
      </c>
    </row>
    <row r="266" spans="3:53" s="17" customFormat="1" x14ac:dyDescent="0.25">
      <c r="C266" s="194"/>
      <c r="D266" s="195"/>
      <c r="E266" s="90"/>
      <c r="F266" s="198"/>
      <c r="G266" s="214"/>
      <c r="H266" s="199"/>
      <c r="I266" s="78"/>
      <c r="J266" s="79"/>
      <c r="K266" s="78"/>
      <c r="L266" s="80"/>
      <c r="M266" s="80"/>
      <c r="N266" s="78" t="s">
        <v>39</v>
      </c>
      <c r="O266" s="113"/>
      <c r="P266" s="155"/>
      <c r="Q266" s="114" t="str">
        <f>IFERROR(MIN(VLOOKUP(ROUNDDOWN(P266,0),'Aide calcul'!$B$2:$C$282,2,FALSE),O266+1),"")</f>
        <v/>
      </c>
      <c r="R266" s="115" t="str">
        <f t="shared" si="57"/>
        <v/>
      </c>
      <c r="S266" s="155"/>
      <c r="T266" s="155"/>
      <c r="U266" s="155"/>
      <c r="V266" s="155"/>
      <c r="W266" s="155"/>
      <c r="X266" s="155"/>
      <c r="Y266" s="155"/>
      <c r="Z266" s="78"/>
      <c r="AA266" s="78"/>
      <c r="AB266" s="116" t="str">
        <f>IF(C266="3111. Logements",ROUND(VLOOKUP(C266,'Informations générales'!$C$66:$D$70,2,FALSE)*(AK266/$AL$27)/12,0)*12,IF(C266="3112. Logements",ROUND(VLOOKUP(C266,'Informations générales'!$C$66:$D$70,2,FALSE)*(AK266/$AM$27)/12,0)*12,IF(C266="3113. Logements",ROUND(VLOOKUP(C266,'Informations générales'!$C$66:$D$70,2,FALSE)*(AK266/$AN$27)/12,0)*12,IF(C266="3114. Logements",ROUND(VLOOKUP(C266,'Informations générales'!$C$66:$D$70,2,FALSE)*(AK266/$AO$27)/12,0)*12,IF(C266="3115. Logements",ROUND(VLOOKUP(C266,'Informations générales'!$C$66:$D$70,2,FALSE)*(AK266/$AP$27)/12,0)*12,"")))))</f>
        <v/>
      </c>
      <c r="AC266" s="117"/>
      <c r="AD266" s="116">
        <f t="shared" si="58"/>
        <v>0</v>
      </c>
      <c r="AE266" s="117"/>
      <c r="AF266" s="116" t="str">
        <f>IF(C266="3111. Logements",ROUND(VLOOKUP(C266,'Informations générales'!$C$66:$G$70,5,FALSE)*(AK266/$AL$27)/12,0)*12,IF(C266="3112. Logements",ROUND(VLOOKUP(C266,'Informations générales'!$C$66:$G$70,5,FALSE)*(AK266/$AM$27)/12,0)*12,IF(C266="3113. Logements",ROUND(VLOOKUP(C266,'Informations générales'!$C$66:$G$70,5,FALSE)*(AK266/$AN$27)/12,0)*12,IF(C266="3114. Logements",ROUND(VLOOKUP(C266,'Informations générales'!$C$66:$G$70,5,FALSE)*(AK266/$AO$27)/12,0)*12,IF(C266="3115. Logements",ROUND(VLOOKUP(C266,'Informations générales'!$C$66:$G$70,5,FALSE)*(AK266/$AP$27)/12,0)*12,"")))))</f>
        <v/>
      </c>
      <c r="AG266" s="117"/>
      <c r="AH266" s="116" t="str">
        <f t="shared" si="59"/>
        <v/>
      </c>
      <c r="AI266" s="92"/>
      <c r="AJ266" s="78"/>
      <c r="AK266" s="60">
        <f t="shared" si="60"/>
        <v>0</v>
      </c>
      <c r="AL266" s="60"/>
      <c r="AM266" s="60"/>
      <c r="AN266" s="60"/>
      <c r="AO266" s="60"/>
      <c r="AP266" s="60"/>
      <c r="AQ266" s="60">
        <f t="shared" si="48"/>
        <v>0</v>
      </c>
      <c r="AR266" s="60">
        <f t="shared" si="49"/>
        <v>0</v>
      </c>
      <c r="AS266" s="60">
        <f t="shared" si="50"/>
        <v>0</v>
      </c>
      <c r="AT266" s="60">
        <f t="shared" si="51"/>
        <v>0</v>
      </c>
      <c r="AU266" s="60">
        <f t="shared" si="52"/>
        <v>0</v>
      </c>
      <c r="AV266" s="60">
        <f t="shared" si="53"/>
        <v>0</v>
      </c>
      <c r="AW266" s="60">
        <f t="shared" si="54"/>
        <v>0</v>
      </c>
      <c r="AX266" s="60">
        <f t="shared" si="61"/>
        <v>0</v>
      </c>
      <c r="AY266" s="64">
        <f t="shared" si="62"/>
        <v>0</v>
      </c>
      <c r="AZ266" s="65">
        <f t="shared" si="55"/>
        <v>0</v>
      </c>
      <c r="BA266" s="65">
        <f t="shared" si="56"/>
        <v>0</v>
      </c>
    </row>
    <row r="267" spans="3:53" s="17" customFormat="1" x14ac:dyDescent="0.25">
      <c r="C267" s="194"/>
      <c r="D267" s="195"/>
      <c r="E267" s="90"/>
      <c r="F267" s="198"/>
      <c r="G267" s="214"/>
      <c r="H267" s="199"/>
      <c r="I267" s="78"/>
      <c r="J267" s="79"/>
      <c r="K267" s="78"/>
      <c r="L267" s="80"/>
      <c r="M267" s="80"/>
      <c r="N267" s="78" t="s">
        <v>39</v>
      </c>
      <c r="O267" s="113"/>
      <c r="P267" s="155"/>
      <c r="Q267" s="114" t="str">
        <f>IFERROR(MIN(VLOOKUP(ROUNDDOWN(P267,0),'Aide calcul'!$B$2:$C$282,2,FALSE),O267+1),"")</f>
        <v/>
      </c>
      <c r="R267" s="115" t="str">
        <f t="shared" si="57"/>
        <v/>
      </c>
      <c r="S267" s="155"/>
      <c r="T267" s="155"/>
      <c r="U267" s="155"/>
      <c r="V267" s="155"/>
      <c r="W267" s="155"/>
      <c r="X267" s="155"/>
      <c r="Y267" s="155"/>
      <c r="Z267" s="78"/>
      <c r="AA267" s="78"/>
      <c r="AB267" s="116" t="str">
        <f>IF(C267="3111. Logements",ROUND(VLOOKUP(C267,'Informations générales'!$C$66:$D$70,2,FALSE)*(AK267/$AL$27)/12,0)*12,IF(C267="3112. Logements",ROUND(VLOOKUP(C267,'Informations générales'!$C$66:$D$70,2,FALSE)*(AK267/$AM$27)/12,0)*12,IF(C267="3113. Logements",ROUND(VLOOKUP(C267,'Informations générales'!$C$66:$D$70,2,FALSE)*(AK267/$AN$27)/12,0)*12,IF(C267="3114. Logements",ROUND(VLOOKUP(C267,'Informations générales'!$C$66:$D$70,2,FALSE)*(AK267/$AO$27)/12,0)*12,IF(C267="3115. Logements",ROUND(VLOOKUP(C267,'Informations générales'!$C$66:$D$70,2,FALSE)*(AK267/$AP$27)/12,0)*12,"")))))</f>
        <v/>
      </c>
      <c r="AC267" s="117"/>
      <c r="AD267" s="116">
        <f t="shared" si="58"/>
        <v>0</v>
      </c>
      <c r="AE267" s="117"/>
      <c r="AF267" s="116" t="str">
        <f>IF(C267="3111. Logements",ROUND(VLOOKUP(C267,'Informations générales'!$C$66:$G$70,5,FALSE)*(AK267/$AL$27)/12,0)*12,IF(C267="3112. Logements",ROUND(VLOOKUP(C267,'Informations générales'!$C$66:$G$70,5,FALSE)*(AK267/$AM$27)/12,0)*12,IF(C267="3113. Logements",ROUND(VLOOKUP(C267,'Informations générales'!$C$66:$G$70,5,FALSE)*(AK267/$AN$27)/12,0)*12,IF(C267="3114. Logements",ROUND(VLOOKUP(C267,'Informations générales'!$C$66:$G$70,5,FALSE)*(AK267/$AO$27)/12,0)*12,IF(C267="3115. Logements",ROUND(VLOOKUP(C267,'Informations générales'!$C$66:$G$70,5,FALSE)*(AK267/$AP$27)/12,0)*12,"")))))</f>
        <v/>
      </c>
      <c r="AG267" s="117"/>
      <c r="AH267" s="116" t="str">
        <f t="shared" si="59"/>
        <v/>
      </c>
      <c r="AI267" s="92"/>
      <c r="AJ267" s="78"/>
      <c r="AK267" s="60">
        <f t="shared" si="60"/>
        <v>0</v>
      </c>
      <c r="AL267" s="60"/>
      <c r="AM267" s="60"/>
      <c r="AN267" s="60"/>
      <c r="AO267" s="60"/>
      <c r="AP267" s="60"/>
      <c r="AQ267" s="60">
        <f t="shared" si="48"/>
        <v>0</v>
      </c>
      <c r="AR267" s="60">
        <f t="shared" si="49"/>
        <v>0</v>
      </c>
      <c r="AS267" s="60">
        <f t="shared" si="50"/>
        <v>0</v>
      </c>
      <c r="AT267" s="60">
        <f t="shared" si="51"/>
        <v>0</v>
      </c>
      <c r="AU267" s="60">
        <f t="shared" si="52"/>
        <v>0</v>
      </c>
      <c r="AV267" s="60">
        <f t="shared" si="53"/>
        <v>0</v>
      </c>
      <c r="AW267" s="60">
        <f t="shared" si="54"/>
        <v>0</v>
      </c>
      <c r="AX267" s="60">
        <f t="shared" si="61"/>
        <v>0</v>
      </c>
      <c r="AY267" s="64">
        <f t="shared" si="62"/>
        <v>0</v>
      </c>
      <c r="AZ267" s="65">
        <f t="shared" si="55"/>
        <v>0</v>
      </c>
      <c r="BA267" s="65">
        <f t="shared" si="56"/>
        <v>0</v>
      </c>
    </row>
    <row r="268" spans="3:53" s="17" customFormat="1" x14ac:dyDescent="0.25">
      <c r="C268" s="194"/>
      <c r="D268" s="195"/>
      <c r="E268" s="90"/>
      <c r="F268" s="198"/>
      <c r="G268" s="214"/>
      <c r="H268" s="199"/>
      <c r="I268" s="78"/>
      <c r="J268" s="79"/>
      <c r="K268" s="78"/>
      <c r="L268" s="80"/>
      <c r="M268" s="80"/>
      <c r="N268" s="78" t="s">
        <v>39</v>
      </c>
      <c r="O268" s="113"/>
      <c r="P268" s="155"/>
      <c r="Q268" s="114" t="str">
        <f>IFERROR(MIN(VLOOKUP(ROUNDDOWN(P268,0),'Aide calcul'!$B$2:$C$282,2,FALSE),O268+1),"")</f>
        <v/>
      </c>
      <c r="R268" s="115" t="str">
        <f t="shared" si="57"/>
        <v/>
      </c>
      <c r="S268" s="155"/>
      <c r="T268" s="155"/>
      <c r="U268" s="155"/>
      <c r="V268" s="155"/>
      <c r="W268" s="155"/>
      <c r="X268" s="155"/>
      <c r="Y268" s="155"/>
      <c r="Z268" s="78"/>
      <c r="AA268" s="78"/>
      <c r="AB268" s="116" t="str">
        <f>IF(C268="3111. Logements",ROUND(VLOOKUP(C268,'Informations générales'!$C$66:$D$70,2,FALSE)*(AK268/$AL$27)/12,0)*12,IF(C268="3112. Logements",ROUND(VLOOKUP(C268,'Informations générales'!$C$66:$D$70,2,FALSE)*(AK268/$AM$27)/12,0)*12,IF(C268="3113. Logements",ROUND(VLOOKUP(C268,'Informations générales'!$C$66:$D$70,2,FALSE)*(AK268/$AN$27)/12,0)*12,IF(C268="3114. Logements",ROUND(VLOOKUP(C268,'Informations générales'!$C$66:$D$70,2,FALSE)*(AK268/$AO$27)/12,0)*12,IF(C268="3115. Logements",ROUND(VLOOKUP(C268,'Informations générales'!$C$66:$D$70,2,FALSE)*(AK268/$AP$27)/12,0)*12,"")))))</f>
        <v/>
      </c>
      <c r="AC268" s="117"/>
      <c r="AD268" s="116">
        <f t="shared" si="58"/>
        <v>0</v>
      </c>
      <c r="AE268" s="117"/>
      <c r="AF268" s="116" t="str">
        <f>IF(C268="3111. Logements",ROUND(VLOOKUP(C268,'Informations générales'!$C$66:$G$70,5,FALSE)*(AK268/$AL$27)/12,0)*12,IF(C268="3112. Logements",ROUND(VLOOKUP(C268,'Informations générales'!$C$66:$G$70,5,FALSE)*(AK268/$AM$27)/12,0)*12,IF(C268="3113. Logements",ROUND(VLOOKUP(C268,'Informations générales'!$C$66:$G$70,5,FALSE)*(AK268/$AN$27)/12,0)*12,IF(C268="3114. Logements",ROUND(VLOOKUP(C268,'Informations générales'!$C$66:$G$70,5,FALSE)*(AK268/$AO$27)/12,0)*12,IF(C268="3115. Logements",ROUND(VLOOKUP(C268,'Informations générales'!$C$66:$G$70,5,FALSE)*(AK268/$AP$27)/12,0)*12,"")))))</f>
        <v/>
      </c>
      <c r="AG268" s="117"/>
      <c r="AH268" s="116" t="str">
        <f t="shared" si="59"/>
        <v/>
      </c>
      <c r="AI268" s="92"/>
      <c r="AJ268" s="78"/>
      <c r="AK268" s="60">
        <f t="shared" si="60"/>
        <v>0</v>
      </c>
      <c r="AL268" s="60"/>
      <c r="AM268" s="60"/>
      <c r="AN268" s="60"/>
      <c r="AO268" s="60"/>
      <c r="AP268" s="60"/>
      <c r="AQ268" s="60">
        <f t="shared" si="48"/>
        <v>0</v>
      </c>
      <c r="AR268" s="60">
        <f t="shared" si="49"/>
        <v>0</v>
      </c>
      <c r="AS268" s="60">
        <f t="shared" si="50"/>
        <v>0</v>
      </c>
      <c r="AT268" s="60">
        <f t="shared" si="51"/>
        <v>0</v>
      </c>
      <c r="AU268" s="60">
        <f t="shared" si="52"/>
        <v>0</v>
      </c>
      <c r="AV268" s="60">
        <f t="shared" si="53"/>
        <v>0</v>
      </c>
      <c r="AW268" s="60">
        <f t="shared" si="54"/>
        <v>0</v>
      </c>
      <c r="AX268" s="60">
        <f t="shared" si="61"/>
        <v>0</v>
      </c>
      <c r="AY268" s="64">
        <f t="shared" si="62"/>
        <v>0</v>
      </c>
      <c r="AZ268" s="65">
        <f t="shared" si="55"/>
        <v>0</v>
      </c>
      <c r="BA268" s="65">
        <f t="shared" si="56"/>
        <v>0</v>
      </c>
    </row>
    <row r="269" spans="3:53" s="17" customFormat="1" x14ac:dyDescent="0.25">
      <c r="C269" s="194"/>
      <c r="D269" s="195"/>
      <c r="E269" s="90"/>
      <c r="F269" s="198"/>
      <c r="G269" s="214"/>
      <c r="H269" s="199"/>
      <c r="I269" s="78"/>
      <c r="J269" s="79"/>
      <c r="K269" s="78"/>
      <c r="L269" s="80"/>
      <c r="M269" s="80"/>
      <c r="N269" s="78" t="s">
        <v>39</v>
      </c>
      <c r="O269" s="113"/>
      <c r="P269" s="155"/>
      <c r="Q269" s="114" t="str">
        <f>IFERROR(MIN(VLOOKUP(ROUNDDOWN(P269,0),'Aide calcul'!$B$2:$C$282,2,FALSE),O269+1),"")</f>
        <v/>
      </c>
      <c r="R269" s="115" t="str">
        <f t="shared" si="57"/>
        <v/>
      </c>
      <c r="S269" s="155"/>
      <c r="T269" s="155"/>
      <c r="U269" s="155"/>
      <c r="V269" s="155"/>
      <c r="W269" s="155"/>
      <c r="X269" s="155"/>
      <c r="Y269" s="155"/>
      <c r="Z269" s="78"/>
      <c r="AA269" s="78"/>
      <c r="AB269" s="116" t="str">
        <f>IF(C269="3111. Logements",ROUND(VLOOKUP(C269,'Informations générales'!$C$66:$D$70,2,FALSE)*(AK269/$AL$27)/12,0)*12,IF(C269="3112. Logements",ROUND(VLOOKUP(C269,'Informations générales'!$C$66:$D$70,2,FALSE)*(AK269/$AM$27)/12,0)*12,IF(C269="3113. Logements",ROUND(VLOOKUP(C269,'Informations générales'!$C$66:$D$70,2,FALSE)*(AK269/$AN$27)/12,0)*12,IF(C269="3114. Logements",ROUND(VLOOKUP(C269,'Informations générales'!$C$66:$D$70,2,FALSE)*(AK269/$AO$27)/12,0)*12,IF(C269="3115. Logements",ROUND(VLOOKUP(C269,'Informations générales'!$C$66:$D$70,2,FALSE)*(AK269/$AP$27)/12,0)*12,"")))))</f>
        <v/>
      </c>
      <c r="AC269" s="117"/>
      <c r="AD269" s="116">
        <f t="shared" si="58"/>
        <v>0</v>
      </c>
      <c r="AE269" s="117"/>
      <c r="AF269" s="116" t="str">
        <f>IF(C269="3111. Logements",ROUND(VLOOKUP(C269,'Informations générales'!$C$66:$G$70,5,FALSE)*(AK269/$AL$27)/12,0)*12,IF(C269="3112. Logements",ROUND(VLOOKUP(C269,'Informations générales'!$C$66:$G$70,5,FALSE)*(AK269/$AM$27)/12,0)*12,IF(C269="3113. Logements",ROUND(VLOOKUP(C269,'Informations générales'!$C$66:$G$70,5,FALSE)*(AK269/$AN$27)/12,0)*12,IF(C269="3114. Logements",ROUND(VLOOKUP(C269,'Informations générales'!$C$66:$G$70,5,FALSE)*(AK269/$AO$27)/12,0)*12,IF(C269="3115. Logements",ROUND(VLOOKUP(C269,'Informations générales'!$C$66:$G$70,5,FALSE)*(AK269/$AP$27)/12,0)*12,"")))))</f>
        <v/>
      </c>
      <c r="AG269" s="117"/>
      <c r="AH269" s="116" t="str">
        <f t="shared" si="59"/>
        <v/>
      </c>
      <c r="AI269" s="92"/>
      <c r="AJ269" s="78"/>
      <c r="AK269" s="60">
        <f t="shared" si="60"/>
        <v>0</v>
      </c>
      <c r="AL269" s="60"/>
      <c r="AM269" s="60"/>
      <c r="AN269" s="60"/>
      <c r="AO269" s="60"/>
      <c r="AP269" s="60"/>
      <c r="AQ269" s="60">
        <f t="shared" si="48"/>
        <v>0</v>
      </c>
      <c r="AR269" s="60">
        <f t="shared" si="49"/>
        <v>0</v>
      </c>
      <c r="AS269" s="60">
        <f t="shared" si="50"/>
        <v>0</v>
      </c>
      <c r="AT269" s="60">
        <f t="shared" si="51"/>
        <v>0</v>
      </c>
      <c r="AU269" s="60">
        <f t="shared" si="52"/>
        <v>0</v>
      </c>
      <c r="AV269" s="60">
        <f t="shared" si="53"/>
        <v>0</v>
      </c>
      <c r="AW269" s="60">
        <f t="shared" si="54"/>
        <v>0</v>
      </c>
      <c r="AX269" s="60">
        <f t="shared" si="61"/>
        <v>0</v>
      </c>
      <c r="AY269" s="64">
        <f t="shared" si="62"/>
        <v>0</v>
      </c>
      <c r="AZ269" s="65">
        <f t="shared" si="55"/>
        <v>0</v>
      </c>
      <c r="BA269" s="65">
        <f t="shared" si="56"/>
        <v>0</v>
      </c>
    </row>
    <row r="270" spans="3:53" s="17" customFormat="1" x14ac:dyDescent="0.25">
      <c r="C270" s="194"/>
      <c r="D270" s="195"/>
      <c r="E270" s="90"/>
      <c r="F270" s="198"/>
      <c r="G270" s="214"/>
      <c r="H270" s="199"/>
      <c r="I270" s="78"/>
      <c r="J270" s="79"/>
      <c r="K270" s="78"/>
      <c r="L270" s="80"/>
      <c r="M270" s="80"/>
      <c r="N270" s="78" t="s">
        <v>39</v>
      </c>
      <c r="O270" s="113"/>
      <c r="P270" s="155"/>
      <c r="Q270" s="114" t="str">
        <f>IFERROR(MIN(VLOOKUP(ROUNDDOWN(P270,0),'Aide calcul'!$B$2:$C$282,2,FALSE),O270+1),"")</f>
        <v/>
      </c>
      <c r="R270" s="115" t="str">
        <f t="shared" si="57"/>
        <v/>
      </c>
      <c r="S270" s="155"/>
      <c r="T270" s="155"/>
      <c r="U270" s="155"/>
      <c r="V270" s="155"/>
      <c r="W270" s="155"/>
      <c r="X270" s="155"/>
      <c r="Y270" s="155"/>
      <c r="Z270" s="78"/>
      <c r="AA270" s="78"/>
      <c r="AB270" s="116" t="str">
        <f>IF(C270="3111. Logements",ROUND(VLOOKUP(C270,'Informations générales'!$C$66:$D$70,2,FALSE)*(AK270/$AL$27)/12,0)*12,IF(C270="3112. Logements",ROUND(VLOOKUP(C270,'Informations générales'!$C$66:$D$70,2,FALSE)*(AK270/$AM$27)/12,0)*12,IF(C270="3113. Logements",ROUND(VLOOKUP(C270,'Informations générales'!$C$66:$D$70,2,FALSE)*(AK270/$AN$27)/12,0)*12,IF(C270="3114. Logements",ROUND(VLOOKUP(C270,'Informations générales'!$C$66:$D$70,2,FALSE)*(AK270/$AO$27)/12,0)*12,IF(C270="3115. Logements",ROUND(VLOOKUP(C270,'Informations générales'!$C$66:$D$70,2,FALSE)*(AK270/$AP$27)/12,0)*12,"")))))</f>
        <v/>
      </c>
      <c r="AC270" s="117"/>
      <c r="AD270" s="116">
        <f t="shared" si="58"/>
        <v>0</v>
      </c>
      <c r="AE270" s="117"/>
      <c r="AF270" s="116" t="str">
        <f>IF(C270="3111. Logements",ROUND(VLOOKUP(C270,'Informations générales'!$C$66:$G$70,5,FALSE)*(AK270/$AL$27)/12,0)*12,IF(C270="3112. Logements",ROUND(VLOOKUP(C270,'Informations générales'!$C$66:$G$70,5,FALSE)*(AK270/$AM$27)/12,0)*12,IF(C270="3113. Logements",ROUND(VLOOKUP(C270,'Informations générales'!$C$66:$G$70,5,FALSE)*(AK270/$AN$27)/12,0)*12,IF(C270="3114. Logements",ROUND(VLOOKUP(C270,'Informations générales'!$C$66:$G$70,5,FALSE)*(AK270/$AO$27)/12,0)*12,IF(C270="3115. Logements",ROUND(VLOOKUP(C270,'Informations générales'!$C$66:$G$70,5,FALSE)*(AK270/$AP$27)/12,0)*12,"")))))</f>
        <v/>
      </c>
      <c r="AG270" s="117"/>
      <c r="AH270" s="116" t="str">
        <f t="shared" si="59"/>
        <v/>
      </c>
      <c r="AI270" s="92"/>
      <c r="AJ270" s="78"/>
      <c r="AK270" s="60">
        <f t="shared" si="60"/>
        <v>0</v>
      </c>
      <c r="AL270" s="60"/>
      <c r="AM270" s="60"/>
      <c r="AN270" s="60"/>
      <c r="AO270" s="60"/>
      <c r="AP270" s="60"/>
      <c r="AQ270" s="60">
        <f t="shared" si="48"/>
        <v>0</v>
      </c>
      <c r="AR270" s="60">
        <f t="shared" si="49"/>
        <v>0</v>
      </c>
      <c r="AS270" s="60">
        <f t="shared" si="50"/>
        <v>0</v>
      </c>
      <c r="AT270" s="60">
        <f t="shared" si="51"/>
        <v>0</v>
      </c>
      <c r="AU270" s="60">
        <f t="shared" si="52"/>
        <v>0</v>
      </c>
      <c r="AV270" s="60">
        <f t="shared" si="53"/>
        <v>0</v>
      </c>
      <c r="AW270" s="60">
        <f t="shared" si="54"/>
        <v>0</v>
      </c>
      <c r="AX270" s="60">
        <f t="shared" si="61"/>
        <v>0</v>
      </c>
      <c r="AY270" s="64">
        <f t="shared" si="62"/>
        <v>0</v>
      </c>
      <c r="AZ270" s="65">
        <f t="shared" si="55"/>
        <v>0</v>
      </c>
      <c r="BA270" s="65">
        <f t="shared" si="56"/>
        <v>0</v>
      </c>
    </row>
    <row r="271" spans="3:53" s="17" customFormat="1" x14ac:dyDescent="0.25">
      <c r="C271" s="194"/>
      <c r="D271" s="195"/>
      <c r="E271" s="90"/>
      <c r="F271" s="198"/>
      <c r="G271" s="214"/>
      <c r="H271" s="199"/>
      <c r="I271" s="78"/>
      <c r="J271" s="79"/>
      <c r="K271" s="78"/>
      <c r="L271" s="80"/>
      <c r="M271" s="80"/>
      <c r="N271" s="78" t="s">
        <v>39</v>
      </c>
      <c r="O271" s="113"/>
      <c r="P271" s="155"/>
      <c r="Q271" s="114" t="str">
        <f>IFERROR(MIN(VLOOKUP(ROUNDDOWN(P271,0),'Aide calcul'!$B$2:$C$282,2,FALSE),O271+1),"")</f>
        <v/>
      </c>
      <c r="R271" s="115" t="str">
        <f t="shared" si="57"/>
        <v/>
      </c>
      <c r="S271" s="155"/>
      <c r="T271" s="155"/>
      <c r="U271" s="155"/>
      <c r="V271" s="155"/>
      <c r="W271" s="155"/>
      <c r="X271" s="155"/>
      <c r="Y271" s="155"/>
      <c r="Z271" s="78"/>
      <c r="AA271" s="78"/>
      <c r="AB271" s="116" t="str">
        <f>IF(C271="3111. Logements",ROUND(VLOOKUP(C271,'Informations générales'!$C$66:$D$70,2,FALSE)*(AK271/$AL$27)/12,0)*12,IF(C271="3112. Logements",ROUND(VLOOKUP(C271,'Informations générales'!$C$66:$D$70,2,FALSE)*(AK271/$AM$27)/12,0)*12,IF(C271="3113. Logements",ROUND(VLOOKUP(C271,'Informations générales'!$C$66:$D$70,2,FALSE)*(AK271/$AN$27)/12,0)*12,IF(C271="3114. Logements",ROUND(VLOOKUP(C271,'Informations générales'!$C$66:$D$70,2,FALSE)*(AK271/$AO$27)/12,0)*12,IF(C271="3115. Logements",ROUND(VLOOKUP(C271,'Informations générales'!$C$66:$D$70,2,FALSE)*(AK271/$AP$27)/12,0)*12,"")))))</f>
        <v/>
      </c>
      <c r="AC271" s="117"/>
      <c r="AD271" s="116">
        <f t="shared" si="58"/>
        <v>0</v>
      </c>
      <c r="AE271" s="117"/>
      <c r="AF271" s="116" t="str">
        <f>IF(C271="3111. Logements",ROUND(VLOOKUP(C271,'Informations générales'!$C$66:$G$70,5,FALSE)*(AK271/$AL$27)/12,0)*12,IF(C271="3112. Logements",ROUND(VLOOKUP(C271,'Informations générales'!$C$66:$G$70,5,FALSE)*(AK271/$AM$27)/12,0)*12,IF(C271="3113. Logements",ROUND(VLOOKUP(C271,'Informations générales'!$C$66:$G$70,5,FALSE)*(AK271/$AN$27)/12,0)*12,IF(C271="3114. Logements",ROUND(VLOOKUP(C271,'Informations générales'!$C$66:$G$70,5,FALSE)*(AK271/$AO$27)/12,0)*12,IF(C271="3115. Logements",ROUND(VLOOKUP(C271,'Informations générales'!$C$66:$G$70,5,FALSE)*(AK271/$AP$27)/12,0)*12,"")))))</f>
        <v/>
      </c>
      <c r="AG271" s="117"/>
      <c r="AH271" s="116" t="str">
        <f t="shared" si="59"/>
        <v/>
      </c>
      <c r="AI271" s="92"/>
      <c r="AJ271" s="78"/>
      <c r="AK271" s="60">
        <f t="shared" si="60"/>
        <v>0</v>
      </c>
      <c r="AL271" s="60"/>
      <c r="AM271" s="60"/>
      <c r="AN271" s="60"/>
      <c r="AO271" s="60"/>
      <c r="AP271" s="60"/>
      <c r="AQ271" s="60">
        <f t="shared" si="48"/>
        <v>0</v>
      </c>
      <c r="AR271" s="60">
        <f t="shared" si="49"/>
        <v>0</v>
      </c>
      <c r="AS271" s="60">
        <f t="shared" si="50"/>
        <v>0</v>
      </c>
      <c r="AT271" s="60">
        <f t="shared" si="51"/>
        <v>0</v>
      </c>
      <c r="AU271" s="60">
        <f t="shared" si="52"/>
        <v>0</v>
      </c>
      <c r="AV271" s="60">
        <f t="shared" si="53"/>
        <v>0</v>
      </c>
      <c r="AW271" s="60">
        <f t="shared" si="54"/>
        <v>0</v>
      </c>
      <c r="AX271" s="60">
        <f t="shared" si="61"/>
        <v>0</v>
      </c>
      <c r="AY271" s="64">
        <f t="shared" si="62"/>
        <v>0</v>
      </c>
      <c r="AZ271" s="65">
        <f t="shared" si="55"/>
        <v>0</v>
      </c>
      <c r="BA271" s="65">
        <f t="shared" si="56"/>
        <v>0</v>
      </c>
    </row>
    <row r="272" spans="3:53" s="17" customFormat="1" x14ac:dyDescent="0.25">
      <c r="C272" s="194"/>
      <c r="D272" s="195"/>
      <c r="E272" s="90"/>
      <c r="F272" s="198"/>
      <c r="G272" s="214"/>
      <c r="H272" s="199"/>
      <c r="I272" s="78"/>
      <c r="J272" s="79"/>
      <c r="K272" s="78"/>
      <c r="L272" s="80"/>
      <c r="M272" s="80"/>
      <c r="N272" s="78" t="s">
        <v>39</v>
      </c>
      <c r="O272" s="113"/>
      <c r="P272" s="155"/>
      <c r="Q272" s="114" t="str">
        <f>IFERROR(MIN(VLOOKUP(ROUNDDOWN(P272,0),'Aide calcul'!$B$2:$C$282,2,FALSE),O272+1),"")</f>
        <v/>
      </c>
      <c r="R272" s="115" t="str">
        <f t="shared" si="57"/>
        <v/>
      </c>
      <c r="S272" s="155"/>
      <c r="T272" s="155"/>
      <c r="U272" s="155"/>
      <c r="V272" s="155"/>
      <c r="W272" s="155"/>
      <c r="X272" s="155"/>
      <c r="Y272" s="155"/>
      <c r="Z272" s="78"/>
      <c r="AA272" s="78"/>
      <c r="AB272" s="116" t="str">
        <f>IF(C272="3111. Logements",ROUND(VLOOKUP(C272,'Informations générales'!$C$66:$D$70,2,FALSE)*(AK272/$AL$27)/12,0)*12,IF(C272="3112. Logements",ROUND(VLOOKUP(C272,'Informations générales'!$C$66:$D$70,2,FALSE)*(AK272/$AM$27)/12,0)*12,IF(C272="3113. Logements",ROUND(VLOOKUP(C272,'Informations générales'!$C$66:$D$70,2,FALSE)*(AK272/$AN$27)/12,0)*12,IF(C272="3114. Logements",ROUND(VLOOKUP(C272,'Informations générales'!$C$66:$D$70,2,FALSE)*(AK272/$AO$27)/12,0)*12,IF(C272="3115. Logements",ROUND(VLOOKUP(C272,'Informations générales'!$C$66:$D$70,2,FALSE)*(AK272/$AP$27)/12,0)*12,"")))))</f>
        <v/>
      </c>
      <c r="AC272" s="117"/>
      <c r="AD272" s="116">
        <f t="shared" si="58"/>
        <v>0</v>
      </c>
      <c r="AE272" s="117"/>
      <c r="AF272" s="116" t="str">
        <f>IF(C272="3111. Logements",ROUND(VLOOKUP(C272,'Informations générales'!$C$66:$G$70,5,FALSE)*(AK272/$AL$27)/12,0)*12,IF(C272="3112. Logements",ROUND(VLOOKUP(C272,'Informations générales'!$C$66:$G$70,5,FALSE)*(AK272/$AM$27)/12,0)*12,IF(C272="3113. Logements",ROUND(VLOOKUP(C272,'Informations générales'!$C$66:$G$70,5,FALSE)*(AK272/$AN$27)/12,0)*12,IF(C272="3114. Logements",ROUND(VLOOKUP(C272,'Informations générales'!$C$66:$G$70,5,FALSE)*(AK272/$AO$27)/12,0)*12,IF(C272="3115. Logements",ROUND(VLOOKUP(C272,'Informations générales'!$C$66:$G$70,5,FALSE)*(AK272/$AP$27)/12,0)*12,"")))))</f>
        <v/>
      </c>
      <c r="AG272" s="117"/>
      <c r="AH272" s="116" t="str">
        <f t="shared" si="59"/>
        <v/>
      </c>
      <c r="AI272" s="92"/>
      <c r="AJ272" s="78"/>
      <c r="AK272" s="60">
        <f t="shared" si="60"/>
        <v>0</v>
      </c>
      <c r="AL272" s="60"/>
      <c r="AM272" s="60"/>
      <c r="AN272" s="60"/>
      <c r="AO272" s="60"/>
      <c r="AP272" s="60"/>
      <c r="AQ272" s="60">
        <f t="shared" si="48"/>
        <v>0</v>
      </c>
      <c r="AR272" s="60">
        <f t="shared" si="49"/>
        <v>0</v>
      </c>
      <c r="AS272" s="60">
        <f t="shared" si="50"/>
        <v>0</v>
      </c>
      <c r="AT272" s="60">
        <f t="shared" si="51"/>
        <v>0</v>
      </c>
      <c r="AU272" s="60">
        <f t="shared" si="52"/>
        <v>0</v>
      </c>
      <c r="AV272" s="60">
        <f t="shared" si="53"/>
        <v>0</v>
      </c>
      <c r="AW272" s="60">
        <f t="shared" si="54"/>
        <v>0</v>
      </c>
      <c r="AX272" s="60">
        <f t="shared" si="61"/>
        <v>0</v>
      </c>
      <c r="AY272" s="64">
        <f t="shared" si="62"/>
        <v>0</v>
      </c>
      <c r="AZ272" s="65">
        <f t="shared" si="55"/>
        <v>0</v>
      </c>
      <c r="BA272" s="65">
        <f t="shared" si="56"/>
        <v>0</v>
      </c>
    </row>
    <row r="273" spans="3:53" s="17" customFormat="1" x14ac:dyDescent="0.25">
      <c r="C273" s="194"/>
      <c r="D273" s="195"/>
      <c r="E273" s="90"/>
      <c r="F273" s="198"/>
      <c r="G273" s="214"/>
      <c r="H273" s="199"/>
      <c r="I273" s="78"/>
      <c r="J273" s="79"/>
      <c r="K273" s="78"/>
      <c r="L273" s="80"/>
      <c r="M273" s="80"/>
      <c r="N273" s="78" t="s">
        <v>39</v>
      </c>
      <c r="O273" s="113"/>
      <c r="P273" s="155"/>
      <c r="Q273" s="114" t="str">
        <f>IFERROR(MIN(VLOOKUP(ROUNDDOWN(P273,0),'Aide calcul'!$B$2:$C$282,2,FALSE),O273+1),"")</f>
        <v/>
      </c>
      <c r="R273" s="115" t="str">
        <f t="shared" si="57"/>
        <v/>
      </c>
      <c r="S273" s="155"/>
      <c r="T273" s="155"/>
      <c r="U273" s="155"/>
      <c r="V273" s="155"/>
      <c r="W273" s="155"/>
      <c r="X273" s="155"/>
      <c r="Y273" s="155"/>
      <c r="Z273" s="78"/>
      <c r="AA273" s="78"/>
      <c r="AB273" s="116" t="str">
        <f>IF(C273="3111. Logements",ROUND(VLOOKUP(C273,'Informations générales'!$C$66:$D$70,2,FALSE)*(AK273/$AL$27)/12,0)*12,IF(C273="3112. Logements",ROUND(VLOOKUP(C273,'Informations générales'!$C$66:$D$70,2,FALSE)*(AK273/$AM$27)/12,0)*12,IF(C273="3113. Logements",ROUND(VLOOKUP(C273,'Informations générales'!$C$66:$D$70,2,FALSE)*(AK273/$AN$27)/12,0)*12,IF(C273="3114. Logements",ROUND(VLOOKUP(C273,'Informations générales'!$C$66:$D$70,2,FALSE)*(AK273/$AO$27)/12,0)*12,IF(C273="3115. Logements",ROUND(VLOOKUP(C273,'Informations générales'!$C$66:$D$70,2,FALSE)*(AK273/$AP$27)/12,0)*12,"")))))</f>
        <v/>
      </c>
      <c r="AC273" s="117"/>
      <c r="AD273" s="116">
        <f t="shared" si="58"/>
        <v>0</v>
      </c>
      <c r="AE273" s="117"/>
      <c r="AF273" s="116" t="str">
        <f>IF(C273="3111. Logements",ROUND(VLOOKUP(C273,'Informations générales'!$C$66:$G$70,5,FALSE)*(AK273/$AL$27)/12,0)*12,IF(C273="3112. Logements",ROUND(VLOOKUP(C273,'Informations générales'!$C$66:$G$70,5,FALSE)*(AK273/$AM$27)/12,0)*12,IF(C273="3113. Logements",ROUND(VLOOKUP(C273,'Informations générales'!$C$66:$G$70,5,FALSE)*(AK273/$AN$27)/12,0)*12,IF(C273="3114. Logements",ROUND(VLOOKUP(C273,'Informations générales'!$C$66:$G$70,5,FALSE)*(AK273/$AO$27)/12,0)*12,IF(C273="3115. Logements",ROUND(VLOOKUP(C273,'Informations générales'!$C$66:$G$70,5,FALSE)*(AK273/$AP$27)/12,0)*12,"")))))</f>
        <v/>
      </c>
      <c r="AG273" s="117"/>
      <c r="AH273" s="116" t="str">
        <f t="shared" si="59"/>
        <v/>
      </c>
      <c r="AI273" s="92"/>
      <c r="AJ273" s="78"/>
      <c r="AK273" s="60">
        <f t="shared" si="60"/>
        <v>0</v>
      </c>
      <c r="AL273" s="60"/>
      <c r="AM273" s="60"/>
      <c r="AN273" s="60"/>
      <c r="AO273" s="60"/>
      <c r="AP273" s="60"/>
      <c r="AQ273" s="60">
        <f t="shared" si="48"/>
        <v>0</v>
      </c>
      <c r="AR273" s="60">
        <f t="shared" si="49"/>
        <v>0</v>
      </c>
      <c r="AS273" s="60">
        <f t="shared" si="50"/>
        <v>0</v>
      </c>
      <c r="AT273" s="60">
        <f t="shared" si="51"/>
        <v>0</v>
      </c>
      <c r="AU273" s="60">
        <f t="shared" si="52"/>
        <v>0</v>
      </c>
      <c r="AV273" s="60">
        <f t="shared" si="53"/>
        <v>0</v>
      </c>
      <c r="AW273" s="60">
        <f t="shared" si="54"/>
        <v>0</v>
      </c>
      <c r="AX273" s="60">
        <f t="shared" si="61"/>
        <v>0</v>
      </c>
      <c r="AY273" s="64">
        <f t="shared" si="62"/>
        <v>0</v>
      </c>
      <c r="AZ273" s="65">
        <f t="shared" si="55"/>
        <v>0</v>
      </c>
      <c r="BA273" s="65">
        <f t="shared" si="56"/>
        <v>0</v>
      </c>
    </row>
    <row r="274" spans="3:53" s="17" customFormat="1" x14ac:dyDescent="0.25">
      <c r="C274" s="194"/>
      <c r="D274" s="195"/>
      <c r="E274" s="90"/>
      <c r="F274" s="198"/>
      <c r="G274" s="214"/>
      <c r="H274" s="199"/>
      <c r="I274" s="78"/>
      <c r="J274" s="79"/>
      <c r="K274" s="78"/>
      <c r="L274" s="80"/>
      <c r="M274" s="80"/>
      <c r="N274" s="78" t="s">
        <v>39</v>
      </c>
      <c r="O274" s="113"/>
      <c r="P274" s="155"/>
      <c r="Q274" s="114" t="str">
        <f>IFERROR(MIN(VLOOKUP(ROUNDDOWN(P274,0),'Aide calcul'!$B$2:$C$282,2,FALSE),O274+1),"")</f>
        <v/>
      </c>
      <c r="R274" s="115" t="str">
        <f t="shared" si="57"/>
        <v/>
      </c>
      <c r="S274" s="155"/>
      <c r="T274" s="155"/>
      <c r="U274" s="155"/>
      <c r="V274" s="155"/>
      <c r="W274" s="155"/>
      <c r="X274" s="155"/>
      <c r="Y274" s="155"/>
      <c r="Z274" s="78"/>
      <c r="AA274" s="78"/>
      <c r="AB274" s="116" t="str">
        <f>IF(C274="3111. Logements",ROUND(VLOOKUP(C274,'Informations générales'!$C$66:$D$70,2,FALSE)*(AK274/$AL$27)/12,0)*12,IF(C274="3112. Logements",ROUND(VLOOKUP(C274,'Informations générales'!$C$66:$D$70,2,FALSE)*(AK274/$AM$27)/12,0)*12,IF(C274="3113. Logements",ROUND(VLOOKUP(C274,'Informations générales'!$C$66:$D$70,2,FALSE)*(AK274/$AN$27)/12,0)*12,IF(C274="3114. Logements",ROUND(VLOOKUP(C274,'Informations générales'!$C$66:$D$70,2,FALSE)*(AK274/$AO$27)/12,0)*12,IF(C274="3115. Logements",ROUND(VLOOKUP(C274,'Informations générales'!$C$66:$D$70,2,FALSE)*(AK274/$AP$27)/12,0)*12,"")))))</f>
        <v/>
      </c>
      <c r="AC274" s="117"/>
      <c r="AD274" s="116">
        <f t="shared" si="58"/>
        <v>0</v>
      </c>
      <c r="AE274" s="117"/>
      <c r="AF274" s="116" t="str">
        <f>IF(C274="3111. Logements",ROUND(VLOOKUP(C274,'Informations générales'!$C$66:$G$70,5,FALSE)*(AK274/$AL$27)/12,0)*12,IF(C274="3112. Logements",ROUND(VLOOKUP(C274,'Informations générales'!$C$66:$G$70,5,FALSE)*(AK274/$AM$27)/12,0)*12,IF(C274="3113. Logements",ROUND(VLOOKUP(C274,'Informations générales'!$C$66:$G$70,5,FALSE)*(AK274/$AN$27)/12,0)*12,IF(C274="3114. Logements",ROUND(VLOOKUP(C274,'Informations générales'!$C$66:$G$70,5,FALSE)*(AK274/$AO$27)/12,0)*12,IF(C274="3115. Logements",ROUND(VLOOKUP(C274,'Informations générales'!$C$66:$G$70,5,FALSE)*(AK274/$AP$27)/12,0)*12,"")))))</f>
        <v/>
      </c>
      <c r="AG274" s="117"/>
      <c r="AH274" s="116" t="str">
        <f t="shared" si="59"/>
        <v/>
      </c>
      <c r="AI274" s="92"/>
      <c r="AJ274" s="78"/>
      <c r="AK274" s="60">
        <f t="shared" si="60"/>
        <v>0</v>
      </c>
      <c r="AL274" s="60"/>
      <c r="AM274" s="60"/>
      <c r="AN274" s="60"/>
      <c r="AO274" s="60"/>
      <c r="AP274" s="60"/>
      <c r="AQ274" s="60">
        <f t="shared" si="48"/>
        <v>0</v>
      </c>
      <c r="AR274" s="60">
        <f t="shared" si="49"/>
        <v>0</v>
      </c>
      <c r="AS274" s="60">
        <f t="shared" si="50"/>
        <v>0</v>
      </c>
      <c r="AT274" s="60">
        <f t="shared" si="51"/>
        <v>0</v>
      </c>
      <c r="AU274" s="60">
        <f t="shared" si="52"/>
        <v>0</v>
      </c>
      <c r="AV274" s="60">
        <f t="shared" si="53"/>
        <v>0</v>
      </c>
      <c r="AW274" s="60">
        <f t="shared" si="54"/>
        <v>0</v>
      </c>
      <c r="AX274" s="60">
        <f t="shared" si="61"/>
        <v>0</v>
      </c>
      <c r="AY274" s="64">
        <f t="shared" si="62"/>
        <v>0</v>
      </c>
      <c r="AZ274" s="65">
        <f t="shared" si="55"/>
        <v>0</v>
      </c>
      <c r="BA274" s="65">
        <f t="shared" si="56"/>
        <v>0</v>
      </c>
    </row>
    <row r="275" spans="3:53" s="17" customFormat="1" x14ac:dyDescent="0.25">
      <c r="C275" s="194"/>
      <c r="D275" s="195"/>
      <c r="E275" s="90"/>
      <c r="F275" s="198"/>
      <c r="G275" s="214"/>
      <c r="H275" s="199"/>
      <c r="I275" s="78"/>
      <c r="J275" s="79"/>
      <c r="K275" s="78"/>
      <c r="L275" s="80"/>
      <c r="M275" s="80"/>
      <c r="N275" s="78" t="s">
        <v>39</v>
      </c>
      <c r="O275" s="113"/>
      <c r="P275" s="155"/>
      <c r="Q275" s="114" t="str">
        <f>IFERROR(MIN(VLOOKUP(ROUNDDOWN(P275,0),'Aide calcul'!$B$2:$C$282,2,FALSE),O275+1),"")</f>
        <v/>
      </c>
      <c r="R275" s="115" t="str">
        <f t="shared" si="57"/>
        <v/>
      </c>
      <c r="S275" s="155"/>
      <c r="T275" s="155"/>
      <c r="U275" s="155"/>
      <c r="V275" s="155"/>
      <c r="W275" s="155"/>
      <c r="X275" s="155"/>
      <c r="Y275" s="155"/>
      <c r="Z275" s="78"/>
      <c r="AA275" s="78"/>
      <c r="AB275" s="116" t="str">
        <f>IF(C275="3111. Logements",ROUND(VLOOKUP(C275,'Informations générales'!$C$66:$D$70,2,FALSE)*(AK275/$AL$27)/12,0)*12,IF(C275="3112. Logements",ROUND(VLOOKUP(C275,'Informations générales'!$C$66:$D$70,2,FALSE)*(AK275/$AM$27)/12,0)*12,IF(C275="3113. Logements",ROUND(VLOOKUP(C275,'Informations générales'!$C$66:$D$70,2,FALSE)*(AK275/$AN$27)/12,0)*12,IF(C275="3114. Logements",ROUND(VLOOKUP(C275,'Informations générales'!$C$66:$D$70,2,FALSE)*(AK275/$AO$27)/12,0)*12,IF(C275="3115. Logements",ROUND(VLOOKUP(C275,'Informations générales'!$C$66:$D$70,2,FALSE)*(AK275/$AP$27)/12,0)*12,"")))))</f>
        <v/>
      </c>
      <c r="AC275" s="117"/>
      <c r="AD275" s="116">
        <f t="shared" si="58"/>
        <v>0</v>
      </c>
      <c r="AE275" s="117"/>
      <c r="AF275" s="116" t="str">
        <f>IF(C275="3111. Logements",ROUND(VLOOKUP(C275,'Informations générales'!$C$66:$G$70,5,FALSE)*(AK275/$AL$27)/12,0)*12,IF(C275="3112. Logements",ROUND(VLOOKUP(C275,'Informations générales'!$C$66:$G$70,5,FALSE)*(AK275/$AM$27)/12,0)*12,IF(C275="3113. Logements",ROUND(VLOOKUP(C275,'Informations générales'!$C$66:$G$70,5,FALSE)*(AK275/$AN$27)/12,0)*12,IF(C275="3114. Logements",ROUND(VLOOKUP(C275,'Informations générales'!$C$66:$G$70,5,FALSE)*(AK275/$AO$27)/12,0)*12,IF(C275="3115. Logements",ROUND(VLOOKUP(C275,'Informations générales'!$C$66:$G$70,5,FALSE)*(AK275/$AP$27)/12,0)*12,"")))))</f>
        <v/>
      </c>
      <c r="AG275" s="117"/>
      <c r="AH275" s="116" t="str">
        <f t="shared" si="59"/>
        <v/>
      </c>
      <c r="AI275" s="92"/>
      <c r="AJ275" s="78"/>
      <c r="AK275" s="60">
        <f t="shared" si="60"/>
        <v>0</v>
      </c>
      <c r="AL275" s="60"/>
      <c r="AM275" s="60"/>
      <c r="AN275" s="60"/>
      <c r="AO275" s="60"/>
      <c r="AP275" s="60"/>
      <c r="AQ275" s="60">
        <f t="shared" si="48"/>
        <v>0</v>
      </c>
      <c r="AR275" s="60">
        <f t="shared" si="49"/>
        <v>0</v>
      </c>
      <c r="AS275" s="60">
        <f t="shared" si="50"/>
        <v>0</v>
      </c>
      <c r="AT275" s="60">
        <f t="shared" si="51"/>
        <v>0</v>
      </c>
      <c r="AU275" s="60">
        <f t="shared" si="52"/>
        <v>0</v>
      </c>
      <c r="AV275" s="60">
        <f t="shared" si="53"/>
        <v>0</v>
      </c>
      <c r="AW275" s="60">
        <f t="shared" si="54"/>
        <v>0</v>
      </c>
      <c r="AX275" s="60">
        <f t="shared" si="61"/>
        <v>0</v>
      </c>
      <c r="AY275" s="64">
        <f t="shared" si="62"/>
        <v>0</v>
      </c>
      <c r="AZ275" s="65">
        <f t="shared" si="55"/>
        <v>0</v>
      </c>
      <c r="BA275" s="65">
        <f t="shared" si="56"/>
        <v>0</v>
      </c>
    </row>
    <row r="276" spans="3:53" s="17" customFormat="1" x14ac:dyDescent="0.25">
      <c r="C276" s="194"/>
      <c r="D276" s="195"/>
      <c r="E276" s="90"/>
      <c r="F276" s="198"/>
      <c r="G276" s="214"/>
      <c r="H276" s="199"/>
      <c r="I276" s="78"/>
      <c r="J276" s="79"/>
      <c r="K276" s="78"/>
      <c r="L276" s="80"/>
      <c r="M276" s="80"/>
      <c r="N276" s="78" t="s">
        <v>39</v>
      </c>
      <c r="O276" s="113"/>
      <c r="P276" s="155"/>
      <c r="Q276" s="114" t="str">
        <f>IFERROR(MIN(VLOOKUP(ROUNDDOWN(P276,0),'Aide calcul'!$B$2:$C$282,2,FALSE),O276+1),"")</f>
        <v/>
      </c>
      <c r="R276" s="115" t="str">
        <f t="shared" si="57"/>
        <v/>
      </c>
      <c r="S276" s="155"/>
      <c r="T276" s="155"/>
      <c r="U276" s="155"/>
      <c r="V276" s="155"/>
      <c r="W276" s="155"/>
      <c r="X276" s="155"/>
      <c r="Y276" s="155"/>
      <c r="Z276" s="78"/>
      <c r="AA276" s="78"/>
      <c r="AB276" s="116" t="str">
        <f>IF(C276="3111. Logements",ROUND(VLOOKUP(C276,'Informations générales'!$C$66:$D$70,2,FALSE)*(AK276/$AL$27)/12,0)*12,IF(C276="3112. Logements",ROUND(VLOOKUP(C276,'Informations générales'!$C$66:$D$70,2,FALSE)*(AK276/$AM$27)/12,0)*12,IF(C276="3113. Logements",ROUND(VLOOKUP(C276,'Informations générales'!$C$66:$D$70,2,FALSE)*(AK276/$AN$27)/12,0)*12,IF(C276="3114. Logements",ROUND(VLOOKUP(C276,'Informations générales'!$C$66:$D$70,2,FALSE)*(AK276/$AO$27)/12,0)*12,IF(C276="3115. Logements",ROUND(VLOOKUP(C276,'Informations générales'!$C$66:$D$70,2,FALSE)*(AK276/$AP$27)/12,0)*12,"")))))</f>
        <v/>
      </c>
      <c r="AC276" s="117"/>
      <c r="AD276" s="116">
        <f t="shared" si="58"/>
        <v>0</v>
      </c>
      <c r="AE276" s="117"/>
      <c r="AF276" s="116" t="str">
        <f>IF(C276="3111. Logements",ROUND(VLOOKUP(C276,'Informations générales'!$C$66:$G$70,5,FALSE)*(AK276/$AL$27)/12,0)*12,IF(C276="3112. Logements",ROUND(VLOOKUP(C276,'Informations générales'!$C$66:$G$70,5,FALSE)*(AK276/$AM$27)/12,0)*12,IF(C276="3113. Logements",ROUND(VLOOKUP(C276,'Informations générales'!$C$66:$G$70,5,FALSE)*(AK276/$AN$27)/12,0)*12,IF(C276="3114. Logements",ROUND(VLOOKUP(C276,'Informations générales'!$C$66:$G$70,5,FALSE)*(AK276/$AO$27)/12,0)*12,IF(C276="3115. Logements",ROUND(VLOOKUP(C276,'Informations générales'!$C$66:$G$70,5,FALSE)*(AK276/$AP$27)/12,0)*12,"")))))</f>
        <v/>
      </c>
      <c r="AG276" s="117"/>
      <c r="AH276" s="116" t="str">
        <f t="shared" si="59"/>
        <v/>
      </c>
      <c r="AI276" s="92"/>
      <c r="AJ276" s="78"/>
      <c r="AK276" s="60">
        <f t="shared" si="60"/>
        <v>0</v>
      </c>
      <c r="AL276" s="60"/>
      <c r="AM276" s="60"/>
      <c r="AN276" s="60"/>
      <c r="AO276" s="60"/>
      <c r="AP276" s="60"/>
      <c r="AQ276" s="60">
        <f t="shared" si="48"/>
        <v>0</v>
      </c>
      <c r="AR276" s="60">
        <f t="shared" si="49"/>
        <v>0</v>
      </c>
      <c r="AS276" s="60">
        <f t="shared" si="50"/>
        <v>0</v>
      </c>
      <c r="AT276" s="60">
        <f t="shared" si="51"/>
        <v>0</v>
      </c>
      <c r="AU276" s="60">
        <f t="shared" si="52"/>
        <v>0</v>
      </c>
      <c r="AV276" s="60">
        <f t="shared" si="53"/>
        <v>0</v>
      </c>
      <c r="AW276" s="60">
        <f t="shared" si="54"/>
        <v>0</v>
      </c>
      <c r="AX276" s="60">
        <f t="shared" si="61"/>
        <v>0</v>
      </c>
      <c r="AY276" s="64">
        <f t="shared" si="62"/>
        <v>0</v>
      </c>
      <c r="AZ276" s="65">
        <f t="shared" si="55"/>
        <v>0</v>
      </c>
      <c r="BA276" s="65">
        <f t="shared" si="56"/>
        <v>0</v>
      </c>
    </row>
    <row r="277" spans="3:53" s="17" customFormat="1" x14ac:dyDescent="0.25">
      <c r="C277" s="194"/>
      <c r="D277" s="195"/>
      <c r="E277" s="90"/>
      <c r="F277" s="198"/>
      <c r="G277" s="214"/>
      <c r="H277" s="199"/>
      <c r="I277" s="78"/>
      <c r="J277" s="79"/>
      <c r="K277" s="78"/>
      <c r="L277" s="80"/>
      <c r="M277" s="80"/>
      <c r="N277" s="78" t="s">
        <v>39</v>
      </c>
      <c r="O277" s="113"/>
      <c r="P277" s="155"/>
      <c r="Q277" s="114" t="str">
        <f>IFERROR(MIN(VLOOKUP(ROUNDDOWN(P277,0),'Aide calcul'!$B$2:$C$282,2,FALSE),O277+1),"")</f>
        <v/>
      </c>
      <c r="R277" s="115" t="str">
        <f t="shared" si="57"/>
        <v/>
      </c>
      <c r="S277" s="155"/>
      <c r="T277" s="155"/>
      <c r="U277" s="155"/>
      <c r="V277" s="155"/>
      <c r="W277" s="155"/>
      <c r="X277" s="155"/>
      <c r="Y277" s="155"/>
      <c r="Z277" s="78"/>
      <c r="AA277" s="78"/>
      <c r="AB277" s="116" t="str">
        <f>IF(C277="3111. Logements",ROUND(VLOOKUP(C277,'Informations générales'!$C$66:$D$70,2,FALSE)*(AK277/$AL$27)/12,0)*12,IF(C277="3112. Logements",ROUND(VLOOKUP(C277,'Informations générales'!$C$66:$D$70,2,FALSE)*(AK277/$AM$27)/12,0)*12,IF(C277="3113. Logements",ROUND(VLOOKUP(C277,'Informations générales'!$C$66:$D$70,2,FALSE)*(AK277/$AN$27)/12,0)*12,IF(C277="3114. Logements",ROUND(VLOOKUP(C277,'Informations générales'!$C$66:$D$70,2,FALSE)*(AK277/$AO$27)/12,0)*12,IF(C277="3115. Logements",ROUND(VLOOKUP(C277,'Informations générales'!$C$66:$D$70,2,FALSE)*(AK277/$AP$27)/12,0)*12,"")))))</f>
        <v/>
      </c>
      <c r="AC277" s="117"/>
      <c r="AD277" s="116">
        <f t="shared" si="58"/>
        <v>0</v>
      </c>
      <c r="AE277" s="117"/>
      <c r="AF277" s="116" t="str">
        <f>IF(C277="3111. Logements",ROUND(VLOOKUP(C277,'Informations générales'!$C$66:$G$70,5,FALSE)*(AK277/$AL$27)/12,0)*12,IF(C277="3112. Logements",ROUND(VLOOKUP(C277,'Informations générales'!$C$66:$G$70,5,FALSE)*(AK277/$AM$27)/12,0)*12,IF(C277="3113. Logements",ROUND(VLOOKUP(C277,'Informations générales'!$C$66:$G$70,5,FALSE)*(AK277/$AN$27)/12,0)*12,IF(C277="3114. Logements",ROUND(VLOOKUP(C277,'Informations générales'!$C$66:$G$70,5,FALSE)*(AK277/$AO$27)/12,0)*12,IF(C277="3115. Logements",ROUND(VLOOKUP(C277,'Informations générales'!$C$66:$G$70,5,FALSE)*(AK277/$AP$27)/12,0)*12,"")))))</f>
        <v/>
      </c>
      <c r="AG277" s="117"/>
      <c r="AH277" s="116" t="str">
        <f t="shared" si="59"/>
        <v/>
      </c>
      <c r="AI277" s="92"/>
      <c r="AJ277" s="78"/>
      <c r="AK277" s="60">
        <f t="shared" si="60"/>
        <v>0</v>
      </c>
      <c r="AL277" s="60"/>
      <c r="AM277" s="60"/>
      <c r="AN277" s="60"/>
      <c r="AO277" s="60"/>
      <c r="AP277" s="60"/>
      <c r="AQ277" s="60">
        <f t="shared" si="48"/>
        <v>0</v>
      </c>
      <c r="AR277" s="60">
        <f t="shared" si="49"/>
        <v>0</v>
      </c>
      <c r="AS277" s="60">
        <f t="shared" si="50"/>
        <v>0</v>
      </c>
      <c r="AT277" s="60">
        <f t="shared" si="51"/>
        <v>0</v>
      </c>
      <c r="AU277" s="60">
        <f t="shared" si="52"/>
        <v>0</v>
      </c>
      <c r="AV277" s="60">
        <f t="shared" si="53"/>
        <v>0</v>
      </c>
      <c r="AW277" s="60">
        <f t="shared" si="54"/>
        <v>0</v>
      </c>
      <c r="AX277" s="60">
        <f t="shared" si="61"/>
        <v>0</v>
      </c>
      <c r="AY277" s="64">
        <f t="shared" si="62"/>
        <v>0</v>
      </c>
      <c r="AZ277" s="65">
        <f t="shared" si="55"/>
        <v>0</v>
      </c>
      <c r="BA277" s="65">
        <f t="shared" si="56"/>
        <v>0</v>
      </c>
    </row>
    <row r="278" spans="3:53" s="17" customFormat="1" x14ac:dyDescent="0.25">
      <c r="C278" s="194"/>
      <c r="D278" s="195"/>
      <c r="E278" s="90"/>
      <c r="F278" s="198"/>
      <c r="G278" s="214"/>
      <c r="H278" s="199"/>
      <c r="I278" s="78"/>
      <c r="J278" s="79"/>
      <c r="K278" s="78"/>
      <c r="L278" s="80"/>
      <c r="M278" s="80"/>
      <c r="N278" s="78" t="s">
        <v>39</v>
      </c>
      <c r="O278" s="113"/>
      <c r="P278" s="155"/>
      <c r="Q278" s="114" t="str">
        <f>IFERROR(MIN(VLOOKUP(ROUNDDOWN(P278,0),'Aide calcul'!$B$2:$C$282,2,FALSE),O278+1),"")</f>
        <v/>
      </c>
      <c r="R278" s="115" t="str">
        <f t="shared" si="57"/>
        <v/>
      </c>
      <c r="S278" s="155"/>
      <c r="T278" s="155"/>
      <c r="U278" s="155"/>
      <c r="V278" s="155"/>
      <c r="W278" s="155"/>
      <c r="X278" s="155"/>
      <c r="Y278" s="155"/>
      <c r="Z278" s="78"/>
      <c r="AA278" s="78"/>
      <c r="AB278" s="116" t="str">
        <f>IF(C278="3111. Logements",ROUND(VLOOKUP(C278,'Informations générales'!$C$66:$D$70,2,FALSE)*(AK278/$AL$27)/12,0)*12,IF(C278="3112. Logements",ROUND(VLOOKUP(C278,'Informations générales'!$C$66:$D$70,2,FALSE)*(AK278/$AM$27)/12,0)*12,IF(C278="3113. Logements",ROUND(VLOOKUP(C278,'Informations générales'!$C$66:$D$70,2,FALSE)*(AK278/$AN$27)/12,0)*12,IF(C278="3114. Logements",ROUND(VLOOKUP(C278,'Informations générales'!$C$66:$D$70,2,FALSE)*(AK278/$AO$27)/12,0)*12,IF(C278="3115. Logements",ROUND(VLOOKUP(C278,'Informations générales'!$C$66:$D$70,2,FALSE)*(AK278/$AP$27)/12,0)*12,"")))))</f>
        <v/>
      </c>
      <c r="AC278" s="117"/>
      <c r="AD278" s="116">
        <f t="shared" si="58"/>
        <v>0</v>
      </c>
      <c r="AE278" s="117"/>
      <c r="AF278" s="116" t="str">
        <f>IF(C278="3111. Logements",ROUND(VLOOKUP(C278,'Informations générales'!$C$66:$G$70,5,FALSE)*(AK278/$AL$27)/12,0)*12,IF(C278="3112. Logements",ROUND(VLOOKUP(C278,'Informations générales'!$C$66:$G$70,5,FALSE)*(AK278/$AM$27)/12,0)*12,IF(C278="3113. Logements",ROUND(VLOOKUP(C278,'Informations générales'!$C$66:$G$70,5,FALSE)*(AK278/$AN$27)/12,0)*12,IF(C278="3114. Logements",ROUND(VLOOKUP(C278,'Informations générales'!$C$66:$G$70,5,FALSE)*(AK278/$AO$27)/12,0)*12,IF(C278="3115. Logements",ROUND(VLOOKUP(C278,'Informations générales'!$C$66:$G$70,5,FALSE)*(AK278/$AP$27)/12,0)*12,"")))))</f>
        <v/>
      </c>
      <c r="AG278" s="117"/>
      <c r="AH278" s="116" t="str">
        <f t="shared" si="59"/>
        <v/>
      </c>
      <c r="AI278" s="92"/>
      <c r="AJ278" s="78"/>
      <c r="AK278" s="60">
        <f t="shared" si="60"/>
        <v>0</v>
      </c>
      <c r="AL278" s="60"/>
      <c r="AM278" s="60"/>
      <c r="AN278" s="60"/>
      <c r="AO278" s="60"/>
      <c r="AP278" s="60"/>
      <c r="AQ278" s="60">
        <f t="shared" si="48"/>
        <v>0</v>
      </c>
      <c r="AR278" s="60">
        <f t="shared" si="49"/>
        <v>0</v>
      </c>
      <c r="AS278" s="60">
        <f t="shared" si="50"/>
        <v>0</v>
      </c>
      <c r="AT278" s="60">
        <f t="shared" si="51"/>
        <v>0</v>
      </c>
      <c r="AU278" s="60">
        <f t="shared" si="52"/>
        <v>0</v>
      </c>
      <c r="AV278" s="60">
        <f t="shared" si="53"/>
        <v>0</v>
      </c>
      <c r="AW278" s="60">
        <f t="shared" si="54"/>
        <v>0</v>
      </c>
      <c r="AX278" s="60">
        <f t="shared" si="61"/>
        <v>0</v>
      </c>
      <c r="AY278" s="64">
        <f t="shared" si="62"/>
        <v>0</v>
      </c>
      <c r="AZ278" s="65">
        <f t="shared" si="55"/>
        <v>0</v>
      </c>
      <c r="BA278" s="65">
        <f t="shared" si="56"/>
        <v>0</v>
      </c>
    </row>
    <row r="279" spans="3:53" s="17" customFormat="1" x14ac:dyDescent="0.25">
      <c r="C279" s="194"/>
      <c r="D279" s="195"/>
      <c r="E279" s="90"/>
      <c r="F279" s="198"/>
      <c r="G279" s="214"/>
      <c r="H279" s="199"/>
      <c r="I279" s="78"/>
      <c r="J279" s="79"/>
      <c r="K279" s="78"/>
      <c r="L279" s="80"/>
      <c r="M279" s="80"/>
      <c r="N279" s="78" t="s">
        <v>39</v>
      </c>
      <c r="O279" s="113"/>
      <c r="P279" s="155"/>
      <c r="Q279" s="114" t="str">
        <f>IFERROR(MIN(VLOOKUP(ROUNDDOWN(P279,0),'Aide calcul'!$B$2:$C$282,2,FALSE),O279+1),"")</f>
        <v/>
      </c>
      <c r="R279" s="115" t="str">
        <f t="shared" si="57"/>
        <v/>
      </c>
      <c r="S279" s="155"/>
      <c r="T279" s="155"/>
      <c r="U279" s="155"/>
      <c r="V279" s="155"/>
      <c r="W279" s="155"/>
      <c r="X279" s="155"/>
      <c r="Y279" s="155"/>
      <c r="Z279" s="78"/>
      <c r="AA279" s="78"/>
      <c r="AB279" s="116" t="str">
        <f>IF(C279="3111. Logements",ROUND(VLOOKUP(C279,'Informations générales'!$C$66:$D$70,2,FALSE)*(AK279/$AL$27)/12,0)*12,IF(C279="3112. Logements",ROUND(VLOOKUP(C279,'Informations générales'!$C$66:$D$70,2,FALSE)*(AK279/$AM$27)/12,0)*12,IF(C279="3113. Logements",ROUND(VLOOKUP(C279,'Informations générales'!$C$66:$D$70,2,FALSE)*(AK279/$AN$27)/12,0)*12,IF(C279="3114. Logements",ROUND(VLOOKUP(C279,'Informations générales'!$C$66:$D$70,2,FALSE)*(AK279/$AO$27)/12,0)*12,IF(C279="3115. Logements",ROUND(VLOOKUP(C279,'Informations générales'!$C$66:$D$70,2,FALSE)*(AK279/$AP$27)/12,0)*12,"")))))</f>
        <v/>
      </c>
      <c r="AC279" s="117"/>
      <c r="AD279" s="116">
        <f t="shared" si="58"/>
        <v>0</v>
      </c>
      <c r="AE279" s="117"/>
      <c r="AF279" s="116" t="str">
        <f>IF(C279="3111. Logements",ROUND(VLOOKUP(C279,'Informations générales'!$C$66:$G$70,5,FALSE)*(AK279/$AL$27)/12,0)*12,IF(C279="3112. Logements",ROUND(VLOOKUP(C279,'Informations générales'!$C$66:$G$70,5,FALSE)*(AK279/$AM$27)/12,0)*12,IF(C279="3113. Logements",ROUND(VLOOKUP(C279,'Informations générales'!$C$66:$G$70,5,FALSE)*(AK279/$AN$27)/12,0)*12,IF(C279="3114. Logements",ROUND(VLOOKUP(C279,'Informations générales'!$C$66:$G$70,5,FALSE)*(AK279/$AO$27)/12,0)*12,IF(C279="3115. Logements",ROUND(VLOOKUP(C279,'Informations générales'!$C$66:$G$70,5,FALSE)*(AK279/$AP$27)/12,0)*12,"")))))</f>
        <v/>
      </c>
      <c r="AG279" s="117"/>
      <c r="AH279" s="116" t="str">
        <f t="shared" si="59"/>
        <v/>
      </c>
      <c r="AI279" s="92"/>
      <c r="AJ279" s="78"/>
      <c r="AK279" s="60">
        <f t="shared" si="60"/>
        <v>0</v>
      </c>
      <c r="AL279" s="60"/>
      <c r="AM279" s="60"/>
      <c r="AN279" s="60"/>
      <c r="AO279" s="60"/>
      <c r="AP279" s="60"/>
      <c r="AQ279" s="60">
        <f t="shared" si="48"/>
        <v>0</v>
      </c>
      <c r="AR279" s="60">
        <f t="shared" si="49"/>
        <v>0</v>
      </c>
      <c r="AS279" s="60">
        <f t="shared" si="50"/>
        <v>0</v>
      </c>
      <c r="AT279" s="60">
        <f t="shared" si="51"/>
        <v>0</v>
      </c>
      <c r="AU279" s="60">
        <f t="shared" si="52"/>
        <v>0</v>
      </c>
      <c r="AV279" s="60">
        <f t="shared" si="53"/>
        <v>0</v>
      </c>
      <c r="AW279" s="60">
        <f t="shared" si="54"/>
        <v>0</v>
      </c>
      <c r="AX279" s="60">
        <f t="shared" si="61"/>
        <v>0</v>
      </c>
      <c r="AY279" s="64">
        <f t="shared" si="62"/>
        <v>0</v>
      </c>
      <c r="AZ279" s="65">
        <f t="shared" si="55"/>
        <v>0</v>
      </c>
      <c r="BA279" s="65">
        <f t="shared" si="56"/>
        <v>0</v>
      </c>
    </row>
    <row r="280" spans="3:53" s="17" customFormat="1" x14ac:dyDescent="0.25">
      <c r="C280" s="194"/>
      <c r="D280" s="195"/>
      <c r="E280" s="90"/>
      <c r="F280" s="198"/>
      <c r="G280" s="214"/>
      <c r="H280" s="199"/>
      <c r="I280" s="78"/>
      <c r="J280" s="79"/>
      <c r="K280" s="78"/>
      <c r="L280" s="80"/>
      <c r="M280" s="80"/>
      <c r="N280" s="78" t="s">
        <v>39</v>
      </c>
      <c r="O280" s="113"/>
      <c r="P280" s="155"/>
      <c r="Q280" s="114" t="str">
        <f>IFERROR(MIN(VLOOKUP(ROUNDDOWN(P280,0),'Aide calcul'!$B$2:$C$282,2,FALSE),O280+1),"")</f>
        <v/>
      </c>
      <c r="R280" s="115" t="str">
        <f t="shared" si="57"/>
        <v/>
      </c>
      <c r="S280" s="155"/>
      <c r="T280" s="155"/>
      <c r="U280" s="155"/>
      <c r="V280" s="155"/>
      <c r="W280" s="155"/>
      <c r="X280" s="155"/>
      <c r="Y280" s="155"/>
      <c r="Z280" s="78"/>
      <c r="AA280" s="78"/>
      <c r="AB280" s="116" t="str">
        <f>IF(C280="3111. Logements",ROUND(VLOOKUP(C280,'Informations générales'!$C$66:$D$70,2,FALSE)*(AK280/$AL$27)/12,0)*12,IF(C280="3112. Logements",ROUND(VLOOKUP(C280,'Informations générales'!$C$66:$D$70,2,FALSE)*(AK280/$AM$27)/12,0)*12,IF(C280="3113. Logements",ROUND(VLOOKUP(C280,'Informations générales'!$C$66:$D$70,2,FALSE)*(AK280/$AN$27)/12,0)*12,IF(C280="3114. Logements",ROUND(VLOOKUP(C280,'Informations générales'!$C$66:$D$70,2,FALSE)*(AK280/$AO$27)/12,0)*12,IF(C280="3115. Logements",ROUND(VLOOKUP(C280,'Informations générales'!$C$66:$D$70,2,FALSE)*(AK280/$AP$27)/12,0)*12,"")))))</f>
        <v/>
      </c>
      <c r="AC280" s="117"/>
      <c r="AD280" s="116">
        <f t="shared" si="58"/>
        <v>0</v>
      </c>
      <c r="AE280" s="117"/>
      <c r="AF280" s="116" t="str">
        <f>IF(C280="3111. Logements",ROUND(VLOOKUP(C280,'Informations générales'!$C$66:$G$70,5,FALSE)*(AK280/$AL$27)/12,0)*12,IF(C280="3112. Logements",ROUND(VLOOKUP(C280,'Informations générales'!$C$66:$G$70,5,FALSE)*(AK280/$AM$27)/12,0)*12,IF(C280="3113. Logements",ROUND(VLOOKUP(C280,'Informations générales'!$C$66:$G$70,5,FALSE)*(AK280/$AN$27)/12,0)*12,IF(C280="3114. Logements",ROUND(VLOOKUP(C280,'Informations générales'!$C$66:$G$70,5,FALSE)*(AK280/$AO$27)/12,0)*12,IF(C280="3115. Logements",ROUND(VLOOKUP(C280,'Informations générales'!$C$66:$G$70,5,FALSE)*(AK280/$AP$27)/12,0)*12,"")))))</f>
        <v/>
      </c>
      <c r="AG280" s="117"/>
      <c r="AH280" s="116" t="str">
        <f t="shared" si="59"/>
        <v/>
      </c>
      <c r="AI280" s="92"/>
      <c r="AJ280" s="78"/>
      <c r="AK280" s="60">
        <f t="shared" si="60"/>
        <v>0</v>
      </c>
      <c r="AL280" s="60"/>
      <c r="AM280" s="60"/>
      <c r="AN280" s="60"/>
      <c r="AO280" s="60"/>
      <c r="AP280" s="60"/>
      <c r="AQ280" s="60">
        <f t="shared" si="48"/>
        <v>0</v>
      </c>
      <c r="AR280" s="60">
        <f t="shared" si="49"/>
        <v>0</v>
      </c>
      <c r="AS280" s="60">
        <f t="shared" si="50"/>
        <v>0</v>
      </c>
      <c r="AT280" s="60">
        <f t="shared" si="51"/>
        <v>0</v>
      </c>
      <c r="AU280" s="60">
        <f t="shared" si="52"/>
        <v>0</v>
      </c>
      <c r="AV280" s="60">
        <f t="shared" si="53"/>
        <v>0</v>
      </c>
      <c r="AW280" s="60">
        <f t="shared" si="54"/>
        <v>0</v>
      </c>
      <c r="AX280" s="60">
        <f t="shared" si="61"/>
        <v>0</v>
      </c>
      <c r="AY280" s="64">
        <f t="shared" si="62"/>
        <v>0</v>
      </c>
      <c r="AZ280" s="65">
        <f t="shared" si="55"/>
        <v>0</v>
      </c>
      <c r="BA280" s="65">
        <f t="shared" si="56"/>
        <v>0</v>
      </c>
    </row>
    <row r="281" spans="3:53" s="17" customFormat="1" x14ac:dyDescent="0.25">
      <c r="C281" s="194"/>
      <c r="D281" s="195"/>
      <c r="E281" s="90"/>
      <c r="F281" s="198"/>
      <c r="G281" s="214"/>
      <c r="H281" s="199"/>
      <c r="I281" s="78"/>
      <c r="J281" s="79"/>
      <c r="K281" s="78"/>
      <c r="L281" s="80"/>
      <c r="M281" s="80"/>
      <c r="N281" s="78" t="s">
        <v>39</v>
      </c>
      <c r="O281" s="113"/>
      <c r="P281" s="155"/>
      <c r="Q281" s="114" t="str">
        <f>IFERROR(MIN(VLOOKUP(ROUNDDOWN(P281,0),'Aide calcul'!$B$2:$C$282,2,FALSE),O281+1),"")</f>
        <v/>
      </c>
      <c r="R281" s="115" t="str">
        <f t="shared" si="57"/>
        <v/>
      </c>
      <c r="S281" s="155"/>
      <c r="T281" s="155"/>
      <c r="U281" s="155"/>
      <c r="V281" s="155"/>
      <c r="W281" s="155"/>
      <c r="X281" s="155"/>
      <c r="Y281" s="155"/>
      <c r="Z281" s="78"/>
      <c r="AA281" s="78"/>
      <c r="AB281" s="116" t="str">
        <f>IF(C281="3111. Logements",ROUND(VLOOKUP(C281,'Informations générales'!$C$66:$D$70,2,FALSE)*(AK281/$AL$27)/12,0)*12,IF(C281="3112. Logements",ROUND(VLOOKUP(C281,'Informations générales'!$C$66:$D$70,2,FALSE)*(AK281/$AM$27)/12,0)*12,IF(C281="3113. Logements",ROUND(VLOOKUP(C281,'Informations générales'!$C$66:$D$70,2,FALSE)*(AK281/$AN$27)/12,0)*12,IF(C281="3114. Logements",ROUND(VLOOKUP(C281,'Informations générales'!$C$66:$D$70,2,FALSE)*(AK281/$AO$27)/12,0)*12,IF(C281="3115. Logements",ROUND(VLOOKUP(C281,'Informations générales'!$C$66:$D$70,2,FALSE)*(AK281/$AP$27)/12,0)*12,"")))))</f>
        <v/>
      </c>
      <c r="AC281" s="117"/>
      <c r="AD281" s="116">
        <f t="shared" si="58"/>
        <v>0</v>
      </c>
      <c r="AE281" s="117"/>
      <c r="AF281" s="116" t="str">
        <f>IF(C281="3111. Logements",ROUND(VLOOKUP(C281,'Informations générales'!$C$66:$G$70,5,FALSE)*(AK281/$AL$27)/12,0)*12,IF(C281="3112. Logements",ROUND(VLOOKUP(C281,'Informations générales'!$C$66:$G$70,5,FALSE)*(AK281/$AM$27)/12,0)*12,IF(C281="3113. Logements",ROUND(VLOOKUP(C281,'Informations générales'!$C$66:$G$70,5,FALSE)*(AK281/$AN$27)/12,0)*12,IF(C281="3114. Logements",ROUND(VLOOKUP(C281,'Informations générales'!$C$66:$G$70,5,FALSE)*(AK281/$AO$27)/12,0)*12,IF(C281="3115. Logements",ROUND(VLOOKUP(C281,'Informations générales'!$C$66:$G$70,5,FALSE)*(AK281/$AP$27)/12,0)*12,"")))))</f>
        <v/>
      </c>
      <c r="AG281" s="117"/>
      <c r="AH281" s="116" t="str">
        <f t="shared" si="59"/>
        <v/>
      </c>
      <c r="AI281" s="92"/>
      <c r="AJ281" s="78"/>
      <c r="AK281" s="60">
        <f t="shared" si="60"/>
        <v>0</v>
      </c>
      <c r="AL281" s="60"/>
      <c r="AM281" s="60"/>
      <c r="AN281" s="60"/>
      <c r="AO281" s="60"/>
      <c r="AP281" s="60"/>
      <c r="AQ281" s="60">
        <f t="shared" si="48"/>
        <v>0</v>
      </c>
      <c r="AR281" s="60">
        <f t="shared" si="49"/>
        <v>0</v>
      </c>
      <c r="AS281" s="60">
        <f t="shared" si="50"/>
        <v>0</v>
      </c>
      <c r="AT281" s="60">
        <f t="shared" si="51"/>
        <v>0</v>
      </c>
      <c r="AU281" s="60">
        <f t="shared" si="52"/>
        <v>0</v>
      </c>
      <c r="AV281" s="60">
        <f t="shared" si="53"/>
        <v>0</v>
      </c>
      <c r="AW281" s="60">
        <f t="shared" si="54"/>
        <v>0</v>
      </c>
      <c r="AX281" s="60">
        <f t="shared" si="61"/>
        <v>0</v>
      </c>
      <c r="AY281" s="64">
        <f t="shared" si="62"/>
        <v>0</v>
      </c>
      <c r="AZ281" s="65">
        <f t="shared" si="55"/>
        <v>0</v>
      </c>
      <c r="BA281" s="65">
        <f t="shared" si="56"/>
        <v>0</v>
      </c>
    </row>
    <row r="282" spans="3:53" s="17" customFormat="1" x14ac:dyDescent="0.25">
      <c r="C282" s="194"/>
      <c r="D282" s="195"/>
      <c r="E282" s="90"/>
      <c r="F282" s="198"/>
      <c r="G282" s="214"/>
      <c r="H282" s="199"/>
      <c r="I282" s="78"/>
      <c r="J282" s="79"/>
      <c r="K282" s="78"/>
      <c r="L282" s="80"/>
      <c r="M282" s="80"/>
      <c r="N282" s="78" t="s">
        <v>39</v>
      </c>
      <c r="O282" s="113"/>
      <c r="P282" s="155"/>
      <c r="Q282" s="114" t="str">
        <f>IFERROR(MIN(VLOOKUP(ROUNDDOWN(P282,0),'Aide calcul'!$B$2:$C$282,2,FALSE),O282+1),"")</f>
        <v/>
      </c>
      <c r="R282" s="115" t="str">
        <f t="shared" si="57"/>
        <v/>
      </c>
      <c r="S282" s="155"/>
      <c r="T282" s="155"/>
      <c r="U282" s="155"/>
      <c r="V282" s="155"/>
      <c r="W282" s="155"/>
      <c r="X282" s="155"/>
      <c r="Y282" s="155"/>
      <c r="Z282" s="78"/>
      <c r="AA282" s="78"/>
      <c r="AB282" s="116" t="str">
        <f>IF(C282="3111. Logements",ROUND(VLOOKUP(C282,'Informations générales'!$C$66:$D$70,2,FALSE)*(AK282/$AL$27)/12,0)*12,IF(C282="3112. Logements",ROUND(VLOOKUP(C282,'Informations générales'!$C$66:$D$70,2,FALSE)*(AK282/$AM$27)/12,0)*12,IF(C282="3113. Logements",ROUND(VLOOKUP(C282,'Informations générales'!$C$66:$D$70,2,FALSE)*(AK282/$AN$27)/12,0)*12,IF(C282="3114. Logements",ROUND(VLOOKUP(C282,'Informations générales'!$C$66:$D$70,2,FALSE)*(AK282/$AO$27)/12,0)*12,IF(C282="3115. Logements",ROUND(VLOOKUP(C282,'Informations générales'!$C$66:$D$70,2,FALSE)*(AK282/$AP$27)/12,0)*12,"")))))</f>
        <v/>
      </c>
      <c r="AC282" s="117"/>
      <c r="AD282" s="116">
        <f t="shared" si="58"/>
        <v>0</v>
      </c>
      <c r="AE282" s="117"/>
      <c r="AF282" s="116" t="str">
        <f>IF(C282="3111. Logements",ROUND(VLOOKUP(C282,'Informations générales'!$C$66:$G$70,5,FALSE)*(AK282/$AL$27)/12,0)*12,IF(C282="3112. Logements",ROUND(VLOOKUP(C282,'Informations générales'!$C$66:$G$70,5,FALSE)*(AK282/$AM$27)/12,0)*12,IF(C282="3113. Logements",ROUND(VLOOKUP(C282,'Informations générales'!$C$66:$G$70,5,FALSE)*(AK282/$AN$27)/12,0)*12,IF(C282="3114. Logements",ROUND(VLOOKUP(C282,'Informations générales'!$C$66:$G$70,5,FALSE)*(AK282/$AO$27)/12,0)*12,IF(C282="3115. Logements",ROUND(VLOOKUP(C282,'Informations générales'!$C$66:$G$70,5,FALSE)*(AK282/$AP$27)/12,0)*12,"")))))</f>
        <v/>
      </c>
      <c r="AG282" s="117"/>
      <c r="AH282" s="116" t="str">
        <f t="shared" si="59"/>
        <v/>
      </c>
      <c r="AI282" s="92"/>
      <c r="AJ282" s="78"/>
      <c r="AK282" s="60">
        <f t="shared" si="60"/>
        <v>0</v>
      </c>
      <c r="AL282" s="60"/>
      <c r="AM282" s="60"/>
      <c r="AN282" s="60"/>
      <c r="AO282" s="60"/>
      <c r="AP282" s="60"/>
      <c r="AQ282" s="60">
        <f t="shared" si="48"/>
        <v>0</v>
      </c>
      <c r="AR282" s="60">
        <f t="shared" si="49"/>
        <v>0</v>
      </c>
      <c r="AS282" s="60">
        <f t="shared" si="50"/>
        <v>0</v>
      </c>
      <c r="AT282" s="60">
        <f t="shared" si="51"/>
        <v>0</v>
      </c>
      <c r="AU282" s="60">
        <f t="shared" si="52"/>
        <v>0</v>
      </c>
      <c r="AV282" s="60">
        <f t="shared" si="53"/>
        <v>0</v>
      </c>
      <c r="AW282" s="60">
        <f t="shared" si="54"/>
        <v>0</v>
      </c>
      <c r="AX282" s="60">
        <f t="shared" si="61"/>
        <v>0</v>
      </c>
      <c r="AY282" s="64">
        <f t="shared" si="62"/>
        <v>0</v>
      </c>
      <c r="AZ282" s="65">
        <f t="shared" si="55"/>
        <v>0</v>
      </c>
      <c r="BA282" s="65">
        <f t="shared" si="56"/>
        <v>0</v>
      </c>
    </row>
    <row r="283" spans="3:53" s="17" customFormat="1" x14ac:dyDescent="0.25">
      <c r="C283" s="194"/>
      <c r="D283" s="195"/>
      <c r="E283" s="90"/>
      <c r="F283" s="198"/>
      <c r="G283" s="214"/>
      <c r="H283" s="199"/>
      <c r="I283" s="78"/>
      <c r="J283" s="79"/>
      <c r="K283" s="78"/>
      <c r="L283" s="80"/>
      <c r="M283" s="80"/>
      <c r="N283" s="78" t="s">
        <v>39</v>
      </c>
      <c r="O283" s="113"/>
      <c r="P283" s="155"/>
      <c r="Q283" s="114" t="str">
        <f>IFERROR(MIN(VLOOKUP(ROUNDDOWN(P283,0),'Aide calcul'!$B$2:$C$282,2,FALSE),O283+1),"")</f>
        <v/>
      </c>
      <c r="R283" s="115" t="str">
        <f t="shared" si="57"/>
        <v/>
      </c>
      <c r="S283" s="155"/>
      <c r="T283" s="155"/>
      <c r="U283" s="155"/>
      <c r="V283" s="155"/>
      <c r="W283" s="155"/>
      <c r="X283" s="155"/>
      <c r="Y283" s="155"/>
      <c r="Z283" s="78"/>
      <c r="AA283" s="78"/>
      <c r="AB283" s="116" t="str">
        <f>IF(C283="3111. Logements",ROUND(VLOOKUP(C283,'Informations générales'!$C$66:$D$70,2,FALSE)*(AK283/$AL$27)/12,0)*12,IF(C283="3112. Logements",ROUND(VLOOKUP(C283,'Informations générales'!$C$66:$D$70,2,FALSE)*(AK283/$AM$27)/12,0)*12,IF(C283="3113. Logements",ROUND(VLOOKUP(C283,'Informations générales'!$C$66:$D$70,2,FALSE)*(AK283/$AN$27)/12,0)*12,IF(C283="3114. Logements",ROUND(VLOOKUP(C283,'Informations générales'!$C$66:$D$70,2,FALSE)*(AK283/$AO$27)/12,0)*12,IF(C283="3115. Logements",ROUND(VLOOKUP(C283,'Informations générales'!$C$66:$D$70,2,FALSE)*(AK283/$AP$27)/12,0)*12,"")))))</f>
        <v/>
      </c>
      <c r="AC283" s="117"/>
      <c r="AD283" s="116">
        <f t="shared" si="58"/>
        <v>0</v>
      </c>
      <c r="AE283" s="117"/>
      <c r="AF283" s="116" t="str">
        <f>IF(C283="3111. Logements",ROUND(VLOOKUP(C283,'Informations générales'!$C$66:$G$70,5,FALSE)*(AK283/$AL$27)/12,0)*12,IF(C283="3112. Logements",ROUND(VLOOKUP(C283,'Informations générales'!$C$66:$G$70,5,FALSE)*(AK283/$AM$27)/12,0)*12,IF(C283="3113. Logements",ROUND(VLOOKUP(C283,'Informations générales'!$C$66:$G$70,5,FALSE)*(AK283/$AN$27)/12,0)*12,IF(C283="3114. Logements",ROUND(VLOOKUP(C283,'Informations générales'!$C$66:$G$70,5,FALSE)*(AK283/$AO$27)/12,0)*12,IF(C283="3115. Logements",ROUND(VLOOKUP(C283,'Informations générales'!$C$66:$G$70,5,FALSE)*(AK283/$AP$27)/12,0)*12,"")))))</f>
        <v/>
      </c>
      <c r="AG283" s="117"/>
      <c r="AH283" s="116" t="str">
        <f t="shared" si="59"/>
        <v/>
      </c>
      <c r="AI283" s="92"/>
      <c r="AJ283" s="78"/>
      <c r="AK283" s="60">
        <f t="shared" si="60"/>
        <v>0</v>
      </c>
      <c r="AL283" s="60"/>
      <c r="AM283" s="60"/>
      <c r="AN283" s="60"/>
      <c r="AO283" s="60"/>
      <c r="AP283" s="60"/>
      <c r="AQ283" s="60">
        <f t="shared" ref="AQ283:AQ346" si="63">S283*$E$13</f>
        <v>0</v>
      </c>
      <c r="AR283" s="60">
        <f t="shared" ref="AR283:AR346" si="64">T283*$E$14</f>
        <v>0</v>
      </c>
      <c r="AS283" s="60">
        <f t="shared" ref="AS283:AS346" si="65">U283*$E$15</f>
        <v>0</v>
      </c>
      <c r="AT283" s="60">
        <f t="shared" ref="AT283:AT346" si="66">V283*$E$16</f>
        <v>0</v>
      </c>
      <c r="AU283" s="60">
        <f t="shared" ref="AU283:AU346" si="67">W283*$E$17</f>
        <v>0</v>
      </c>
      <c r="AV283" s="60">
        <f t="shared" ref="AV283:AV346" si="68">X283*$E$18</f>
        <v>0</v>
      </c>
      <c r="AW283" s="60">
        <f t="shared" ref="AW283:AW346" si="69">Y283*$E$19</f>
        <v>0</v>
      </c>
      <c r="AX283" s="60">
        <f t="shared" si="61"/>
        <v>0</v>
      </c>
      <c r="AY283" s="64">
        <f t="shared" si="62"/>
        <v>0</v>
      </c>
      <c r="AZ283" s="65">
        <f t="shared" ref="AZ283:AZ347" si="70">IFERROR(VLOOKUP(Z283,$H$12:$I$22,2,FALSE),0)</f>
        <v>0</v>
      </c>
      <c r="BA283" s="65">
        <f t="shared" ref="BA283:BA347" si="71">IFERROR(VLOOKUP(AA283,$L$12:$N$19,3,FALSE),0)</f>
        <v>0</v>
      </c>
    </row>
    <row r="284" spans="3:53" s="17" customFormat="1" x14ac:dyDescent="0.25">
      <c r="C284" s="194"/>
      <c r="D284" s="195"/>
      <c r="E284" s="90"/>
      <c r="F284" s="198"/>
      <c r="G284" s="214"/>
      <c r="H284" s="199"/>
      <c r="I284" s="78"/>
      <c r="J284" s="79"/>
      <c r="K284" s="78"/>
      <c r="L284" s="80"/>
      <c r="M284" s="80"/>
      <c r="N284" s="78" t="s">
        <v>39</v>
      </c>
      <c r="O284" s="113"/>
      <c r="P284" s="155"/>
      <c r="Q284" s="114" t="str">
        <f>IFERROR(MIN(VLOOKUP(ROUNDDOWN(P284,0),'Aide calcul'!$B$2:$C$282,2,FALSE),O284+1),"")</f>
        <v/>
      </c>
      <c r="R284" s="115" t="str">
        <f t="shared" ref="R284:R347" si="72">IFERROR(TRUNC(Q284-0.5),"")</f>
        <v/>
      </c>
      <c r="S284" s="155"/>
      <c r="T284" s="155"/>
      <c r="U284" s="155"/>
      <c r="V284" s="155"/>
      <c r="W284" s="155"/>
      <c r="X284" s="155"/>
      <c r="Y284" s="155"/>
      <c r="Z284" s="78"/>
      <c r="AA284" s="78"/>
      <c r="AB284" s="116" t="str">
        <f>IF(C284="3111. Logements",ROUND(VLOOKUP(C284,'Informations générales'!$C$66:$D$70,2,FALSE)*(AK284/$AL$27)/12,0)*12,IF(C284="3112. Logements",ROUND(VLOOKUP(C284,'Informations générales'!$C$66:$D$70,2,FALSE)*(AK284/$AM$27)/12,0)*12,IF(C284="3113. Logements",ROUND(VLOOKUP(C284,'Informations générales'!$C$66:$D$70,2,FALSE)*(AK284/$AN$27)/12,0)*12,IF(C284="3114. Logements",ROUND(VLOOKUP(C284,'Informations générales'!$C$66:$D$70,2,FALSE)*(AK284/$AO$27)/12,0)*12,IF(C284="3115. Logements",ROUND(VLOOKUP(C284,'Informations générales'!$C$66:$D$70,2,FALSE)*(AK284/$AP$27)/12,0)*12,"")))))</f>
        <v/>
      </c>
      <c r="AC284" s="117"/>
      <c r="AD284" s="116">
        <f t="shared" ref="AD284:AD347" si="73">MIN(AB284,AC284)</f>
        <v>0</v>
      </c>
      <c r="AE284" s="117"/>
      <c r="AF284" s="116" t="str">
        <f>IF(C284="3111. Logements",ROUND(VLOOKUP(C284,'Informations générales'!$C$66:$G$70,5,FALSE)*(AK284/$AL$27)/12,0)*12,IF(C284="3112. Logements",ROUND(VLOOKUP(C284,'Informations générales'!$C$66:$G$70,5,FALSE)*(AK284/$AM$27)/12,0)*12,IF(C284="3113. Logements",ROUND(VLOOKUP(C284,'Informations générales'!$C$66:$G$70,5,FALSE)*(AK284/$AN$27)/12,0)*12,IF(C284="3114. Logements",ROUND(VLOOKUP(C284,'Informations générales'!$C$66:$G$70,5,FALSE)*(AK284/$AO$27)/12,0)*12,IF(C284="3115. Logements",ROUND(VLOOKUP(C284,'Informations générales'!$C$66:$G$70,5,FALSE)*(AK284/$AP$27)/12,0)*12,"")))))</f>
        <v/>
      </c>
      <c r="AG284" s="117"/>
      <c r="AH284" s="116" t="str">
        <f t="shared" ref="AH284:AH347" si="74">IFERROR(IF(AE284/S284&lt;&gt;0,AE284/S284,AB284/S284),"")</f>
        <v/>
      </c>
      <c r="AI284" s="92"/>
      <c r="AJ284" s="78"/>
      <c r="AK284" s="60">
        <f t="shared" ref="AK284:AK347" si="75">AX284*(SUM(1,AY284,AZ284,BA284))</f>
        <v>0</v>
      </c>
      <c r="AL284" s="60"/>
      <c r="AM284" s="60"/>
      <c r="AN284" s="60"/>
      <c r="AO284" s="60"/>
      <c r="AP284" s="60"/>
      <c r="AQ284" s="60">
        <f t="shared" si="63"/>
        <v>0</v>
      </c>
      <c r="AR284" s="60">
        <f t="shared" si="64"/>
        <v>0</v>
      </c>
      <c r="AS284" s="60">
        <f t="shared" si="65"/>
        <v>0</v>
      </c>
      <c r="AT284" s="60">
        <f t="shared" si="66"/>
        <v>0</v>
      </c>
      <c r="AU284" s="60">
        <f t="shared" si="67"/>
        <v>0</v>
      </c>
      <c r="AV284" s="60">
        <f t="shared" si="68"/>
        <v>0</v>
      </c>
      <c r="AW284" s="60">
        <f t="shared" si="69"/>
        <v>0</v>
      </c>
      <c r="AX284" s="60">
        <f t="shared" ref="AX284:AX347" si="76">SUM(AQ284:AW284)</f>
        <v>0</v>
      </c>
      <c r="AY284" s="64">
        <f t="shared" ref="AY284:AY347" si="77">IFERROR(I284*$E$12,0)</f>
        <v>0</v>
      </c>
      <c r="AZ284" s="65">
        <f t="shared" si="70"/>
        <v>0</v>
      </c>
      <c r="BA284" s="65">
        <f t="shared" si="71"/>
        <v>0</v>
      </c>
    </row>
    <row r="285" spans="3:53" s="17" customFormat="1" x14ac:dyDescent="0.25">
      <c r="C285" s="194"/>
      <c r="D285" s="195"/>
      <c r="E285" s="90"/>
      <c r="F285" s="198"/>
      <c r="G285" s="214"/>
      <c r="H285" s="199"/>
      <c r="I285" s="78"/>
      <c r="J285" s="79"/>
      <c r="K285" s="78"/>
      <c r="L285" s="80"/>
      <c r="M285" s="80"/>
      <c r="N285" s="78" t="s">
        <v>39</v>
      </c>
      <c r="O285" s="113"/>
      <c r="P285" s="155"/>
      <c r="Q285" s="114" t="str">
        <f>IFERROR(MIN(VLOOKUP(ROUNDDOWN(P285,0),'Aide calcul'!$B$2:$C$282,2,FALSE),O285+1),"")</f>
        <v/>
      </c>
      <c r="R285" s="115" t="str">
        <f t="shared" si="72"/>
        <v/>
      </c>
      <c r="S285" s="155"/>
      <c r="T285" s="155"/>
      <c r="U285" s="155"/>
      <c r="V285" s="155"/>
      <c r="W285" s="155"/>
      <c r="X285" s="155"/>
      <c r="Y285" s="155"/>
      <c r="Z285" s="78"/>
      <c r="AA285" s="78"/>
      <c r="AB285" s="116" t="str">
        <f>IF(C285="3111. Logements",ROUND(VLOOKUP(C285,'Informations générales'!$C$66:$D$70,2,FALSE)*(AK285/$AL$27)/12,0)*12,IF(C285="3112. Logements",ROUND(VLOOKUP(C285,'Informations générales'!$C$66:$D$70,2,FALSE)*(AK285/$AM$27)/12,0)*12,IF(C285="3113. Logements",ROUND(VLOOKUP(C285,'Informations générales'!$C$66:$D$70,2,FALSE)*(AK285/$AN$27)/12,0)*12,IF(C285="3114. Logements",ROUND(VLOOKUP(C285,'Informations générales'!$C$66:$D$70,2,FALSE)*(AK285/$AO$27)/12,0)*12,IF(C285="3115. Logements",ROUND(VLOOKUP(C285,'Informations générales'!$C$66:$D$70,2,FALSE)*(AK285/$AP$27)/12,0)*12,"")))))</f>
        <v/>
      </c>
      <c r="AC285" s="117"/>
      <c r="AD285" s="116">
        <f t="shared" si="73"/>
        <v>0</v>
      </c>
      <c r="AE285" s="117"/>
      <c r="AF285" s="116" t="str">
        <f>IF(C285="3111. Logements",ROUND(VLOOKUP(C285,'Informations générales'!$C$66:$G$70,5,FALSE)*(AK285/$AL$27)/12,0)*12,IF(C285="3112. Logements",ROUND(VLOOKUP(C285,'Informations générales'!$C$66:$G$70,5,FALSE)*(AK285/$AM$27)/12,0)*12,IF(C285="3113. Logements",ROUND(VLOOKUP(C285,'Informations générales'!$C$66:$G$70,5,FALSE)*(AK285/$AN$27)/12,0)*12,IF(C285="3114. Logements",ROUND(VLOOKUP(C285,'Informations générales'!$C$66:$G$70,5,FALSE)*(AK285/$AO$27)/12,0)*12,IF(C285="3115. Logements",ROUND(VLOOKUP(C285,'Informations générales'!$C$66:$G$70,5,FALSE)*(AK285/$AP$27)/12,0)*12,"")))))</f>
        <v/>
      </c>
      <c r="AG285" s="117"/>
      <c r="AH285" s="116" t="str">
        <f t="shared" si="74"/>
        <v/>
      </c>
      <c r="AI285" s="92"/>
      <c r="AJ285" s="78"/>
      <c r="AK285" s="60">
        <f t="shared" si="75"/>
        <v>0</v>
      </c>
      <c r="AL285" s="60"/>
      <c r="AM285" s="60"/>
      <c r="AN285" s="60"/>
      <c r="AO285" s="60"/>
      <c r="AP285" s="60"/>
      <c r="AQ285" s="60">
        <f t="shared" si="63"/>
        <v>0</v>
      </c>
      <c r="AR285" s="60">
        <f t="shared" si="64"/>
        <v>0</v>
      </c>
      <c r="AS285" s="60">
        <f t="shared" si="65"/>
        <v>0</v>
      </c>
      <c r="AT285" s="60">
        <f t="shared" si="66"/>
        <v>0</v>
      </c>
      <c r="AU285" s="60">
        <f t="shared" si="67"/>
        <v>0</v>
      </c>
      <c r="AV285" s="60">
        <f t="shared" si="68"/>
        <v>0</v>
      </c>
      <c r="AW285" s="60">
        <f t="shared" si="69"/>
        <v>0</v>
      </c>
      <c r="AX285" s="60">
        <f t="shared" si="76"/>
        <v>0</v>
      </c>
      <c r="AY285" s="64">
        <f t="shared" si="77"/>
        <v>0</v>
      </c>
      <c r="AZ285" s="65">
        <f t="shared" si="70"/>
        <v>0</v>
      </c>
      <c r="BA285" s="65">
        <f t="shared" si="71"/>
        <v>0</v>
      </c>
    </row>
    <row r="286" spans="3:53" s="17" customFormat="1" x14ac:dyDescent="0.25">
      <c r="C286" s="194"/>
      <c r="D286" s="195"/>
      <c r="E286" s="90"/>
      <c r="F286" s="198"/>
      <c r="G286" s="214"/>
      <c r="H286" s="199"/>
      <c r="I286" s="78"/>
      <c r="J286" s="79"/>
      <c r="K286" s="78"/>
      <c r="L286" s="80"/>
      <c r="M286" s="80"/>
      <c r="N286" s="78" t="s">
        <v>39</v>
      </c>
      <c r="O286" s="113"/>
      <c r="P286" s="155"/>
      <c r="Q286" s="114" t="str">
        <f>IFERROR(MIN(VLOOKUP(ROUNDDOWN(P286,0),'Aide calcul'!$B$2:$C$282,2,FALSE),O286+1),"")</f>
        <v/>
      </c>
      <c r="R286" s="115" t="str">
        <f t="shared" si="72"/>
        <v/>
      </c>
      <c r="S286" s="155"/>
      <c r="T286" s="155"/>
      <c r="U286" s="155"/>
      <c r="V286" s="155"/>
      <c r="W286" s="155"/>
      <c r="X286" s="155"/>
      <c r="Y286" s="155"/>
      <c r="Z286" s="78"/>
      <c r="AA286" s="78"/>
      <c r="AB286" s="116" t="str">
        <f>IF(C286="3111. Logements",ROUND(VLOOKUP(C286,'Informations générales'!$C$66:$D$70,2,FALSE)*(AK286/$AL$27)/12,0)*12,IF(C286="3112. Logements",ROUND(VLOOKUP(C286,'Informations générales'!$C$66:$D$70,2,FALSE)*(AK286/$AM$27)/12,0)*12,IF(C286="3113. Logements",ROUND(VLOOKUP(C286,'Informations générales'!$C$66:$D$70,2,FALSE)*(AK286/$AN$27)/12,0)*12,IF(C286="3114. Logements",ROUND(VLOOKUP(C286,'Informations générales'!$C$66:$D$70,2,FALSE)*(AK286/$AO$27)/12,0)*12,IF(C286="3115. Logements",ROUND(VLOOKUP(C286,'Informations générales'!$C$66:$D$70,2,FALSE)*(AK286/$AP$27)/12,0)*12,"")))))</f>
        <v/>
      </c>
      <c r="AC286" s="117"/>
      <c r="AD286" s="116">
        <f t="shared" si="73"/>
        <v>0</v>
      </c>
      <c r="AE286" s="117"/>
      <c r="AF286" s="116" t="str">
        <f>IF(C286="3111. Logements",ROUND(VLOOKUP(C286,'Informations générales'!$C$66:$G$70,5,FALSE)*(AK286/$AL$27)/12,0)*12,IF(C286="3112. Logements",ROUND(VLOOKUP(C286,'Informations générales'!$C$66:$G$70,5,FALSE)*(AK286/$AM$27)/12,0)*12,IF(C286="3113. Logements",ROUND(VLOOKUP(C286,'Informations générales'!$C$66:$G$70,5,FALSE)*(AK286/$AN$27)/12,0)*12,IF(C286="3114. Logements",ROUND(VLOOKUP(C286,'Informations générales'!$C$66:$G$70,5,FALSE)*(AK286/$AO$27)/12,0)*12,IF(C286="3115. Logements",ROUND(VLOOKUP(C286,'Informations générales'!$C$66:$G$70,5,FALSE)*(AK286/$AP$27)/12,0)*12,"")))))</f>
        <v/>
      </c>
      <c r="AG286" s="117"/>
      <c r="AH286" s="116" t="str">
        <f t="shared" si="74"/>
        <v/>
      </c>
      <c r="AI286" s="92"/>
      <c r="AJ286" s="78"/>
      <c r="AK286" s="60">
        <f t="shared" si="75"/>
        <v>0</v>
      </c>
      <c r="AL286" s="60"/>
      <c r="AM286" s="60"/>
      <c r="AN286" s="60"/>
      <c r="AO286" s="60"/>
      <c r="AP286" s="60"/>
      <c r="AQ286" s="60">
        <f t="shared" si="63"/>
        <v>0</v>
      </c>
      <c r="AR286" s="60">
        <f t="shared" si="64"/>
        <v>0</v>
      </c>
      <c r="AS286" s="60">
        <f t="shared" si="65"/>
        <v>0</v>
      </c>
      <c r="AT286" s="60">
        <f t="shared" si="66"/>
        <v>0</v>
      </c>
      <c r="AU286" s="60">
        <f t="shared" si="67"/>
        <v>0</v>
      </c>
      <c r="AV286" s="60">
        <f t="shared" si="68"/>
        <v>0</v>
      </c>
      <c r="AW286" s="60">
        <f t="shared" si="69"/>
        <v>0</v>
      </c>
      <c r="AX286" s="60">
        <f t="shared" si="76"/>
        <v>0</v>
      </c>
      <c r="AY286" s="64">
        <f t="shared" si="77"/>
        <v>0</v>
      </c>
      <c r="AZ286" s="65">
        <f t="shared" si="70"/>
        <v>0</v>
      </c>
      <c r="BA286" s="65">
        <f t="shared" si="71"/>
        <v>0</v>
      </c>
    </row>
    <row r="287" spans="3:53" s="17" customFormat="1" x14ac:dyDescent="0.25">
      <c r="C287" s="194"/>
      <c r="D287" s="195"/>
      <c r="E287" s="90"/>
      <c r="F287" s="198"/>
      <c r="G287" s="214"/>
      <c r="H287" s="199"/>
      <c r="I287" s="78"/>
      <c r="J287" s="79"/>
      <c r="K287" s="78"/>
      <c r="L287" s="80"/>
      <c r="M287" s="80"/>
      <c r="N287" s="78" t="s">
        <v>39</v>
      </c>
      <c r="O287" s="113"/>
      <c r="P287" s="155"/>
      <c r="Q287" s="114" t="str">
        <f>IFERROR(MIN(VLOOKUP(ROUNDDOWN(P287,0),'Aide calcul'!$B$2:$C$282,2,FALSE),O287+1),"")</f>
        <v/>
      </c>
      <c r="R287" s="115" t="str">
        <f t="shared" si="72"/>
        <v/>
      </c>
      <c r="S287" s="155"/>
      <c r="T287" s="155"/>
      <c r="U287" s="155"/>
      <c r="V287" s="155"/>
      <c r="W287" s="155"/>
      <c r="X287" s="155"/>
      <c r="Y287" s="155"/>
      <c r="Z287" s="78"/>
      <c r="AA287" s="78"/>
      <c r="AB287" s="116" t="str">
        <f>IF(C287="3111. Logements",ROUND(VLOOKUP(C287,'Informations générales'!$C$66:$D$70,2,FALSE)*(AK287/$AL$27)/12,0)*12,IF(C287="3112. Logements",ROUND(VLOOKUP(C287,'Informations générales'!$C$66:$D$70,2,FALSE)*(AK287/$AM$27)/12,0)*12,IF(C287="3113. Logements",ROUND(VLOOKUP(C287,'Informations générales'!$C$66:$D$70,2,FALSE)*(AK287/$AN$27)/12,0)*12,IF(C287="3114. Logements",ROUND(VLOOKUP(C287,'Informations générales'!$C$66:$D$70,2,FALSE)*(AK287/$AO$27)/12,0)*12,IF(C287="3115. Logements",ROUND(VLOOKUP(C287,'Informations générales'!$C$66:$D$70,2,FALSE)*(AK287/$AP$27)/12,0)*12,"")))))</f>
        <v/>
      </c>
      <c r="AC287" s="117"/>
      <c r="AD287" s="116">
        <f t="shared" si="73"/>
        <v>0</v>
      </c>
      <c r="AE287" s="117"/>
      <c r="AF287" s="116" t="str">
        <f>IF(C287="3111. Logements",ROUND(VLOOKUP(C287,'Informations générales'!$C$66:$G$70,5,FALSE)*(AK287/$AL$27)/12,0)*12,IF(C287="3112. Logements",ROUND(VLOOKUP(C287,'Informations générales'!$C$66:$G$70,5,FALSE)*(AK287/$AM$27)/12,0)*12,IF(C287="3113. Logements",ROUND(VLOOKUP(C287,'Informations générales'!$C$66:$G$70,5,FALSE)*(AK287/$AN$27)/12,0)*12,IF(C287="3114. Logements",ROUND(VLOOKUP(C287,'Informations générales'!$C$66:$G$70,5,FALSE)*(AK287/$AO$27)/12,0)*12,IF(C287="3115. Logements",ROUND(VLOOKUP(C287,'Informations générales'!$C$66:$G$70,5,FALSE)*(AK287/$AP$27)/12,0)*12,"")))))</f>
        <v/>
      </c>
      <c r="AG287" s="117"/>
      <c r="AH287" s="116" t="str">
        <f t="shared" si="74"/>
        <v/>
      </c>
      <c r="AI287" s="92"/>
      <c r="AJ287" s="78"/>
      <c r="AK287" s="60">
        <f t="shared" si="75"/>
        <v>0</v>
      </c>
      <c r="AL287" s="60"/>
      <c r="AM287" s="60"/>
      <c r="AN287" s="60"/>
      <c r="AO287" s="60"/>
      <c r="AP287" s="60"/>
      <c r="AQ287" s="60">
        <f t="shared" si="63"/>
        <v>0</v>
      </c>
      <c r="AR287" s="60">
        <f t="shared" si="64"/>
        <v>0</v>
      </c>
      <c r="AS287" s="60">
        <f t="shared" si="65"/>
        <v>0</v>
      </c>
      <c r="AT287" s="60">
        <f t="shared" si="66"/>
        <v>0</v>
      </c>
      <c r="AU287" s="60">
        <f t="shared" si="67"/>
        <v>0</v>
      </c>
      <c r="AV287" s="60">
        <f t="shared" si="68"/>
        <v>0</v>
      </c>
      <c r="AW287" s="60">
        <f t="shared" si="69"/>
        <v>0</v>
      </c>
      <c r="AX287" s="60">
        <f t="shared" si="76"/>
        <v>0</v>
      </c>
      <c r="AY287" s="64">
        <f t="shared" si="77"/>
        <v>0</v>
      </c>
      <c r="AZ287" s="65">
        <f t="shared" si="70"/>
        <v>0</v>
      </c>
      <c r="BA287" s="65">
        <f t="shared" si="71"/>
        <v>0</v>
      </c>
    </row>
    <row r="288" spans="3:53" s="17" customFormat="1" x14ac:dyDescent="0.25">
      <c r="C288" s="194"/>
      <c r="D288" s="195"/>
      <c r="E288" s="90"/>
      <c r="F288" s="198"/>
      <c r="G288" s="214"/>
      <c r="H288" s="199"/>
      <c r="I288" s="78"/>
      <c r="J288" s="79"/>
      <c r="K288" s="78"/>
      <c r="L288" s="80"/>
      <c r="M288" s="80"/>
      <c r="N288" s="78" t="s">
        <v>39</v>
      </c>
      <c r="O288" s="113"/>
      <c r="P288" s="155"/>
      <c r="Q288" s="114" t="str">
        <f>IFERROR(MIN(VLOOKUP(ROUNDDOWN(P288,0),'Aide calcul'!$B$2:$C$282,2,FALSE),O288+1),"")</f>
        <v/>
      </c>
      <c r="R288" s="115" t="str">
        <f t="shared" si="72"/>
        <v/>
      </c>
      <c r="S288" s="155"/>
      <c r="T288" s="155"/>
      <c r="U288" s="155"/>
      <c r="V288" s="155"/>
      <c r="W288" s="155"/>
      <c r="X288" s="155"/>
      <c r="Y288" s="155"/>
      <c r="Z288" s="78"/>
      <c r="AA288" s="78"/>
      <c r="AB288" s="116" t="str">
        <f>IF(C288="3111. Logements",ROUND(VLOOKUP(C288,'Informations générales'!$C$66:$D$70,2,FALSE)*(AK288/$AL$27)/12,0)*12,IF(C288="3112. Logements",ROUND(VLOOKUP(C288,'Informations générales'!$C$66:$D$70,2,FALSE)*(AK288/$AM$27)/12,0)*12,IF(C288="3113. Logements",ROUND(VLOOKUP(C288,'Informations générales'!$C$66:$D$70,2,FALSE)*(AK288/$AN$27)/12,0)*12,IF(C288="3114. Logements",ROUND(VLOOKUP(C288,'Informations générales'!$C$66:$D$70,2,FALSE)*(AK288/$AO$27)/12,0)*12,IF(C288="3115. Logements",ROUND(VLOOKUP(C288,'Informations générales'!$C$66:$D$70,2,FALSE)*(AK288/$AP$27)/12,0)*12,"")))))</f>
        <v/>
      </c>
      <c r="AC288" s="117"/>
      <c r="AD288" s="116">
        <f t="shared" si="73"/>
        <v>0</v>
      </c>
      <c r="AE288" s="117"/>
      <c r="AF288" s="116" t="str">
        <f>IF(C288="3111. Logements",ROUND(VLOOKUP(C288,'Informations générales'!$C$66:$G$70,5,FALSE)*(AK288/$AL$27)/12,0)*12,IF(C288="3112. Logements",ROUND(VLOOKUP(C288,'Informations générales'!$C$66:$G$70,5,FALSE)*(AK288/$AM$27)/12,0)*12,IF(C288="3113. Logements",ROUND(VLOOKUP(C288,'Informations générales'!$C$66:$G$70,5,FALSE)*(AK288/$AN$27)/12,0)*12,IF(C288="3114. Logements",ROUND(VLOOKUP(C288,'Informations générales'!$C$66:$G$70,5,FALSE)*(AK288/$AO$27)/12,0)*12,IF(C288="3115. Logements",ROUND(VLOOKUP(C288,'Informations générales'!$C$66:$G$70,5,FALSE)*(AK288/$AP$27)/12,0)*12,"")))))</f>
        <v/>
      </c>
      <c r="AG288" s="117"/>
      <c r="AH288" s="116" t="str">
        <f t="shared" si="74"/>
        <v/>
      </c>
      <c r="AI288" s="92"/>
      <c r="AJ288" s="78"/>
      <c r="AK288" s="60">
        <f t="shared" si="75"/>
        <v>0</v>
      </c>
      <c r="AL288" s="60"/>
      <c r="AM288" s="60"/>
      <c r="AN288" s="60"/>
      <c r="AO288" s="60"/>
      <c r="AP288" s="60"/>
      <c r="AQ288" s="60">
        <f t="shared" si="63"/>
        <v>0</v>
      </c>
      <c r="AR288" s="60">
        <f t="shared" si="64"/>
        <v>0</v>
      </c>
      <c r="AS288" s="60">
        <f t="shared" si="65"/>
        <v>0</v>
      </c>
      <c r="AT288" s="60">
        <f t="shared" si="66"/>
        <v>0</v>
      </c>
      <c r="AU288" s="60">
        <f t="shared" si="67"/>
        <v>0</v>
      </c>
      <c r="AV288" s="60">
        <f t="shared" si="68"/>
        <v>0</v>
      </c>
      <c r="AW288" s="60">
        <f t="shared" si="69"/>
        <v>0</v>
      </c>
      <c r="AX288" s="60">
        <f t="shared" si="76"/>
        <v>0</v>
      </c>
      <c r="AY288" s="64">
        <f t="shared" si="77"/>
        <v>0</v>
      </c>
      <c r="AZ288" s="65">
        <f t="shared" si="70"/>
        <v>0</v>
      </c>
      <c r="BA288" s="65">
        <f t="shared" si="71"/>
        <v>0</v>
      </c>
    </row>
    <row r="289" spans="3:53" s="17" customFormat="1" x14ac:dyDescent="0.25">
      <c r="C289" s="194"/>
      <c r="D289" s="195"/>
      <c r="E289" s="90"/>
      <c r="F289" s="198"/>
      <c r="G289" s="214"/>
      <c r="H289" s="199"/>
      <c r="I289" s="78"/>
      <c r="J289" s="79"/>
      <c r="K289" s="78"/>
      <c r="L289" s="80"/>
      <c r="M289" s="80"/>
      <c r="N289" s="78" t="s">
        <v>39</v>
      </c>
      <c r="O289" s="113"/>
      <c r="P289" s="155"/>
      <c r="Q289" s="114" t="str">
        <f>IFERROR(MIN(VLOOKUP(ROUNDDOWN(P289,0),'Aide calcul'!$B$2:$C$282,2,FALSE),O289+1),"")</f>
        <v/>
      </c>
      <c r="R289" s="115" t="str">
        <f t="shared" si="72"/>
        <v/>
      </c>
      <c r="S289" s="155"/>
      <c r="T289" s="155"/>
      <c r="U289" s="155"/>
      <c r="V289" s="155"/>
      <c r="W289" s="155"/>
      <c r="X289" s="155"/>
      <c r="Y289" s="155"/>
      <c r="Z289" s="78"/>
      <c r="AA289" s="78"/>
      <c r="AB289" s="116" t="str">
        <f>IF(C289="3111. Logements",ROUND(VLOOKUP(C289,'Informations générales'!$C$66:$D$70,2,FALSE)*(AK289/$AL$27)/12,0)*12,IF(C289="3112. Logements",ROUND(VLOOKUP(C289,'Informations générales'!$C$66:$D$70,2,FALSE)*(AK289/$AM$27)/12,0)*12,IF(C289="3113. Logements",ROUND(VLOOKUP(C289,'Informations générales'!$C$66:$D$70,2,FALSE)*(AK289/$AN$27)/12,0)*12,IF(C289="3114. Logements",ROUND(VLOOKUP(C289,'Informations générales'!$C$66:$D$70,2,FALSE)*(AK289/$AO$27)/12,0)*12,IF(C289="3115. Logements",ROUND(VLOOKUP(C289,'Informations générales'!$C$66:$D$70,2,FALSE)*(AK289/$AP$27)/12,0)*12,"")))))</f>
        <v/>
      </c>
      <c r="AC289" s="117"/>
      <c r="AD289" s="116">
        <f t="shared" si="73"/>
        <v>0</v>
      </c>
      <c r="AE289" s="117"/>
      <c r="AF289" s="116" t="str">
        <f>IF(C289="3111. Logements",ROUND(VLOOKUP(C289,'Informations générales'!$C$66:$G$70,5,FALSE)*(AK289/$AL$27)/12,0)*12,IF(C289="3112. Logements",ROUND(VLOOKUP(C289,'Informations générales'!$C$66:$G$70,5,FALSE)*(AK289/$AM$27)/12,0)*12,IF(C289="3113. Logements",ROUND(VLOOKUP(C289,'Informations générales'!$C$66:$G$70,5,FALSE)*(AK289/$AN$27)/12,0)*12,IF(C289="3114. Logements",ROUND(VLOOKUP(C289,'Informations générales'!$C$66:$G$70,5,FALSE)*(AK289/$AO$27)/12,0)*12,IF(C289="3115. Logements",ROUND(VLOOKUP(C289,'Informations générales'!$C$66:$G$70,5,FALSE)*(AK289/$AP$27)/12,0)*12,"")))))</f>
        <v/>
      </c>
      <c r="AG289" s="117"/>
      <c r="AH289" s="116" t="str">
        <f t="shared" si="74"/>
        <v/>
      </c>
      <c r="AI289" s="92"/>
      <c r="AJ289" s="78"/>
      <c r="AK289" s="60">
        <f t="shared" si="75"/>
        <v>0</v>
      </c>
      <c r="AL289" s="60"/>
      <c r="AM289" s="60"/>
      <c r="AN289" s="60"/>
      <c r="AO289" s="60"/>
      <c r="AP289" s="60"/>
      <c r="AQ289" s="60">
        <f t="shared" si="63"/>
        <v>0</v>
      </c>
      <c r="AR289" s="60">
        <f t="shared" si="64"/>
        <v>0</v>
      </c>
      <c r="AS289" s="60">
        <f t="shared" si="65"/>
        <v>0</v>
      </c>
      <c r="AT289" s="60">
        <f t="shared" si="66"/>
        <v>0</v>
      </c>
      <c r="AU289" s="60">
        <f t="shared" si="67"/>
        <v>0</v>
      </c>
      <c r="AV289" s="60">
        <f t="shared" si="68"/>
        <v>0</v>
      </c>
      <c r="AW289" s="60">
        <f t="shared" si="69"/>
        <v>0</v>
      </c>
      <c r="AX289" s="60">
        <f t="shared" si="76"/>
        <v>0</v>
      </c>
      <c r="AY289" s="64">
        <f t="shared" si="77"/>
        <v>0</v>
      </c>
      <c r="AZ289" s="65">
        <f t="shared" si="70"/>
        <v>0</v>
      </c>
      <c r="BA289" s="65">
        <f t="shared" si="71"/>
        <v>0</v>
      </c>
    </row>
    <row r="290" spans="3:53" s="17" customFormat="1" x14ac:dyDescent="0.25">
      <c r="C290" s="194"/>
      <c r="D290" s="195"/>
      <c r="E290" s="90"/>
      <c r="F290" s="198"/>
      <c r="G290" s="214"/>
      <c r="H290" s="199"/>
      <c r="I290" s="78"/>
      <c r="J290" s="79"/>
      <c r="K290" s="78"/>
      <c r="L290" s="80"/>
      <c r="M290" s="80"/>
      <c r="N290" s="78" t="s">
        <v>39</v>
      </c>
      <c r="O290" s="113"/>
      <c r="P290" s="155"/>
      <c r="Q290" s="114" t="str">
        <f>IFERROR(MIN(VLOOKUP(ROUNDDOWN(P290,0),'Aide calcul'!$B$2:$C$282,2,FALSE),O290+1),"")</f>
        <v/>
      </c>
      <c r="R290" s="115" t="str">
        <f t="shared" si="72"/>
        <v/>
      </c>
      <c r="S290" s="155"/>
      <c r="T290" s="155"/>
      <c r="U290" s="155"/>
      <c r="V290" s="155"/>
      <c r="W290" s="155"/>
      <c r="X290" s="155"/>
      <c r="Y290" s="155"/>
      <c r="Z290" s="78"/>
      <c r="AA290" s="78"/>
      <c r="AB290" s="116" t="str">
        <f>IF(C290="3111. Logements",ROUND(VLOOKUP(C290,'Informations générales'!$C$66:$D$70,2,FALSE)*(AK290/$AL$27)/12,0)*12,IF(C290="3112. Logements",ROUND(VLOOKUP(C290,'Informations générales'!$C$66:$D$70,2,FALSE)*(AK290/$AM$27)/12,0)*12,IF(C290="3113. Logements",ROUND(VLOOKUP(C290,'Informations générales'!$C$66:$D$70,2,FALSE)*(AK290/$AN$27)/12,0)*12,IF(C290="3114. Logements",ROUND(VLOOKUP(C290,'Informations générales'!$C$66:$D$70,2,FALSE)*(AK290/$AO$27)/12,0)*12,IF(C290="3115. Logements",ROUND(VLOOKUP(C290,'Informations générales'!$C$66:$D$70,2,FALSE)*(AK290/$AP$27)/12,0)*12,"")))))</f>
        <v/>
      </c>
      <c r="AC290" s="117"/>
      <c r="AD290" s="116">
        <f t="shared" si="73"/>
        <v>0</v>
      </c>
      <c r="AE290" s="117"/>
      <c r="AF290" s="116" t="str">
        <f>IF(C290="3111. Logements",ROUND(VLOOKUP(C290,'Informations générales'!$C$66:$G$70,5,FALSE)*(AK290/$AL$27)/12,0)*12,IF(C290="3112. Logements",ROUND(VLOOKUP(C290,'Informations générales'!$C$66:$G$70,5,FALSE)*(AK290/$AM$27)/12,0)*12,IF(C290="3113. Logements",ROUND(VLOOKUP(C290,'Informations générales'!$C$66:$G$70,5,FALSE)*(AK290/$AN$27)/12,0)*12,IF(C290="3114. Logements",ROUND(VLOOKUP(C290,'Informations générales'!$C$66:$G$70,5,FALSE)*(AK290/$AO$27)/12,0)*12,IF(C290="3115. Logements",ROUND(VLOOKUP(C290,'Informations générales'!$C$66:$G$70,5,FALSE)*(AK290/$AP$27)/12,0)*12,"")))))</f>
        <v/>
      </c>
      <c r="AG290" s="117"/>
      <c r="AH290" s="116" t="str">
        <f t="shared" si="74"/>
        <v/>
      </c>
      <c r="AI290" s="92"/>
      <c r="AJ290" s="78"/>
      <c r="AK290" s="60">
        <f t="shared" si="75"/>
        <v>0</v>
      </c>
      <c r="AL290" s="60"/>
      <c r="AM290" s="60"/>
      <c r="AN290" s="60"/>
      <c r="AO290" s="60"/>
      <c r="AP290" s="60"/>
      <c r="AQ290" s="60">
        <f t="shared" si="63"/>
        <v>0</v>
      </c>
      <c r="AR290" s="60">
        <f t="shared" si="64"/>
        <v>0</v>
      </c>
      <c r="AS290" s="60">
        <f t="shared" si="65"/>
        <v>0</v>
      </c>
      <c r="AT290" s="60">
        <f t="shared" si="66"/>
        <v>0</v>
      </c>
      <c r="AU290" s="60">
        <f t="shared" si="67"/>
        <v>0</v>
      </c>
      <c r="AV290" s="60">
        <f t="shared" si="68"/>
        <v>0</v>
      </c>
      <c r="AW290" s="60">
        <f t="shared" si="69"/>
        <v>0</v>
      </c>
      <c r="AX290" s="60">
        <f t="shared" si="76"/>
        <v>0</v>
      </c>
      <c r="AY290" s="64">
        <f t="shared" si="77"/>
        <v>0</v>
      </c>
      <c r="AZ290" s="65">
        <f t="shared" si="70"/>
        <v>0</v>
      </c>
      <c r="BA290" s="65">
        <f t="shared" si="71"/>
        <v>0</v>
      </c>
    </row>
    <row r="291" spans="3:53" s="17" customFormat="1" x14ac:dyDescent="0.25">
      <c r="C291" s="194"/>
      <c r="D291" s="195"/>
      <c r="E291" s="90"/>
      <c r="F291" s="198"/>
      <c r="G291" s="214"/>
      <c r="H291" s="199"/>
      <c r="I291" s="78"/>
      <c r="J291" s="79"/>
      <c r="K291" s="78"/>
      <c r="L291" s="80"/>
      <c r="M291" s="80"/>
      <c r="N291" s="78" t="s">
        <v>39</v>
      </c>
      <c r="O291" s="113"/>
      <c r="P291" s="155"/>
      <c r="Q291" s="114" t="str">
        <f>IFERROR(MIN(VLOOKUP(ROUNDDOWN(P291,0),'Aide calcul'!$B$2:$C$282,2,FALSE),O291+1),"")</f>
        <v/>
      </c>
      <c r="R291" s="115" t="str">
        <f t="shared" si="72"/>
        <v/>
      </c>
      <c r="S291" s="155"/>
      <c r="T291" s="155"/>
      <c r="U291" s="155"/>
      <c r="V291" s="155"/>
      <c r="W291" s="155"/>
      <c r="X291" s="155"/>
      <c r="Y291" s="155"/>
      <c r="Z291" s="78"/>
      <c r="AA291" s="78"/>
      <c r="AB291" s="116" t="str">
        <f>IF(C291="3111. Logements",ROUND(VLOOKUP(C291,'Informations générales'!$C$66:$D$70,2,FALSE)*(AK291/$AL$27)/12,0)*12,IF(C291="3112. Logements",ROUND(VLOOKUP(C291,'Informations générales'!$C$66:$D$70,2,FALSE)*(AK291/$AM$27)/12,0)*12,IF(C291="3113. Logements",ROUND(VLOOKUP(C291,'Informations générales'!$C$66:$D$70,2,FALSE)*(AK291/$AN$27)/12,0)*12,IF(C291="3114. Logements",ROUND(VLOOKUP(C291,'Informations générales'!$C$66:$D$70,2,FALSE)*(AK291/$AO$27)/12,0)*12,IF(C291="3115. Logements",ROUND(VLOOKUP(C291,'Informations générales'!$C$66:$D$70,2,FALSE)*(AK291/$AP$27)/12,0)*12,"")))))</f>
        <v/>
      </c>
      <c r="AC291" s="117"/>
      <c r="AD291" s="116">
        <f t="shared" si="73"/>
        <v>0</v>
      </c>
      <c r="AE291" s="117"/>
      <c r="AF291" s="116" t="str">
        <f>IF(C291="3111. Logements",ROUND(VLOOKUP(C291,'Informations générales'!$C$66:$G$70,5,FALSE)*(AK291/$AL$27)/12,0)*12,IF(C291="3112. Logements",ROUND(VLOOKUP(C291,'Informations générales'!$C$66:$G$70,5,FALSE)*(AK291/$AM$27)/12,0)*12,IF(C291="3113. Logements",ROUND(VLOOKUP(C291,'Informations générales'!$C$66:$G$70,5,FALSE)*(AK291/$AN$27)/12,0)*12,IF(C291="3114. Logements",ROUND(VLOOKUP(C291,'Informations générales'!$C$66:$G$70,5,FALSE)*(AK291/$AO$27)/12,0)*12,IF(C291="3115. Logements",ROUND(VLOOKUP(C291,'Informations générales'!$C$66:$G$70,5,FALSE)*(AK291/$AP$27)/12,0)*12,"")))))</f>
        <v/>
      </c>
      <c r="AG291" s="117"/>
      <c r="AH291" s="116" t="str">
        <f t="shared" si="74"/>
        <v/>
      </c>
      <c r="AI291" s="92"/>
      <c r="AJ291" s="78"/>
      <c r="AK291" s="60">
        <f t="shared" si="75"/>
        <v>0</v>
      </c>
      <c r="AL291" s="60"/>
      <c r="AM291" s="60"/>
      <c r="AN291" s="60"/>
      <c r="AO291" s="60"/>
      <c r="AP291" s="60"/>
      <c r="AQ291" s="60">
        <f t="shared" si="63"/>
        <v>0</v>
      </c>
      <c r="AR291" s="60">
        <f t="shared" si="64"/>
        <v>0</v>
      </c>
      <c r="AS291" s="60">
        <f t="shared" si="65"/>
        <v>0</v>
      </c>
      <c r="AT291" s="60">
        <f t="shared" si="66"/>
        <v>0</v>
      </c>
      <c r="AU291" s="60">
        <f t="shared" si="67"/>
        <v>0</v>
      </c>
      <c r="AV291" s="60">
        <f t="shared" si="68"/>
        <v>0</v>
      </c>
      <c r="AW291" s="60">
        <f t="shared" si="69"/>
        <v>0</v>
      </c>
      <c r="AX291" s="60">
        <f t="shared" si="76"/>
        <v>0</v>
      </c>
      <c r="AY291" s="64">
        <f t="shared" si="77"/>
        <v>0</v>
      </c>
      <c r="AZ291" s="65">
        <f t="shared" si="70"/>
        <v>0</v>
      </c>
      <c r="BA291" s="65">
        <f t="shared" si="71"/>
        <v>0</v>
      </c>
    </row>
    <row r="292" spans="3:53" s="17" customFormat="1" x14ac:dyDescent="0.25">
      <c r="C292" s="194"/>
      <c r="D292" s="195"/>
      <c r="E292" s="90"/>
      <c r="F292" s="198"/>
      <c r="G292" s="214"/>
      <c r="H292" s="199"/>
      <c r="I292" s="78"/>
      <c r="J292" s="79"/>
      <c r="K292" s="78"/>
      <c r="L292" s="80"/>
      <c r="M292" s="80"/>
      <c r="N292" s="78" t="s">
        <v>39</v>
      </c>
      <c r="O292" s="113"/>
      <c r="P292" s="155"/>
      <c r="Q292" s="114" t="str">
        <f>IFERROR(MIN(VLOOKUP(ROUNDDOWN(P292,0),'Aide calcul'!$B$2:$C$282,2,FALSE),O292+1),"")</f>
        <v/>
      </c>
      <c r="R292" s="115" t="str">
        <f t="shared" si="72"/>
        <v/>
      </c>
      <c r="S292" s="155"/>
      <c r="T292" s="155"/>
      <c r="U292" s="155"/>
      <c r="V292" s="155"/>
      <c r="W292" s="155"/>
      <c r="X292" s="155"/>
      <c r="Y292" s="155"/>
      <c r="Z292" s="78"/>
      <c r="AA292" s="78"/>
      <c r="AB292" s="116" t="str">
        <f>IF(C292="3111. Logements",ROUND(VLOOKUP(C292,'Informations générales'!$C$66:$D$70,2,FALSE)*(AK292/$AL$27)/12,0)*12,IF(C292="3112. Logements",ROUND(VLOOKUP(C292,'Informations générales'!$C$66:$D$70,2,FALSE)*(AK292/$AM$27)/12,0)*12,IF(C292="3113. Logements",ROUND(VLOOKUP(C292,'Informations générales'!$C$66:$D$70,2,FALSE)*(AK292/$AN$27)/12,0)*12,IF(C292="3114. Logements",ROUND(VLOOKUP(C292,'Informations générales'!$C$66:$D$70,2,FALSE)*(AK292/$AO$27)/12,0)*12,IF(C292="3115. Logements",ROUND(VLOOKUP(C292,'Informations générales'!$C$66:$D$70,2,FALSE)*(AK292/$AP$27)/12,0)*12,"")))))</f>
        <v/>
      </c>
      <c r="AC292" s="117"/>
      <c r="AD292" s="116">
        <f t="shared" si="73"/>
        <v>0</v>
      </c>
      <c r="AE292" s="117"/>
      <c r="AF292" s="116" t="str">
        <f>IF(C292="3111. Logements",ROUND(VLOOKUP(C292,'Informations générales'!$C$66:$G$70,5,FALSE)*(AK292/$AL$27)/12,0)*12,IF(C292="3112. Logements",ROUND(VLOOKUP(C292,'Informations générales'!$C$66:$G$70,5,FALSE)*(AK292/$AM$27)/12,0)*12,IF(C292="3113. Logements",ROUND(VLOOKUP(C292,'Informations générales'!$C$66:$G$70,5,FALSE)*(AK292/$AN$27)/12,0)*12,IF(C292="3114. Logements",ROUND(VLOOKUP(C292,'Informations générales'!$C$66:$G$70,5,FALSE)*(AK292/$AO$27)/12,0)*12,IF(C292="3115. Logements",ROUND(VLOOKUP(C292,'Informations générales'!$C$66:$G$70,5,FALSE)*(AK292/$AP$27)/12,0)*12,"")))))</f>
        <v/>
      </c>
      <c r="AG292" s="117"/>
      <c r="AH292" s="116" t="str">
        <f t="shared" si="74"/>
        <v/>
      </c>
      <c r="AI292" s="92"/>
      <c r="AJ292" s="78"/>
      <c r="AK292" s="60">
        <f t="shared" si="75"/>
        <v>0</v>
      </c>
      <c r="AL292" s="60"/>
      <c r="AM292" s="60"/>
      <c r="AN292" s="60"/>
      <c r="AO292" s="60"/>
      <c r="AP292" s="60"/>
      <c r="AQ292" s="60">
        <f t="shared" si="63"/>
        <v>0</v>
      </c>
      <c r="AR292" s="60">
        <f t="shared" si="64"/>
        <v>0</v>
      </c>
      <c r="AS292" s="60">
        <f t="shared" si="65"/>
        <v>0</v>
      </c>
      <c r="AT292" s="60">
        <f t="shared" si="66"/>
        <v>0</v>
      </c>
      <c r="AU292" s="60">
        <f t="shared" si="67"/>
        <v>0</v>
      </c>
      <c r="AV292" s="60">
        <f t="shared" si="68"/>
        <v>0</v>
      </c>
      <c r="AW292" s="60">
        <f t="shared" si="69"/>
        <v>0</v>
      </c>
      <c r="AX292" s="60">
        <f t="shared" si="76"/>
        <v>0</v>
      </c>
      <c r="AY292" s="64">
        <f t="shared" si="77"/>
        <v>0</v>
      </c>
      <c r="AZ292" s="65">
        <f t="shared" si="70"/>
        <v>0</v>
      </c>
      <c r="BA292" s="65">
        <f t="shared" si="71"/>
        <v>0</v>
      </c>
    </row>
    <row r="293" spans="3:53" s="17" customFormat="1" x14ac:dyDescent="0.25">
      <c r="C293" s="194"/>
      <c r="D293" s="195"/>
      <c r="E293" s="90"/>
      <c r="F293" s="198"/>
      <c r="G293" s="214"/>
      <c r="H293" s="199"/>
      <c r="I293" s="78"/>
      <c r="J293" s="79"/>
      <c r="K293" s="78"/>
      <c r="L293" s="80"/>
      <c r="M293" s="80"/>
      <c r="N293" s="78" t="s">
        <v>39</v>
      </c>
      <c r="O293" s="113"/>
      <c r="P293" s="155"/>
      <c r="Q293" s="114" t="str">
        <f>IFERROR(MIN(VLOOKUP(ROUNDDOWN(P293,0),'Aide calcul'!$B$2:$C$282,2,FALSE),O293+1),"")</f>
        <v/>
      </c>
      <c r="R293" s="115" t="str">
        <f t="shared" si="72"/>
        <v/>
      </c>
      <c r="S293" s="155"/>
      <c r="T293" s="155"/>
      <c r="U293" s="155"/>
      <c r="V293" s="155"/>
      <c r="W293" s="155"/>
      <c r="X293" s="155"/>
      <c r="Y293" s="155"/>
      <c r="Z293" s="78"/>
      <c r="AA293" s="78"/>
      <c r="AB293" s="116" t="str">
        <f>IF(C293="3111. Logements",ROUND(VLOOKUP(C293,'Informations générales'!$C$66:$D$70,2,FALSE)*(AK293/$AL$27)/12,0)*12,IF(C293="3112. Logements",ROUND(VLOOKUP(C293,'Informations générales'!$C$66:$D$70,2,FALSE)*(AK293/$AM$27)/12,0)*12,IF(C293="3113. Logements",ROUND(VLOOKUP(C293,'Informations générales'!$C$66:$D$70,2,FALSE)*(AK293/$AN$27)/12,0)*12,IF(C293="3114. Logements",ROUND(VLOOKUP(C293,'Informations générales'!$C$66:$D$70,2,FALSE)*(AK293/$AO$27)/12,0)*12,IF(C293="3115. Logements",ROUND(VLOOKUP(C293,'Informations générales'!$C$66:$D$70,2,FALSE)*(AK293/$AP$27)/12,0)*12,"")))))</f>
        <v/>
      </c>
      <c r="AC293" s="117"/>
      <c r="AD293" s="116">
        <f t="shared" si="73"/>
        <v>0</v>
      </c>
      <c r="AE293" s="117"/>
      <c r="AF293" s="116" t="str">
        <f>IF(C293="3111. Logements",ROUND(VLOOKUP(C293,'Informations générales'!$C$66:$G$70,5,FALSE)*(AK293/$AL$27)/12,0)*12,IF(C293="3112. Logements",ROUND(VLOOKUP(C293,'Informations générales'!$C$66:$G$70,5,FALSE)*(AK293/$AM$27)/12,0)*12,IF(C293="3113. Logements",ROUND(VLOOKUP(C293,'Informations générales'!$C$66:$G$70,5,FALSE)*(AK293/$AN$27)/12,0)*12,IF(C293="3114. Logements",ROUND(VLOOKUP(C293,'Informations générales'!$C$66:$G$70,5,FALSE)*(AK293/$AO$27)/12,0)*12,IF(C293="3115. Logements",ROUND(VLOOKUP(C293,'Informations générales'!$C$66:$G$70,5,FALSE)*(AK293/$AP$27)/12,0)*12,"")))))</f>
        <v/>
      </c>
      <c r="AG293" s="117"/>
      <c r="AH293" s="116" t="str">
        <f t="shared" si="74"/>
        <v/>
      </c>
      <c r="AI293" s="92"/>
      <c r="AJ293" s="78"/>
      <c r="AK293" s="60">
        <f t="shared" si="75"/>
        <v>0</v>
      </c>
      <c r="AL293" s="60"/>
      <c r="AM293" s="60"/>
      <c r="AN293" s="60"/>
      <c r="AO293" s="60"/>
      <c r="AP293" s="60"/>
      <c r="AQ293" s="60">
        <f t="shared" si="63"/>
        <v>0</v>
      </c>
      <c r="AR293" s="60">
        <f t="shared" si="64"/>
        <v>0</v>
      </c>
      <c r="AS293" s="60">
        <f t="shared" si="65"/>
        <v>0</v>
      </c>
      <c r="AT293" s="60">
        <f t="shared" si="66"/>
        <v>0</v>
      </c>
      <c r="AU293" s="60">
        <f t="shared" si="67"/>
        <v>0</v>
      </c>
      <c r="AV293" s="60">
        <f t="shared" si="68"/>
        <v>0</v>
      </c>
      <c r="AW293" s="60">
        <f t="shared" si="69"/>
        <v>0</v>
      </c>
      <c r="AX293" s="60">
        <f t="shared" si="76"/>
        <v>0</v>
      </c>
      <c r="AY293" s="64">
        <f t="shared" si="77"/>
        <v>0</v>
      </c>
      <c r="AZ293" s="65">
        <f t="shared" si="70"/>
        <v>0</v>
      </c>
      <c r="BA293" s="65">
        <f t="shared" si="71"/>
        <v>0</v>
      </c>
    </row>
    <row r="294" spans="3:53" s="17" customFormat="1" x14ac:dyDescent="0.25">
      <c r="C294" s="194"/>
      <c r="D294" s="195"/>
      <c r="E294" s="90"/>
      <c r="F294" s="198"/>
      <c r="G294" s="214"/>
      <c r="H294" s="199"/>
      <c r="I294" s="78"/>
      <c r="J294" s="79"/>
      <c r="K294" s="78"/>
      <c r="L294" s="80"/>
      <c r="M294" s="80"/>
      <c r="N294" s="78" t="s">
        <v>39</v>
      </c>
      <c r="O294" s="113"/>
      <c r="P294" s="155"/>
      <c r="Q294" s="114" t="str">
        <f>IFERROR(MIN(VLOOKUP(ROUNDDOWN(P294,0),'Aide calcul'!$B$2:$C$282,2,FALSE),O294+1),"")</f>
        <v/>
      </c>
      <c r="R294" s="115" t="str">
        <f t="shared" si="72"/>
        <v/>
      </c>
      <c r="S294" s="155"/>
      <c r="T294" s="155"/>
      <c r="U294" s="155"/>
      <c r="V294" s="155"/>
      <c r="W294" s="155"/>
      <c r="X294" s="155"/>
      <c r="Y294" s="155"/>
      <c r="Z294" s="78"/>
      <c r="AA294" s="78"/>
      <c r="AB294" s="116" t="str">
        <f>IF(C294="3111. Logements",ROUND(VLOOKUP(C294,'Informations générales'!$C$66:$D$70,2,FALSE)*(AK294/$AL$27)/12,0)*12,IF(C294="3112. Logements",ROUND(VLOOKUP(C294,'Informations générales'!$C$66:$D$70,2,FALSE)*(AK294/$AM$27)/12,0)*12,IF(C294="3113. Logements",ROUND(VLOOKUP(C294,'Informations générales'!$C$66:$D$70,2,FALSE)*(AK294/$AN$27)/12,0)*12,IF(C294="3114. Logements",ROUND(VLOOKUP(C294,'Informations générales'!$C$66:$D$70,2,FALSE)*(AK294/$AO$27)/12,0)*12,IF(C294="3115. Logements",ROUND(VLOOKUP(C294,'Informations générales'!$C$66:$D$70,2,FALSE)*(AK294/$AP$27)/12,0)*12,"")))))</f>
        <v/>
      </c>
      <c r="AC294" s="117"/>
      <c r="AD294" s="116">
        <f t="shared" si="73"/>
        <v>0</v>
      </c>
      <c r="AE294" s="117"/>
      <c r="AF294" s="116" t="str">
        <f>IF(C294="3111. Logements",ROUND(VLOOKUP(C294,'Informations générales'!$C$66:$G$70,5,FALSE)*(AK294/$AL$27)/12,0)*12,IF(C294="3112. Logements",ROUND(VLOOKUP(C294,'Informations générales'!$C$66:$G$70,5,FALSE)*(AK294/$AM$27)/12,0)*12,IF(C294="3113. Logements",ROUND(VLOOKUP(C294,'Informations générales'!$C$66:$G$70,5,FALSE)*(AK294/$AN$27)/12,0)*12,IF(C294="3114. Logements",ROUND(VLOOKUP(C294,'Informations générales'!$C$66:$G$70,5,FALSE)*(AK294/$AO$27)/12,0)*12,IF(C294="3115. Logements",ROUND(VLOOKUP(C294,'Informations générales'!$C$66:$G$70,5,FALSE)*(AK294/$AP$27)/12,0)*12,"")))))</f>
        <v/>
      </c>
      <c r="AG294" s="117"/>
      <c r="AH294" s="116" t="str">
        <f t="shared" si="74"/>
        <v/>
      </c>
      <c r="AI294" s="92"/>
      <c r="AJ294" s="78"/>
      <c r="AK294" s="60">
        <f t="shared" si="75"/>
        <v>0</v>
      </c>
      <c r="AL294" s="60"/>
      <c r="AM294" s="60"/>
      <c r="AN294" s="60"/>
      <c r="AO294" s="60"/>
      <c r="AP294" s="60"/>
      <c r="AQ294" s="60">
        <f t="shared" si="63"/>
        <v>0</v>
      </c>
      <c r="AR294" s="60">
        <f t="shared" si="64"/>
        <v>0</v>
      </c>
      <c r="AS294" s="60">
        <f t="shared" si="65"/>
        <v>0</v>
      </c>
      <c r="AT294" s="60">
        <f t="shared" si="66"/>
        <v>0</v>
      </c>
      <c r="AU294" s="60">
        <f t="shared" si="67"/>
        <v>0</v>
      </c>
      <c r="AV294" s="60">
        <f t="shared" si="68"/>
        <v>0</v>
      </c>
      <c r="AW294" s="60">
        <f t="shared" si="69"/>
        <v>0</v>
      </c>
      <c r="AX294" s="60">
        <f t="shared" si="76"/>
        <v>0</v>
      </c>
      <c r="AY294" s="64">
        <f t="shared" si="77"/>
        <v>0</v>
      </c>
      <c r="AZ294" s="65">
        <f t="shared" si="70"/>
        <v>0</v>
      </c>
      <c r="BA294" s="65">
        <f t="shared" si="71"/>
        <v>0</v>
      </c>
    </row>
    <row r="295" spans="3:53" s="17" customFormat="1" x14ac:dyDescent="0.25">
      <c r="C295" s="194"/>
      <c r="D295" s="195"/>
      <c r="E295" s="90"/>
      <c r="F295" s="198"/>
      <c r="G295" s="214"/>
      <c r="H295" s="199"/>
      <c r="I295" s="78"/>
      <c r="J295" s="79"/>
      <c r="K295" s="78"/>
      <c r="L295" s="80"/>
      <c r="M295" s="80"/>
      <c r="N295" s="78" t="s">
        <v>39</v>
      </c>
      <c r="O295" s="113"/>
      <c r="P295" s="155"/>
      <c r="Q295" s="114" t="str">
        <f>IFERROR(MIN(VLOOKUP(ROUNDDOWN(P295,0),'Aide calcul'!$B$2:$C$282,2,FALSE),O295+1),"")</f>
        <v/>
      </c>
      <c r="R295" s="115" t="str">
        <f t="shared" si="72"/>
        <v/>
      </c>
      <c r="S295" s="155"/>
      <c r="T295" s="155"/>
      <c r="U295" s="155"/>
      <c r="V295" s="155"/>
      <c r="W295" s="155"/>
      <c r="X295" s="155"/>
      <c r="Y295" s="155"/>
      <c r="Z295" s="78"/>
      <c r="AA295" s="78"/>
      <c r="AB295" s="116" t="str">
        <f>IF(C295="3111. Logements",ROUND(VLOOKUP(C295,'Informations générales'!$C$66:$D$70,2,FALSE)*(AK295/$AL$27)/12,0)*12,IF(C295="3112. Logements",ROUND(VLOOKUP(C295,'Informations générales'!$C$66:$D$70,2,FALSE)*(AK295/$AM$27)/12,0)*12,IF(C295="3113. Logements",ROUND(VLOOKUP(C295,'Informations générales'!$C$66:$D$70,2,FALSE)*(AK295/$AN$27)/12,0)*12,IF(C295="3114. Logements",ROUND(VLOOKUP(C295,'Informations générales'!$C$66:$D$70,2,FALSE)*(AK295/$AO$27)/12,0)*12,IF(C295="3115. Logements",ROUND(VLOOKUP(C295,'Informations générales'!$C$66:$D$70,2,FALSE)*(AK295/$AP$27)/12,0)*12,"")))))</f>
        <v/>
      </c>
      <c r="AC295" s="117"/>
      <c r="AD295" s="116">
        <f t="shared" si="73"/>
        <v>0</v>
      </c>
      <c r="AE295" s="117"/>
      <c r="AF295" s="116" t="str">
        <f>IF(C295="3111. Logements",ROUND(VLOOKUP(C295,'Informations générales'!$C$66:$G$70,5,FALSE)*(AK295/$AL$27)/12,0)*12,IF(C295="3112. Logements",ROUND(VLOOKUP(C295,'Informations générales'!$C$66:$G$70,5,FALSE)*(AK295/$AM$27)/12,0)*12,IF(C295="3113. Logements",ROUND(VLOOKUP(C295,'Informations générales'!$C$66:$G$70,5,FALSE)*(AK295/$AN$27)/12,0)*12,IF(C295="3114. Logements",ROUND(VLOOKUP(C295,'Informations générales'!$C$66:$G$70,5,FALSE)*(AK295/$AO$27)/12,0)*12,IF(C295="3115. Logements",ROUND(VLOOKUP(C295,'Informations générales'!$C$66:$G$70,5,FALSE)*(AK295/$AP$27)/12,0)*12,"")))))</f>
        <v/>
      </c>
      <c r="AG295" s="117"/>
      <c r="AH295" s="116" t="str">
        <f t="shared" si="74"/>
        <v/>
      </c>
      <c r="AI295" s="92"/>
      <c r="AJ295" s="78"/>
      <c r="AK295" s="60">
        <f t="shared" si="75"/>
        <v>0</v>
      </c>
      <c r="AL295" s="60"/>
      <c r="AM295" s="60"/>
      <c r="AN295" s="60"/>
      <c r="AO295" s="60"/>
      <c r="AP295" s="60"/>
      <c r="AQ295" s="60">
        <f t="shared" si="63"/>
        <v>0</v>
      </c>
      <c r="AR295" s="60">
        <f t="shared" si="64"/>
        <v>0</v>
      </c>
      <c r="AS295" s="60">
        <f t="shared" si="65"/>
        <v>0</v>
      </c>
      <c r="AT295" s="60">
        <f t="shared" si="66"/>
        <v>0</v>
      </c>
      <c r="AU295" s="60">
        <f t="shared" si="67"/>
        <v>0</v>
      </c>
      <c r="AV295" s="60">
        <f t="shared" si="68"/>
        <v>0</v>
      </c>
      <c r="AW295" s="60">
        <f t="shared" si="69"/>
        <v>0</v>
      </c>
      <c r="AX295" s="60">
        <f t="shared" si="76"/>
        <v>0</v>
      </c>
      <c r="AY295" s="64">
        <f t="shared" si="77"/>
        <v>0</v>
      </c>
      <c r="AZ295" s="65">
        <f t="shared" si="70"/>
        <v>0</v>
      </c>
      <c r="BA295" s="65">
        <f t="shared" si="71"/>
        <v>0</v>
      </c>
    </row>
    <row r="296" spans="3:53" s="17" customFormat="1" x14ac:dyDescent="0.25">
      <c r="C296" s="194"/>
      <c r="D296" s="195"/>
      <c r="E296" s="90"/>
      <c r="F296" s="198"/>
      <c r="G296" s="214"/>
      <c r="H296" s="199"/>
      <c r="I296" s="78"/>
      <c r="J296" s="79"/>
      <c r="K296" s="78"/>
      <c r="L296" s="80"/>
      <c r="M296" s="80"/>
      <c r="N296" s="78" t="s">
        <v>39</v>
      </c>
      <c r="O296" s="113"/>
      <c r="P296" s="155"/>
      <c r="Q296" s="114" t="str">
        <f>IFERROR(MIN(VLOOKUP(ROUNDDOWN(P296,0),'Aide calcul'!$B$2:$C$282,2,FALSE),O296+1),"")</f>
        <v/>
      </c>
      <c r="R296" s="115" t="str">
        <f t="shared" si="72"/>
        <v/>
      </c>
      <c r="S296" s="155"/>
      <c r="T296" s="155"/>
      <c r="U296" s="155"/>
      <c r="V296" s="155"/>
      <c r="W296" s="155"/>
      <c r="X296" s="155"/>
      <c r="Y296" s="155"/>
      <c r="Z296" s="78"/>
      <c r="AA296" s="78"/>
      <c r="AB296" s="116" t="str">
        <f>IF(C296="3111. Logements",ROUND(VLOOKUP(C296,'Informations générales'!$C$66:$D$70,2,FALSE)*(AK296/$AL$27)/12,0)*12,IF(C296="3112. Logements",ROUND(VLOOKUP(C296,'Informations générales'!$C$66:$D$70,2,FALSE)*(AK296/$AM$27)/12,0)*12,IF(C296="3113. Logements",ROUND(VLOOKUP(C296,'Informations générales'!$C$66:$D$70,2,FALSE)*(AK296/$AN$27)/12,0)*12,IF(C296="3114. Logements",ROUND(VLOOKUP(C296,'Informations générales'!$C$66:$D$70,2,FALSE)*(AK296/$AO$27)/12,0)*12,IF(C296="3115. Logements",ROUND(VLOOKUP(C296,'Informations générales'!$C$66:$D$70,2,FALSE)*(AK296/$AP$27)/12,0)*12,"")))))</f>
        <v/>
      </c>
      <c r="AC296" s="117"/>
      <c r="AD296" s="116">
        <f t="shared" si="73"/>
        <v>0</v>
      </c>
      <c r="AE296" s="117"/>
      <c r="AF296" s="116" t="str">
        <f>IF(C296="3111. Logements",ROUND(VLOOKUP(C296,'Informations générales'!$C$66:$G$70,5,FALSE)*(AK296/$AL$27)/12,0)*12,IF(C296="3112. Logements",ROUND(VLOOKUP(C296,'Informations générales'!$C$66:$G$70,5,FALSE)*(AK296/$AM$27)/12,0)*12,IF(C296="3113. Logements",ROUND(VLOOKUP(C296,'Informations générales'!$C$66:$G$70,5,FALSE)*(AK296/$AN$27)/12,0)*12,IF(C296="3114. Logements",ROUND(VLOOKUP(C296,'Informations générales'!$C$66:$G$70,5,FALSE)*(AK296/$AO$27)/12,0)*12,IF(C296="3115. Logements",ROUND(VLOOKUP(C296,'Informations générales'!$C$66:$G$70,5,FALSE)*(AK296/$AP$27)/12,0)*12,"")))))</f>
        <v/>
      </c>
      <c r="AG296" s="117"/>
      <c r="AH296" s="116" t="str">
        <f t="shared" si="74"/>
        <v/>
      </c>
      <c r="AI296" s="92"/>
      <c r="AJ296" s="78"/>
      <c r="AK296" s="60">
        <f t="shared" si="75"/>
        <v>0</v>
      </c>
      <c r="AL296" s="60"/>
      <c r="AM296" s="60"/>
      <c r="AN296" s="60"/>
      <c r="AO296" s="60"/>
      <c r="AP296" s="60"/>
      <c r="AQ296" s="60">
        <f t="shared" si="63"/>
        <v>0</v>
      </c>
      <c r="AR296" s="60">
        <f t="shared" si="64"/>
        <v>0</v>
      </c>
      <c r="AS296" s="60">
        <f t="shared" si="65"/>
        <v>0</v>
      </c>
      <c r="AT296" s="60">
        <f t="shared" si="66"/>
        <v>0</v>
      </c>
      <c r="AU296" s="60">
        <f t="shared" si="67"/>
        <v>0</v>
      </c>
      <c r="AV296" s="60">
        <f t="shared" si="68"/>
        <v>0</v>
      </c>
      <c r="AW296" s="60">
        <f t="shared" si="69"/>
        <v>0</v>
      </c>
      <c r="AX296" s="60">
        <f t="shared" si="76"/>
        <v>0</v>
      </c>
      <c r="AY296" s="64">
        <f t="shared" si="77"/>
        <v>0</v>
      </c>
      <c r="AZ296" s="65">
        <f t="shared" si="70"/>
        <v>0</v>
      </c>
      <c r="BA296" s="65">
        <f t="shared" si="71"/>
        <v>0</v>
      </c>
    </row>
    <row r="297" spans="3:53" s="17" customFormat="1" x14ac:dyDescent="0.25">
      <c r="C297" s="194"/>
      <c r="D297" s="195"/>
      <c r="E297" s="90"/>
      <c r="F297" s="198"/>
      <c r="G297" s="214"/>
      <c r="H297" s="199"/>
      <c r="I297" s="78"/>
      <c r="J297" s="79"/>
      <c r="K297" s="78"/>
      <c r="L297" s="80"/>
      <c r="M297" s="80"/>
      <c r="N297" s="78" t="s">
        <v>39</v>
      </c>
      <c r="O297" s="113"/>
      <c r="P297" s="155"/>
      <c r="Q297" s="114" t="str">
        <f>IFERROR(MIN(VLOOKUP(ROUNDDOWN(P297,0),'Aide calcul'!$B$2:$C$282,2,FALSE),O297+1),"")</f>
        <v/>
      </c>
      <c r="R297" s="115" t="str">
        <f t="shared" si="72"/>
        <v/>
      </c>
      <c r="S297" s="155"/>
      <c r="T297" s="155"/>
      <c r="U297" s="155"/>
      <c r="V297" s="155"/>
      <c r="W297" s="155"/>
      <c r="X297" s="155"/>
      <c r="Y297" s="155"/>
      <c r="Z297" s="78"/>
      <c r="AA297" s="78"/>
      <c r="AB297" s="116" t="str">
        <f>IF(C297="3111. Logements",ROUND(VLOOKUP(C297,'Informations générales'!$C$66:$D$70,2,FALSE)*(AK297/$AL$27)/12,0)*12,IF(C297="3112. Logements",ROUND(VLOOKUP(C297,'Informations générales'!$C$66:$D$70,2,FALSE)*(AK297/$AM$27)/12,0)*12,IF(C297="3113. Logements",ROUND(VLOOKUP(C297,'Informations générales'!$C$66:$D$70,2,FALSE)*(AK297/$AN$27)/12,0)*12,IF(C297="3114. Logements",ROUND(VLOOKUP(C297,'Informations générales'!$C$66:$D$70,2,FALSE)*(AK297/$AO$27)/12,0)*12,IF(C297="3115. Logements",ROUND(VLOOKUP(C297,'Informations générales'!$C$66:$D$70,2,FALSE)*(AK297/$AP$27)/12,0)*12,"")))))</f>
        <v/>
      </c>
      <c r="AC297" s="117"/>
      <c r="AD297" s="116">
        <f t="shared" si="73"/>
        <v>0</v>
      </c>
      <c r="AE297" s="117"/>
      <c r="AF297" s="116" t="str">
        <f>IF(C297="3111. Logements",ROUND(VLOOKUP(C297,'Informations générales'!$C$66:$G$70,5,FALSE)*(AK297/$AL$27)/12,0)*12,IF(C297="3112. Logements",ROUND(VLOOKUP(C297,'Informations générales'!$C$66:$G$70,5,FALSE)*(AK297/$AM$27)/12,0)*12,IF(C297="3113. Logements",ROUND(VLOOKUP(C297,'Informations générales'!$C$66:$G$70,5,FALSE)*(AK297/$AN$27)/12,0)*12,IF(C297="3114. Logements",ROUND(VLOOKUP(C297,'Informations générales'!$C$66:$G$70,5,FALSE)*(AK297/$AO$27)/12,0)*12,IF(C297="3115. Logements",ROUND(VLOOKUP(C297,'Informations générales'!$C$66:$G$70,5,FALSE)*(AK297/$AP$27)/12,0)*12,"")))))</f>
        <v/>
      </c>
      <c r="AG297" s="117"/>
      <c r="AH297" s="116" t="str">
        <f t="shared" si="74"/>
        <v/>
      </c>
      <c r="AI297" s="92"/>
      <c r="AJ297" s="78"/>
      <c r="AK297" s="60">
        <f t="shared" si="75"/>
        <v>0</v>
      </c>
      <c r="AL297" s="60"/>
      <c r="AM297" s="60"/>
      <c r="AN297" s="60"/>
      <c r="AO297" s="60"/>
      <c r="AP297" s="60"/>
      <c r="AQ297" s="60">
        <f t="shared" si="63"/>
        <v>0</v>
      </c>
      <c r="AR297" s="60">
        <f t="shared" si="64"/>
        <v>0</v>
      </c>
      <c r="AS297" s="60">
        <f t="shared" si="65"/>
        <v>0</v>
      </c>
      <c r="AT297" s="60">
        <f t="shared" si="66"/>
        <v>0</v>
      </c>
      <c r="AU297" s="60">
        <f t="shared" si="67"/>
        <v>0</v>
      </c>
      <c r="AV297" s="60">
        <f t="shared" si="68"/>
        <v>0</v>
      </c>
      <c r="AW297" s="60">
        <f t="shared" si="69"/>
        <v>0</v>
      </c>
      <c r="AX297" s="60">
        <f t="shared" si="76"/>
        <v>0</v>
      </c>
      <c r="AY297" s="64">
        <f t="shared" si="77"/>
        <v>0</v>
      </c>
      <c r="AZ297" s="65">
        <f t="shared" si="70"/>
        <v>0</v>
      </c>
      <c r="BA297" s="65">
        <f t="shared" si="71"/>
        <v>0</v>
      </c>
    </row>
    <row r="298" spans="3:53" s="17" customFormat="1" x14ac:dyDescent="0.25">
      <c r="C298" s="194"/>
      <c r="D298" s="195"/>
      <c r="E298" s="90"/>
      <c r="F298" s="198"/>
      <c r="G298" s="214"/>
      <c r="H298" s="199"/>
      <c r="I298" s="78"/>
      <c r="J298" s="79"/>
      <c r="K298" s="78"/>
      <c r="L298" s="80"/>
      <c r="M298" s="80"/>
      <c r="N298" s="78" t="s">
        <v>39</v>
      </c>
      <c r="O298" s="113"/>
      <c r="P298" s="155"/>
      <c r="Q298" s="114" t="str">
        <f>IFERROR(MIN(VLOOKUP(ROUNDDOWN(P298,0),'Aide calcul'!$B$2:$C$282,2,FALSE),O298+1),"")</f>
        <v/>
      </c>
      <c r="R298" s="115" t="str">
        <f t="shared" si="72"/>
        <v/>
      </c>
      <c r="S298" s="155"/>
      <c r="T298" s="155"/>
      <c r="U298" s="155"/>
      <c r="V298" s="155"/>
      <c r="W298" s="155"/>
      <c r="X298" s="155"/>
      <c r="Y298" s="155"/>
      <c r="Z298" s="78"/>
      <c r="AA298" s="78"/>
      <c r="AB298" s="116" t="str">
        <f>IF(C298="3111. Logements",ROUND(VLOOKUP(C298,'Informations générales'!$C$66:$D$70,2,FALSE)*(AK298/$AL$27)/12,0)*12,IF(C298="3112. Logements",ROUND(VLOOKUP(C298,'Informations générales'!$C$66:$D$70,2,FALSE)*(AK298/$AM$27)/12,0)*12,IF(C298="3113. Logements",ROUND(VLOOKUP(C298,'Informations générales'!$C$66:$D$70,2,FALSE)*(AK298/$AN$27)/12,0)*12,IF(C298="3114. Logements",ROUND(VLOOKUP(C298,'Informations générales'!$C$66:$D$70,2,FALSE)*(AK298/$AO$27)/12,0)*12,IF(C298="3115. Logements",ROUND(VLOOKUP(C298,'Informations générales'!$C$66:$D$70,2,FALSE)*(AK298/$AP$27)/12,0)*12,"")))))</f>
        <v/>
      </c>
      <c r="AC298" s="117"/>
      <c r="AD298" s="116">
        <f t="shared" si="73"/>
        <v>0</v>
      </c>
      <c r="AE298" s="117"/>
      <c r="AF298" s="116" t="str">
        <f>IF(C298="3111. Logements",ROUND(VLOOKUP(C298,'Informations générales'!$C$66:$G$70,5,FALSE)*(AK298/$AL$27)/12,0)*12,IF(C298="3112. Logements",ROUND(VLOOKUP(C298,'Informations générales'!$C$66:$G$70,5,FALSE)*(AK298/$AM$27)/12,0)*12,IF(C298="3113. Logements",ROUND(VLOOKUP(C298,'Informations générales'!$C$66:$G$70,5,FALSE)*(AK298/$AN$27)/12,0)*12,IF(C298="3114. Logements",ROUND(VLOOKUP(C298,'Informations générales'!$C$66:$G$70,5,FALSE)*(AK298/$AO$27)/12,0)*12,IF(C298="3115. Logements",ROUND(VLOOKUP(C298,'Informations générales'!$C$66:$G$70,5,FALSE)*(AK298/$AP$27)/12,0)*12,"")))))</f>
        <v/>
      </c>
      <c r="AG298" s="117"/>
      <c r="AH298" s="116" t="str">
        <f t="shared" si="74"/>
        <v/>
      </c>
      <c r="AI298" s="92"/>
      <c r="AJ298" s="78"/>
      <c r="AK298" s="60">
        <f t="shared" si="75"/>
        <v>0</v>
      </c>
      <c r="AL298" s="60"/>
      <c r="AM298" s="60"/>
      <c r="AN298" s="60"/>
      <c r="AO298" s="60"/>
      <c r="AP298" s="60"/>
      <c r="AQ298" s="60">
        <f t="shared" si="63"/>
        <v>0</v>
      </c>
      <c r="AR298" s="60">
        <f t="shared" si="64"/>
        <v>0</v>
      </c>
      <c r="AS298" s="60">
        <f t="shared" si="65"/>
        <v>0</v>
      </c>
      <c r="AT298" s="60">
        <f t="shared" si="66"/>
        <v>0</v>
      </c>
      <c r="AU298" s="60">
        <f t="shared" si="67"/>
        <v>0</v>
      </c>
      <c r="AV298" s="60">
        <f t="shared" si="68"/>
        <v>0</v>
      </c>
      <c r="AW298" s="60">
        <f t="shared" si="69"/>
        <v>0</v>
      </c>
      <c r="AX298" s="60">
        <f t="shared" si="76"/>
        <v>0</v>
      </c>
      <c r="AY298" s="64">
        <f t="shared" si="77"/>
        <v>0</v>
      </c>
      <c r="AZ298" s="65">
        <f t="shared" si="70"/>
        <v>0</v>
      </c>
      <c r="BA298" s="65">
        <f t="shared" si="71"/>
        <v>0</v>
      </c>
    </row>
    <row r="299" spans="3:53" s="17" customFormat="1" x14ac:dyDescent="0.25">
      <c r="C299" s="194"/>
      <c r="D299" s="195"/>
      <c r="E299" s="90"/>
      <c r="F299" s="198"/>
      <c r="G299" s="214"/>
      <c r="H299" s="199"/>
      <c r="I299" s="78"/>
      <c r="J299" s="79"/>
      <c r="K299" s="78"/>
      <c r="L299" s="80"/>
      <c r="M299" s="80"/>
      <c r="N299" s="78" t="s">
        <v>39</v>
      </c>
      <c r="O299" s="113"/>
      <c r="P299" s="155"/>
      <c r="Q299" s="114" t="str">
        <f>IFERROR(MIN(VLOOKUP(ROUNDDOWN(P299,0),'Aide calcul'!$B$2:$C$282,2,FALSE),O299+1),"")</f>
        <v/>
      </c>
      <c r="R299" s="115" t="str">
        <f t="shared" si="72"/>
        <v/>
      </c>
      <c r="S299" s="155"/>
      <c r="T299" s="155"/>
      <c r="U299" s="155"/>
      <c r="V299" s="155"/>
      <c r="W299" s="155"/>
      <c r="X299" s="155"/>
      <c r="Y299" s="155"/>
      <c r="Z299" s="78"/>
      <c r="AA299" s="78"/>
      <c r="AB299" s="116" t="str">
        <f>IF(C299="3111. Logements",ROUND(VLOOKUP(C299,'Informations générales'!$C$66:$D$70,2,FALSE)*(AK299/$AL$27)/12,0)*12,IF(C299="3112. Logements",ROUND(VLOOKUP(C299,'Informations générales'!$C$66:$D$70,2,FALSE)*(AK299/$AM$27)/12,0)*12,IF(C299="3113. Logements",ROUND(VLOOKUP(C299,'Informations générales'!$C$66:$D$70,2,FALSE)*(AK299/$AN$27)/12,0)*12,IF(C299="3114. Logements",ROUND(VLOOKUP(C299,'Informations générales'!$C$66:$D$70,2,FALSE)*(AK299/$AO$27)/12,0)*12,IF(C299="3115. Logements",ROUND(VLOOKUP(C299,'Informations générales'!$C$66:$D$70,2,FALSE)*(AK299/$AP$27)/12,0)*12,"")))))</f>
        <v/>
      </c>
      <c r="AC299" s="117"/>
      <c r="AD299" s="116">
        <f t="shared" si="73"/>
        <v>0</v>
      </c>
      <c r="AE299" s="117"/>
      <c r="AF299" s="116" t="str">
        <f>IF(C299="3111. Logements",ROUND(VLOOKUP(C299,'Informations générales'!$C$66:$G$70,5,FALSE)*(AK299/$AL$27)/12,0)*12,IF(C299="3112. Logements",ROUND(VLOOKUP(C299,'Informations générales'!$C$66:$G$70,5,FALSE)*(AK299/$AM$27)/12,0)*12,IF(C299="3113. Logements",ROUND(VLOOKUP(C299,'Informations générales'!$C$66:$G$70,5,FALSE)*(AK299/$AN$27)/12,0)*12,IF(C299="3114. Logements",ROUND(VLOOKUP(C299,'Informations générales'!$C$66:$G$70,5,FALSE)*(AK299/$AO$27)/12,0)*12,IF(C299="3115. Logements",ROUND(VLOOKUP(C299,'Informations générales'!$C$66:$G$70,5,FALSE)*(AK299/$AP$27)/12,0)*12,"")))))</f>
        <v/>
      </c>
      <c r="AG299" s="117"/>
      <c r="AH299" s="116" t="str">
        <f t="shared" si="74"/>
        <v/>
      </c>
      <c r="AI299" s="92"/>
      <c r="AJ299" s="78"/>
      <c r="AK299" s="60">
        <f t="shared" si="75"/>
        <v>0</v>
      </c>
      <c r="AL299" s="60"/>
      <c r="AM299" s="60"/>
      <c r="AN299" s="60"/>
      <c r="AO299" s="60"/>
      <c r="AP299" s="60"/>
      <c r="AQ299" s="60">
        <f t="shared" si="63"/>
        <v>0</v>
      </c>
      <c r="AR299" s="60">
        <f t="shared" si="64"/>
        <v>0</v>
      </c>
      <c r="AS299" s="60">
        <f t="shared" si="65"/>
        <v>0</v>
      </c>
      <c r="AT299" s="60">
        <f t="shared" si="66"/>
        <v>0</v>
      </c>
      <c r="AU299" s="60">
        <f t="shared" si="67"/>
        <v>0</v>
      </c>
      <c r="AV299" s="60">
        <f t="shared" si="68"/>
        <v>0</v>
      </c>
      <c r="AW299" s="60">
        <f t="shared" si="69"/>
        <v>0</v>
      </c>
      <c r="AX299" s="60">
        <f t="shared" si="76"/>
        <v>0</v>
      </c>
      <c r="AY299" s="64">
        <f t="shared" si="77"/>
        <v>0</v>
      </c>
      <c r="AZ299" s="65">
        <f t="shared" si="70"/>
        <v>0</v>
      </c>
      <c r="BA299" s="65">
        <f t="shared" si="71"/>
        <v>0</v>
      </c>
    </row>
    <row r="300" spans="3:53" s="17" customFormat="1" x14ac:dyDescent="0.25">
      <c r="C300" s="194"/>
      <c r="D300" s="195"/>
      <c r="E300" s="90"/>
      <c r="F300" s="198"/>
      <c r="G300" s="214"/>
      <c r="H300" s="199"/>
      <c r="I300" s="78"/>
      <c r="J300" s="79"/>
      <c r="K300" s="78"/>
      <c r="L300" s="80"/>
      <c r="M300" s="80"/>
      <c r="N300" s="78" t="s">
        <v>39</v>
      </c>
      <c r="O300" s="113"/>
      <c r="P300" s="155"/>
      <c r="Q300" s="114" t="str">
        <f>IFERROR(MIN(VLOOKUP(ROUNDDOWN(P300,0),'Aide calcul'!$B$2:$C$282,2,FALSE),O300+1),"")</f>
        <v/>
      </c>
      <c r="R300" s="115" t="str">
        <f t="shared" si="72"/>
        <v/>
      </c>
      <c r="S300" s="155"/>
      <c r="T300" s="155"/>
      <c r="U300" s="155"/>
      <c r="V300" s="155"/>
      <c r="W300" s="155"/>
      <c r="X300" s="155"/>
      <c r="Y300" s="155"/>
      <c r="Z300" s="78"/>
      <c r="AA300" s="78"/>
      <c r="AB300" s="116" t="str">
        <f>IF(C300="3111. Logements",ROUND(VLOOKUP(C300,'Informations générales'!$C$66:$D$70,2,FALSE)*(AK300/$AL$27)/12,0)*12,IF(C300="3112. Logements",ROUND(VLOOKUP(C300,'Informations générales'!$C$66:$D$70,2,FALSE)*(AK300/$AM$27)/12,0)*12,IF(C300="3113. Logements",ROUND(VLOOKUP(C300,'Informations générales'!$C$66:$D$70,2,FALSE)*(AK300/$AN$27)/12,0)*12,IF(C300="3114. Logements",ROUND(VLOOKUP(C300,'Informations générales'!$C$66:$D$70,2,FALSE)*(AK300/$AO$27)/12,0)*12,IF(C300="3115. Logements",ROUND(VLOOKUP(C300,'Informations générales'!$C$66:$D$70,2,FALSE)*(AK300/$AP$27)/12,0)*12,"")))))</f>
        <v/>
      </c>
      <c r="AC300" s="117"/>
      <c r="AD300" s="116">
        <f t="shared" si="73"/>
        <v>0</v>
      </c>
      <c r="AE300" s="117"/>
      <c r="AF300" s="116" t="str">
        <f>IF(C300="3111. Logements",ROUND(VLOOKUP(C300,'Informations générales'!$C$66:$G$70,5,FALSE)*(AK300/$AL$27)/12,0)*12,IF(C300="3112. Logements",ROUND(VLOOKUP(C300,'Informations générales'!$C$66:$G$70,5,FALSE)*(AK300/$AM$27)/12,0)*12,IF(C300="3113. Logements",ROUND(VLOOKUP(C300,'Informations générales'!$C$66:$G$70,5,FALSE)*(AK300/$AN$27)/12,0)*12,IF(C300="3114. Logements",ROUND(VLOOKUP(C300,'Informations générales'!$C$66:$G$70,5,FALSE)*(AK300/$AO$27)/12,0)*12,IF(C300="3115. Logements",ROUND(VLOOKUP(C300,'Informations générales'!$C$66:$G$70,5,FALSE)*(AK300/$AP$27)/12,0)*12,"")))))</f>
        <v/>
      </c>
      <c r="AG300" s="117"/>
      <c r="AH300" s="116" t="str">
        <f t="shared" si="74"/>
        <v/>
      </c>
      <c r="AI300" s="92"/>
      <c r="AJ300" s="78"/>
      <c r="AK300" s="60">
        <f t="shared" si="75"/>
        <v>0</v>
      </c>
      <c r="AL300" s="60"/>
      <c r="AM300" s="60"/>
      <c r="AN300" s="60"/>
      <c r="AO300" s="60"/>
      <c r="AP300" s="60"/>
      <c r="AQ300" s="60">
        <f t="shared" si="63"/>
        <v>0</v>
      </c>
      <c r="AR300" s="60">
        <f t="shared" si="64"/>
        <v>0</v>
      </c>
      <c r="AS300" s="60">
        <f t="shared" si="65"/>
        <v>0</v>
      </c>
      <c r="AT300" s="60">
        <f t="shared" si="66"/>
        <v>0</v>
      </c>
      <c r="AU300" s="60">
        <f t="shared" si="67"/>
        <v>0</v>
      </c>
      <c r="AV300" s="60">
        <f t="shared" si="68"/>
        <v>0</v>
      </c>
      <c r="AW300" s="60">
        <f t="shared" si="69"/>
        <v>0</v>
      </c>
      <c r="AX300" s="60">
        <f t="shared" si="76"/>
        <v>0</v>
      </c>
      <c r="AY300" s="64">
        <f t="shared" si="77"/>
        <v>0</v>
      </c>
      <c r="AZ300" s="65">
        <f t="shared" si="70"/>
        <v>0</v>
      </c>
      <c r="BA300" s="65">
        <f t="shared" si="71"/>
        <v>0</v>
      </c>
    </row>
    <row r="301" spans="3:53" s="17" customFormat="1" x14ac:dyDescent="0.25">
      <c r="C301" s="194"/>
      <c r="D301" s="195"/>
      <c r="E301" s="90"/>
      <c r="F301" s="198"/>
      <c r="G301" s="214"/>
      <c r="H301" s="199"/>
      <c r="I301" s="78"/>
      <c r="J301" s="79"/>
      <c r="K301" s="78"/>
      <c r="L301" s="80"/>
      <c r="M301" s="80"/>
      <c r="N301" s="78" t="s">
        <v>39</v>
      </c>
      <c r="O301" s="113"/>
      <c r="P301" s="155"/>
      <c r="Q301" s="114" t="str">
        <f>IFERROR(MIN(VLOOKUP(ROUNDDOWN(P301,0),'Aide calcul'!$B$2:$C$282,2,FALSE),O301+1),"")</f>
        <v/>
      </c>
      <c r="R301" s="115" t="str">
        <f t="shared" si="72"/>
        <v/>
      </c>
      <c r="S301" s="155"/>
      <c r="T301" s="155"/>
      <c r="U301" s="155"/>
      <c r="V301" s="155"/>
      <c r="W301" s="155"/>
      <c r="X301" s="155"/>
      <c r="Y301" s="155"/>
      <c r="Z301" s="78"/>
      <c r="AA301" s="78"/>
      <c r="AB301" s="116" t="str">
        <f>IF(C301="3111. Logements",ROUND(VLOOKUP(C301,'Informations générales'!$C$66:$D$70,2,FALSE)*(AK301/$AL$27)/12,0)*12,IF(C301="3112. Logements",ROUND(VLOOKUP(C301,'Informations générales'!$C$66:$D$70,2,FALSE)*(AK301/$AM$27)/12,0)*12,IF(C301="3113. Logements",ROUND(VLOOKUP(C301,'Informations générales'!$C$66:$D$70,2,FALSE)*(AK301/$AN$27)/12,0)*12,IF(C301="3114. Logements",ROUND(VLOOKUP(C301,'Informations générales'!$C$66:$D$70,2,FALSE)*(AK301/$AO$27)/12,0)*12,IF(C301="3115. Logements",ROUND(VLOOKUP(C301,'Informations générales'!$C$66:$D$70,2,FALSE)*(AK301/$AP$27)/12,0)*12,"")))))</f>
        <v/>
      </c>
      <c r="AC301" s="117"/>
      <c r="AD301" s="116">
        <f t="shared" si="73"/>
        <v>0</v>
      </c>
      <c r="AE301" s="117"/>
      <c r="AF301" s="116" t="str">
        <f>IF(C301="3111. Logements",ROUND(VLOOKUP(C301,'Informations générales'!$C$66:$G$70,5,FALSE)*(AK301/$AL$27)/12,0)*12,IF(C301="3112. Logements",ROUND(VLOOKUP(C301,'Informations générales'!$C$66:$G$70,5,FALSE)*(AK301/$AM$27)/12,0)*12,IF(C301="3113. Logements",ROUND(VLOOKUP(C301,'Informations générales'!$C$66:$G$70,5,FALSE)*(AK301/$AN$27)/12,0)*12,IF(C301="3114. Logements",ROUND(VLOOKUP(C301,'Informations générales'!$C$66:$G$70,5,FALSE)*(AK301/$AO$27)/12,0)*12,IF(C301="3115. Logements",ROUND(VLOOKUP(C301,'Informations générales'!$C$66:$G$70,5,FALSE)*(AK301/$AP$27)/12,0)*12,"")))))</f>
        <v/>
      </c>
      <c r="AG301" s="117"/>
      <c r="AH301" s="116" t="str">
        <f t="shared" si="74"/>
        <v/>
      </c>
      <c r="AI301" s="92"/>
      <c r="AJ301" s="78"/>
      <c r="AK301" s="60">
        <f t="shared" si="75"/>
        <v>0</v>
      </c>
      <c r="AL301" s="60"/>
      <c r="AM301" s="60"/>
      <c r="AN301" s="60"/>
      <c r="AO301" s="60"/>
      <c r="AP301" s="60"/>
      <c r="AQ301" s="60">
        <f t="shared" si="63"/>
        <v>0</v>
      </c>
      <c r="AR301" s="60">
        <f t="shared" si="64"/>
        <v>0</v>
      </c>
      <c r="AS301" s="60">
        <f t="shared" si="65"/>
        <v>0</v>
      </c>
      <c r="AT301" s="60">
        <f t="shared" si="66"/>
        <v>0</v>
      </c>
      <c r="AU301" s="60">
        <f t="shared" si="67"/>
        <v>0</v>
      </c>
      <c r="AV301" s="60">
        <f t="shared" si="68"/>
        <v>0</v>
      </c>
      <c r="AW301" s="60">
        <f t="shared" si="69"/>
        <v>0</v>
      </c>
      <c r="AX301" s="60">
        <f t="shared" si="76"/>
        <v>0</v>
      </c>
      <c r="AY301" s="64">
        <f t="shared" si="77"/>
        <v>0</v>
      </c>
      <c r="AZ301" s="65">
        <f t="shared" si="70"/>
        <v>0</v>
      </c>
      <c r="BA301" s="65">
        <f t="shared" si="71"/>
        <v>0</v>
      </c>
    </row>
    <row r="302" spans="3:53" s="17" customFormat="1" x14ac:dyDescent="0.25">
      <c r="C302" s="194"/>
      <c r="D302" s="195"/>
      <c r="E302" s="90"/>
      <c r="F302" s="198"/>
      <c r="G302" s="214"/>
      <c r="H302" s="199"/>
      <c r="I302" s="78"/>
      <c r="J302" s="79"/>
      <c r="K302" s="78"/>
      <c r="L302" s="80"/>
      <c r="M302" s="80"/>
      <c r="N302" s="78" t="s">
        <v>39</v>
      </c>
      <c r="O302" s="113"/>
      <c r="P302" s="155"/>
      <c r="Q302" s="114" t="str">
        <f>IFERROR(MIN(VLOOKUP(ROUNDDOWN(P302,0),'Aide calcul'!$B$2:$C$282,2,FALSE),O302+1),"")</f>
        <v/>
      </c>
      <c r="R302" s="115" t="str">
        <f t="shared" si="72"/>
        <v/>
      </c>
      <c r="S302" s="155"/>
      <c r="T302" s="155"/>
      <c r="U302" s="155"/>
      <c r="V302" s="155"/>
      <c r="W302" s="155"/>
      <c r="X302" s="155"/>
      <c r="Y302" s="155"/>
      <c r="Z302" s="78"/>
      <c r="AA302" s="78"/>
      <c r="AB302" s="116" t="str">
        <f>IF(C302="3111. Logements",ROUND(VLOOKUP(C302,'Informations générales'!$C$66:$D$70,2,FALSE)*(AK302/$AL$27)/12,0)*12,IF(C302="3112. Logements",ROUND(VLOOKUP(C302,'Informations générales'!$C$66:$D$70,2,FALSE)*(AK302/$AM$27)/12,0)*12,IF(C302="3113. Logements",ROUND(VLOOKUP(C302,'Informations générales'!$C$66:$D$70,2,FALSE)*(AK302/$AN$27)/12,0)*12,IF(C302="3114. Logements",ROUND(VLOOKUP(C302,'Informations générales'!$C$66:$D$70,2,FALSE)*(AK302/$AO$27)/12,0)*12,IF(C302="3115. Logements",ROUND(VLOOKUP(C302,'Informations générales'!$C$66:$D$70,2,FALSE)*(AK302/$AP$27)/12,0)*12,"")))))</f>
        <v/>
      </c>
      <c r="AC302" s="117"/>
      <c r="AD302" s="116">
        <f t="shared" si="73"/>
        <v>0</v>
      </c>
      <c r="AE302" s="117"/>
      <c r="AF302" s="116" t="str">
        <f>IF(C302="3111. Logements",ROUND(VLOOKUP(C302,'Informations générales'!$C$66:$G$70,5,FALSE)*(AK302/$AL$27)/12,0)*12,IF(C302="3112. Logements",ROUND(VLOOKUP(C302,'Informations générales'!$C$66:$G$70,5,FALSE)*(AK302/$AM$27)/12,0)*12,IF(C302="3113. Logements",ROUND(VLOOKUP(C302,'Informations générales'!$C$66:$G$70,5,FALSE)*(AK302/$AN$27)/12,0)*12,IF(C302="3114. Logements",ROUND(VLOOKUP(C302,'Informations générales'!$C$66:$G$70,5,FALSE)*(AK302/$AO$27)/12,0)*12,IF(C302="3115. Logements",ROUND(VLOOKUP(C302,'Informations générales'!$C$66:$G$70,5,FALSE)*(AK302/$AP$27)/12,0)*12,"")))))</f>
        <v/>
      </c>
      <c r="AG302" s="117"/>
      <c r="AH302" s="116" t="str">
        <f t="shared" si="74"/>
        <v/>
      </c>
      <c r="AI302" s="92"/>
      <c r="AJ302" s="78"/>
      <c r="AK302" s="60">
        <f t="shared" si="75"/>
        <v>0</v>
      </c>
      <c r="AL302" s="60"/>
      <c r="AM302" s="60"/>
      <c r="AN302" s="60"/>
      <c r="AO302" s="60"/>
      <c r="AP302" s="60"/>
      <c r="AQ302" s="60">
        <f t="shared" si="63"/>
        <v>0</v>
      </c>
      <c r="AR302" s="60">
        <f t="shared" si="64"/>
        <v>0</v>
      </c>
      <c r="AS302" s="60">
        <f t="shared" si="65"/>
        <v>0</v>
      </c>
      <c r="AT302" s="60">
        <f t="shared" si="66"/>
        <v>0</v>
      </c>
      <c r="AU302" s="60">
        <f t="shared" si="67"/>
        <v>0</v>
      </c>
      <c r="AV302" s="60">
        <f t="shared" si="68"/>
        <v>0</v>
      </c>
      <c r="AW302" s="60">
        <f t="shared" si="69"/>
        <v>0</v>
      </c>
      <c r="AX302" s="60">
        <f t="shared" si="76"/>
        <v>0</v>
      </c>
      <c r="AY302" s="64">
        <f t="shared" si="77"/>
        <v>0</v>
      </c>
      <c r="AZ302" s="65">
        <f t="shared" si="70"/>
        <v>0</v>
      </c>
      <c r="BA302" s="65">
        <f t="shared" si="71"/>
        <v>0</v>
      </c>
    </row>
    <row r="303" spans="3:53" s="17" customFormat="1" x14ac:dyDescent="0.25">
      <c r="C303" s="194"/>
      <c r="D303" s="195"/>
      <c r="E303" s="90"/>
      <c r="F303" s="198"/>
      <c r="G303" s="214"/>
      <c r="H303" s="199"/>
      <c r="I303" s="78"/>
      <c r="J303" s="79"/>
      <c r="K303" s="78"/>
      <c r="L303" s="80"/>
      <c r="M303" s="80"/>
      <c r="N303" s="78" t="s">
        <v>39</v>
      </c>
      <c r="O303" s="113"/>
      <c r="P303" s="155"/>
      <c r="Q303" s="114" t="str">
        <f>IFERROR(MIN(VLOOKUP(ROUNDDOWN(P303,0),'Aide calcul'!$B$2:$C$282,2,FALSE),O303+1),"")</f>
        <v/>
      </c>
      <c r="R303" s="115" t="str">
        <f t="shared" si="72"/>
        <v/>
      </c>
      <c r="S303" s="155"/>
      <c r="T303" s="155"/>
      <c r="U303" s="155"/>
      <c r="V303" s="155"/>
      <c r="W303" s="155"/>
      <c r="X303" s="155"/>
      <c r="Y303" s="155"/>
      <c r="Z303" s="78"/>
      <c r="AA303" s="78"/>
      <c r="AB303" s="116" t="str">
        <f>IF(C303="3111. Logements",ROUND(VLOOKUP(C303,'Informations générales'!$C$66:$D$70,2,FALSE)*(AK303/$AL$27)/12,0)*12,IF(C303="3112. Logements",ROUND(VLOOKUP(C303,'Informations générales'!$C$66:$D$70,2,FALSE)*(AK303/$AM$27)/12,0)*12,IF(C303="3113. Logements",ROUND(VLOOKUP(C303,'Informations générales'!$C$66:$D$70,2,FALSE)*(AK303/$AN$27)/12,0)*12,IF(C303="3114. Logements",ROUND(VLOOKUP(C303,'Informations générales'!$C$66:$D$70,2,FALSE)*(AK303/$AO$27)/12,0)*12,IF(C303="3115. Logements",ROUND(VLOOKUP(C303,'Informations générales'!$C$66:$D$70,2,FALSE)*(AK303/$AP$27)/12,0)*12,"")))))</f>
        <v/>
      </c>
      <c r="AC303" s="117"/>
      <c r="AD303" s="116">
        <f t="shared" si="73"/>
        <v>0</v>
      </c>
      <c r="AE303" s="117"/>
      <c r="AF303" s="116" t="str">
        <f>IF(C303="3111. Logements",ROUND(VLOOKUP(C303,'Informations générales'!$C$66:$G$70,5,FALSE)*(AK303/$AL$27)/12,0)*12,IF(C303="3112. Logements",ROUND(VLOOKUP(C303,'Informations générales'!$C$66:$G$70,5,FALSE)*(AK303/$AM$27)/12,0)*12,IF(C303="3113. Logements",ROUND(VLOOKUP(C303,'Informations générales'!$C$66:$G$70,5,FALSE)*(AK303/$AN$27)/12,0)*12,IF(C303="3114. Logements",ROUND(VLOOKUP(C303,'Informations générales'!$C$66:$G$70,5,FALSE)*(AK303/$AO$27)/12,0)*12,IF(C303="3115. Logements",ROUND(VLOOKUP(C303,'Informations générales'!$C$66:$G$70,5,FALSE)*(AK303/$AP$27)/12,0)*12,"")))))</f>
        <v/>
      </c>
      <c r="AG303" s="117"/>
      <c r="AH303" s="116" t="str">
        <f t="shared" si="74"/>
        <v/>
      </c>
      <c r="AI303" s="92"/>
      <c r="AJ303" s="78"/>
      <c r="AK303" s="60">
        <f t="shared" si="75"/>
        <v>0</v>
      </c>
      <c r="AL303" s="60"/>
      <c r="AM303" s="60"/>
      <c r="AN303" s="60"/>
      <c r="AO303" s="60"/>
      <c r="AP303" s="60"/>
      <c r="AQ303" s="60">
        <f t="shared" si="63"/>
        <v>0</v>
      </c>
      <c r="AR303" s="60">
        <f t="shared" si="64"/>
        <v>0</v>
      </c>
      <c r="AS303" s="60">
        <f t="shared" si="65"/>
        <v>0</v>
      </c>
      <c r="AT303" s="60">
        <f t="shared" si="66"/>
        <v>0</v>
      </c>
      <c r="AU303" s="60">
        <f t="shared" si="67"/>
        <v>0</v>
      </c>
      <c r="AV303" s="60">
        <f t="shared" si="68"/>
        <v>0</v>
      </c>
      <c r="AW303" s="60">
        <f t="shared" si="69"/>
        <v>0</v>
      </c>
      <c r="AX303" s="60">
        <f t="shared" si="76"/>
        <v>0</v>
      </c>
      <c r="AY303" s="64">
        <f t="shared" si="77"/>
        <v>0</v>
      </c>
      <c r="AZ303" s="65">
        <f t="shared" si="70"/>
        <v>0</v>
      </c>
      <c r="BA303" s="65">
        <f t="shared" si="71"/>
        <v>0</v>
      </c>
    </row>
    <row r="304" spans="3:53" s="17" customFormat="1" x14ac:dyDescent="0.25">
      <c r="C304" s="194"/>
      <c r="D304" s="195"/>
      <c r="E304" s="90"/>
      <c r="F304" s="198"/>
      <c r="G304" s="214"/>
      <c r="H304" s="199"/>
      <c r="I304" s="78"/>
      <c r="J304" s="79"/>
      <c r="K304" s="78"/>
      <c r="L304" s="80"/>
      <c r="M304" s="80"/>
      <c r="N304" s="78" t="s">
        <v>39</v>
      </c>
      <c r="O304" s="113"/>
      <c r="P304" s="155"/>
      <c r="Q304" s="114" t="str">
        <f>IFERROR(MIN(VLOOKUP(ROUNDDOWN(P304,0),'Aide calcul'!$B$2:$C$282,2,FALSE),O304+1),"")</f>
        <v/>
      </c>
      <c r="R304" s="115" t="str">
        <f t="shared" si="72"/>
        <v/>
      </c>
      <c r="S304" s="155"/>
      <c r="T304" s="155"/>
      <c r="U304" s="155"/>
      <c r="V304" s="155"/>
      <c r="W304" s="155"/>
      <c r="X304" s="155"/>
      <c r="Y304" s="155"/>
      <c r="Z304" s="78"/>
      <c r="AA304" s="78"/>
      <c r="AB304" s="116" t="str">
        <f>IF(C304="3111. Logements",ROUND(VLOOKUP(C304,'Informations générales'!$C$66:$D$70,2,FALSE)*(AK304/$AL$27)/12,0)*12,IF(C304="3112. Logements",ROUND(VLOOKUP(C304,'Informations générales'!$C$66:$D$70,2,FALSE)*(AK304/$AM$27)/12,0)*12,IF(C304="3113. Logements",ROUND(VLOOKUP(C304,'Informations générales'!$C$66:$D$70,2,FALSE)*(AK304/$AN$27)/12,0)*12,IF(C304="3114. Logements",ROUND(VLOOKUP(C304,'Informations générales'!$C$66:$D$70,2,FALSE)*(AK304/$AO$27)/12,0)*12,IF(C304="3115. Logements",ROUND(VLOOKUP(C304,'Informations générales'!$C$66:$D$70,2,FALSE)*(AK304/$AP$27)/12,0)*12,"")))))</f>
        <v/>
      </c>
      <c r="AC304" s="117"/>
      <c r="AD304" s="116">
        <f t="shared" si="73"/>
        <v>0</v>
      </c>
      <c r="AE304" s="117"/>
      <c r="AF304" s="116" t="str">
        <f>IF(C304="3111. Logements",ROUND(VLOOKUP(C304,'Informations générales'!$C$66:$G$70,5,FALSE)*(AK304/$AL$27)/12,0)*12,IF(C304="3112. Logements",ROUND(VLOOKUP(C304,'Informations générales'!$C$66:$G$70,5,FALSE)*(AK304/$AM$27)/12,0)*12,IF(C304="3113. Logements",ROUND(VLOOKUP(C304,'Informations générales'!$C$66:$G$70,5,FALSE)*(AK304/$AN$27)/12,0)*12,IF(C304="3114. Logements",ROUND(VLOOKUP(C304,'Informations générales'!$C$66:$G$70,5,FALSE)*(AK304/$AO$27)/12,0)*12,IF(C304="3115. Logements",ROUND(VLOOKUP(C304,'Informations générales'!$C$66:$G$70,5,FALSE)*(AK304/$AP$27)/12,0)*12,"")))))</f>
        <v/>
      </c>
      <c r="AG304" s="117"/>
      <c r="AH304" s="116" t="str">
        <f t="shared" si="74"/>
        <v/>
      </c>
      <c r="AI304" s="92"/>
      <c r="AJ304" s="78"/>
      <c r="AK304" s="60">
        <f t="shared" si="75"/>
        <v>0</v>
      </c>
      <c r="AL304" s="60"/>
      <c r="AM304" s="60"/>
      <c r="AN304" s="60"/>
      <c r="AO304" s="60"/>
      <c r="AP304" s="60"/>
      <c r="AQ304" s="60">
        <f t="shared" si="63"/>
        <v>0</v>
      </c>
      <c r="AR304" s="60">
        <f t="shared" si="64"/>
        <v>0</v>
      </c>
      <c r="AS304" s="60">
        <f t="shared" si="65"/>
        <v>0</v>
      </c>
      <c r="AT304" s="60">
        <f t="shared" si="66"/>
        <v>0</v>
      </c>
      <c r="AU304" s="60">
        <f t="shared" si="67"/>
        <v>0</v>
      </c>
      <c r="AV304" s="60">
        <f t="shared" si="68"/>
        <v>0</v>
      </c>
      <c r="AW304" s="60">
        <f t="shared" si="69"/>
        <v>0</v>
      </c>
      <c r="AX304" s="60">
        <f t="shared" si="76"/>
        <v>0</v>
      </c>
      <c r="AY304" s="64">
        <f t="shared" si="77"/>
        <v>0</v>
      </c>
      <c r="AZ304" s="65">
        <f t="shared" si="70"/>
        <v>0</v>
      </c>
      <c r="BA304" s="65">
        <f t="shared" si="71"/>
        <v>0</v>
      </c>
    </row>
    <row r="305" spans="3:53" s="17" customFormat="1" x14ac:dyDescent="0.25">
      <c r="C305" s="194"/>
      <c r="D305" s="195"/>
      <c r="E305" s="90"/>
      <c r="F305" s="198"/>
      <c r="G305" s="214"/>
      <c r="H305" s="199"/>
      <c r="I305" s="78"/>
      <c r="J305" s="79"/>
      <c r="K305" s="78"/>
      <c r="L305" s="80"/>
      <c r="M305" s="80"/>
      <c r="N305" s="78" t="s">
        <v>39</v>
      </c>
      <c r="O305" s="113"/>
      <c r="P305" s="155"/>
      <c r="Q305" s="114" t="str">
        <f>IFERROR(MIN(VLOOKUP(ROUNDDOWN(P305,0),'Aide calcul'!$B$2:$C$282,2,FALSE),O305+1),"")</f>
        <v/>
      </c>
      <c r="R305" s="115" t="str">
        <f t="shared" si="72"/>
        <v/>
      </c>
      <c r="S305" s="155"/>
      <c r="T305" s="155"/>
      <c r="U305" s="155"/>
      <c r="V305" s="155"/>
      <c r="W305" s="155"/>
      <c r="X305" s="155"/>
      <c r="Y305" s="155"/>
      <c r="Z305" s="78"/>
      <c r="AA305" s="78"/>
      <c r="AB305" s="116" t="str">
        <f>IF(C305="3111. Logements",ROUND(VLOOKUP(C305,'Informations générales'!$C$66:$D$70,2,FALSE)*(AK305/$AL$27)/12,0)*12,IF(C305="3112. Logements",ROUND(VLOOKUP(C305,'Informations générales'!$C$66:$D$70,2,FALSE)*(AK305/$AM$27)/12,0)*12,IF(C305="3113. Logements",ROUND(VLOOKUP(C305,'Informations générales'!$C$66:$D$70,2,FALSE)*(AK305/$AN$27)/12,0)*12,IF(C305="3114. Logements",ROUND(VLOOKUP(C305,'Informations générales'!$C$66:$D$70,2,FALSE)*(AK305/$AO$27)/12,0)*12,IF(C305="3115. Logements",ROUND(VLOOKUP(C305,'Informations générales'!$C$66:$D$70,2,FALSE)*(AK305/$AP$27)/12,0)*12,"")))))</f>
        <v/>
      </c>
      <c r="AC305" s="117"/>
      <c r="AD305" s="116">
        <f t="shared" si="73"/>
        <v>0</v>
      </c>
      <c r="AE305" s="117"/>
      <c r="AF305" s="116" t="str">
        <f>IF(C305="3111. Logements",ROUND(VLOOKUP(C305,'Informations générales'!$C$66:$G$70,5,FALSE)*(AK305/$AL$27)/12,0)*12,IF(C305="3112. Logements",ROUND(VLOOKUP(C305,'Informations générales'!$C$66:$G$70,5,FALSE)*(AK305/$AM$27)/12,0)*12,IF(C305="3113. Logements",ROUND(VLOOKUP(C305,'Informations générales'!$C$66:$G$70,5,FALSE)*(AK305/$AN$27)/12,0)*12,IF(C305="3114. Logements",ROUND(VLOOKUP(C305,'Informations générales'!$C$66:$G$70,5,FALSE)*(AK305/$AO$27)/12,0)*12,IF(C305="3115. Logements",ROUND(VLOOKUP(C305,'Informations générales'!$C$66:$G$70,5,FALSE)*(AK305/$AP$27)/12,0)*12,"")))))</f>
        <v/>
      </c>
      <c r="AG305" s="117"/>
      <c r="AH305" s="116" t="str">
        <f t="shared" si="74"/>
        <v/>
      </c>
      <c r="AI305" s="92"/>
      <c r="AJ305" s="78"/>
      <c r="AK305" s="60">
        <f t="shared" si="75"/>
        <v>0</v>
      </c>
      <c r="AL305" s="60"/>
      <c r="AM305" s="60"/>
      <c r="AN305" s="60"/>
      <c r="AO305" s="60"/>
      <c r="AP305" s="60"/>
      <c r="AQ305" s="60">
        <f t="shared" si="63"/>
        <v>0</v>
      </c>
      <c r="AR305" s="60">
        <f t="shared" si="64"/>
        <v>0</v>
      </c>
      <c r="AS305" s="60">
        <f t="shared" si="65"/>
        <v>0</v>
      </c>
      <c r="AT305" s="60">
        <f t="shared" si="66"/>
        <v>0</v>
      </c>
      <c r="AU305" s="60">
        <f t="shared" si="67"/>
        <v>0</v>
      </c>
      <c r="AV305" s="60">
        <f t="shared" si="68"/>
        <v>0</v>
      </c>
      <c r="AW305" s="60">
        <f t="shared" si="69"/>
        <v>0</v>
      </c>
      <c r="AX305" s="60">
        <f t="shared" si="76"/>
        <v>0</v>
      </c>
      <c r="AY305" s="64">
        <f t="shared" si="77"/>
        <v>0</v>
      </c>
      <c r="AZ305" s="65">
        <f t="shared" si="70"/>
        <v>0</v>
      </c>
      <c r="BA305" s="65">
        <f t="shared" si="71"/>
        <v>0</v>
      </c>
    </row>
    <row r="306" spans="3:53" s="17" customFormat="1" x14ac:dyDescent="0.25">
      <c r="C306" s="194"/>
      <c r="D306" s="195"/>
      <c r="E306" s="90"/>
      <c r="F306" s="198"/>
      <c r="G306" s="214"/>
      <c r="H306" s="199"/>
      <c r="I306" s="78"/>
      <c r="J306" s="79"/>
      <c r="K306" s="78"/>
      <c r="L306" s="80"/>
      <c r="M306" s="80"/>
      <c r="N306" s="78" t="s">
        <v>39</v>
      </c>
      <c r="O306" s="113"/>
      <c r="P306" s="155"/>
      <c r="Q306" s="114" t="str">
        <f>IFERROR(MIN(VLOOKUP(ROUNDDOWN(P306,0),'Aide calcul'!$B$2:$C$282,2,FALSE),O306+1),"")</f>
        <v/>
      </c>
      <c r="R306" s="115" t="str">
        <f t="shared" si="72"/>
        <v/>
      </c>
      <c r="S306" s="155"/>
      <c r="T306" s="155"/>
      <c r="U306" s="155"/>
      <c r="V306" s="155"/>
      <c r="W306" s="155"/>
      <c r="X306" s="155"/>
      <c r="Y306" s="155"/>
      <c r="Z306" s="78"/>
      <c r="AA306" s="78"/>
      <c r="AB306" s="116" t="str">
        <f>IF(C306="3111. Logements",ROUND(VLOOKUP(C306,'Informations générales'!$C$66:$D$70,2,FALSE)*(AK306/$AL$27)/12,0)*12,IF(C306="3112. Logements",ROUND(VLOOKUP(C306,'Informations générales'!$C$66:$D$70,2,FALSE)*(AK306/$AM$27)/12,0)*12,IF(C306="3113. Logements",ROUND(VLOOKUP(C306,'Informations générales'!$C$66:$D$70,2,FALSE)*(AK306/$AN$27)/12,0)*12,IF(C306="3114. Logements",ROUND(VLOOKUP(C306,'Informations générales'!$C$66:$D$70,2,FALSE)*(AK306/$AO$27)/12,0)*12,IF(C306="3115. Logements",ROUND(VLOOKUP(C306,'Informations générales'!$C$66:$D$70,2,FALSE)*(AK306/$AP$27)/12,0)*12,"")))))</f>
        <v/>
      </c>
      <c r="AC306" s="117"/>
      <c r="AD306" s="116">
        <f t="shared" si="73"/>
        <v>0</v>
      </c>
      <c r="AE306" s="117"/>
      <c r="AF306" s="116" t="str">
        <f>IF(C306="3111. Logements",ROUND(VLOOKUP(C306,'Informations générales'!$C$66:$G$70,5,FALSE)*(AK306/$AL$27)/12,0)*12,IF(C306="3112. Logements",ROUND(VLOOKUP(C306,'Informations générales'!$C$66:$G$70,5,FALSE)*(AK306/$AM$27)/12,0)*12,IF(C306="3113. Logements",ROUND(VLOOKUP(C306,'Informations générales'!$C$66:$G$70,5,FALSE)*(AK306/$AN$27)/12,0)*12,IF(C306="3114. Logements",ROUND(VLOOKUP(C306,'Informations générales'!$C$66:$G$70,5,FALSE)*(AK306/$AO$27)/12,0)*12,IF(C306="3115. Logements",ROUND(VLOOKUP(C306,'Informations générales'!$C$66:$G$70,5,FALSE)*(AK306/$AP$27)/12,0)*12,"")))))</f>
        <v/>
      </c>
      <c r="AG306" s="117"/>
      <c r="AH306" s="116" t="str">
        <f t="shared" si="74"/>
        <v/>
      </c>
      <c r="AI306" s="92"/>
      <c r="AJ306" s="78"/>
      <c r="AK306" s="60">
        <f t="shared" si="75"/>
        <v>0</v>
      </c>
      <c r="AL306" s="60"/>
      <c r="AM306" s="60"/>
      <c r="AN306" s="60"/>
      <c r="AO306" s="60"/>
      <c r="AP306" s="60"/>
      <c r="AQ306" s="60">
        <f t="shared" si="63"/>
        <v>0</v>
      </c>
      <c r="AR306" s="60">
        <f t="shared" si="64"/>
        <v>0</v>
      </c>
      <c r="AS306" s="60">
        <f t="shared" si="65"/>
        <v>0</v>
      </c>
      <c r="AT306" s="60">
        <f t="shared" si="66"/>
        <v>0</v>
      </c>
      <c r="AU306" s="60">
        <f t="shared" si="67"/>
        <v>0</v>
      </c>
      <c r="AV306" s="60">
        <f t="shared" si="68"/>
        <v>0</v>
      </c>
      <c r="AW306" s="60">
        <f t="shared" si="69"/>
        <v>0</v>
      </c>
      <c r="AX306" s="60">
        <f t="shared" si="76"/>
        <v>0</v>
      </c>
      <c r="AY306" s="64">
        <f t="shared" si="77"/>
        <v>0</v>
      </c>
      <c r="AZ306" s="65">
        <f t="shared" si="70"/>
        <v>0</v>
      </c>
      <c r="BA306" s="65">
        <f t="shared" si="71"/>
        <v>0</v>
      </c>
    </row>
    <row r="307" spans="3:53" s="17" customFormat="1" x14ac:dyDescent="0.25">
      <c r="C307" s="194"/>
      <c r="D307" s="195"/>
      <c r="E307" s="90"/>
      <c r="F307" s="198"/>
      <c r="G307" s="214"/>
      <c r="H307" s="199"/>
      <c r="I307" s="78"/>
      <c r="J307" s="79"/>
      <c r="K307" s="78"/>
      <c r="L307" s="80"/>
      <c r="M307" s="80"/>
      <c r="N307" s="78" t="s">
        <v>39</v>
      </c>
      <c r="O307" s="113"/>
      <c r="P307" s="155"/>
      <c r="Q307" s="114" t="str">
        <f>IFERROR(MIN(VLOOKUP(ROUNDDOWN(P307,0),'Aide calcul'!$B$2:$C$282,2,FALSE),O307+1),"")</f>
        <v/>
      </c>
      <c r="R307" s="115" t="str">
        <f t="shared" si="72"/>
        <v/>
      </c>
      <c r="S307" s="155"/>
      <c r="T307" s="155"/>
      <c r="U307" s="155"/>
      <c r="V307" s="155"/>
      <c r="W307" s="155"/>
      <c r="X307" s="155"/>
      <c r="Y307" s="155"/>
      <c r="Z307" s="78"/>
      <c r="AA307" s="78"/>
      <c r="AB307" s="116" t="str">
        <f>IF(C307="3111. Logements",ROUND(VLOOKUP(C307,'Informations générales'!$C$66:$D$70,2,FALSE)*(AK307/$AL$27)/12,0)*12,IF(C307="3112. Logements",ROUND(VLOOKUP(C307,'Informations générales'!$C$66:$D$70,2,FALSE)*(AK307/$AM$27)/12,0)*12,IF(C307="3113. Logements",ROUND(VLOOKUP(C307,'Informations générales'!$C$66:$D$70,2,FALSE)*(AK307/$AN$27)/12,0)*12,IF(C307="3114. Logements",ROUND(VLOOKUP(C307,'Informations générales'!$C$66:$D$70,2,FALSE)*(AK307/$AO$27)/12,0)*12,IF(C307="3115. Logements",ROUND(VLOOKUP(C307,'Informations générales'!$C$66:$D$70,2,FALSE)*(AK307/$AP$27)/12,0)*12,"")))))</f>
        <v/>
      </c>
      <c r="AC307" s="117"/>
      <c r="AD307" s="116">
        <f t="shared" si="73"/>
        <v>0</v>
      </c>
      <c r="AE307" s="117"/>
      <c r="AF307" s="116" t="str">
        <f>IF(C307="3111. Logements",ROUND(VLOOKUP(C307,'Informations générales'!$C$66:$G$70,5,FALSE)*(AK307/$AL$27)/12,0)*12,IF(C307="3112. Logements",ROUND(VLOOKUP(C307,'Informations générales'!$C$66:$G$70,5,FALSE)*(AK307/$AM$27)/12,0)*12,IF(C307="3113. Logements",ROUND(VLOOKUP(C307,'Informations générales'!$C$66:$G$70,5,FALSE)*(AK307/$AN$27)/12,0)*12,IF(C307="3114. Logements",ROUND(VLOOKUP(C307,'Informations générales'!$C$66:$G$70,5,FALSE)*(AK307/$AO$27)/12,0)*12,IF(C307="3115. Logements",ROUND(VLOOKUP(C307,'Informations générales'!$C$66:$G$70,5,FALSE)*(AK307/$AP$27)/12,0)*12,"")))))</f>
        <v/>
      </c>
      <c r="AG307" s="117"/>
      <c r="AH307" s="116" t="str">
        <f t="shared" si="74"/>
        <v/>
      </c>
      <c r="AI307" s="92"/>
      <c r="AJ307" s="78"/>
      <c r="AK307" s="60">
        <f t="shared" si="75"/>
        <v>0</v>
      </c>
      <c r="AL307" s="60"/>
      <c r="AM307" s="60"/>
      <c r="AN307" s="60"/>
      <c r="AO307" s="60"/>
      <c r="AP307" s="60"/>
      <c r="AQ307" s="60">
        <f t="shared" si="63"/>
        <v>0</v>
      </c>
      <c r="AR307" s="60">
        <f t="shared" si="64"/>
        <v>0</v>
      </c>
      <c r="AS307" s="60">
        <f t="shared" si="65"/>
        <v>0</v>
      </c>
      <c r="AT307" s="60">
        <f t="shared" si="66"/>
        <v>0</v>
      </c>
      <c r="AU307" s="60">
        <f t="shared" si="67"/>
        <v>0</v>
      </c>
      <c r="AV307" s="60">
        <f t="shared" si="68"/>
        <v>0</v>
      </c>
      <c r="AW307" s="60">
        <f t="shared" si="69"/>
        <v>0</v>
      </c>
      <c r="AX307" s="60">
        <f t="shared" si="76"/>
        <v>0</v>
      </c>
      <c r="AY307" s="64">
        <f t="shared" si="77"/>
        <v>0</v>
      </c>
      <c r="AZ307" s="65">
        <f t="shared" si="70"/>
        <v>0</v>
      </c>
      <c r="BA307" s="65">
        <f t="shared" si="71"/>
        <v>0</v>
      </c>
    </row>
    <row r="308" spans="3:53" s="17" customFormat="1" x14ac:dyDescent="0.25">
      <c r="C308" s="194"/>
      <c r="D308" s="195"/>
      <c r="E308" s="90"/>
      <c r="F308" s="198"/>
      <c r="G308" s="214"/>
      <c r="H308" s="199"/>
      <c r="I308" s="78"/>
      <c r="J308" s="79"/>
      <c r="K308" s="78"/>
      <c r="L308" s="80"/>
      <c r="M308" s="80"/>
      <c r="N308" s="78" t="s">
        <v>39</v>
      </c>
      <c r="O308" s="113"/>
      <c r="P308" s="155"/>
      <c r="Q308" s="114" t="str">
        <f>IFERROR(MIN(VLOOKUP(ROUNDDOWN(P308,0),'Aide calcul'!$B$2:$C$282,2,FALSE),O308+1),"")</f>
        <v/>
      </c>
      <c r="R308" s="115" t="str">
        <f t="shared" si="72"/>
        <v/>
      </c>
      <c r="S308" s="155"/>
      <c r="T308" s="155"/>
      <c r="U308" s="155"/>
      <c r="V308" s="155"/>
      <c r="W308" s="155"/>
      <c r="X308" s="155"/>
      <c r="Y308" s="155"/>
      <c r="Z308" s="78"/>
      <c r="AA308" s="78"/>
      <c r="AB308" s="116" t="str">
        <f>IF(C308="3111. Logements",ROUND(VLOOKUP(C308,'Informations générales'!$C$66:$D$70,2,FALSE)*(AK308/$AL$27)/12,0)*12,IF(C308="3112. Logements",ROUND(VLOOKUP(C308,'Informations générales'!$C$66:$D$70,2,FALSE)*(AK308/$AM$27)/12,0)*12,IF(C308="3113. Logements",ROUND(VLOOKUP(C308,'Informations générales'!$C$66:$D$70,2,FALSE)*(AK308/$AN$27)/12,0)*12,IF(C308="3114. Logements",ROUND(VLOOKUP(C308,'Informations générales'!$C$66:$D$70,2,FALSE)*(AK308/$AO$27)/12,0)*12,IF(C308="3115. Logements",ROUND(VLOOKUP(C308,'Informations générales'!$C$66:$D$70,2,FALSE)*(AK308/$AP$27)/12,0)*12,"")))))</f>
        <v/>
      </c>
      <c r="AC308" s="117"/>
      <c r="AD308" s="116">
        <f t="shared" si="73"/>
        <v>0</v>
      </c>
      <c r="AE308" s="117"/>
      <c r="AF308" s="116" t="str">
        <f>IF(C308="3111. Logements",ROUND(VLOOKUP(C308,'Informations générales'!$C$66:$G$70,5,FALSE)*(AK308/$AL$27)/12,0)*12,IF(C308="3112. Logements",ROUND(VLOOKUP(C308,'Informations générales'!$C$66:$G$70,5,FALSE)*(AK308/$AM$27)/12,0)*12,IF(C308="3113. Logements",ROUND(VLOOKUP(C308,'Informations générales'!$C$66:$G$70,5,FALSE)*(AK308/$AN$27)/12,0)*12,IF(C308="3114. Logements",ROUND(VLOOKUP(C308,'Informations générales'!$C$66:$G$70,5,FALSE)*(AK308/$AO$27)/12,0)*12,IF(C308="3115. Logements",ROUND(VLOOKUP(C308,'Informations générales'!$C$66:$G$70,5,FALSE)*(AK308/$AP$27)/12,0)*12,"")))))</f>
        <v/>
      </c>
      <c r="AG308" s="117"/>
      <c r="AH308" s="116" t="str">
        <f t="shared" si="74"/>
        <v/>
      </c>
      <c r="AI308" s="92"/>
      <c r="AJ308" s="78"/>
      <c r="AK308" s="60">
        <f t="shared" si="75"/>
        <v>0</v>
      </c>
      <c r="AL308" s="60"/>
      <c r="AM308" s="60"/>
      <c r="AN308" s="60"/>
      <c r="AO308" s="60"/>
      <c r="AP308" s="60"/>
      <c r="AQ308" s="60">
        <f t="shared" si="63"/>
        <v>0</v>
      </c>
      <c r="AR308" s="60">
        <f t="shared" si="64"/>
        <v>0</v>
      </c>
      <c r="AS308" s="60">
        <f t="shared" si="65"/>
        <v>0</v>
      </c>
      <c r="AT308" s="60">
        <f t="shared" si="66"/>
        <v>0</v>
      </c>
      <c r="AU308" s="60">
        <f t="shared" si="67"/>
        <v>0</v>
      </c>
      <c r="AV308" s="60">
        <f t="shared" si="68"/>
        <v>0</v>
      </c>
      <c r="AW308" s="60">
        <f t="shared" si="69"/>
        <v>0</v>
      </c>
      <c r="AX308" s="60">
        <f t="shared" si="76"/>
        <v>0</v>
      </c>
      <c r="AY308" s="64">
        <f t="shared" si="77"/>
        <v>0</v>
      </c>
      <c r="AZ308" s="65">
        <f t="shared" si="70"/>
        <v>0</v>
      </c>
      <c r="BA308" s="65">
        <f t="shared" si="71"/>
        <v>0</v>
      </c>
    </row>
    <row r="309" spans="3:53" s="17" customFormat="1" x14ac:dyDescent="0.25">
      <c r="C309" s="194"/>
      <c r="D309" s="195"/>
      <c r="E309" s="90"/>
      <c r="F309" s="198"/>
      <c r="G309" s="214"/>
      <c r="H309" s="199"/>
      <c r="I309" s="78"/>
      <c r="J309" s="79"/>
      <c r="K309" s="78"/>
      <c r="L309" s="80"/>
      <c r="M309" s="80"/>
      <c r="N309" s="78" t="s">
        <v>39</v>
      </c>
      <c r="O309" s="113"/>
      <c r="P309" s="155"/>
      <c r="Q309" s="114" t="str">
        <f>IFERROR(MIN(VLOOKUP(ROUNDDOWN(P309,0),'Aide calcul'!$B$2:$C$282,2,FALSE),O309+1),"")</f>
        <v/>
      </c>
      <c r="R309" s="115" t="str">
        <f t="shared" si="72"/>
        <v/>
      </c>
      <c r="S309" s="155"/>
      <c r="T309" s="155"/>
      <c r="U309" s="155"/>
      <c r="V309" s="155"/>
      <c r="W309" s="155"/>
      <c r="X309" s="155"/>
      <c r="Y309" s="155"/>
      <c r="Z309" s="78"/>
      <c r="AA309" s="78"/>
      <c r="AB309" s="116" t="str">
        <f>IF(C309="3111. Logements",ROUND(VLOOKUP(C309,'Informations générales'!$C$66:$D$70,2,FALSE)*(AK309/$AL$27)/12,0)*12,IF(C309="3112. Logements",ROUND(VLOOKUP(C309,'Informations générales'!$C$66:$D$70,2,FALSE)*(AK309/$AM$27)/12,0)*12,IF(C309="3113. Logements",ROUND(VLOOKUP(C309,'Informations générales'!$C$66:$D$70,2,FALSE)*(AK309/$AN$27)/12,0)*12,IF(C309="3114. Logements",ROUND(VLOOKUP(C309,'Informations générales'!$C$66:$D$70,2,FALSE)*(AK309/$AO$27)/12,0)*12,IF(C309="3115. Logements",ROUND(VLOOKUP(C309,'Informations générales'!$C$66:$D$70,2,FALSE)*(AK309/$AP$27)/12,0)*12,"")))))</f>
        <v/>
      </c>
      <c r="AC309" s="117"/>
      <c r="AD309" s="116">
        <f t="shared" si="73"/>
        <v>0</v>
      </c>
      <c r="AE309" s="117"/>
      <c r="AF309" s="116" t="str">
        <f>IF(C309="3111. Logements",ROUND(VLOOKUP(C309,'Informations générales'!$C$66:$G$70,5,FALSE)*(AK309/$AL$27)/12,0)*12,IF(C309="3112. Logements",ROUND(VLOOKUP(C309,'Informations générales'!$C$66:$G$70,5,FALSE)*(AK309/$AM$27)/12,0)*12,IF(C309="3113. Logements",ROUND(VLOOKUP(C309,'Informations générales'!$C$66:$G$70,5,FALSE)*(AK309/$AN$27)/12,0)*12,IF(C309="3114. Logements",ROUND(VLOOKUP(C309,'Informations générales'!$C$66:$G$70,5,FALSE)*(AK309/$AO$27)/12,0)*12,IF(C309="3115. Logements",ROUND(VLOOKUP(C309,'Informations générales'!$C$66:$G$70,5,FALSE)*(AK309/$AP$27)/12,0)*12,"")))))</f>
        <v/>
      </c>
      <c r="AG309" s="117"/>
      <c r="AH309" s="116" t="str">
        <f t="shared" si="74"/>
        <v/>
      </c>
      <c r="AI309" s="92"/>
      <c r="AJ309" s="78"/>
      <c r="AK309" s="60">
        <f t="shared" si="75"/>
        <v>0</v>
      </c>
      <c r="AL309" s="60"/>
      <c r="AM309" s="60"/>
      <c r="AN309" s="60"/>
      <c r="AO309" s="60"/>
      <c r="AP309" s="60"/>
      <c r="AQ309" s="60">
        <f t="shared" si="63"/>
        <v>0</v>
      </c>
      <c r="AR309" s="60">
        <f t="shared" si="64"/>
        <v>0</v>
      </c>
      <c r="AS309" s="60">
        <f t="shared" si="65"/>
        <v>0</v>
      </c>
      <c r="AT309" s="60">
        <f t="shared" si="66"/>
        <v>0</v>
      </c>
      <c r="AU309" s="60">
        <f t="shared" si="67"/>
        <v>0</v>
      </c>
      <c r="AV309" s="60">
        <f t="shared" si="68"/>
        <v>0</v>
      </c>
      <c r="AW309" s="60">
        <f t="shared" si="69"/>
        <v>0</v>
      </c>
      <c r="AX309" s="60">
        <f t="shared" si="76"/>
        <v>0</v>
      </c>
      <c r="AY309" s="64">
        <f t="shared" si="77"/>
        <v>0</v>
      </c>
      <c r="AZ309" s="65">
        <f t="shared" si="70"/>
        <v>0</v>
      </c>
      <c r="BA309" s="65">
        <f t="shared" si="71"/>
        <v>0</v>
      </c>
    </row>
    <row r="310" spans="3:53" s="17" customFormat="1" x14ac:dyDescent="0.25">
      <c r="C310" s="194"/>
      <c r="D310" s="195"/>
      <c r="E310" s="90"/>
      <c r="F310" s="198"/>
      <c r="G310" s="214"/>
      <c r="H310" s="199"/>
      <c r="I310" s="78"/>
      <c r="J310" s="79"/>
      <c r="K310" s="78"/>
      <c r="L310" s="80"/>
      <c r="M310" s="80"/>
      <c r="N310" s="78" t="s">
        <v>39</v>
      </c>
      <c r="O310" s="113"/>
      <c r="P310" s="155"/>
      <c r="Q310" s="114" t="str">
        <f>IFERROR(MIN(VLOOKUP(ROUNDDOWN(P310,0),'Aide calcul'!$B$2:$C$282,2,FALSE),O310+1),"")</f>
        <v/>
      </c>
      <c r="R310" s="115" t="str">
        <f t="shared" si="72"/>
        <v/>
      </c>
      <c r="S310" s="155"/>
      <c r="T310" s="155"/>
      <c r="U310" s="155"/>
      <c r="V310" s="155"/>
      <c r="W310" s="155"/>
      <c r="X310" s="155"/>
      <c r="Y310" s="155"/>
      <c r="Z310" s="78"/>
      <c r="AA310" s="78"/>
      <c r="AB310" s="116" t="str">
        <f>IF(C310="3111. Logements",ROUND(VLOOKUP(C310,'Informations générales'!$C$66:$D$70,2,FALSE)*(AK310/$AL$27)/12,0)*12,IF(C310="3112. Logements",ROUND(VLOOKUP(C310,'Informations générales'!$C$66:$D$70,2,FALSE)*(AK310/$AM$27)/12,0)*12,IF(C310="3113. Logements",ROUND(VLOOKUP(C310,'Informations générales'!$C$66:$D$70,2,FALSE)*(AK310/$AN$27)/12,0)*12,IF(C310="3114. Logements",ROUND(VLOOKUP(C310,'Informations générales'!$C$66:$D$70,2,FALSE)*(AK310/$AO$27)/12,0)*12,IF(C310="3115. Logements",ROUND(VLOOKUP(C310,'Informations générales'!$C$66:$D$70,2,FALSE)*(AK310/$AP$27)/12,0)*12,"")))))</f>
        <v/>
      </c>
      <c r="AC310" s="117"/>
      <c r="AD310" s="116">
        <f t="shared" si="73"/>
        <v>0</v>
      </c>
      <c r="AE310" s="117"/>
      <c r="AF310" s="116" t="str">
        <f>IF(C310="3111. Logements",ROUND(VLOOKUP(C310,'Informations générales'!$C$66:$G$70,5,FALSE)*(AK310/$AL$27)/12,0)*12,IF(C310="3112. Logements",ROUND(VLOOKUP(C310,'Informations générales'!$C$66:$G$70,5,FALSE)*(AK310/$AM$27)/12,0)*12,IF(C310="3113. Logements",ROUND(VLOOKUP(C310,'Informations générales'!$C$66:$G$70,5,FALSE)*(AK310/$AN$27)/12,0)*12,IF(C310="3114. Logements",ROUND(VLOOKUP(C310,'Informations générales'!$C$66:$G$70,5,FALSE)*(AK310/$AO$27)/12,0)*12,IF(C310="3115. Logements",ROUND(VLOOKUP(C310,'Informations générales'!$C$66:$G$70,5,FALSE)*(AK310/$AP$27)/12,0)*12,"")))))</f>
        <v/>
      </c>
      <c r="AG310" s="117"/>
      <c r="AH310" s="116" t="str">
        <f t="shared" si="74"/>
        <v/>
      </c>
      <c r="AI310" s="92"/>
      <c r="AJ310" s="78"/>
      <c r="AK310" s="60">
        <f t="shared" si="75"/>
        <v>0</v>
      </c>
      <c r="AL310" s="60"/>
      <c r="AM310" s="60"/>
      <c r="AN310" s="60"/>
      <c r="AO310" s="60"/>
      <c r="AP310" s="60"/>
      <c r="AQ310" s="60">
        <f t="shared" si="63"/>
        <v>0</v>
      </c>
      <c r="AR310" s="60">
        <f t="shared" si="64"/>
        <v>0</v>
      </c>
      <c r="AS310" s="60">
        <f t="shared" si="65"/>
        <v>0</v>
      </c>
      <c r="AT310" s="60">
        <f t="shared" si="66"/>
        <v>0</v>
      </c>
      <c r="AU310" s="60">
        <f t="shared" si="67"/>
        <v>0</v>
      </c>
      <c r="AV310" s="60">
        <f t="shared" si="68"/>
        <v>0</v>
      </c>
      <c r="AW310" s="60">
        <f t="shared" si="69"/>
        <v>0</v>
      </c>
      <c r="AX310" s="60">
        <f t="shared" si="76"/>
        <v>0</v>
      </c>
      <c r="AY310" s="64">
        <f t="shared" si="77"/>
        <v>0</v>
      </c>
      <c r="AZ310" s="65">
        <f t="shared" si="70"/>
        <v>0</v>
      </c>
      <c r="BA310" s="65">
        <f t="shared" si="71"/>
        <v>0</v>
      </c>
    </row>
    <row r="311" spans="3:53" s="17" customFormat="1" x14ac:dyDescent="0.25">
      <c r="C311" s="194"/>
      <c r="D311" s="195"/>
      <c r="E311" s="90"/>
      <c r="F311" s="198"/>
      <c r="G311" s="214"/>
      <c r="H311" s="199"/>
      <c r="I311" s="78"/>
      <c r="J311" s="79"/>
      <c r="K311" s="78"/>
      <c r="L311" s="80"/>
      <c r="M311" s="80"/>
      <c r="N311" s="78" t="s">
        <v>39</v>
      </c>
      <c r="O311" s="113"/>
      <c r="P311" s="155"/>
      <c r="Q311" s="114" t="str">
        <f>IFERROR(MIN(VLOOKUP(ROUNDDOWN(P311,0),'Aide calcul'!$B$2:$C$282,2,FALSE),O311+1),"")</f>
        <v/>
      </c>
      <c r="R311" s="115" t="str">
        <f t="shared" si="72"/>
        <v/>
      </c>
      <c r="S311" s="155"/>
      <c r="T311" s="155"/>
      <c r="U311" s="155"/>
      <c r="V311" s="155"/>
      <c r="W311" s="155"/>
      <c r="X311" s="155"/>
      <c r="Y311" s="155"/>
      <c r="Z311" s="78"/>
      <c r="AA311" s="78"/>
      <c r="AB311" s="116" t="str">
        <f>IF(C311="3111. Logements",ROUND(VLOOKUP(C311,'Informations générales'!$C$66:$D$70,2,FALSE)*(AK311/$AL$27)/12,0)*12,IF(C311="3112. Logements",ROUND(VLOOKUP(C311,'Informations générales'!$C$66:$D$70,2,FALSE)*(AK311/$AM$27)/12,0)*12,IF(C311="3113. Logements",ROUND(VLOOKUP(C311,'Informations générales'!$C$66:$D$70,2,FALSE)*(AK311/$AN$27)/12,0)*12,IF(C311="3114. Logements",ROUND(VLOOKUP(C311,'Informations générales'!$C$66:$D$70,2,FALSE)*(AK311/$AO$27)/12,0)*12,IF(C311="3115. Logements",ROUND(VLOOKUP(C311,'Informations générales'!$C$66:$D$70,2,FALSE)*(AK311/$AP$27)/12,0)*12,"")))))</f>
        <v/>
      </c>
      <c r="AC311" s="117"/>
      <c r="AD311" s="116">
        <f t="shared" si="73"/>
        <v>0</v>
      </c>
      <c r="AE311" s="117"/>
      <c r="AF311" s="116" t="str">
        <f>IF(C311="3111. Logements",ROUND(VLOOKUP(C311,'Informations générales'!$C$66:$G$70,5,FALSE)*(AK311/$AL$27)/12,0)*12,IF(C311="3112. Logements",ROUND(VLOOKUP(C311,'Informations générales'!$C$66:$G$70,5,FALSE)*(AK311/$AM$27)/12,0)*12,IF(C311="3113. Logements",ROUND(VLOOKUP(C311,'Informations générales'!$C$66:$G$70,5,FALSE)*(AK311/$AN$27)/12,0)*12,IF(C311="3114. Logements",ROUND(VLOOKUP(C311,'Informations générales'!$C$66:$G$70,5,FALSE)*(AK311/$AO$27)/12,0)*12,IF(C311="3115. Logements",ROUND(VLOOKUP(C311,'Informations générales'!$C$66:$G$70,5,FALSE)*(AK311/$AP$27)/12,0)*12,"")))))</f>
        <v/>
      </c>
      <c r="AG311" s="117"/>
      <c r="AH311" s="116" t="str">
        <f t="shared" si="74"/>
        <v/>
      </c>
      <c r="AI311" s="92"/>
      <c r="AJ311" s="78"/>
      <c r="AK311" s="60">
        <f t="shared" si="75"/>
        <v>0</v>
      </c>
      <c r="AL311" s="60"/>
      <c r="AM311" s="60"/>
      <c r="AN311" s="60"/>
      <c r="AO311" s="60"/>
      <c r="AP311" s="60"/>
      <c r="AQ311" s="60">
        <f t="shared" si="63"/>
        <v>0</v>
      </c>
      <c r="AR311" s="60">
        <f t="shared" si="64"/>
        <v>0</v>
      </c>
      <c r="AS311" s="60">
        <f t="shared" si="65"/>
        <v>0</v>
      </c>
      <c r="AT311" s="60">
        <f t="shared" si="66"/>
        <v>0</v>
      </c>
      <c r="AU311" s="60">
        <f t="shared" si="67"/>
        <v>0</v>
      </c>
      <c r="AV311" s="60">
        <f t="shared" si="68"/>
        <v>0</v>
      </c>
      <c r="AW311" s="60">
        <f t="shared" si="69"/>
        <v>0</v>
      </c>
      <c r="AX311" s="60">
        <f t="shared" si="76"/>
        <v>0</v>
      </c>
      <c r="AY311" s="64">
        <f t="shared" si="77"/>
        <v>0</v>
      </c>
      <c r="AZ311" s="65">
        <f t="shared" si="70"/>
        <v>0</v>
      </c>
      <c r="BA311" s="65">
        <f t="shared" si="71"/>
        <v>0</v>
      </c>
    </row>
    <row r="312" spans="3:53" s="17" customFormat="1" x14ac:dyDescent="0.25">
      <c r="C312" s="194"/>
      <c r="D312" s="195"/>
      <c r="E312" s="90"/>
      <c r="F312" s="198"/>
      <c r="G312" s="214"/>
      <c r="H312" s="199"/>
      <c r="I312" s="78"/>
      <c r="J312" s="79"/>
      <c r="K312" s="78"/>
      <c r="L312" s="80"/>
      <c r="M312" s="80"/>
      <c r="N312" s="78" t="s">
        <v>39</v>
      </c>
      <c r="O312" s="113"/>
      <c r="P312" s="155"/>
      <c r="Q312" s="114" t="str">
        <f>IFERROR(MIN(VLOOKUP(ROUNDDOWN(P312,0),'Aide calcul'!$B$2:$C$282,2,FALSE),O312+1),"")</f>
        <v/>
      </c>
      <c r="R312" s="115" t="str">
        <f t="shared" si="72"/>
        <v/>
      </c>
      <c r="S312" s="155"/>
      <c r="T312" s="155"/>
      <c r="U312" s="155"/>
      <c r="V312" s="155"/>
      <c r="W312" s="155"/>
      <c r="X312" s="155"/>
      <c r="Y312" s="155"/>
      <c r="Z312" s="78"/>
      <c r="AA312" s="78"/>
      <c r="AB312" s="116" t="str">
        <f>IF(C312="3111. Logements",ROUND(VLOOKUP(C312,'Informations générales'!$C$66:$D$70,2,FALSE)*(AK312/$AL$27)/12,0)*12,IF(C312="3112. Logements",ROUND(VLOOKUP(C312,'Informations générales'!$C$66:$D$70,2,FALSE)*(AK312/$AM$27)/12,0)*12,IF(C312="3113. Logements",ROUND(VLOOKUP(C312,'Informations générales'!$C$66:$D$70,2,FALSE)*(AK312/$AN$27)/12,0)*12,IF(C312="3114. Logements",ROUND(VLOOKUP(C312,'Informations générales'!$C$66:$D$70,2,FALSE)*(AK312/$AO$27)/12,0)*12,IF(C312="3115. Logements",ROUND(VLOOKUP(C312,'Informations générales'!$C$66:$D$70,2,FALSE)*(AK312/$AP$27)/12,0)*12,"")))))</f>
        <v/>
      </c>
      <c r="AC312" s="117"/>
      <c r="AD312" s="116">
        <f t="shared" si="73"/>
        <v>0</v>
      </c>
      <c r="AE312" s="117"/>
      <c r="AF312" s="116" t="str">
        <f>IF(C312="3111. Logements",ROUND(VLOOKUP(C312,'Informations générales'!$C$66:$G$70,5,FALSE)*(AK312/$AL$27)/12,0)*12,IF(C312="3112. Logements",ROUND(VLOOKUP(C312,'Informations générales'!$C$66:$G$70,5,FALSE)*(AK312/$AM$27)/12,0)*12,IF(C312="3113. Logements",ROUND(VLOOKUP(C312,'Informations générales'!$C$66:$G$70,5,FALSE)*(AK312/$AN$27)/12,0)*12,IF(C312="3114. Logements",ROUND(VLOOKUP(C312,'Informations générales'!$C$66:$G$70,5,FALSE)*(AK312/$AO$27)/12,0)*12,IF(C312="3115. Logements",ROUND(VLOOKUP(C312,'Informations générales'!$C$66:$G$70,5,FALSE)*(AK312/$AP$27)/12,0)*12,"")))))</f>
        <v/>
      </c>
      <c r="AG312" s="117"/>
      <c r="AH312" s="116" t="str">
        <f t="shared" si="74"/>
        <v/>
      </c>
      <c r="AI312" s="92"/>
      <c r="AJ312" s="78"/>
      <c r="AK312" s="60">
        <f t="shared" si="75"/>
        <v>0</v>
      </c>
      <c r="AL312" s="60"/>
      <c r="AM312" s="60"/>
      <c r="AN312" s="60"/>
      <c r="AO312" s="60"/>
      <c r="AP312" s="60"/>
      <c r="AQ312" s="60">
        <f t="shared" si="63"/>
        <v>0</v>
      </c>
      <c r="AR312" s="60">
        <f t="shared" si="64"/>
        <v>0</v>
      </c>
      <c r="AS312" s="60">
        <f t="shared" si="65"/>
        <v>0</v>
      </c>
      <c r="AT312" s="60">
        <f t="shared" si="66"/>
        <v>0</v>
      </c>
      <c r="AU312" s="60">
        <f t="shared" si="67"/>
        <v>0</v>
      </c>
      <c r="AV312" s="60">
        <f t="shared" si="68"/>
        <v>0</v>
      </c>
      <c r="AW312" s="60">
        <f t="shared" si="69"/>
        <v>0</v>
      </c>
      <c r="AX312" s="60">
        <f t="shared" si="76"/>
        <v>0</v>
      </c>
      <c r="AY312" s="64">
        <f t="shared" si="77"/>
        <v>0</v>
      </c>
      <c r="AZ312" s="65">
        <f t="shared" si="70"/>
        <v>0</v>
      </c>
      <c r="BA312" s="65">
        <f t="shared" si="71"/>
        <v>0</v>
      </c>
    </row>
    <row r="313" spans="3:53" s="17" customFormat="1" x14ac:dyDescent="0.25">
      <c r="C313" s="194"/>
      <c r="D313" s="195"/>
      <c r="E313" s="90"/>
      <c r="F313" s="198"/>
      <c r="G313" s="214"/>
      <c r="H313" s="199"/>
      <c r="I313" s="78"/>
      <c r="J313" s="79"/>
      <c r="K313" s="78"/>
      <c r="L313" s="80"/>
      <c r="M313" s="80"/>
      <c r="N313" s="78" t="s">
        <v>39</v>
      </c>
      <c r="O313" s="113"/>
      <c r="P313" s="155"/>
      <c r="Q313" s="114" t="str">
        <f>IFERROR(MIN(VLOOKUP(ROUNDDOWN(P313,0),'Aide calcul'!$B$2:$C$282,2,FALSE),O313+1),"")</f>
        <v/>
      </c>
      <c r="R313" s="115" t="str">
        <f t="shared" si="72"/>
        <v/>
      </c>
      <c r="S313" s="155"/>
      <c r="T313" s="155"/>
      <c r="U313" s="155"/>
      <c r="V313" s="155"/>
      <c r="W313" s="155"/>
      <c r="X313" s="155"/>
      <c r="Y313" s="155"/>
      <c r="Z313" s="78"/>
      <c r="AA313" s="78"/>
      <c r="AB313" s="116" t="str">
        <f>IF(C313="3111. Logements",ROUND(VLOOKUP(C313,'Informations générales'!$C$66:$D$70,2,FALSE)*(AK313/$AL$27)/12,0)*12,IF(C313="3112. Logements",ROUND(VLOOKUP(C313,'Informations générales'!$C$66:$D$70,2,FALSE)*(AK313/$AM$27)/12,0)*12,IF(C313="3113. Logements",ROUND(VLOOKUP(C313,'Informations générales'!$C$66:$D$70,2,FALSE)*(AK313/$AN$27)/12,0)*12,IF(C313="3114. Logements",ROUND(VLOOKUP(C313,'Informations générales'!$C$66:$D$70,2,FALSE)*(AK313/$AO$27)/12,0)*12,IF(C313="3115. Logements",ROUND(VLOOKUP(C313,'Informations générales'!$C$66:$D$70,2,FALSE)*(AK313/$AP$27)/12,0)*12,"")))))</f>
        <v/>
      </c>
      <c r="AC313" s="117"/>
      <c r="AD313" s="116">
        <f t="shared" si="73"/>
        <v>0</v>
      </c>
      <c r="AE313" s="117"/>
      <c r="AF313" s="116" t="str">
        <f>IF(C313="3111. Logements",ROUND(VLOOKUP(C313,'Informations générales'!$C$66:$G$70,5,FALSE)*(AK313/$AL$27)/12,0)*12,IF(C313="3112. Logements",ROUND(VLOOKUP(C313,'Informations générales'!$C$66:$G$70,5,FALSE)*(AK313/$AM$27)/12,0)*12,IF(C313="3113. Logements",ROUND(VLOOKUP(C313,'Informations générales'!$C$66:$G$70,5,FALSE)*(AK313/$AN$27)/12,0)*12,IF(C313="3114. Logements",ROUND(VLOOKUP(C313,'Informations générales'!$C$66:$G$70,5,FALSE)*(AK313/$AO$27)/12,0)*12,IF(C313="3115. Logements",ROUND(VLOOKUP(C313,'Informations générales'!$C$66:$G$70,5,FALSE)*(AK313/$AP$27)/12,0)*12,"")))))</f>
        <v/>
      </c>
      <c r="AG313" s="117"/>
      <c r="AH313" s="116" t="str">
        <f t="shared" si="74"/>
        <v/>
      </c>
      <c r="AI313" s="92"/>
      <c r="AJ313" s="78"/>
      <c r="AK313" s="60">
        <f t="shared" si="75"/>
        <v>0</v>
      </c>
      <c r="AL313" s="60"/>
      <c r="AM313" s="60"/>
      <c r="AN313" s="60"/>
      <c r="AO313" s="60"/>
      <c r="AP313" s="60"/>
      <c r="AQ313" s="60">
        <f t="shared" si="63"/>
        <v>0</v>
      </c>
      <c r="AR313" s="60">
        <f t="shared" si="64"/>
        <v>0</v>
      </c>
      <c r="AS313" s="60">
        <f t="shared" si="65"/>
        <v>0</v>
      </c>
      <c r="AT313" s="60">
        <f t="shared" si="66"/>
        <v>0</v>
      </c>
      <c r="AU313" s="60">
        <f t="shared" si="67"/>
        <v>0</v>
      </c>
      <c r="AV313" s="60">
        <f t="shared" si="68"/>
        <v>0</v>
      </c>
      <c r="AW313" s="60">
        <f t="shared" si="69"/>
        <v>0</v>
      </c>
      <c r="AX313" s="60">
        <f t="shared" si="76"/>
        <v>0</v>
      </c>
      <c r="AY313" s="64">
        <f t="shared" si="77"/>
        <v>0</v>
      </c>
      <c r="AZ313" s="65">
        <f t="shared" si="70"/>
        <v>0</v>
      </c>
      <c r="BA313" s="65">
        <f t="shared" si="71"/>
        <v>0</v>
      </c>
    </row>
    <row r="314" spans="3:53" s="17" customFormat="1" x14ac:dyDescent="0.25">
      <c r="C314" s="194"/>
      <c r="D314" s="195"/>
      <c r="E314" s="90"/>
      <c r="F314" s="198"/>
      <c r="G314" s="214"/>
      <c r="H314" s="199"/>
      <c r="I314" s="78"/>
      <c r="J314" s="79"/>
      <c r="K314" s="78"/>
      <c r="L314" s="80"/>
      <c r="M314" s="80"/>
      <c r="N314" s="78" t="s">
        <v>39</v>
      </c>
      <c r="O314" s="113"/>
      <c r="P314" s="155"/>
      <c r="Q314" s="114" t="str">
        <f>IFERROR(MIN(VLOOKUP(ROUNDDOWN(P314,0),'Aide calcul'!$B$2:$C$282,2,FALSE),O314+1),"")</f>
        <v/>
      </c>
      <c r="R314" s="115" t="str">
        <f t="shared" si="72"/>
        <v/>
      </c>
      <c r="S314" s="155"/>
      <c r="T314" s="155"/>
      <c r="U314" s="155"/>
      <c r="V314" s="155"/>
      <c r="W314" s="155"/>
      <c r="X314" s="155"/>
      <c r="Y314" s="155"/>
      <c r="Z314" s="78"/>
      <c r="AA314" s="78"/>
      <c r="AB314" s="116" t="str">
        <f>IF(C314="3111. Logements",ROUND(VLOOKUP(C314,'Informations générales'!$C$66:$D$70,2,FALSE)*(AK314/$AL$27)/12,0)*12,IF(C314="3112. Logements",ROUND(VLOOKUP(C314,'Informations générales'!$C$66:$D$70,2,FALSE)*(AK314/$AM$27)/12,0)*12,IF(C314="3113. Logements",ROUND(VLOOKUP(C314,'Informations générales'!$C$66:$D$70,2,FALSE)*(AK314/$AN$27)/12,0)*12,IF(C314="3114. Logements",ROUND(VLOOKUP(C314,'Informations générales'!$C$66:$D$70,2,FALSE)*(AK314/$AO$27)/12,0)*12,IF(C314="3115. Logements",ROUND(VLOOKUP(C314,'Informations générales'!$C$66:$D$70,2,FALSE)*(AK314/$AP$27)/12,0)*12,"")))))</f>
        <v/>
      </c>
      <c r="AC314" s="117"/>
      <c r="AD314" s="116">
        <f t="shared" si="73"/>
        <v>0</v>
      </c>
      <c r="AE314" s="117"/>
      <c r="AF314" s="116" t="str">
        <f>IF(C314="3111. Logements",ROUND(VLOOKUP(C314,'Informations générales'!$C$66:$G$70,5,FALSE)*(AK314/$AL$27)/12,0)*12,IF(C314="3112. Logements",ROUND(VLOOKUP(C314,'Informations générales'!$C$66:$G$70,5,FALSE)*(AK314/$AM$27)/12,0)*12,IF(C314="3113. Logements",ROUND(VLOOKUP(C314,'Informations générales'!$C$66:$G$70,5,FALSE)*(AK314/$AN$27)/12,0)*12,IF(C314="3114. Logements",ROUND(VLOOKUP(C314,'Informations générales'!$C$66:$G$70,5,FALSE)*(AK314/$AO$27)/12,0)*12,IF(C314="3115. Logements",ROUND(VLOOKUP(C314,'Informations générales'!$C$66:$G$70,5,FALSE)*(AK314/$AP$27)/12,0)*12,"")))))</f>
        <v/>
      </c>
      <c r="AG314" s="117"/>
      <c r="AH314" s="116" t="str">
        <f t="shared" si="74"/>
        <v/>
      </c>
      <c r="AI314" s="92"/>
      <c r="AJ314" s="78"/>
      <c r="AK314" s="60">
        <f t="shared" si="75"/>
        <v>0</v>
      </c>
      <c r="AL314" s="60"/>
      <c r="AM314" s="60"/>
      <c r="AN314" s="60"/>
      <c r="AO314" s="60"/>
      <c r="AP314" s="60"/>
      <c r="AQ314" s="60">
        <f t="shared" si="63"/>
        <v>0</v>
      </c>
      <c r="AR314" s="60">
        <f t="shared" si="64"/>
        <v>0</v>
      </c>
      <c r="AS314" s="60">
        <f t="shared" si="65"/>
        <v>0</v>
      </c>
      <c r="AT314" s="60">
        <f t="shared" si="66"/>
        <v>0</v>
      </c>
      <c r="AU314" s="60">
        <f t="shared" si="67"/>
        <v>0</v>
      </c>
      <c r="AV314" s="60">
        <f t="shared" si="68"/>
        <v>0</v>
      </c>
      <c r="AW314" s="60">
        <f t="shared" si="69"/>
        <v>0</v>
      </c>
      <c r="AX314" s="60">
        <f t="shared" si="76"/>
        <v>0</v>
      </c>
      <c r="AY314" s="64">
        <f t="shared" si="77"/>
        <v>0</v>
      </c>
      <c r="AZ314" s="65">
        <f t="shared" si="70"/>
        <v>0</v>
      </c>
      <c r="BA314" s="65">
        <f t="shared" si="71"/>
        <v>0</v>
      </c>
    </row>
    <row r="315" spans="3:53" s="17" customFormat="1" x14ac:dyDescent="0.25">
      <c r="C315" s="194"/>
      <c r="D315" s="195"/>
      <c r="E315" s="90"/>
      <c r="F315" s="198"/>
      <c r="G315" s="214"/>
      <c r="H315" s="199"/>
      <c r="I315" s="78"/>
      <c r="J315" s="79"/>
      <c r="K315" s="78"/>
      <c r="L315" s="80"/>
      <c r="M315" s="80"/>
      <c r="N315" s="78" t="s">
        <v>39</v>
      </c>
      <c r="O315" s="113"/>
      <c r="P315" s="155"/>
      <c r="Q315" s="114" t="str">
        <f>IFERROR(MIN(VLOOKUP(ROUNDDOWN(P315,0),'Aide calcul'!$B$2:$C$282,2,FALSE),O315+1),"")</f>
        <v/>
      </c>
      <c r="R315" s="115" t="str">
        <f t="shared" si="72"/>
        <v/>
      </c>
      <c r="S315" s="155"/>
      <c r="T315" s="155"/>
      <c r="U315" s="155"/>
      <c r="V315" s="155"/>
      <c r="W315" s="155"/>
      <c r="X315" s="155"/>
      <c r="Y315" s="155"/>
      <c r="Z315" s="78"/>
      <c r="AA315" s="78"/>
      <c r="AB315" s="116" t="str">
        <f>IF(C315="3111. Logements",ROUND(VLOOKUP(C315,'Informations générales'!$C$66:$D$70,2,FALSE)*(AK315/$AL$27)/12,0)*12,IF(C315="3112. Logements",ROUND(VLOOKUP(C315,'Informations générales'!$C$66:$D$70,2,FALSE)*(AK315/$AM$27)/12,0)*12,IF(C315="3113. Logements",ROUND(VLOOKUP(C315,'Informations générales'!$C$66:$D$70,2,FALSE)*(AK315/$AN$27)/12,0)*12,IF(C315="3114. Logements",ROUND(VLOOKUP(C315,'Informations générales'!$C$66:$D$70,2,FALSE)*(AK315/$AO$27)/12,0)*12,IF(C315="3115. Logements",ROUND(VLOOKUP(C315,'Informations générales'!$C$66:$D$70,2,FALSE)*(AK315/$AP$27)/12,0)*12,"")))))</f>
        <v/>
      </c>
      <c r="AC315" s="117"/>
      <c r="AD315" s="116">
        <f t="shared" si="73"/>
        <v>0</v>
      </c>
      <c r="AE315" s="117"/>
      <c r="AF315" s="116" t="str">
        <f>IF(C315="3111. Logements",ROUND(VLOOKUP(C315,'Informations générales'!$C$66:$G$70,5,FALSE)*(AK315/$AL$27)/12,0)*12,IF(C315="3112. Logements",ROUND(VLOOKUP(C315,'Informations générales'!$C$66:$G$70,5,FALSE)*(AK315/$AM$27)/12,0)*12,IF(C315="3113. Logements",ROUND(VLOOKUP(C315,'Informations générales'!$C$66:$G$70,5,FALSE)*(AK315/$AN$27)/12,0)*12,IF(C315="3114. Logements",ROUND(VLOOKUP(C315,'Informations générales'!$C$66:$G$70,5,FALSE)*(AK315/$AO$27)/12,0)*12,IF(C315="3115. Logements",ROUND(VLOOKUP(C315,'Informations générales'!$C$66:$G$70,5,FALSE)*(AK315/$AP$27)/12,0)*12,"")))))</f>
        <v/>
      </c>
      <c r="AG315" s="117"/>
      <c r="AH315" s="116" t="str">
        <f t="shared" si="74"/>
        <v/>
      </c>
      <c r="AI315" s="92"/>
      <c r="AJ315" s="78"/>
      <c r="AK315" s="60">
        <f t="shared" si="75"/>
        <v>0</v>
      </c>
      <c r="AL315" s="60"/>
      <c r="AM315" s="60"/>
      <c r="AN315" s="60"/>
      <c r="AO315" s="60"/>
      <c r="AP315" s="60"/>
      <c r="AQ315" s="60">
        <f t="shared" si="63"/>
        <v>0</v>
      </c>
      <c r="AR315" s="60">
        <f t="shared" si="64"/>
        <v>0</v>
      </c>
      <c r="AS315" s="60">
        <f t="shared" si="65"/>
        <v>0</v>
      </c>
      <c r="AT315" s="60">
        <f t="shared" si="66"/>
        <v>0</v>
      </c>
      <c r="AU315" s="60">
        <f t="shared" si="67"/>
        <v>0</v>
      </c>
      <c r="AV315" s="60">
        <f t="shared" si="68"/>
        <v>0</v>
      </c>
      <c r="AW315" s="60">
        <f t="shared" si="69"/>
        <v>0</v>
      </c>
      <c r="AX315" s="60">
        <f t="shared" si="76"/>
        <v>0</v>
      </c>
      <c r="AY315" s="64">
        <f t="shared" si="77"/>
        <v>0</v>
      </c>
      <c r="AZ315" s="65">
        <f t="shared" si="70"/>
        <v>0</v>
      </c>
      <c r="BA315" s="65">
        <f t="shared" si="71"/>
        <v>0</v>
      </c>
    </row>
    <row r="316" spans="3:53" s="17" customFormat="1" x14ac:dyDescent="0.25">
      <c r="C316" s="194"/>
      <c r="D316" s="195"/>
      <c r="E316" s="90"/>
      <c r="F316" s="198"/>
      <c r="G316" s="214"/>
      <c r="H316" s="199"/>
      <c r="I316" s="78"/>
      <c r="J316" s="79"/>
      <c r="K316" s="78"/>
      <c r="L316" s="80"/>
      <c r="M316" s="80"/>
      <c r="N316" s="78" t="s">
        <v>39</v>
      </c>
      <c r="O316" s="113"/>
      <c r="P316" s="155"/>
      <c r="Q316" s="114" t="str">
        <f>IFERROR(MIN(VLOOKUP(ROUNDDOWN(P316,0),'Aide calcul'!$B$2:$C$282,2,FALSE),O316+1),"")</f>
        <v/>
      </c>
      <c r="R316" s="115" t="str">
        <f t="shared" si="72"/>
        <v/>
      </c>
      <c r="S316" s="155"/>
      <c r="T316" s="155"/>
      <c r="U316" s="155"/>
      <c r="V316" s="155"/>
      <c r="W316" s="155"/>
      <c r="X316" s="155"/>
      <c r="Y316" s="155"/>
      <c r="Z316" s="78"/>
      <c r="AA316" s="78"/>
      <c r="AB316" s="116" t="str">
        <f>IF(C316="3111. Logements",ROUND(VLOOKUP(C316,'Informations générales'!$C$66:$D$70,2,FALSE)*(AK316/$AL$27)/12,0)*12,IF(C316="3112. Logements",ROUND(VLOOKUP(C316,'Informations générales'!$C$66:$D$70,2,FALSE)*(AK316/$AM$27)/12,0)*12,IF(C316="3113. Logements",ROUND(VLOOKUP(C316,'Informations générales'!$C$66:$D$70,2,FALSE)*(AK316/$AN$27)/12,0)*12,IF(C316="3114. Logements",ROUND(VLOOKUP(C316,'Informations générales'!$C$66:$D$70,2,FALSE)*(AK316/$AO$27)/12,0)*12,IF(C316="3115. Logements",ROUND(VLOOKUP(C316,'Informations générales'!$C$66:$D$70,2,FALSE)*(AK316/$AP$27)/12,0)*12,"")))))</f>
        <v/>
      </c>
      <c r="AC316" s="117"/>
      <c r="AD316" s="116">
        <f t="shared" si="73"/>
        <v>0</v>
      </c>
      <c r="AE316" s="117"/>
      <c r="AF316" s="116" t="str">
        <f>IF(C316="3111. Logements",ROUND(VLOOKUP(C316,'Informations générales'!$C$66:$G$70,5,FALSE)*(AK316/$AL$27)/12,0)*12,IF(C316="3112. Logements",ROUND(VLOOKUP(C316,'Informations générales'!$C$66:$G$70,5,FALSE)*(AK316/$AM$27)/12,0)*12,IF(C316="3113. Logements",ROUND(VLOOKUP(C316,'Informations générales'!$C$66:$G$70,5,FALSE)*(AK316/$AN$27)/12,0)*12,IF(C316="3114. Logements",ROUND(VLOOKUP(C316,'Informations générales'!$C$66:$G$70,5,FALSE)*(AK316/$AO$27)/12,0)*12,IF(C316="3115. Logements",ROUND(VLOOKUP(C316,'Informations générales'!$C$66:$G$70,5,FALSE)*(AK316/$AP$27)/12,0)*12,"")))))</f>
        <v/>
      </c>
      <c r="AG316" s="117"/>
      <c r="AH316" s="116" t="str">
        <f t="shared" si="74"/>
        <v/>
      </c>
      <c r="AI316" s="92"/>
      <c r="AJ316" s="78"/>
      <c r="AK316" s="60">
        <f t="shared" si="75"/>
        <v>0</v>
      </c>
      <c r="AL316" s="60"/>
      <c r="AM316" s="60"/>
      <c r="AN316" s="60"/>
      <c r="AO316" s="60"/>
      <c r="AP316" s="60"/>
      <c r="AQ316" s="60">
        <f t="shared" si="63"/>
        <v>0</v>
      </c>
      <c r="AR316" s="60">
        <f t="shared" si="64"/>
        <v>0</v>
      </c>
      <c r="AS316" s="60">
        <f t="shared" si="65"/>
        <v>0</v>
      </c>
      <c r="AT316" s="60">
        <f t="shared" si="66"/>
        <v>0</v>
      </c>
      <c r="AU316" s="60">
        <f t="shared" si="67"/>
        <v>0</v>
      </c>
      <c r="AV316" s="60">
        <f t="shared" si="68"/>
        <v>0</v>
      </c>
      <c r="AW316" s="60">
        <f t="shared" si="69"/>
        <v>0</v>
      </c>
      <c r="AX316" s="60">
        <f t="shared" si="76"/>
        <v>0</v>
      </c>
      <c r="AY316" s="64">
        <f t="shared" si="77"/>
        <v>0</v>
      </c>
      <c r="AZ316" s="65">
        <f t="shared" si="70"/>
        <v>0</v>
      </c>
      <c r="BA316" s="65">
        <f t="shared" si="71"/>
        <v>0</v>
      </c>
    </row>
    <row r="317" spans="3:53" s="17" customFormat="1" x14ac:dyDescent="0.25">
      <c r="C317" s="194"/>
      <c r="D317" s="195"/>
      <c r="E317" s="90"/>
      <c r="F317" s="198"/>
      <c r="G317" s="214"/>
      <c r="H317" s="199"/>
      <c r="I317" s="78"/>
      <c r="J317" s="79"/>
      <c r="K317" s="78"/>
      <c r="L317" s="80"/>
      <c r="M317" s="80"/>
      <c r="N317" s="78" t="s">
        <v>39</v>
      </c>
      <c r="O317" s="113"/>
      <c r="P317" s="155"/>
      <c r="Q317" s="114" t="str">
        <f>IFERROR(MIN(VLOOKUP(ROUNDDOWN(P317,0),'Aide calcul'!$B$2:$C$282,2,FALSE),O317+1),"")</f>
        <v/>
      </c>
      <c r="R317" s="115" t="str">
        <f t="shared" si="72"/>
        <v/>
      </c>
      <c r="S317" s="155"/>
      <c r="T317" s="155"/>
      <c r="U317" s="155"/>
      <c r="V317" s="155"/>
      <c r="W317" s="155"/>
      <c r="X317" s="155"/>
      <c r="Y317" s="155"/>
      <c r="Z317" s="78"/>
      <c r="AA317" s="78"/>
      <c r="AB317" s="116" t="str">
        <f>IF(C317="3111. Logements",ROUND(VLOOKUP(C317,'Informations générales'!$C$66:$D$70,2,FALSE)*(AK317/$AL$27)/12,0)*12,IF(C317="3112. Logements",ROUND(VLOOKUP(C317,'Informations générales'!$C$66:$D$70,2,FALSE)*(AK317/$AM$27)/12,0)*12,IF(C317="3113. Logements",ROUND(VLOOKUP(C317,'Informations générales'!$C$66:$D$70,2,FALSE)*(AK317/$AN$27)/12,0)*12,IF(C317="3114. Logements",ROUND(VLOOKUP(C317,'Informations générales'!$C$66:$D$70,2,FALSE)*(AK317/$AO$27)/12,0)*12,IF(C317="3115. Logements",ROUND(VLOOKUP(C317,'Informations générales'!$C$66:$D$70,2,FALSE)*(AK317/$AP$27)/12,0)*12,"")))))</f>
        <v/>
      </c>
      <c r="AC317" s="117"/>
      <c r="AD317" s="116">
        <f t="shared" si="73"/>
        <v>0</v>
      </c>
      <c r="AE317" s="117"/>
      <c r="AF317" s="116" t="str">
        <f>IF(C317="3111. Logements",ROUND(VLOOKUP(C317,'Informations générales'!$C$66:$G$70,5,FALSE)*(AK317/$AL$27)/12,0)*12,IF(C317="3112. Logements",ROUND(VLOOKUP(C317,'Informations générales'!$C$66:$G$70,5,FALSE)*(AK317/$AM$27)/12,0)*12,IF(C317="3113. Logements",ROUND(VLOOKUP(C317,'Informations générales'!$C$66:$G$70,5,FALSE)*(AK317/$AN$27)/12,0)*12,IF(C317="3114. Logements",ROUND(VLOOKUP(C317,'Informations générales'!$C$66:$G$70,5,FALSE)*(AK317/$AO$27)/12,0)*12,IF(C317="3115. Logements",ROUND(VLOOKUP(C317,'Informations générales'!$C$66:$G$70,5,FALSE)*(AK317/$AP$27)/12,0)*12,"")))))</f>
        <v/>
      </c>
      <c r="AG317" s="117"/>
      <c r="AH317" s="116" t="str">
        <f t="shared" si="74"/>
        <v/>
      </c>
      <c r="AI317" s="92"/>
      <c r="AJ317" s="78"/>
      <c r="AK317" s="60">
        <f t="shared" si="75"/>
        <v>0</v>
      </c>
      <c r="AL317" s="60"/>
      <c r="AM317" s="60"/>
      <c r="AN317" s="60"/>
      <c r="AO317" s="60"/>
      <c r="AP317" s="60"/>
      <c r="AQ317" s="60">
        <f t="shared" si="63"/>
        <v>0</v>
      </c>
      <c r="AR317" s="60">
        <f t="shared" si="64"/>
        <v>0</v>
      </c>
      <c r="AS317" s="60">
        <f t="shared" si="65"/>
        <v>0</v>
      </c>
      <c r="AT317" s="60">
        <f t="shared" si="66"/>
        <v>0</v>
      </c>
      <c r="AU317" s="60">
        <f t="shared" si="67"/>
        <v>0</v>
      </c>
      <c r="AV317" s="60">
        <f t="shared" si="68"/>
        <v>0</v>
      </c>
      <c r="AW317" s="60">
        <f t="shared" si="69"/>
        <v>0</v>
      </c>
      <c r="AX317" s="60">
        <f t="shared" si="76"/>
        <v>0</v>
      </c>
      <c r="AY317" s="64">
        <f t="shared" si="77"/>
        <v>0</v>
      </c>
      <c r="AZ317" s="65">
        <f t="shared" si="70"/>
        <v>0</v>
      </c>
      <c r="BA317" s="65">
        <f t="shared" si="71"/>
        <v>0</v>
      </c>
    </row>
    <row r="318" spans="3:53" s="17" customFormat="1" x14ac:dyDescent="0.25">
      <c r="C318" s="194"/>
      <c r="D318" s="195"/>
      <c r="E318" s="90"/>
      <c r="F318" s="198"/>
      <c r="G318" s="214"/>
      <c r="H318" s="199"/>
      <c r="I318" s="78"/>
      <c r="J318" s="79"/>
      <c r="K318" s="78"/>
      <c r="L318" s="80"/>
      <c r="M318" s="80"/>
      <c r="N318" s="78" t="s">
        <v>39</v>
      </c>
      <c r="O318" s="113"/>
      <c r="P318" s="155"/>
      <c r="Q318" s="114" t="str">
        <f>IFERROR(MIN(VLOOKUP(ROUNDDOWN(P318,0),'Aide calcul'!$B$2:$C$282,2,FALSE),O318+1),"")</f>
        <v/>
      </c>
      <c r="R318" s="115" t="str">
        <f t="shared" si="72"/>
        <v/>
      </c>
      <c r="S318" s="155"/>
      <c r="T318" s="155"/>
      <c r="U318" s="155"/>
      <c r="V318" s="155"/>
      <c r="W318" s="155"/>
      <c r="X318" s="155"/>
      <c r="Y318" s="155"/>
      <c r="Z318" s="78"/>
      <c r="AA318" s="78"/>
      <c r="AB318" s="116" t="str">
        <f>IF(C318="3111. Logements",ROUND(VLOOKUP(C318,'Informations générales'!$C$66:$D$70,2,FALSE)*(AK318/$AL$27)/12,0)*12,IF(C318="3112. Logements",ROUND(VLOOKUP(C318,'Informations générales'!$C$66:$D$70,2,FALSE)*(AK318/$AM$27)/12,0)*12,IF(C318="3113. Logements",ROUND(VLOOKUP(C318,'Informations générales'!$C$66:$D$70,2,FALSE)*(AK318/$AN$27)/12,0)*12,IF(C318="3114. Logements",ROUND(VLOOKUP(C318,'Informations générales'!$C$66:$D$70,2,FALSE)*(AK318/$AO$27)/12,0)*12,IF(C318="3115. Logements",ROUND(VLOOKUP(C318,'Informations générales'!$C$66:$D$70,2,FALSE)*(AK318/$AP$27)/12,0)*12,"")))))</f>
        <v/>
      </c>
      <c r="AC318" s="117"/>
      <c r="AD318" s="116">
        <f t="shared" si="73"/>
        <v>0</v>
      </c>
      <c r="AE318" s="117"/>
      <c r="AF318" s="116" t="str">
        <f>IF(C318="3111. Logements",ROUND(VLOOKUP(C318,'Informations générales'!$C$66:$G$70,5,FALSE)*(AK318/$AL$27)/12,0)*12,IF(C318="3112. Logements",ROUND(VLOOKUP(C318,'Informations générales'!$C$66:$G$70,5,FALSE)*(AK318/$AM$27)/12,0)*12,IF(C318="3113. Logements",ROUND(VLOOKUP(C318,'Informations générales'!$C$66:$G$70,5,FALSE)*(AK318/$AN$27)/12,0)*12,IF(C318="3114. Logements",ROUND(VLOOKUP(C318,'Informations générales'!$C$66:$G$70,5,FALSE)*(AK318/$AO$27)/12,0)*12,IF(C318="3115. Logements",ROUND(VLOOKUP(C318,'Informations générales'!$C$66:$G$70,5,FALSE)*(AK318/$AP$27)/12,0)*12,"")))))</f>
        <v/>
      </c>
      <c r="AG318" s="117"/>
      <c r="AH318" s="116" t="str">
        <f t="shared" si="74"/>
        <v/>
      </c>
      <c r="AI318" s="92"/>
      <c r="AJ318" s="78"/>
      <c r="AK318" s="60">
        <f t="shared" si="75"/>
        <v>0</v>
      </c>
      <c r="AL318" s="60"/>
      <c r="AM318" s="60"/>
      <c r="AN318" s="60"/>
      <c r="AO318" s="60"/>
      <c r="AP318" s="60"/>
      <c r="AQ318" s="60">
        <f t="shared" si="63"/>
        <v>0</v>
      </c>
      <c r="AR318" s="60">
        <f t="shared" si="64"/>
        <v>0</v>
      </c>
      <c r="AS318" s="60">
        <f t="shared" si="65"/>
        <v>0</v>
      </c>
      <c r="AT318" s="60">
        <f t="shared" si="66"/>
        <v>0</v>
      </c>
      <c r="AU318" s="60">
        <f t="shared" si="67"/>
        <v>0</v>
      </c>
      <c r="AV318" s="60">
        <f t="shared" si="68"/>
        <v>0</v>
      </c>
      <c r="AW318" s="60">
        <f t="shared" si="69"/>
        <v>0</v>
      </c>
      <c r="AX318" s="60">
        <f t="shared" si="76"/>
        <v>0</v>
      </c>
      <c r="AY318" s="64">
        <f t="shared" si="77"/>
        <v>0</v>
      </c>
      <c r="AZ318" s="65">
        <f t="shared" si="70"/>
        <v>0</v>
      </c>
      <c r="BA318" s="65">
        <f t="shared" si="71"/>
        <v>0</v>
      </c>
    </row>
    <row r="319" spans="3:53" s="17" customFormat="1" x14ac:dyDescent="0.25">
      <c r="C319" s="194"/>
      <c r="D319" s="195"/>
      <c r="E319" s="90"/>
      <c r="F319" s="198"/>
      <c r="G319" s="214"/>
      <c r="H319" s="199"/>
      <c r="I319" s="78"/>
      <c r="J319" s="79"/>
      <c r="K319" s="78"/>
      <c r="L319" s="80"/>
      <c r="M319" s="80"/>
      <c r="N319" s="78" t="s">
        <v>39</v>
      </c>
      <c r="O319" s="113"/>
      <c r="P319" s="155"/>
      <c r="Q319" s="114" t="str">
        <f>IFERROR(MIN(VLOOKUP(ROUNDDOWN(P319,0),'Aide calcul'!$B$2:$C$282,2,FALSE),O319+1),"")</f>
        <v/>
      </c>
      <c r="R319" s="115" t="str">
        <f t="shared" si="72"/>
        <v/>
      </c>
      <c r="S319" s="155"/>
      <c r="T319" s="155"/>
      <c r="U319" s="155"/>
      <c r="V319" s="155"/>
      <c r="W319" s="155"/>
      <c r="X319" s="155"/>
      <c r="Y319" s="155"/>
      <c r="Z319" s="78"/>
      <c r="AA319" s="78"/>
      <c r="AB319" s="116" t="str">
        <f>IF(C319="3111. Logements",ROUND(VLOOKUP(C319,'Informations générales'!$C$66:$D$70,2,FALSE)*(AK319/$AL$27)/12,0)*12,IF(C319="3112. Logements",ROUND(VLOOKUP(C319,'Informations générales'!$C$66:$D$70,2,FALSE)*(AK319/$AM$27)/12,0)*12,IF(C319="3113. Logements",ROUND(VLOOKUP(C319,'Informations générales'!$C$66:$D$70,2,FALSE)*(AK319/$AN$27)/12,0)*12,IF(C319="3114. Logements",ROUND(VLOOKUP(C319,'Informations générales'!$C$66:$D$70,2,FALSE)*(AK319/$AO$27)/12,0)*12,IF(C319="3115. Logements",ROUND(VLOOKUP(C319,'Informations générales'!$C$66:$D$70,2,FALSE)*(AK319/$AP$27)/12,0)*12,"")))))</f>
        <v/>
      </c>
      <c r="AC319" s="117"/>
      <c r="AD319" s="116">
        <f t="shared" si="73"/>
        <v>0</v>
      </c>
      <c r="AE319" s="117"/>
      <c r="AF319" s="116" t="str">
        <f>IF(C319="3111. Logements",ROUND(VLOOKUP(C319,'Informations générales'!$C$66:$G$70,5,FALSE)*(AK319/$AL$27)/12,0)*12,IF(C319="3112. Logements",ROUND(VLOOKUP(C319,'Informations générales'!$C$66:$G$70,5,FALSE)*(AK319/$AM$27)/12,0)*12,IF(C319="3113. Logements",ROUND(VLOOKUP(C319,'Informations générales'!$C$66:$G$70,5,FALSE)*(AK319/$AN$27)/12,0)*12,IF(C319="3114. Logements",ROUND(VLOOKUP(C319,'Informations générales'!$C$66:$G$70,5,FALSE)*(AK319/$AO$27)/12,0)*12,IF(C319="3115. Logements",ROUND(VLOOKUP(C319,'Informations générales'!$C$66:$G$70,5,FALSE)*(AK319/$AP$27)/12,0)*12,"")))))</f>
        <v/>
      </c>
      <c r="AG319" s="117"/>
      <c r="AH319" s="116" t="str">
        <f t="shared" si="74"/>
        <v/>
      </c>
      <c r="AI319" s="92"/>
      <c r="AJ319" s="78"/>
      <c r="AK319" s="60">
        <f t="shared" si="75"/>
        <v>0</v>
      </c>
      <c r="AL319" s="60"/>
      <c r="AM319" s="60"/>
      <c r="AN319" s="60"/>
      <c r="AO319" s="60"/>
      <c r="AP319" s="60"/>
      <c r="AQ319" s="60">
        <f t="shared" si="63"/>
        <v>0</v>
      </c>
      <c r="AR319" s="60">
        <f t="shared" si="64"/>
        <v>0</v>
      </c>
      <c r="AS319" s="60">
        <f t="shared" si="65"/>
        <v>0</v>
      </c>
      <c r="AT319" s="60">
        <f t="shared" si="66"/>
        <v>0</v>
      </c>
      <c r="AU319" s="60">
        <f t="shared" si="67"/>
        <v>0</v>
      </c>
      <c r="AV319" s="60">
        <f t="shared" si="68"/>
        <v>0</v>
      </c>
      <c r="AW319" s="60">
        <f t="shared" si="69"/>
        <v>0</v>
      </c>
      <c r="AX319" s="60">
        <f t="shared" si="76"/>
        <v>0</v>
      </c>
      <c r="AY319" s="64">
        <f t="shared" si="77"/>
        <v>0</v>
      </c>
      <c r="AZ319" s="65">
        <f t="shared" si="70"/>
        <v>0</v>
      </c>
      <c r="BA319" s="65">
        <f t="shared" si="71"/>
        <v>0</v>
      </c>
    </row>
    <row r="320" spans="3:53" s="17" customFormat="1" x14ac:dyDescent="0.25">
      <c r="C320" s="194"/>
      <c r="D320" s="195"/>
      <c r="E320" s="90"/>
      <c r="F320" s="198"/>
      <c r="G320" s="214"/>
      <c r="H320" s="199"/>
      <c r="I320" s="78"/>
      <c r="J320" s="79"/>
      <c r="K320" s="78"/>
      <c r="L320" s="80"/>
      <c r="M320" s="80"/>
      <c r="N320" s="78" t="s">
        <v>39</v>
      </c>
      <c r="O320" s="113"/>
      <c r="P320" s="155"/>
      <c r="Q320" s="114" t="str">
        <f>IFERROR(MIN(VLOOKUP(ROUNDDOWN(P320,0),'Aide calcul'!$B$2:$C$282,2,FALSE),O320+1),"")</f>
        <v/>
      </c>
      <c r="R320" s="115" t="str">
        <f t="shared" si="72"/>
        <v/>
      </c>
      <c r="S320" s="155"/>
      <c r="T320" s="155"/>
      <c r="U320" s="155"/>
      <c r="V320" s="155"/>
      <c r="W320" s="155"/>
      <c r="X320" s="155"/>
      <c r="Y320" s="155"/>
      <c r="Z320" s="78"/>
      <c r="AA320" s="78"/>
      <c r="AB320" s="116" t="str">
        <f>IF(C320="3111. Logements",ROUND(VLOOKUP(C320,'Informations générales'!$C$66:$D$70,2,FALSE)*(AK320/$AL$27)/12,0)*12,IF(C320="3112. Logements",ROUND(VLOOKUP(C320,'Informations générales'!$C$66:$D$70,2,FALSE)*(AK320/$AM$27)/12,0)*12,IF(C320="3113. Logements",ROUND(VLOOKUP(C320,'Informations générales'!$C$66:$D$70,2,FALSE)*(AK320/$AN$27)/12,0)*12,IF(C320="3114. Logements",ROUND(VLOOKUP(C320,'Informations générales'!$C$66:$D$70,2,FALSE)*(AK320/$AO$27)/12,0)*12,IF(C320="3115. Logements",ROUND(VLOOKUP(C320,'Informations générales'!$C$66:$D$70,2,FALSE)*(AK320/$AP$27)/12,0)*12,"")))))</f>
        <v/>
      </c>
      <c r="AC320" s="117"/>
      <c r="AD320" s="116">
        <f t="shared" si="73"/>
        <v>0</v>
      </c>
      <c r="AE320" s="117"/>
      <c r="AF320" s="116" t="str">
        <f>IF(C320="3111. Logements",ROUND(VLOOKUP(C320,'Informations générales'!$C$66:$G$70,5,FALSE)*(AK320/$AL$27)/12,0)*12,IF(C320="3112. Logements",ROUND(VLOOKUP(C320,'Informations générales'!$C$66:$G$70,5,FALSE)*(AK320/$AM$27)/12,0)*12,IF(C320="3113. Logements",ROUND(VLOOKUP(C320,'Informations générales'!$C$66:$G$70,5,FALSE)*(AK320/$AN$27)/12,0)*12,IF(C320="3114. Logements",ROUND(VLOOKUP(C320,'Informations générales'!$C$66:$G$70,5,FALSE)*(AK320/$AO$27)/12,0)*12,IF(C320="3115. Logements",ROUND(VLOOKUP(C320,'Informations générales'!$C$66:$G$70,5,FALSE)*(AK320/$AP$27)/12,0)*12,"")))))</f>
        <v/>
      </c>
      <c r="AG320" s="117"/>
      <c r="AH320" s="116" t="str">
        <f t="shared" si="74"/>
        <v/>
      </c>
      <c r="AI320" s="92"/>
      <c r="AJ320" s="78"/>
      <c r="AK320" s="60">
        <f t="shared" si="75"/>
        <v>0</v>
      </c>
      <c r="AL320" s="60"/>
      <c r="AM320" s="60"/>
      <c r="AN320" s="60"/>
      <c r="AO320" s="60"/>
      <c r="AP320" s="60"/>
      <c r="AQ320" s="60">
        <f t="shared" si="63"/>
        <v>0</v>
      </c>
      <c r="AR320" s="60">
        <f t="shared" si="64"/>
        <v>0</v>
      </c>
      <c r="AS320" s="60">
        <f t="shared" si="65"/>
        <v>0</v>
      </c>
      <c r="AT320" s="60">
        <f t="shared" si="66"/>
        <v>0</v>
      </c>
      <c r="AU320" s="60">
        <f t="shared" si="67"/>
        <v>0</v>
      </c>
      <c r="AV320" s="60">
        <f t="shared" si="68"/>
        <v>0</v>
      </c>
      <c r="AW320" s="60">
        <f t="shared" si="69"/>
        <v>0</v>
      </c>
      <c r="AX320" s="60">
        <f t="shared" si="76"/>
        <v>0</v>
      </c>
      <c r="AY320" s="64">
        <f t="shared" si="77"/>
        <v>0</v>
      </c>
      <c r="AZ320" s="65">
        <f t="shared" si="70"/>
        <v>0</v>
      </c>
      <c r="BA320" s="65">
        <f t="shared" si="71"/>
        <v>0</v>
      </c>
    </row>
    <row r="321" spans="3:53" s="17" customFormat="1" x14ac:dyDescent="0.25">
      <c r="C321" s="194"/>
      <c r="D321" s="195"/>
      <c r="E321" s="90"/>
      <c r="F321" s="198"/>
      <c r="G321" s="214"/>
      <c r="H321" s="199"/>
      <c r="I321" s="78"/>
      <c r="J321" s="79"/>
      <c r="K321" s="78"/>
      <c r="L321" s="80"/>
      <c r="M321" s="80"/>
      <c r="N321" s="78" t="s">
        <v>39</v>
      </c>
      <c r="O321" s="113"/>
      <c r="P321" s="155"/>
      <c r="Q321" s="114" t="str">
        <f>IFERROR(MIN(VLOOKUP(ROUNDDOWN(P321,0),'Aide calcul'!$B$2:$C$282,2,FALSE),O321+1),"")</f>
        <v/>
      </c>
      <c r="R321" s="115" t="str">
        <f t="shared" si="72"/>
        <v/>
      </c>
      <c r="S321" s="155"/>
      <c r="T321" s="155"/>
      <c r="U321" s="155"/>
      <c r="V321" s="155"/>
      <c r="W321" s="155"/>
      <c r="X321" s="155"/>
      <c r="Y321" s="155"/>
      <c r="Z321" s="78"/>
      <c r="AA321" s="78"/>
      <c r="AB321" s="116" t="str">
        <f>IF(C321="3111. Logements",ROUND(VLOOKUP(C321,'Informations générales'!$C$66:$D$70,2,FALSE)*(AK321/$AL$27)/12,0)*12,IF(C321="3112. Logements",ROUND(VLOOKUP(C321,'Informations générales'!$C$66:$D$70,2,FALSE)*(AK321/$AM$27)/12,0)*12,IF(C321="3113. Logements",ROUND(VLOOKUP(C321,'Informations générales'!$C$66:$D$70,2,FALSE)*(AK321/$AN$27)/12,0)*12,IF(C321="3114. Logements",ROUND(VLOOKUP(C321,'Informations générales'!$C$66:$D$70,2,FALSE)*(AK321/$AO$27)/12,0)*12,IF(C321="3115. Logements",ROUND(VLOOKUP(C321,'Informations générales'!$C$66:$D$70,2,FALSE)*(AK321/$AP$27)/12,0)*12,"")))))</f>
        <v/>
      </c>
      <c r="AC321" s="117"/>
      <c r="AD321" s="116">
        <f t="shared" si="73"/>
        <v>0</v>
      </c>
      <c r="AE321" s="117"/>
      <c r="AF321" s="116" t="str">
        <f>IF(C321="3111. Logements",ROUND(VLOOKUP(C321,'Informations générales'!$C$66:$G$70,5,FALSE)*(AK321/$AL$27)/12,0)*12,IF(C321="3112. Logements",ROUND(VLOOKUP(C321,'Informations générales'!$C$66:$G$70,5,FALSE)*(AK321/$AM$27)/12,0)*12,IF(C321="3113. Logements",ROUND(VLOOKUP(C321,'Informations générales'!$C$66:$G$70,5,FALSE)*(AK321/$AN$27)/12,0)*12,IF(C321="3114. Logements",ROUND(VLOOKUP(C321,'Informations générales'!$C$66:$G$70,5,FALSE)*(AK321/$AO$27)/12,0)*12,IF(C321="3115. Logements",ROUND(VLOOKUP(C321,'Informations générales'!$C$66:$G$70,5,FALSE)*(AK321/$AP$27)/12,0)*12,"")))))</f>
        <v/>
      </c>
      <c r="AG321" s="117"/>
      <c r="AH321" s="116" t="str">
        <f t="shared" si="74"/>
        <v/>
      </c>
      <c r="AI321" s="92"/>
      <c r="AJ321" s="78"/>
      <c r="AK321" s="60">
        <f t="shared" si="75"/>
        <v>0</v>
      </c>
      <c r="AL321" s="60"/>
      <c r="AM321" s="60"/>
      <c r="AN321" s="60"/>
      <c r="AO321" s="60"/>
      <c r="AP321" s="60"/>
      <c r="AQ321" s="60">
        <f t="shared" si="63"/>
        <v>0</v>
      </c>
      <c r="AR321" s="60">
        <f t="shared" si="64"/>
        <v>0</v>
      </c>
      <c r="AS321" s="60">
        <f t="shared" si="65"/>
        <v>0</v>
      </c>
      <c r="AT321" s="60">
        <f t="shared" si="66"/>
        <v>0</v>
      </c>
      <c r="AU321" s="60">
        <f t="shared" si="67"/>
        <v>0</v>
      </c>
      <c r="AV321" s="60">
        <f t="shared" si="68"/>
        <v>0</v>
      </c>
      <c r="AW321" s="60">
        <f t="shared" si="69"/>
        <v>0</v>
      </c>
      <c r="AX321" s="60">
        <f t="shared" si="76"/>
        <v>0</v>
      </c>
      <c r="AY321" s="64">
        <f t="shared" si="77"/>
        <v>0</v>
      </c>
      <c r="AZ321" s="65">
        <f t="shared" si="70"/>
        <v>0</v>
      </c>
      <c r="BA321" s="65">
        <f t="shared" si="71"/>
        <v>0</v>
      </c>
    </row>
    <row r="322" spans="3:53" s="17" customFormat="1" x14ac:dyDescent="0.25">
      <c r="C322" s="194"/>
      <c r="D322" s="195"/>
      <c r="E322" s="90"/>
      <c r="F322" s="198"/>
      <c r="G322" s="214"/>
      <c r="H322" s="199"/>
      <c r="I322" s="78"/>
      <c r="J322" s="79"/>
      <c r="K322" s="78"/>
      <c r="L322" s="80"/>
      <c r="M322" s="80"/>
      <c r="N322" s="78" t="s">
        <v>39</v>
      </c>
      <c r="O322" s="113"/>
      <c r="P322" s="155"/>
      <c r="Q322" s="114" t="str">
        <f>IFERROR(MIN(VLOOKUP(ROUNDDOWN(P322,0),'Aide calcul'!$B$2:$C$282,2,FALSE),O322+1),"")</f>
        <v/>
      </c>
      <c r="R322" s="115" t="str">
        <f t="shared" si="72"/>
        <v/>
      </c>
      <c r="S322" s="155"/>
      <c r="T322" s="155"/>
      <c r="U322" s="155"/>
      <c r="V322" s="155"/>
      <c r="W322" s="155"/>
      <c r="X322" s="155"/>
      <c r="Y322" s="155"/>
      <c r="Z322" s="78"/>
      <c r="AA322" s="78"/>
      <c r="AB322" s="116" t="str">
        <f>IF(C322="3111. Logements",ROUND(VLOOKUP(C322,'Informations générales'!$C$66:$D$70,2,FALSE)*(AK322/$AL$27)/12,0)*12,IF(C322="3112. Logements",ROUND(VLOOKUP(C322,'Informations générales'!$C$66:$D$70,2,FALSE)*(AK322/$AM$27)/12,0)*12,IF(C322="3113. Logements",ROUND(VLOOKUP(C322,'Informations générales'!$C$66:$D$70,2,FALSE)*(AK322/$AN$27)/12,0)*12,IF(C322="3114. Logements",ROUND(VLOOKUP(C322,'Informations générales'!$C$66:$D$70,2,FALSE)*(AK322/$AO$27)/12,0)*12,IF(C322="3115. Logements",ROUND(VLOOKUP(C322,'Informations générales'!$C$66:$D$70,2,FALSE)*(AK322/$AP$27)/12,0)*12,"")))))</f>
        <v/>
      </c>
      <c r="AC322" s="117"/>
      <c r="AD322" s="116">
        <f t="shared" si="73"/>
        <v>0</v>
      </c>
      <c r="AE322" s="117"/>
      <c r="AF322" s="116" t="str">
        <f>IF(C322="3111. Logements",ROUND(VLOOKUP(C322,'Informations générales'!$C$66:$G$70,5,FALSE)*(AK322/$AL$27)/12,0)*12,IF(C322="3112. Logements",ROUND(VLOOKUP(C322,'Informations générales'!$C$66:$G$70,5,FALSE)*(AK322/$AM$27)/12,0)*12,IF(C322="3113. Logements",ROUND(VLOOKUP(C322,'Informations générales'!$C$66:$G$70,5,FALSE)*(AK322/$AN$27)/12,0)*12,IF(C322="3114. Logements",ROUND(VLOOKUP(C322,'Informations générales'!$C$66:$G$70,5,FALSE)*(AK322/$AO$27)/12,0)*12,IF(C322="3115. Logements",ROUND(VLOOKUP(C322,'Informations générales'!$C$66:$G$70,5,FALSE)*(AK322/$AP$27)/12,0)*12,"")))))</f>
        <v/>
      </c>
      <c r="AG322" s="117"/>
      <c r="AH322" s="116" t="str">
        <f t="shared" si="74"/>
        <v/>
      </c>
      <c r="AI322" s="92"/>
      <c r="AJ322" s="78"/>
      <c r="AK322" s="60">
        <f t="shared" si="75"/>
        <v>0</v>
      </c>
      <c r="AL322" s="60"/>
      <c r="AM322" s="60"/>
      <c r="AN322" s="60"/>
      <c r="AO322" s="60"/>
      <c r="AP322" s="60"/>
      <c r="AQ322" s="60">
        <f t="shared" si="63"/>
        <v>0</v>
      </c>
      <c r="AR322" s="60">
        <f t="shared" si="64"/>
        <v>0</v>
      </c>
      <c r="AS322" s="60">
        <f t="shared" si="65"/>
        <v>0</v>
      </c>
      <c r="AT322" s="60">
        <f t="shared" si="66"/>
        <v>0</v>
      </c>
      <c r="AU322" s="60">
        <f t="shared" si="67"/>
        <v>0</v>
      </c>
      <c r="AV322" s="60">
        <f t="shared" si="68"/>
        <v>0</v>
      </c>
      <c r="AW322" s="60">
        <f t="shared" si="69"/>
        <v>0</v>
      </c>
      <c r="AX322" s="60">
        <f t="shared" si="76"/>
        <v>0</v>
      </c>
      <c r="AY322" s="64">
        <f t="shared" si="77"/>
        <v>0</v>
      </c>
      <c r="AZ322" s="65">
        <f t="shared" si="70"/>
        <v>0</v>
      </c>
      <c r="BA322" s="65">
        <f t="shared" si="71"/>
        <v>0</v>
      </c>
    </row>
    <row r="323" spans="3:53" s="17" customFormat="1" x14ac:dyDescent="0.25">
      <c r="C323" s="194"/>
      <c r="D323" s="195"/>
      <c r="E323" s="90"/>
      <c r="F323" s="198"/>
      <c r="G323" s="214"/>
      <c r="H323" s="199"/>
      <c r="I323" s="78"/>
      <c r="J323" s="79"/>
      <c r="K323" s="78"/>
      <c r="L323" s="80"/>
      <c r="M323" s="80"/>
      <c r="N323" s="78" t="s">
        <v>39</v>
      </c>
      <c r="O323" s="113"/>
      <c r="P323" s="155"/>
      <c r="Q323" s="114" t="str">
        <f>IFERROR(MIN(VLOOKUP(ROUNDDOWN(P323,0),'Aide calcul'!$B$2:$C$282,2,FALSE),O323+1),"")</f>
        <v/>
      </c>
      <c r="R323" s="115" t="str">
        <f t="shared" si="72"/>
        <v/>
      </c>
      <c r="S323" s="155"/>
      <c r="T323" s="155"/>
      <c r="U323" s="155"/>
      <c r="V323" s="155"/>
      <c r="W323" s="155"/>
      <c r="X323" s="155"/>
      <c r="Y323" s="155"/>
      <c r="Z323" s="78"/>
      <c r="AA323" s="78"/>
      <c r="AB323" s="116" t="str">
        <f>IF(C323="3111. Logements",ROUND(VLOOKUP(C323,'Informations générales'!$C$66:$D$70,2,FALSE)*(AK323/$AL$27)/12,0)*12,IF(C323="3112. Logements",ROUND(VLOOKUP(C323,'Informations générales'!$C$66:$D$70,2,FALSE)*(AK323/$AM$27)/12,0)*12,IF(C323="3113. Logements",ROUND(VLOOKUP(C323,'Informations générales'!$C$66:$D$70,2,FALSE)*(AK323/$AN$27)/12,0)*12,IF(C323="3114. Logements",ROUND(VLOOKUP(C323,'Informations générales'!$C$66:$D$70,2,FALSE)*(AK323/$AO$27)/12,0)*12,IF(C323="3115. Logements",ROUND(VLOOKUP(C323,'Informations générales'!$C$66:$D$70,2,FALSE)*(AK323/$AP$27)/12,0)*12,"")))))</f>
        <v/>
      </c>
      <c r="AC323" s="117"/>
      <c r="AD323" s="116">
        <f t="shared" si="73"/>
        <v>0</v>
      </c>
      <c r="AE323" s="117"/>
      <c r="AF323" s="116" t="str">
        <f>IF(C323="3111. Logements",ROUND(VLOOKUP(C323,'Informations générales'!$C$66:$G$70,5,FALSE)*(AK323/$AL$27)/12,0)*12,IF(C323="3112. Logements",ROUND(VLOOKUP(C323,'Informations générales'!$C$66:$G$70,5,FALSE)*(AK323/$AM$27)/12,0)*12,IF(C323="3113. Logements",ROUND(VLOOKUP(C323,'Informations générales'!$C$66:$G$70,5,FALSE)*(AK323/$AN$27)/12,0)*12,IF(C323="3114. Logements",ROUND(VLOOKUP(C323,'Informations générales'!$C$66:$G$70,5,FALSE)*(AK323/$AO$27)/12,0)*12,IF(C323="3115. Logements",ROUND(VLOOKUP(C323,'Informations générales'!$C$66:$G$70,5,FALSE)*(AK323/$AP$27)/12,0)*12,"")))))</f>
        <v/>
      </c>
      <c r="AG323" s="117"/>
      <c r="AH323" s="116" t="str">
        <f t="shared" si="74"/>
        <v/>
      </c>
      <c r="AI323" s="92"/>
      <c r="AJ323" s="78"/>
      <c r="AK323" s="60">
        <f t="shared" si="75"/>
        <v>0</v>
      </c>
      <c r="AL323" s="60"/>
      <c r="AM323" s="60"/>
      <c r="AN323" s="60"/>
      <c r="AO323" s="60"/>
      <c r="AP323" s="60"/>
      <c r="AQ323" s="60">
        <f t="shared" si="63"/>
        <v>0</v>
      </c>
      <c r="AR323" s="60">
        <f t="shared" si="64"/>
        <v>0</v>
      </c>
      <c r="AS323" s="60">
        <f t="shared" si="65"/>
        <v>0</v>
      </c>
      <c r="AT323" s="60">
        <f t="shared" si="66"/>
        <v>0</v>
      </c>
      <c r="AU323" s="60">
        <f t="shared" si="67"/>
        <v>0</v>
      </c>
      <c r="AV323" s="60">
        <f t="shared" si="68"/>
        <v>0</v>
      </c>
      <c r="AW323" s="60">
        <f t="shared" si="69"/>
        <v>0</v>
      </c>
      <c r="AX323" s="60">
        <f t="shared" si="76"/>
        <v>0</v>
      </c>
      <c r="AY323" s="64">
        <f t="shared" si="77"/>
        <v>0</v>
      </c>
      <c r="AZ323" s="65">
        <f t="shared" si="70"/>
        <v>0</v>
      </c>
      <c r="BA323" s="65">
        <f t="shared" si="71"/>
        <v>0</v>
      </c>
    </row>
    <row r="324" spans="3:53" s="17" customFormat="1" x14ac:dyDescent="0.25">
      <c r="C324" s="194"/>
      <c r="D324" s="195"/>
      <c r="E324" s="90"/>
      <c r="F324" s="198"/>
      <c r="G324" s="214"/>
      <c r="H324" s="199"/>
      <c r="I324" s="78"/>
      <c r="J324" s="79"/>
      <c r="K324" s="78"/>
      <c r="L324" s="80"/>
      <c r="M324" s="80"/>
      <c r="N324" s="78" t="s">
        <v>39</v>
      </c>
      <c r="O324" s="113"/>
      <c r="P324" s="155"/>
      <c r="Q324" s="114" t="str">
        <f>IFERROR(MIN(VLOOKUP(ROUNDDOWN(P324,0),'Aide calcul'!$B$2:$C$282,2,FALSE),O324+1),"")</f>
        <v/>
      </c>
      <c r="R324" s="115" t="str">
        <f t="shared" si="72"/>
        <v/>
      </c>
      <c r="S324" s="155"/>
      <c r="T324" s="155"/>
      <c r="U324" s="155"/>
      <c r="V324" s="155"/>
      <c r="W324" s="155"/>
      <c r="X324" s="155"/>
      <c r="Y324" s="155"/>
      <c r="Z324" s="78"/>
      <c r="AA324" s="78"/>
      <c r="AB324" s="116" t="str">
        <f>IF(C324="3111. Logements",ROUND(VLOOKUP(C324,'Informations générales'!$C$66:$D$70,2,FALSE)*(AK324/$AL$27)/12,0)*12,IF(C324="3112. Logements",ROUND(VLOOKUP(C324,'Informations générales'!$C$66:$D$70,2,FALSE)*(AK324/$AM$27)/12,0)*12,IF(C324="3113. Logements",ROUND(VLOOKUP(C324,'Informations générales'!$C$66:$D$70,2,FALSE)*(AK324/$AN$27)/12,0)*12,IF(C324="3114. Logements",ROUND(VLOOKUP(C324,'Informations générales'!$C$66:$D$70,2,FALSE)*(AK324/$AO$27)/12,0)*12,IF(C324="3115. Logements",ROUND(VLOOKUP(C324,'Informations générales'!$C$66:$D$70,2,FALSE)*(AK324/$AP$27)/12,0)*12,"")))))</f>
        <v/>
      </c>
      <c r="AC324" s="117"/>
      <c r="AD324" s="116">
        <f t="shared" si="73"/>
        <v>0</v>
      </c>
      <c r="AE324" s="117"/>
      <c r="AF324" s="116" t="str">
        <f>IF(C324="3111. Logements",ROUND(VLOOKUP(C324,'Informations générales'!$C$66:$G$70,5,FALSE)*(AK324/$AL$27)/12,0)*12,IF(C324="3112. Logements",ROUND(VLOOKUP(C324,'Informations générales'!$C$66:$G$70,5,FALSE)*(AK324/$AM$27)/12,0)*12,IF(C324="3113. Logements",ROUND(VLOOKUP(C324,'Informations générales'!$C$66:$G$70,5,FALSE)*(AK324/$AN$27)/12,0)*12,IF(C324="3114. Logements",ROUND(VLOOKUP(C324,'Informations générales'!$C$66:$G$70,5,FALSE)*(AK324/$AO$27)/12,0)*12,IF(C324="3115. Logements",ROUND(VLOOKUP(C324,'Informations générales'!$C$66:$G$70,5,FALSE)*(AK324/$AP$27)/12,0)*12,"")))))</f>
        <v/>
      </c>
      <c r="AG324" s="117"/>
      <c r="AH324" s="116" t="str">
        <f t="shared" si="74"/>
        <v/>
      </c>
      <c r="AI324" s="92"/>
      <c r="AJ324" s="78"/>
      <c r="AK324" s="60">
        <f t="shared" si="75"/>
        <v>0</v>
      </c>
      <c r="AL324" s="60"/>
      <c r="AM324" s="60"/>
      <c r="AN324" s="60"/>
      <c r="AO324" s="60"/>
      <c r="AP324" s="60"/>
      <c r="AQ324" s="60">
        <f t="shared" si="63"/>
        <v>0</v>
      </c>
      <c r="AR324" s="60">
        <f t="shared" si="64"/>
        <v>0</v>
      </c>
      <c r="AS324" s="60">
        <f t="shared" si="65"/>
        <v>0</v>
      </c>
      <c r="AT324" s="60">
        <f t="shared" si="66"/>
        <v>0</v>
      </c>
      <c r="AU324" s="60">
        <f t="shared" si="67"/>
        <v>0</v>
      </c>
      <c r="AV324" s="60">
        <f t="shared" si="68"/>
        <v>0</v>
      </c>
      <c r="AW324" s="60">
        <f t="shared" si="69"/>
        <v>0</v>
      </c>
      <c r="AX324" s="60">
        <f t="shared" si="76"/>
        <v>0</v>
      </c>
      <c r="AY324" s="64">
        <f t="shared" si="77"/>
        <v>0</v>
      </c>
      <c r="AZ324" s="65">
        <f t="shared" si="70"/>
        <v>0</v>
      </c>
      <c r="BA324" s="65">
        <f t="shared" si="71"/>
        <v>0</v>
      </c>
    </row>
    <row r="325" spans="3:53" s="17" customFormat="1" x14ac:dyDescent="0.25">
      <c r="C325" s="194"/>
      <c r="D325" s="195"/>
      <c r="E325" s="90"/>
      <c r="F325" s="198"/>
      <c r="G325" s="214"/>
      <c r="H325" s="199"/>
      <c r="I325" s="78"/>
      <c r="J325" s="79"/>
      <c r="K325" s="78"/>
      <c r="L325" s="80"/>
      <c r="M325" s="80"/>
      <c r="N325" s="78" t="s">
        <v>39</v>
      </c>
      <c r="O325" s="113"/>
      <c r="P325" s="155"/>
      <c r="Q325" s="114" t="str">
        <f>IFERROR(MIN(VLOOKUP(ROUNDDOWN(P325,0),'Aide calcul'!$B$2:$C$282,2,FALSE),O325+1),"")</f>
        <v/>
      </c>
      <c r="R325" s="115" t="str">
        <f t="shared" si="72"/>
        <v/>
      </c>
      <c r="S325" s="155"/>
      <c r="T325" s="155"/>
      <c r="U325" s="155"/>
      <c r="V325" s="155"/>
      <c r="W325" s="155"/>
      <c r="X325" s="155"/>
      <c r="Y325" s="155"/>
      <c r="Z325" s="78"/>
      <c r="AA325" s="78"/>
      <c r="AB325" s="116" t="str">
        <f>IF(C325="3111. Logements",ROUND(VLOOKUP(C325,'Informations générales'!$C$66:$D$70,2,FALSE)*(AK325/$AL$27)/12,0)*12,IF(C325="3112. Logements",ROUND(VLOOKUP(C325,'Informations générales'!$C$66:$D$70,2,FALSE)*(AK325/$AM$27)/12,0)*12,IF(C325="3113. Logements",ROUND(VLOOKUP(C325,'Informations générales'!$C$66:$D$70,2,FALSE)*(AK325/$AN$27)/12,0)*12,IF(C325="3114. Logements",ROUND(VLOOKUP(C325,'Informations générales'!$C$66:$D$70,2,FALSE)*(AK325/$AO$27)/12,0)*12,IF(C325="3115. Logements",ROUND(VLOOKUP(C325,'Informations générales'!$C$66:$D$70,2,FALSE)*(AK325/$AP$27)/12,0)*12,"")))))</f>
        <v/>
      </c>
      <c r="AC325" s="117"/>
      <c r="AD325" s="116">
        <f t="shared" si="73"/>
        <v>0</v>
      </c>
      <c r="AE325" s="117"/>
      <c r="AF325" s="116" t="str">
        <f>IF(C325="3111. Logements",ROUND(VLOOKUP(C325,'Informations générales'!$C$66:$G$70,5,FALSE)*(AK325/$AL$27)/12,0)*12,IF(C325="3112. Logements",ROUND(VLOOKUP(C325,'Informations générales'!$C$66:$G$70,5,FALSE)*(AK325/$AM$27)/12,0)*12,IF(C325="3113. Logements",ROUND(VLOOKUP(C325,'Informations générales'!$C$66:$G$70,5,FALSE)*(AK325/$AN$27)/12,0)*12,IF(C325="3114. Logements",ROUND(VLOOKUP(C325,'Informations générales'!$C$66:$G$70,5,FALSE)*(AK325/$AO$27)/12,0)*12,IF(C325="3115. Logements",ROUND(VLOOKUP(C325,'Informations générales'!$C$66:$G$70,5,FALSE)*(AK325/$AP$27)/12,0)*12,"")))))</f>
        <v/>
      </c>
      <c r="AG325" s="117"/>
      <c r="AH325" s="116" t="str">
        <f t="shared" si="74"/>
        <v/>
      </c>
      <c r="AI325" s="92"/>
      <c r="AJ325" s="78"/>
      <c r="AK325" s="60">
        <f t="shared" si="75"/>
        <v>0</v>
      </c>
      <c r="AL325" s="60"/>
      <c r="AM325" s="60"/>
      <c r="AN325" s="60"/>
      <c r="AO325" s="60"/>
      <c r="AP325" s="60"/>
      <c r="AQ325" s="60">
        <f t="shared" si="63"/>
        <v>0</v>
      </c>
      <c r="AR325" s="60">
        <f t="shared" si="64"/>
        <v>0</v>
      </c>
      <c r="AS325" s="60">
        <f t="shared" si="65"/>
        <v>0</v>
      </c>
      <c r="AT325" s="60">
        <f t="shared" si="66"/>
        <v>0</v>
      </c>
      <c r="AU325" s="60">
        <f t="shared" si="67"/>
        <v>0</v>
      </c>
      <c r="AV325" s="60">
        <f t="shared" si="68"/>
        <v>0</v>
      </c>
      <c r="AW325" s="60">
        <f t="shared" si="69"/>
        <v>0</v>
      </c>
      <c r="AX325" s="60">
        <f t="shared" si="76"/>
        <v>0</v>
      </c>
      <c r="AY325" s="64">
        <f t="shared" si="77"/>
        <v>0</v>
      </c>
      <c r="AZ325" s="65">
        <f t="shared" si="70"/>
        <v>0</v>
      </c>
      <c r="BA325" s="65">
        <f t="shared" si="71"/>
        <v>0</v>
      </c>
    </row>
    <row r="326" spans="3:53" s="17" customFormat="1" x14ac:dyDescent="0.25">
      <c r="C326" s="194"/>
      <c r="D326" s="195"/>
      <c r="E326" s="90"/>
      <c r="F326" s="198"/>
      <c r="G326" s="214"/>
      <c r="H326" s="199"/>
      <c r="I326" s="78"/>
      <c r="J326" s="79"/>
      <c r="K326" s="78"/>
      <c r="L326" s="80"/>
      <c r="M326" s="80"/>
      <c r="N326" s="78" t="s">
        <v>39</v>
      </c>
      <c r="O326" s="113"/>
      <c r="P326" s="155"/>
      <c r="Q326" s="114" t="str">
        <f>IFERROR(MIN(VLOOKUP(ROUNDDOWN(P326,0),'Aide calcul'!$B$2:$C$282,2,FALSE),O326+1),"")</f>
        <v/>
      </c>
      <c r="R326" s="115" t="str">
        <f t="shared" si="72"/>
        <v/>
      </c>
      <c r="S326" s="155"/>
      <c r="T326" s="155"/>
      <c r="U326" s="155"/>
      <c r="V326" s="155"/>
      <c r="W326" s="155"/>
      <c r="X326" s="155"/>
      <c r="Y326" s="155"/>
      <c r="Z326" s="78"/>
      <c r="AA326" s="78"/>
      <c r="AB326" s="116" t="str">
        <f>IF(C326="3111. Logements",ROUND(VLOOKUP(C326,'Informations générales'!$C$66:$D$70,2,FALSE)*(AK326/$AL$27)/12,0)*12,IF(C326="3112. Logements",ROUND(VLOOKUP(C326,'Informations générales'!$C$66:$D$70,2,FALSE)*(AK326/$AM$27)/12,0)*12,IF(C326="3113. Logements",ROUND(VLOOKUP(C326,'Informations générales'!$C$66:$D$70,2,FALSE)*(AK326/$AN$27)/12,0)*12,IF(C326="3114. Logements",ROUND(VLOOKUP(C326,'Informations générales'!$C$66:$D$70,2,FALSE)*(AK326/$AO$27)/12,0)*12,IF(C326="3115. Logements",ROUND(VLOOKUP(C326,'Informations générales'!$C$66:$D$70,2,FALSE)*(AK326/$AP$27)/12,0)*12,"")))))</f>
        <v/>
      </c>
      <c r="AC326" s="117"/>
      <c r="AD326" s="116">
        <f t="shared" si="73"/>
        <v>0</v>
      </c>
      <c r="AE326" s="117"/>
      <c r="AF326" s="116" t="str">
        <f>IF(C326="3111. Logements",ROUND(VLOOKUP(C326,'Informations générales'!$C$66:$G$70,5,FALSE)*(AK326/$AL$27)/12,0)*12,IF(C326="3112. Logements",ROUND(VLOOKUP(C326,'Informations générales'!$C$66:$G$70,5,FALSE)*(AK326/$AM$27)/12,0)*12,IF(C326="3113. Logements",ROUND(VLOOKUP(C326,'Informations générales'!$C$66:$G$70,5,FALSE)*(AK326/$AN$27)/12,0)*12,IF(C326="3114. Logements",ROUND(VLOOKUP(C326,'Informations générales'!$C$66:$G$70,5,FALSE)*(AK326/$AO$27)/12,0)*12,IF(C326="3115. Logements",ROUND(VLOOKUP(C326,'Informations générales'!$C$66:$G$70,5,FALSE)*(AK326/$AP$27)/12,0)*12,"")))))</f>
        <v/>
      </c>
      <c r="AG326" s="117"/>
      <c r="AH326" s="116" t="str">
        <f t="shared" si="74"/>
        <v/>
      </c>
      <c r="AI326" s="92"/>
      <c r="AJ326" s="78"/>
      <c r="AK326" s="60">
        <f t="shared" si="75"/>
        <v>0</v>
      </c>
      <c r="AL326" s="60"/>
      <c r="AM326" s="60"/>
      <c r="AN326" s="60"/>
      <c r="AO326" s="60"/>
      <c r="AP326" s="60"/>
      <c r="AQ326" s="60">
        <f t="shared" si="63"/>
        <v>0</v>
      </c>
      <c r="AR326" s="60">
        <f t="shared" si="64"/>
        <v>0</v>
      </c>
      <c r="AS326" s="60">
        <f t="shared" si="65"/>
        <v>0</v>
      </c>
      <c r="AT326" s="60">
        <f t="shared" si="66"/>
        <v>0</v>
      </c>
      <c r="AU326" s="60">
        <f t="shared" si="67"/>
        <v>0</v>
      </c>
      <c r="AV326" s="60">
        <f t="shared" si="68"/>
        <v>0</v>
      </c>
      <c r="AW326" s="60">
        <f t="shared" si="69"/>
        <v>0</v>
      </c>
      <c r="AX326" s="60">
        <f t="shared" si="76"/>
        <v>0</v>
      </c>
      <c r="AY326" s="64">
        <f t="shared" si="77"/>
        <v>0</v>
      </c>
      <c r="AZ326" s="65">
        <f t="shared" si="70"/>
        <v>0</v>
      </c>
      <c r="BA326" s="65">
        <f t="shared" si="71"/>
        <v>0</v>
      </c>
    </row>
    <row r="327" spans="3:53" s="17" customFormat="1" x14ac:dyDescent="0.25">
      <c r="C327" s="194"/>
      <c r="D327" s="195"/>
      <c r="E327" s="90"/>
      <c r="F327" s="198"/>
      <c r="G327" s="214"/>
      <c r="H327" s="199"/>
      <c r="I327" s="78"/>
      <c r="J327" s="79"/>
      <c r="K327" s="78"/>
      <c r="L327" s="80"/>
      <c r="M327" s="80"/>
      <c r="N327" s="78" t="s">
        <v>39</v>
      </c>
      <c r="O327" s="113"/>
      <c r="P327" s="155"/>
      <c r="Q327" s="114" t="str">
        <f>IFERROR(MIN(VLOOKUP(ROUNDDOWN(P327,0),'Aide calcul'!$B$2:$C$282,2,FALSE),O327+1),"")</f>
        <v/>
      </c>
      <c r="R327" s="115" t="str">
        <f t="shared" si="72"/>
        <v/>
      </c>
      <c r="S327" s="155"/>
      <c r="T327" s="155"/>
      <c r="U327" s="155"/>
      <c r="V327" s="155"/>
      <c r="W327" s="155"/>
      <c r="X327" s="155"/>
      <c r="Y327" s="155"/>
      <c r="Z327" s="78"/>
      <c r="AA327" s="78"/>
      <c r="AB327" s="116" t="str">
        <f>IF(C327="3111. Logements",ROUND(VLOOKUP(C327,'Informations générales'!$C$66:$D$70,2,FALSE)*(AK327/$AL$27)/12,0)*12,IF(C327="3112. Logements",ROUND(VLOOKUP(C327,'Informations générales'!$C$66:$D$70,2,FALSE)*(AK327/$AM$27)/12,0)*12,IF(C327="3113. Logements",ROUND(VLOOKUP(C327,'Informations générales'!$C$66:$D$70,2,FALSE)*(AK327/$AN$27)/12,0)*12,IF(C327="3114. Logements",ROUND(VLOOKUP(C327,'Informations générales'!$C$66:$D$70,2,FALSE)*(AK327/$AO$27)/12,0)*12,IF(C327="3115. Logements",ROUND(VLOOKUP(C327,'Informations générales'!$C$66:$D$70,2,FALSE)*(AK327/$AP$27)/12,0)*12,"")))))</f>
        <v/>
      </c>
      <c r="AC327" s="117"/>
      <c r="AD327" s="116">
        <f t="shared" si="73"/>
        <v>0</v>
      </c>
      <c r="AE327" s="117"/>
      <c r="AF327" s="116" t="str">
        <f>IF(C327="3111. Logements",ROUND(VLOOKUP(C327,'Informations générales'!$C$66:$G$70,5,FALSE)*(AK327/$AL$27)/12,0)*12,IF(C327="3112. Logements",ROUND(VLOOKUP(C327,'Informations générales'!$C$66:$G$70,5,FALSE)*(AK327/$AM$27)/12,0)*12,IF(C327="3113. Logements",ROUND(VLOOKUP(C327,'Informations générales'!$C$66:$G$70,5,FALSE)*(AK327/$AN$27)/12,0)*12,IF(C327="3114. Logements",ROUND(VLOOKUP(C327,'Informations générales'!$C$66:$G$70,5,FALSE)*(AK327/$AO$27)/12,0)*12,IF(C327="3115. Logements",ROUND(VLOOKUP(C327,'Informations générales'!$C$66:$G$70,5,FALSE)*(AK327/$AP$27)/12,0)*12,"")))))</f>
        <v/>
      </c>
      <c r="AG327" s="117"/>
      <c r="AH327" s="116" t="str">
        <f t="shared" si="74"/>
        <v/>
      </c>
      <c r="AI327" s="92"/>
      <c r="AJ327" s="78"/>
      <c r="AK327" s="60">
        <f t="shared" si="75"/>
        <v>0</v>
      </c>
      <c r="AL327" s="60"/>
      <c r="AM327" s="60"/>
      <c r="AN327" s="60"/>
      <c r="AO327" s="60"/>
      <c r="AP327" s="60"/>
      <c r="AQ327" s="60">
        <f t="shared" si="63"/>
        <v>0</v>
      </c>
      <c r="AR327" s="60">
        <f t="shared" si="64"/>
        <v>0</v>
      </c>
      <c r="AS327" s="60">
        <f t="shared" si="65"/>
        <v>0</v>
      </c>
      <c r="AT327" s="60">
        <f t="shared" si="66"/>
        <v>0</v>
      </c>
      <c r="AU327" s="60">
        <f t="shared" si="67"/>
        <v>0</v>
      </c>
      <c r="AV327" s="60">
        <f t="shared" si="68"/>
        <v>0</v>
      </c>
      <c r="AW327" s="60">
        <f t="shared" si="69"/>
        <v>0</v>
      </c>
      <c r="AX327" s="60">
        <f t="shared" si="76"/>
        <v>0</v>
      </c>
      <c r="AY327" s="64">
        <f t="shared" si="77"/>
        <v>0</v>
      </c>
      <c r="AZ327" s="65">
        <f t="shared" si="70"/>
        <v>0</v>
      </c>
      <c r="BA327" s="65">
        <f t="shared" si="71"/>
        <v>0</v>
      </c>
    </row>
    <row r="328" spans="3:53" s="17" customFormat="1" x14ac:dyDescent="0.25">
      <c r="C328" s="194"/>
      <c r="D328" s="195"/>
      <c r="E328" s="90"/>
      <c r="F328" s="198"/>
      <c r="G328" s="214"/>
      <c r="H328" s="199"/>
      <c r="I328" s="78"/>
      <c r="J328" s="79"/>
      <c r="K328" s="78"/>
      <c r="L328" s="80"/>
      <c r="M328" s="80"/>
      <c r="N328" s="78" t="s">
        <v>39</v>
      </c>
      <c r="O328" s="113"/>
      <c r="P328" s="155"/>
      <c r="Q328" s="114" t="str">
        <f>IFERROR(MIN(VLOOKUP(ROUNDDOWN(P328,0),'Aide calcul'!$B$2:$C$282,2,FALSE),O328+1),"")</f>
        <v/>
      </c>
      <c r="R328" s="115" t="str">
        <f t="shared" si="72"/>
        <v/>
      </c>
      <c r="S328" s="155"/>
      <c r="T328" s="155"/>
      <c r="U328" s="155"/>
      <c r="V328" s="155"/>
      <c r="W328" s="155"/>
      <c r="X328" s="155"/>
      <c r="Y328" s="155"/>
      <c r="Z328" s="78"/>
      <c r="AA328" s="78"/>
      <c r="AB328" s="116" t="str">
        <f>IF(C328="3111. Logements",ROUND(VLOOKUP(C328,'Informations générales'!$C$66:$D$70,2,FALSE)*(AK328/$AL$27)/12,0)*12,IF(C328="3112. Logements",ROUND(VLOOKUP(C328,'Informations générales'!$C$66:$D$70,2,FALSE)*(AK328/$AM$27)/12,0)*12,IF(C328="3113. Logements",ROUND(VLOOKUP(C328,'Informations générales'!$C$66:$D$70,2,FALSE)*(AK328/$AN$27)/12,0)*12,IF(C328="3114. Logements",ROUND(VLOOKUP(C328,'Informations générales'!$C$66:$D$70,2,FALSE)*(AK328/$AO$27)/12,0)*12,IF(C328="3115. Logements",ROUND(VLOOKUP(C328,'Informations générales'!$C$66:$D$70,2,FALSE)*(AK328/$AP$27)/12,0)*12,"")))))</f>
        <v/>
      </c>
      <c r="AC328" s="117"/>
      <c r="AD328" s="116">
        <f t="shared" si="73"/>
        <v>0</v>
      </c>
      <c r="AE328" s="117"/>
      <c r="AF328" s="116" t="str">
        <f>IF(C328="3111. Logements",ROUND(VLOOKUP(C328,'Informations générales'!$C$66:$G$70,5,FALSE)*(AK328/$AL$27)/12,0)*12,IF(C328="3112. Logements",ROUND(VLOOKUP(C328,'Informations générales'!$C$66:$G$70,5,FALSE)*(AK328/$AM$27)/12,0)*12,IF(C328="3113. Logements",ROUND(VLOOKUP(C328,'Informations générales'!$C$66:$G$70,5,FALSE)*(AK328/$AN$27)/12,0)*12,IF(C328="3114. Logements",ROUND(VLOOKUP(C328,'Informations générales'!$C$66:$G$70,5,FALSE)*(AK328/$AO$27)/12,0)*12,IF(C328="3115. Logements",ROUND(VLOOKUP(C328,'Informations générales'!$C$66:$G$70,5,FALSE)*(AK328/$AP$27)/12,0)*12,"")))))</f>
        <v/>
      </c>
      <c r="AG328" s="117"/>
      <c r="AH328" s="116" t="str">
        <f t="shared" si="74"/>
        <v/>
      </c>
      <c r="AI328" s="92"/>
      <c r="AJ328" s="78"/>
      <c r="AK328" s="60">
        <f t="shared" si="75"/>
        <v>0</v>
      </c>
      <c r="AL328" s="60"/>
      <c r="AM328" s="60"/>
      <c r="AN328" s="60"/>
      <c r="AO328" s="60"/>
      <c r="AP328" s="60"/>
      <c r="AQ328" s="60">
        <f t="shared" si="63"/>
        <v>0</v>
      </c>
      <c r="AR328" s="60">
        <f t="shared" si="64"/>
        <v>0</v>
      </c>
      <c r="AS328" s="60">
        <f t="shared" si="65"/>
        <v>0</v>
      </c>
      <c r="AT328" s="60">
        <f t="shared" si="66"/>
        <v>0</v>
      </c>
      <c r="AU328" s="60">
        <f t="shared" si="67"/>
        <v>0</v>
      </c>
      <c r="AV328" s="60">
        <f t="shared" si="68"/>
        <v>0</v>
      </c>
      <c r="AW328" s="60">
        <f t="shared" si="69"/>
        <v>0</v>
      </c>
      <c r="AX328" s="60">
        <f t="shared" si="76"/>
        <v>0</v>
      </c>
      <c r="AY328" s="64">
        <f t="shared" si="77"/>
        <v>0</v>
      </c>
      <c r="AZ328" s="65">
        <f t="shared" si="70"/>
        <v>0</v>
      </c>
      <c r="BA328" s="65">
        <f t="shared" si="71"/>
        <v>0</v>
      </c>
    </row>
    <row r="329" spans="3:53" s="17" customFormat="1" x14ac:dyDescent="0.25">
      <c r="C329" s="194"/>
      <c r="D329" s="195"/>
      <c r="E329" s="90"/>
      <c r="F329" s="198"/>
      <c r="G329" s="214"/>
      <c r="H329" s="199"/>
      <c r="I329" s="78"/>
      <c r="J329" s="79"/>
      <c r="K329" s="78"/>
      <c r="L329" s="80"/>
      <c r="M329" s="80"/>
      <c r="N329" s="78" t="s">
        <v>39</v>
      </c>
      <c r="O329" s="113"/>
      <c r="P329" s="155"/>
      <c r="Q329" s="114" t="str">
        <f>IFERROR(MIN(VLOOKUP(ROUNDDOWN(P329,0),'Aide calcul'!$B$2:$C$282,2,FALSE),O329+1),"")</f>
        <v/>
      </c>
      <c r="R329" s="115" t="str">
        <f t="shared" si="72"/>
        <v/>
      </c>
      <c r="S329" s="155"/>
      <c r="T329" s="155"/>
      <c r="U329" s="155"/>
      <c r="V329" s="155"/>
      <c r="W329" s="155"/>
      <c r="X329" s="155"/>
      <c r="Y329" s="155"/>
      <c r="Z329" s="78"/>
      <c r="AA329" s="78"/>
      <c r="AB329" s="116" t="str">
        <f>IF(C329="3111. Logements",ROUND(VLOOKUP(C329,'Informations générales'!$C$66:$D$70,2,FALSE)*(AK329/$AL$27)/12,0)*12,IF(C329="3112. Logements",ROUND(VLOOKUP(C329,'Informations générales'!$C$66:$D$70,2,FALSE)*(AK329/$AM$27)/12,0)*12,IF(C329="3113. Logements",ROUND(VLOOKUP(C329,'Informations générales'!$C$66:$D$70,2,FALSE)*(AK329/$AN$27)/12,0)*12,IF(C329="3114. Logements",ROUND(VLOOKUP(C329,'Informations générales'!$C$66:$D$70,2,FALSE)*(AK329/$AO$27)/12,0)*12,IF(C329="3115. Logements",ROUND(VLOOKUP(C329,'Informations générales'!$C$66:$D$70,2,FALSE)*(AK329/$AP$27)/12,0)*12,"")))))</f>
        <v/>
      </c>
      <c r="AC329" s="117"/>
      <c r="AD329" s="116">
        <f t="shared" si="73"/>
        <v>0</v>
      </c>
      <c r="AE329" s="117"/>
      <c r="AF329" s="116" t="str">
        <f>IF(C329="3111. Logements",ROUND(VLOOKUP(C329,'Informations générales'!$C$66:$G$70,5,FALSE)*(AK329/$AL$27)/12,0)*12,IF(C329="3112. Logements",ROUND(VLOOKUP(C329,'Informations générales'!$C$66:$G$70,5,FALSE)*(AK329/$AM$27)/12,0)*12,IF(C329="3113. Logements",ROUND(VLOOKUP(C329,'Informations générales'!$C$66:$G$70,5,FALSE)*(AK329/$AN$27)/12,0)*12,IF(C329="3114. Logements",ROUND(VLOOKUP(C329,'Informations générales'!$C$66:$G$70,5,FALSE)*(AK329/$AO$27)/12,0)*12,IF(C329="3115. Logements",ROUND(VLOOKUP(C329,'Informations générales'!$C$66:$G$70,5,FALSE)*(AK329/$AP$27)/12,0)*12,"")))))</f>
        <v/>
      </c>
      <c r="AG329" s="117"/>
      <c r="AH329" s="116" t="str">
        <f t="shared" si="74"/>
        <v/>
      </c>
      <c r="AI329" s="92"/>
      <c r="AJ329" s="78"/>
      <c r="AK329" s="60">
        <f t="shared" si="75"/>
        <v>0</v>
      </c>
      <c r="AL329" s="60"/>
      <c r="AM329" s="60"/>
      <c r="AN329" s="60"/>
      <c r="AO329" s="60"/>
      <c r="AP329" s="60"/>
      <c r="AQ329" s="60">
        <f t="shared" si="63"/>
        <v>0</v>
      </c>
      <c r="AR329" s="60">
        <f t="shared" si="64"/>
        <v>0</v>
      </c>
      <c r="AS329" s="60">
        <f t="shared" si="65"/>
        <v>0</v>
      </c>
      <c r="AT329" s="60">
        <f t="shared" si="66"/>
        <v>0</v>
      </c>
      <c r="AU329" s="60">
        <f t="shared" si="67"/>
        <v>0</v>
      </c>
      <c r="AV329" s="60">
        <f t="shared" si="68"/>
        <v>0</v>
      </c>
      <c r="AW329" s="60">
        <f t="shared" si="69"/>
        <v>0</v>
      </c>
      <c r="AX329" s="60">
        <f t="shared" si="76"/>
        <v>0</v>
      </c>
      <c r="AY329" s="64">
        <f t="shared" si="77"/>
        <v>0</v>
      </c>
      <c r="AZ329" s="65">
        <f t="shared" si="70"/>
        <v>0</v>
      </c>
      <c r="BA329" s="65">
        <f t="shared" si="71"/>
        <v>0</v>
      </c>
    </row>
    <row r="330" spans="3:53" s="17" customFormat="1" x14ac:dyDescent="0.25">
      <c r="C330" s="194"/>
      <c r="D330" s="195"/>
      <c r="E330" s="90"/>
      <c r="F330" s="198"/>
      <c r="G330" s="214"/>
      <c r="H330" s="199"/>
      <c r="I330" s="78"/>
      <c r="J330" s="79"/>
      <c r="K330" s="78"/>
      <c r="L330" s="80"/>
      <c r="M330" s="80"/>
      <c r="N330" s="78" t="s">
        <v>39</v>
      </c>
      <c r="O330" s="113"/>
      <c r="P330" s="155"/>
      <c r="Q330" s="114" t="str">
        <f>IFERROR(MIN(VLOOKUP(ROUNDDOWN(P330,0),'Aide calcul'!$B$2:$C$282,2,FALSE),O330+1),"")</f>
        <v/>
      </c>
      <c r="R330" s="115" t="str">
        <f t="shared" si="72"/>
        <v/>
      </c>
      <c r="S330" s="155"/>
      <c r="T330" s="155"/>
      <c r="U330" s="155"/>
      <c r="V330" s="155"/>
      <c r="W330" s="155"/>
      <c r="X330" s="155"/>
      <c r="Y330" s="155"/>
      <c r="Z330" s="78"/>
      <c r="AA330" s="78"/>
      <c r="AB330" s="116" t="str">
        <f>IF(C330="3111. Logements",ROUND(VLOOKUP(C330,'Informations générales'!$C$66:$D$70,2,FALSE)*(AK330/$AL$27)/12,0)*12,IF(C330="3112. Logements",ROUND(VLOOKUP(C330,'Informations générales'!$C$66:$D$70,2,FALSE)*(AK330/$AM$27)/12,0)*12,IF(C330="3113. Logements",ROUND(VLOOKUP(C330,'Informations générales'!$C$66:$D$70,2,FALSE)*(AK330/$AN$27)/12,0)*12,IF(C330="3114. Logements",ROUND(VLOOKUP(C330,'Informations générales'!$C$66:$D$70,2,FALSE)*(AK330/$AO$27)/12,0)*12,IF(C330="3115. Logements",ROUND(VLOOKUP(C330,'Informations générales'!$C$66:$D$70,2,FALSE)*(AK330/$AP$27)/12,0)*12,"")))))</f>
        <v/>
      </c>
      <c r="AC330" s="117"/>
      <c r="AD330" s="116">
        <f t="shared" si="73"/>
        <v>0</v>
      </c>
      <c r="AE330" s="117"/>
      <c r="AF330" s="116" t="str">
        <f>IF(C330="3111. Logements",ROUND(VLOOKUP(C330,'Informations générales'!$C$66:$G$70,5,FALSE)*(AK330/$AL$27)/12,0)*12,IF(C330="3112. Logements",ROUND(VLOOKUP(C330,'Informations générales'!$C$66:$G$70,5,FALSE)*(AK330/$AM$27)/12,0)*12,IF(C330="3113. Logements",ROUND(VLOOKUP(C330,'Informations générales'!$C$66:$G$70,5,FALSE)*(AK330/$AN$27)/12,0)*12,IF(C330="3114. Logements",ROUND(VLOOKUP(C330,'Informations générales'!$C$66:$G$70,5,FALSE)*(AK330/$AO$27)/12,0)*12,IF(C330="3115. Logements",ROUND(VLOOKUP(C330,'Informations générales'!$C$66:$G$70,5,FALSE)*(AK330/$AP$27)/12,0)*12,"")))))</f>
        <v/>
      </c>
      <c r="AG330" s="117"/>
      <c r="AH330" s="116" t="str">
        <f t="shared" si="74"/>
        <v/>
      </c>
      <c r="AI330" s="92"/>
      <c r="AJ330" s="78"/>
      <c r="AK330" s="60">
        <f t="shared" si="75"/>
        <v>0</v>
      </c>
      <c r="AL330" s="60"/>
      <c r="AM330" s="60"/>
      <c r="AN330" s="60"/>
      <c r="AO330" s="60"/>
      <c r="AP330" s="60"/>
      <c r="AQ330" s="60">
        <f t="shared" si="63"/>
        <v>0</v>
      </c>
      <c r="AR330" s="60">
        <f t="shared" si="64"/>
        <v>0</v>
      </c>
      <c r="AS330" s="60">
        <f t="shared" si="65"/>
        <v>0</v>
      </c>
      <c r="AT330" s="60">
        <f t="shared" si="66"/>
        <v>0</v>
      </c>
      <c r="AU330" s="60">
        <f t="shared" si="67"/>
        <v>0</v>
      </c>
      <c r="AV330" s="60">
        <f t="shared" si="68"/>
        <v>0</v>
      </c>
      <c r="AW330" s="60">
        <f t="shared" si="69"/>
        <v>0</v>
      </c>
      <c r="AX330" s="60">
        <f t="shared" si="76"/>
        <v>0</v>
      </c>
      <c r="AY330" s="64">
        <f t="shared" si="77"/>
        <v>0</v>
      </c>
      <c r="AZ330" s="65">
        <f t="shared" si="70"/>
        <v>0</v>
      </c>
      <c r="BA330" s="65">
        <f t="shared" si="71"/>
        <v>0</v>
      </c>
    </row>
    <row r="331" spans="3:53" s="17" customFormat="1" x14ac:dyDescent="0.25">
      <c r="C331" s="194"/>
      <c r="D331" s="195"/>
      <c r="E331" s="90"/>
      <c r="F331" s="198"/>
      <c r="G331" s="214"/>
      <c r="H331" s="199"/>
      <c r="I331" s="78"/>
      <c r="J331" s="79"/>
      <c r="K331" s="78"/>
      <c r="L331" s="80"/>
      <c r="M331" s="80"/>
      <c r="N331" s="78" t="s">
        <v>39</v>
      </c>
      <c r="O331" s="113"/>
      <c r="P331" s="155"/>
      <c r="Q331" s="114" t="str">
        <f>IFERROR(MIN(VLOOKUP(ROUNDDOWN(P331,0),'Aide calcul'!$B$2:$C$282,2,FALSE),O331+1),"")</f>
        <v/>
      </c>
      <c r="R331" s="115" t="str">
        <f t="shared" si="72"/>
        <v/>
      </c>
      <c r="S331" s="155"/>
      <c r="T331" s="155"/>
      <c r="U331" s="155"/>
      <c r="V331" s="155"/>
      <c r="W331" s="155"/>
      <c r="X331" s="155"/>
      <c r="Y331" s="155"/>
      <c r="Z331" s="78"/>
      <c r="AA331" s="78"/>
      <c r="AB331" s="116" t="str">
        <f>IF(C331="3111. Logements",ROUND(VLOOKUP(C331,'Informations générales'!$C$66:$D$70,2,FALSE)*(AK331/$AL$27)/12,0)*12,IF(C331="3112. Logements",ROUND(VLOOKUP(C331,'Informations générales'!$C$66:$D$70,2,FALSE)*(AK331/$AM$27)/12,0)*12,IF(C331="3113. Logements",ROUND(VLOOKUP(C331,'Informations générales'!$C$66:$D$70,2,FALSE)*(AK331/$AN$27)/12,0)*12,IF(C331="3114. Logements",ROUND(VLOOKUP(C331,'Informations générales'!$C$66:$D$70,2,FALSE)*(AK331/$AO$27)/12,0)*12,IF(C331="3115. Logements",ROUND(VLOOKUP(C331,'Informations générales'!$C$66:$D$70,2,FALSE)*(AK331/$AP$27)/12,0)*12,"")))))</f>
        <v/>
      </c>
      <c r="AC331" s="117"/>
      <c r="AD331" s="116">
        <f t="shared" si="73"/>
        <v>0</v>
      </c>
      <c r="AE331" s="117"/>
      <c r="AF331" s="116" t="str">
        <f>IF(C331="3111. Logements",ROUND(VLOOKUP(C331,'Informations générales'!$C$66:$G$70,5,FALSE)*(AK331/$AL$27)/12,0)*12,IF(C331="3112. Logements",ROUND(VLOOKUP(C331,'Informations générales'!$C$66:$G$70,5,FALSE)*(AK331/$AM$27)/12,0)*12,IF(C331="3113. Logements",ROUND(VLOOKUP(C331,'Informations générales'!$C$66:$G$70,5,FALSE)*(AK331/$AN$27)/12,0)*12,IF(C331="3114. Logements",ROUND(VLOOKUP(C331,'Informations générales'!$C$66:$G$70,5,FALSE)*(AK331/$AO$27)/12,0)*12,IF(C331="3115. Logements",ROUND(VLOOKUP(C331,'Informations générales'!$C$66:$G$70,5,FALSE)*(AK331/$AP$27)/12,0)*12,"")))))</f>
        <v/>
      </c>
      <c r="AG331" s="117"/>
      <c r="AH331" s="116" t="str">
        <f t="shared" si="74"/>
        <v/>
      </c>
      <c r="AI331" s="92"/>
      <c r="AJ331" s="78"/>
      <c r="AK331" s="60">
        <f t="shared" si="75"/>
        <v>0</v>
      </c>
      <c r="AL331" s="60"/>
      <c r="AM331" s="60"/>
      <c r="AN331" s="60"/>
      <c r="AO331" s="60"/>
      <c r="AP331" s="60"/>
      <c r="AQ331" s="60">
        <f t="shared" si="63"/>
        <v>0</v>
      </c>
      <c r="AR331" s="60">
        <f t="shared" si="64"/>
        <v>0</v>
      </c>
      <c r="AS331" s="60">
        <f t="shared" si="65"/>
        <v>0</v>
      </c>
      <c r="AT331" s="60">
        <f t="shared" si="66"/>
        <v>0</v>
      </c>
      <c r="AU331" s="60">
        <f t="shared" si="67"/>
        <v>0</v>
      </c>
      <c r="AV331" s="60">
        <f t="shared" si="68"/>
        <v>0</v>
      </c>
      <c r="AW331" s="60">
        <f t="shared" si="69"/>
        <v>0</v>
      </c>
      <c r="AX331" s="60">
        <f t="shared" si="76"/>
        <v>0</v>
      </c>
      <c r="AY331" s="64">
        <f t="shared" si="77"/>
        <v>0</v>
      </c>
      <c r="AZ331" s="65">
        <f t="shared" si="70"/>
        <v>0</v>
      </c>
      <c r="BA331" s="65">
        <f t="shared" si="71"/>
        <v>0</v>
      </c>
    </row>
    <row r="332" spans="3:53" s="17" customFormat="1" x14ac:dyDescent="0.25">
      <c r="C332" s="194"/>
      <c r="D332" s="195"/>
      <c r="E332" s="90"/>
      <c r="F332" s="198"/>
      <c r="G332" s="214"/>
      <c r="H332" s="199"/>
      <c r="I332" s="78"/>
      <c r="J332" s="79"/>
      <c r="K332" s="78"/>
      <c r="L332" s="80"/>
      <c r="M332" s="80"/>
      <c r="N332" s="78" t="s">
        <v>39</v>
      </c>
      <c r="O332" s="113"/>
      <c r="P332" s="155"/>
      <c r="Q332" s="114" t="str">
        <f>IFERROR(MIN(VLOOKUP(ROUNDDOWN(P332,0),'Aide calcul'!$B$2:$C$282,2,FALSE),O332+1),"")</f>
        <v/>
      </c>
      <c r="R332" s="115" t="str">
        <f t="shared" si="72"/>
        <v/>
      </c>
      <c r="S332" s="155"/>
      <c r="T332" s="155"/>
      <c r="U332" s="155"/>
      <c r="V332" s="155"/>
      <c r="W332" s="155"/>
      <c r="X332" s="155"/>
      <c r="Y332" s="155"/>
      <c r="Z332" s="78"/>
      <c r="AA332" s="78"/>
      <c r="AB332" s="116" t="str">
        <f>IF(C332="3111. Logements",ROUND(VLOOKUP(C332,'Informations générales'!$C$66:$D$70,2,FALSE)*(AK332/$AL$27)/12,0)*12,IF(C332="3112. Logements",ROUND(VLOOKUP(C332,'Informations générales'!$C$66:$D$70,2,FALSE)*(AK332/$AM$27)/12,0)*12,IF(C332="3113. Logements",ROUND(VLOOKUP(C332,'Informations générales'!$C$66:$D$70,2,FALSE)*(AK332/$AN$27)/12,0)*12,IF(C332="3114. Logements",ROUND(VLOOKUP(C332,'Informations générales'!$C$66:$D$70,2,FALSE)*(AK332/$AO$27)/12,0)*12,IF(C332="3115. Logements",ROUND(VLOOKUP(C332,'Informations générales'!$C$66:$D$70,2,FALSE)*(AK332/$AP$27)/12,0)*12,"")))))</f>
        <v/>
      </c>
      <c r="AC332" s="117"/>
      <c r="AD332" s="116">
        <f t="shared" si="73"/>
        <v>0</v>
      </c>
      <c r="AE332" s="117"/>
      <c r="AF332" s="116" t="str">
        <f>IF(C332="3111. Logements",ROUND(VLOOKUP(C332,'Informations générales'!$C$66:$G$70,5,FALSE)*(AK332/$AL$27)/12,0)*12,IF(C332="3112. Logements",ROUND(VLOOKUP(C332,'Informations générales'!$C$66:$G$70,5,FALSE)*(AK332/$AM$27)/12,0)*12,IF(C332="3113. Logements",ROUND(VLOOKUP(C332,'Informations générales'!$C$66:$G$70,5,FALSE)*(AK332/$AN$27)/12,0)*12,IF(C332="3114. Logements",ROUND(VLOOKUP(C332,'Informations générales'!$C$66:$G$70,5,FALSE)*(AK332/$AO$27)/12,0)*12,IF(C332="3115. Logements",ROUND(VLOOKUP(C332,'Informations générales'!$C$66:$G$70,5,FALSE)*(AK332/$AP$27)/12,0)*12,"")))))</f>
        <v/>
      </c>
      <c r="AG332" s="117"/>
      <c r="AH332" s="116" t="str">
        <f t="shared" si="74"/>
        <v/>
      </c>
      <c r="AI332" s="92"/>
      <c r="AJ332" s="78"/>
      <c r="AK332" s="60">
        <f t="shared" si="75"/>
        <v>0</v>
      </c>
      <c r="AL332" s="60"/>
      <c r="AM332" s="60"/>
      <c r="AN332" s="60"/>
      <c r="AO332" s="60"/>
      <c r="AP332" s="60"/>
      <c r="AQ332" s="60">
        <f t="shared" si="63"/>
        <v>0</v>
      </c>
      <c r="AR332" s="60">
        <f t="shared" si="64"/>
        <v>0</v>
      </c>
      <c r="AS332" s="60">
        <f t="shared" si="65"/>
        <v>0</v>
      </c>
      <c r="AT332" s="60">
        <f t="shared" si="66"/>
        <v>0</v>
      </c>
      <c r="AU332" s="60">
        <f t="shared" si="67"/>
        <v>0</v>
      </c>
      <c r="AV332" s="60">
        <f t="shared" si="68"/>
        <v>0</v>
      </c>
      <c r="AW332" s="60">
        <f t="shared" si="69"/>
        <v>0</v>
      </c>
      <c r="AX332" s="60">
        <f t="shared" si="76"/>
        <v>0</v>
      </c>
      <c r="AY332" s="64">
        <f t="shared" si="77"/>
        <v>0</v>
      </c>
      <c r="AZ332" s="65">
        <f t="shared" si="70"/>
        <v>0</v>
      </c>
      <c r="BA332" s="65">
        <f t="shared" si="71"/>
        <v>0</v>
      </c>
    </row>
    <row r="333" spans="3:53" s="17" customFormat="1" x14ac:dyDescent="0.25">
      <c r="C333" s="194"/>
      <c r="D333" s="195"/>
      <c r="E333" s="90"/>
      <c r="F333" s="198"/>
      <c r="G333" s="214"/>
      <c r="H333" s="199"/>
      <c r="I333" s="78"/>
      <c r="J333" s="79"/>
      <c r="K333" s="78"/>
      <c r="L333" s="80"/>
      <c r="M333" s="80"/>
      <c r="N333" s="78" t="s">
        <v>39</v>
      </c>
      <c r="O333" s="113"/>
      <c r="P333" s="155"/>
      <c r="Q333" s="114" t="str">
        <f>IFERROR(MIN(VLOOKUP(ROUNDDOWN(P333,0),'Aide calcul'!$B$2:$C$282,2,FALSE),O333+1),"")</f>
        <v/>
      </c>
      <c r="R333" s="115" t="str">
        <f t="shared" si="72"/>
        <v/>
      </c>
      <c r="S333" s="155"/>
      <c r="T333" s="155"/>
      <c r="U333" s="155"/>
      <c r="V333" s="155"/>
      <c r="W333" s="155"/>
      <c r="X333" s="155"/>
      <c r="Y333" s="155"/>
      <c r="Z333" s="78"/>
      <c r="AA333" s="78"/>
      <c r="AB333" s="116" t="str">
        <f>IF(C333="3111. Logements",ROUND(VLOOKUP(C333,'Informations générales'!$C$66:$D$70,2,FALSE)*(AK333/$AL$27)/12,0)*12,IF(C333="3112. Logements",ROUND(VLOOKUP(C333,'Informations générales'!$C$66:$D$70,2,FALSE)*(AK333/$AM$27)/12,0)*12,IF(C333="3113. Logements",ROUND(VLOOKUP(C333,'Informations générales'!$C$66:$D$70,2,FALSE)*(AK333/$AN$27)/12,0)*12,IF(C333="3114. Logements",ROUND(VLOOKUP(C333,'Informations générales'!$C$66:$D$70,2,FALSE)*(AK333/$AO$27)/12,0)*12,IF(C333="3115. Logements",ROUND(VLOOKUP(C333,'Informations générales'!$C$66:$D$70,2,FALSE)*(AK333/$AP$27)/12,0)*12,"")))))</f>
        <v/>
      </c>
      <c r="AC333" s="117"/>
      <c r="AD333" s="116">
        <f t="shared" si="73"/>
        <v>0</v>
      </c>
      <c r="AE333" s="117"/>
      <c r="AF333" s="116" t="str">
        <f>IF(C333="3111. Logements",ROUND(VLOOKUP(C333,'Informations générales'!$C$66:$G$70,5,FALSE)*(AK333/$AL$27)/12,0)*12,IF(C333="3112. Logements",ROUND(VLOOKUP(C333,'Informations générales'!$C$66:$G$70,5,FALSE)*(AK333/$AM$27)/12,0)*12,IF(C333="3113. Logements",ROUND(VLOOKUP(C333,'Informations générales'!$C$66:$G$70,5,FALSE)*(AK333/$AN$27)/12,0)*12,IF(C333="3114. Logements",ROUND(VLOOKUP(C333,'Informations générales'!$C$66:$G$70,5,FALSE)*(AK333/$AO$27)/12,0)*12,IF(C333="3115. Logements",ROUND(VLOOKUP(C333,'Informations générales'!$C$66:$G$70,5,FALSE)*(AK333/$AP$27)/12,0)*12,"")))))</f>
        <v/>
      </c>
      <c r="AG333" s="117"/>
      <c r="AH333" s="116" t="str">
        <f t="shared" si="74"/>
        <v/>
      </c>
      <c r="AI333" s="92"/>
      <c r="AJ333" s="78"/>
      <c r="AK333" s="60">
        <f t="shared" si="75"/>
        <v>0</v>
      </c>
      <c r="AL333" s="60"/>
      <c r="AM333" s="60"/>
      <c r="AN333" s="60"/>
      <c r="AO333" s="60"/>
      <c r="AP333" s="60"/>
      <c r="AQ333" s="60">
        <f t="shared" si="63"/>
        <v>0</v>
      </c>
      <c r="AR333" s="60">
        <f t="shared" si="64"/>
        <v>0</v>
      </c>
      <c r="AS333" s="60">
        <f t="shared" si="65"/>
        <v>0</v>
      </c>
      <c r="AT333" s="60">
        <f t="shared" si="66"/>
        <v>0</v>
      </c>
      <c r="AU333" s="60">
        <f t="shared" si="67"/>
        <v>0</v>
      </c>
      <c r="AV333" s="60">
        <f t="shared" si="68"/>
        <v>0</v>
      </c>
      <c r="AW333" s="60">
        <f t="shared" si="69"/>
        <v>0</v>
      </c>
      <c r="AX333" s="60">
        <f t="shared" si="76"/>
        <v>0</v>
      </c>
      <c r="AY333" s="64">
        <f t="shared" si="77"/>
        <v>0</v>
      </c>
      <c r="AZ333" s="65">
        <f t="shared" si="70"/>
        <v>0</v>
      </c>
      <c r="BA333" s="65">
        <f t="shared" si="71"/>
        <v>0</v>
      </c>
    </row>
    <row r="334" spans="3:53" s="17" customFormat="1" x14ac:dyDescent="0.25">
      <c r="C334" s="194"/>
      <c r="D334" s="195"/>
      <c r="E334" s="90"/>
      <c r="F334" s="198"/>
      <c r="G334" s="214"/>
      <c r="H334" s="199"/>
      <c r="I334" s="78"/>
      <c r="J334" s="79"/>
      <c r="K334" s="78"/>
      <c r="L334" s="80"/>
      <c r="M334" s="80"/>
      <c r="N334" s="78" t="s">
        <v>39</v>
      </c>
      <c r="O334" s="113"/>
      <c r="P334" s="155"/>
      <c r="Q334" s="114" t="str">
        <f>IFERROR(MIN(VLOOKUP(ROUNDDOWN(P334,0),'Aide calcul'!$B$2:$C$282,2,FALSE),O334+1),"")</f>
        <v/>
      </c>
      <c r="R334" s="115" t="str">
        <f t="shared" si="72"/>
        <v/>
      </c>
      <c r="S334" s="155"/>
      <c r="T334" s="155"/>
      <c r="U334" s="155"/>
      <c r="V334" s="155"/>
      <c r="W334" s="155"/>
      <c r="X334" s="155"/>
      <c r="Y334" s="155"/>
      <c r="Z334" s="78"/>
      <c r="AA334" s="78"/>
      <c r="AB334" s="116" t="str">
        <f>IF(C334="3111. Logements",ROUND(VLOOKUP(C334,'Informations générales'!$C$66:$D$70,2,FALSE)*(AK334/$AL$27)/12,0)*12,IF(C334="3112. Logements",ROUND(VLOOKUP(C334,'Informations générales'!$C$66:$D$70,2,FALSE)*(AK334/$AM$27)/12,0)*12,IF(C334="3113. Logements",ROUND(VLOOKUP(C334,'Informations générales'!$C$66:$D$70,2,FALSE)*(AK334/$AN$27)/12,0)*12,IF(C334="3114. Logements",ROUND(VLOOKUP(C334,'Informations générales'!$C$66:$D$70,2,FALSE)*(AK334/$AO$27)/12,0)*12,IF(C334="3115. Logements",ROUND(VLOOKUP(C334,'Informations générales'!$C$66:$D$70,2,FALSE)*(AK334/$AP$27)/12,0)*12,"")))))</f>
        <v/>
      </c>
      <c r="AC334" s="117"/>
      <c r="AD334" s="116">
        <f t="shared" si="73"/>
        <v>0</v>
      </c>
      <c r="AE334" s="117"/>
      <c r="AF334" s="116" t="str">
        <f>IF(C334="3111. Logements",ROUND(VLOOKUP(C334,'Informations générales'!$C$66:$G$70,5,FALSE)*(AK334/$AL$27)/12,0)*12,IF(C334="3112. Logements",ROUND(VLOOKUP(C334,'Informations générales'!$C$66:$G$70,5,FALSE)*(AK334/$AM$27)/12,0)*12,IF(C334="3113. Logements",ROUND(VLOOKUP(C334,'Informations générales'!$C$66:$G$70,5,FALSE)*(AK334/$AN$27)/12,0)*12,IF(C334="3114. Logements",ROUND(VLOOKUP(C334,'Informations générales'!$C$66:$G$70,5,FALSE)*(AK334/$AO$27)/12,0)*12,IF(C334="3115. Logements",ROUND(VLOOKUP(C334,'Informations générales'!$C$66:$G$70,5,FALSE)*(AK334/$AP$27)/12,0)*12,"")))))</f>
        <v/>
      </c>
      <c r="AG334" s="117"/>
      <c r="AH334" s="116" t="str">
        <f t="shared" si="74"/>
        <v/>
      </c>
      <c r="AI334" s="92"/>
      <c r="AJ334" s="78"/>
      <c r="AK334" s="60">
        <f t="shared" si="75"/>
        <v>0</v>
      </c>
      <c r="AL334" s="60"/>
      <c r="AM334" s="60"/>
      <c r="AN334" s="60"/>
      <c r="AO334" s="60"/>
      <c r="AP334" s="60"/>
      <c r="AQ334" s="60">
        <f t="shared" si="63"/>
        <v>0</v>
      </c>
      <c r="AR334" s="60">
        <f t="shared" si="64"/>
        <v>0</v>
      </c>
      <c r="AS334" s="60">
        <f t="shared" si="65"/>
        <v>0</v>
      </c>
      <c r="AT334" s="60">
        <f t="shared" si="66"/>
        <v>0</v>
      </c>
      <c r="AU334" s="60">
        <f t="shared" si="67"/>
        <v>0</v>
      </c>
      <c r="AV334" s="60">
        <f t="shared" si="68"/>
        <v>0</v>
      </c>
      <c r="AW334" s="60">
        <f t="shared" si="69"/>
        <v>0</v>
      </c>
      <c r="AX334" s="60">
        <f t="shared" si="76"/>
        <v>0</v>
      </c>
      <c r="AY334" s="64">
        <f t="shared" si="77"/>
        <v>0</v>
      </c>
      <c r="AZ334" s="65">
        <f t="shared" si="70"/>
        <v>0</v>
      </c>
      <c r="BA334" s="65">
        <f t="shared" si="71"/>
        <v>0</v>
      </c>
    </row>
    <row r="335" spans="3:53" s="17" customFormat="1" x14ac:dyDescent="0.25">
      <c r="C335" s="194"/>
      <c r="D335" s="195"/>
      <c r="E335" s="90"/>
      <c r="F335" s="198"/>
      <c r="G335" s="214"/>
      <c r="H335" s="199"/>
      <c r="I335" s="78"/>
      <c r="J335" s="79"/>
      <c r="K335" s="78"/>
      <c r="L335" s="80"/>
      <c r="M335" s="80"/>
      <c r="N335" s="78" t="s">
        <v>39</v>
      </c>
      <c r="O335" s="113"/>
      <c r="P335" s="155"/>
      <c r="Q335" s="114" t="str">
        <f>IFERROR(MIN(VLOOKUP(ROUNDDOWN(P335,0),'Aide calcul'!$B$2:$C$282,2,FALSE),O335+1),"")</f>
        <v/>
      </c>
      <c r="R335" s="115" t="str">
        <f t="shared" si="72"/>
        <v/>
      </c>
      <c r="S335" s="155"/>
      <c r="T335" s="155"/>
      <c r="U335" s="155"/>
      <c r="V335" s="155"/>
      <c r="W335" s="155"/>
      <c r="X335" s="155"/>
      <c r="Y335" s="155"/>
      <c r="Z335" s="78"/>
      <c r="AA335" s="78"/>
      <c r="AB335" s="116" t="str">
        <f>IF(C335="3111. Logements",ROUND(VLOOKUP(C335,'Informations générales'!$C$66:$D$70,2,FALSE)*(AK335/$AL$27)/12,0)*12,IF(C335="3112. Logements",ROUND(VLOOKUP(C335,'Informations générales'!$C$66:$D$70,2,FALSE)*(AK335/$AM$27)/12,0)*12,IF(C335="3113. Logements",ROUND(VLOOKUP(C335,'Informations générales'!$C$66:$D$70,2,FALSE)*(AK335/$AN$27)/12,0)*12,IF(C335="3114. Logements",ROUND(VLOOKUP(C335,'Informations générales'!$C$66:$D$70,2,FALSE)*(AK335/$AO$27)/12,0)*12,IF(C335="3115. Logements",ROUND(VLOOKUP(C335,'Informations générales'!$C$66:$D$70,2,FALSE)*(AK335/$AP$27)/12,0)*12,"")))))</f>
        <v/>
      </c>
      <c r="AC335" s="117"/>
      <c r="AD335" s="116">
        <f t="shared" si="73"/>
        <v>0</v>
      </c>
      <c r="AE335" s="117"/>
      <c r="AF335" s="116" t="str">
        <f>IF(C335="3111. Logements",ROUND(VLOOKUP(C335,'Informations générales'!$C$66:$G$70,5,FALSE)*(AK335/$AL$27)/12,0)*12,IF(C335="3112. Logements",ROUND(VLOOKUP(C335,'Informations générales'!$C$66:$G$70,5,FALSE)*(AK335/$AM$27)/12,0)*12,IF(C335="3113. Logements",ROUND(VLOOKUP(C335,'Informations générales'!$C$66:$G$70,5,FALSE)*(AK335/$AN$27)/12,0)*12,IF(C335="3114. Logements",ROUND(VLOOKUP(C335,'Informations générales'!$C$66:$G$70,5,FALSE)*(AK335/$AO$27)/12,0)*12,IF(C335="3115. Logements",ROUND(VLOOKUP(C335,'Informations générales'!$C$66:$G$70,5,FALSE)*(AK335/$AP$27)/12,0)*12,"")))))</f>
        <v/>
      </c>
      <c r="AG335" s="117"/>
      <c r="AH335" s="116" t="str">
        <f t="shared" si="74"/>
        <v/>
      </c>
      <c r="AI335" s="92"/>
      <c r="AJ335" s="78"/>
      <c r="AK335" s="60">
        <f t="shared" si="75"/>
        <v>0</v>
      </c>
      <c r="AL335" s="60"/>
      <c r="AM335" s="60"/>
      <c r="AN335" s="60"/>
      <c r="AO335" s="60"/>
      <c r="AP335" s="60"/>
      <c r="AQ335" s="60">
        <f t="shared" si="63"/>
        <v>0</v>
      </c>
      <c r="AR335" s="60">
        <f t="shared" si="64"/>
        <v>0</v>
      </c>
      <c r="AS335" s="60">
        <f t="shared" si="65"/>
        <v>0</v>
      </c>
      <c r="AT335" s="60">
        <f t="shared" si="66"/>
        <v>0</v>
      </c>
      <c r="AU335" s="60">
        <f t="shared" si="67"/>
        <v>0</v>
      </c>
      <c r="AV335" s="60">
        <f t="shared" si="68"/>
        <v>0</v>
      </c>
      <c r="AW335" s="60">
        <f t="shared" si="69"/>
        <v>0</v>
      </c>
      <c r="AX335" s="60">
        <f t="shared" si="76"/>
        <v>0</v>
      </c>
      <c r="AY335" s="64">
        <f t="shared" si="77"/>
        <v>0</v>
      </c>
      <c r="AZ335" s="65">
        <f t="shared" si="70"/>
        <v>0</v>
      </c>
      <c r="BA335" s="65">
        <f t="shared" si="71"/>
        <v>0</v>
      </c>
    </row>
    <row r="336" spans="3:53" s="17" customFormat="1" x14ac:dyDescent="0.25">
      <c r="C336" s="194"/>
      <c r="D336" s="195"/>
      <c r="E336" s="90"/>
      <c r="F336" s="198"/>
      <c r="G336" s="214"/>
      <c r="H336" s="199"/>
      <c r="I336" s="78"/>
      <c r="J336" s="79"/>
      <c r="K336" s="78"/>
      <c r="L336" s="80"/>
      <c r="M336" s="80"/>
      <c r="N336" s="78" t="s">
        <v>39</v>
      </c>
      <c r="O336" s="113"/>
      <c r="P336" s="155"/>
      <c r="Q336" s="114" t="str">
        <f>IFERROR(MIN(VLOOKUP(ROUNDDOWN(P336,0),'Aide calcul'!$B$2:$C$282,2,FALSE),O336+1),"")</f>
        <v/>
      </c>
      <c r="R336" s="115" t="str">
        <f t="shared" si="72"/>
        <v/>
      </c>
      <c r="S336" s="155"/>
      <c r="T336" s="155"/>
      <c r="U336" s="155"/>
      <c r="V336" s="155"/>
      <c r="W336" s="155"/>
      <c r="X336" s="155"/>
      <c r="Y336" s="155"/>
      <c r="Z336" s="78"/>
      <c r="AA336" s="78"/>
      <c r="AB336" s="116" t="str">
        <f>IF(C336="3111. Logements",ROUND(VLOOKUP(C336,'Informations générales'!$C$66:$D$70,2,FALSE)*(AK336/$AL$27)/12,0)*12,IF(C336="3112. Logements",ROUND(VLOOKUP(C336,'Informations générales'!$C$66:$D$70,2,FALSE)*(AK336/$AM$27)/12,0)*12,IF(C336="3113. Logements",ROUND(VLOOKUP(C336,'Informations générales'!$C$66:$D$70,2,FALSE)*(AK336/$AN$27)/12,0)*12,IF(C336="3114. Logements",ROUND(VLOOKUP(C336,'Informations générales'!$C$66:$D$70,2,FALSE)*(AK336/$AO$27)/12,0)*12,IF(C336="3115. Logements",ROUND(VLOOKUP(C336,'Informations générales'!$C$66:$D$70,2,FALSE)*(AK336/$AP$27)/12,0)*12,"")))))</f>
        <v/>
      </c>
      <c r="AC336" s="117"/>
      <c r="AD336" s="116">
        <f t="shared" si="73"/>
        <v>0</v>
      </c>
      <c r="AE336" s="117"/>
      <c r="AF336" s="116" t="str">
        <f>IF(C336="3111. Logements",ROUND(VLOOKUP(C336,'Informations générales'!$C$66:$G$70,5,FALSE)*(AK336/$AL$27)/12,0)*12,IF(C336="3112. Logements",ROUND(VLOOKUP(C336,'Informations générales'!$C$66:$G$70,5,FALSE)*(AK336/$AM$27)/12,0)*12,IF(C336="3113. Logements",ROUND(VLOOKUP(C336,'Informations générales'!$C$66:$G$70,5,FALSE)*(AK336/$AN$27)/12,0)*12,IF(C336="3114. Logements",ROUND(VLOOKUP(C336,'Informations générales'!$C$66:$G$70,5,FALSE)*(AK336/$AO$27)/12,0)*12,IF(C336="3115. Logements",ROUND(VLOOKUP(C336,'Informations générales'!$C$66:$G$70,5,FALSE)*(AK336/$AP$27)/12,0)*12,"")))))</f>
        <v/>
      </c>
      <c r="AG336" s="117"/>
      <c r="AH336" s="116" t="str">
        <f t="shared" si="74"/>
        <v/>
      </c>
      <c r="AI336" s="92"/>
      <c r="AJ336" s="78"/>
      <c r="AK336" s="60">
        <f t="shared" si="75"/>
        <v>0</v>
      </c>
      <c r="AL336" s="60"/>
      <c r="AM336" s="60"/>
      <c r="AN336" s="60"/>
      <c r="AO336" s="60"/>
      <c r="AP336" s="60"/>
      <c r="AQ336" s="60">
        <f t="shared" si="63"/>
        <v>0</v>
      </c>
      <c r="AR336" s="60">
        <f t="shared" si="64"/>
        <v>0</v>
      </c>
      <c r="AS336" s="60">
        <f t="shared" si="65"/>
        <v>0</v>
      </c>
      <c r="AT336" s="60">
        <f t="shared" si="66"/>
        <v>0</v>
      </c>
      <c r="AU336" s="60">
        <f t="shared" si="67"/>
        <v>0</v>
      </c>
      <c r="AV336" s="60">
        <f t="shared" si="68"/>
        <v>0</v>
      </c>
      <c r="AW336" s="60">
        <f t="shared" si="69"/>
        <v>0</v>
      </c>
      <c r="AX336" s="60">
        <f t="shared" si="76"/>
        <v>0</v>
      </c>
      <c r="AY336" s="64">
        <f t="shared" si="77"/>
        <v>0</v>
      </c>
      <c r="AZ336" s="65">
        <f t="shared" si="70"/>
        <v>0</v>
      </c>
      <c r="BA336" s="65">
        <f t="shared" si="71"/>
        <v>0</v>
      </c>
    </row>
    <row r="337" spans="3:53" s="17" customFormat="1" x14ac:dyDescent="0.25">
      <c r="C337" s="194"/>
      <c r="D337" s="195"/>
      <c r="E337" s="90"/>
      <c r="F337" s="198"/>
      <c r="G337" s="214"/>
      <c r="H337" s="199"/>
      <c r="I337" s="78"/>
      <c r="J337" s="79"/>
      <c r="K337" s="78"/>
      <c r="L337" s="80"/>
      <c r="M337" s="80"/>
      <c r="N337" s="78" t="s">
        <v>39</v>
      </c>
      <c r="O337" s="113"/>
      <c r="P337" s="155"/>
      <c r="Q337" s="114" t="str">
        <f>IFERROR(MIN(VLOOKUP(ROUNDDOWN(P337,0),'Aide calcul'!$B$2:$C$282,2,FALSE),O337+1),"")</f>
        <v/>
      </c>
      <c r="R337" s="115" t="str">
        <f t="shared" si="72"/>
        <v/>
      </c>
      <c r="S337" s="155"/>
      <c r="T337" s="155"/>
      <c r="U337" s="155"/>
      <c r="V337" s="155"/>
      <c r="W337" s="155"/>
      <c r="X337" s="155"/>
      <c r="Y337" s="155"/>
      <c r="Z337" s="78"/>
      <c r="AA337" s="78"/>
      <c r="AB337" s="116" t="str">
        <f>IF(C337="3111. Logements",ROUND(VLOOKUP(C337,'Informations générales'!$C$66:$D$70,2,FALSE)*(AK337/$AL$27)/12,0)*12,IF(C337="3112. Logements",ROUND(VLOOKUP(C337,'Informations générales'!$C$66:$D$70,2,FALSE)*(AK337/$AM$27)/12,0)*12,IF(C337="3113. Logements",ROUND(VLOOKUP(C337,'Informations générales'!$C$66:$D$70,2,FALSE)*(AK337/$AN$27)/12,0)*12,IF(C337="3114. Logements",ROUND(VLOOKUP(C337,'Informations générales'!$C$66:$D$70,2,FALSE)*(AK337/$AO$27)/12,0)*12,IF(C337="3115. Logements",ROUND(VLOOKUP(C337,'Informations générales'!$C$66:$D$70,2,FALSE)*(AK337/$AP$27)/12,0)*12,"")))))</f>
        <v/>
      </c>
      <c r="AC337" s="117"/>
      <c r="AD337" s="116">
        <f t="shared" si="73"/>
        <v>0</v>
      </c>
      <c r="AE337" s="117"/>
      <c r="AF337" s="116" t="str">
        <f>IF(C337="3111. Logements",ROUND(VLOOKUP(C337,'Informations générales'!$C$66:$G$70,5,FALSE)*(AK337/$AL$27)/12,0)*12,IF(C337="3112. Logements",ROUND(VLOOKUP(C337,'Informations générales'!$C$66:$G$70,5,FALSE)*(AK337/$AM$27)/12,0)*12,IF(C337="3113. Logements",ROUND(VLOOKUP(C337,'Informations générales'!$C$66:$G$70,5,FALSE)*(AK337/$AN$27)/12,0)*12,IF(C337="3114. Logements",ROUND(VLOOKUP(C337,'Informations générales'!$C$66:$G$70,5,FALSE)*(AK337/$AO$27)/12,0)*12,IF(C337="3115. Logements",ROUND(VLOOKUP(C337,'Informations générales'!$C$66:$G$70,5,FALSE)*(AK337/$AP$27)/12,0)*12,"")))))</f>
        <v/>
      </c>
      <c r="AG337" s="117"/>
      <c r="AH337" s="116" t="str">
        <f t="shared" si="74"/>
        <v/>
      </c>
      <c r="AI337" s="92"/>
      <c r="AJ337" s="78"/>
      <c r="AK337" s="60">
        <f t="shared" si="75"/>
        <v>0</v>
      </c>
      <c r="AL337" s="60"/>
      <c r="AM337" s="60"/>
      <c r="AN337" s="60"/>
      <c r="AO337" s="60"/>
      <c r="AP337" s="60"/>
      <c r="AQ337" s="60">
        <f t="shared" si="63"/>
        <v>0</v>
      </c>
      <c r="AR337" s="60">
        <f t="shared" si="64"/>
        <v>0</v>
      </c>
      <c r="AS337" s="60">
        <f t="shared" si="65"/>
        <v>0</v>
      </c>
      <c r="AT337" s="60">
        <f t="shared" si="66"/>
        <v>0</v>
      </c>
      <c r="AU337" s="60">
        <f t="shared" si="67"/>
        <v>0</v>
      </c>
      <c r="AV337" s="60">
        <f t="shared" si="68"/>
        <v>0</v>
      </c>
      <c r="AW337" s="60">
        <f t="shared" si="69"/>
        <v>0</v>
      </c>
      <c r="AX337" s="60">
        <f t="shared" si="76"/>
        <v>0</v>
      </c>
      <c r="AY337" s="64">
        <f t="shared" si="77"/>
        <v>0</v>
      </c>
      <c r="AZ337" s="65">
        <f t="shared" si="70"/>
        <v>0</v>
      </c>
      <c r="BA337" s="65">
        <f t="shared" si="71"/>
        <v>0</v>
      </c>
    </row>
    <row r="338" spans="3:53" s="17" customFormat="1" x14ac:dyDescent="0.25">
      <c r="C338" s="194"/>
      <c r="D338" s="195"/>
      <c r="E338" s="90"/>
      <c r="F338" s="198"/>
      <c r="G338" s="214"/>
      <c r="H338" s="199"/>
      <c r="I338" s="78"/>
      <c r="J338" s="79"/>
      <c r="K338" s="78"/>
      <c r="L338" s="80"/>
      <c r="M338" s="80"/>
      <c r="N338" s="78" t="s">
        <v>39</v>
      </c>
      <c r="O338" s="113"/>
      <c r="P338" s="155"/>
      <c r="Q338" s="114" t="str">
        <f>IFERROR(MIN(VLOOKUP(ROUNDDOWN(P338,0),'Aide calcul'!$B$2:$C$282,2,FALSE),O338+1),"")</f>
        <v/>
      </c>
      <c r="R338" s="115" t="str">
        <f t="shared" si="72"/>
        <v/>
      </c>
      <c r="S338" s="155"/>
      <c r="T338" s="155"/>
      <c r="U338" s="155"/>
      <c r="V338" s="155"/>
      <c r="W338" s="155"/>
      <c r="X338" s="155"/>
      <c r="Y338" s="155"/>
      <c r="Z338" s="78"/>
      <c r="AA338" s="78"/>
      <c r="AB338" s="116" t="str">
        <f>IF(C338="3111. Logements",ROUND(VLOOKUP(C338,'Informations générales'!$C$66:$D$70,2,FALSE)*(AK338/$AL$27)/12,0)*12,IF(C338="3112. Logements",ROUND(VLOOKUP(C338,'Informations générales'!$C$66:$D$70,2,FALSE)*(AK338/$AM$27)/12,0)*12,IF(C338="3113. Logements",ROUND(VLOOKUP(C338,'Informations générales'!$C$66:$D$70,2,FALSE)*(AK338/$AN$27)/12,0)*12,IF(C338="3114. Logements",ROUND(VLOOKUP(C338,'Informations générales'!$C$66:$D$70,2,FALSE)*(AK338/$AO$27)/12,0)*12,IF(C338="3115. Logements",ROUND(VLOOKUP(C338,'Informations générales'!$C$66:$D$70,2,FALSE)*(AK338/$AP$27)/12,0)*12,"")))))</f>
        <v/>
      </c>
      <c r="AC338" s="117"/>
      <c r="AD338" s="116">
        <f t="shared" si="73"/>
        <v>0</v>
      </c>
      <c r="AE338" s="117"/>
      <c r="AF338" s="116" t="str">
        <f>IF(C338="3111. Logements",ROUND(VLOOKUP(C338,'Informations générales'!$C$66:$G$70,5,FALSE)*(AK338/$AL$27)/12,0)*12,IF(C338="3112. Logements",ROUND(VLOOKUP(C338,'Informations générales'!$C$66:$G$70,5,FALSE)*(AK338/$AM$27)/12,0)*12,IF(C338="3113. Logements",ROUND(VLOOKUP(C338,'Informations générales'!$C$66:$G$70,5,FALSE)*(AK338/$AN$27)/12,0)*12,IF(C338="3114. Logements",ROUND(VLOOKUP(C338,'Informations générales'!$C$66:$G$70,5,FALSE)*(AK338/$AO$27)/12,0)*12,IF(C338="3115. Logements",ROUND(VLOOKUP(C338,'Informations générales'!$C$66:$G$70,5,FALSE)*(AK338/$AP$27)/12,0)*12,"")))))</f>
        <v/>
      </c>
      <c r="AG338" s="117"/>
      <c r="AH338" s="116" t="str">
        <f t="shared" si="74"/>
        <v/>
      </c>
      <c r="AI338" s="92"/>
      <c r="AJ338" s="78"/>
      <c r="AK338" s="60">
        <f t="shared" si="75"/>
        <v>0</v>
      </c>
      <c r="AL338" s="60"/>
      <c r="AM338" s="60"/>
      <c r="AN338" s="60"/>
      <c r="AO338" s="60"/>
      <c r="AP338" s="60"/>
      <c r="AQ338" s="60">
        <f t="shared" si="63"/>
        <v>0</v>
      </c>
      <c r="AR338" s="60">
        <f t="shared" si="64"/>
        <v>0</v>
      </c>
      <c r="AS338" s="60">
        <f t="shared" si="65"/>
        <v>0</v>
      </c>
      <c r="AT338" s="60">
        <f t="shared" si="66"/>
        <v>0</v>
      </c>
      <c r="AU338" s="60">
        <f t="shared" si="67"/>
        <v>0</v>
      </c>
      <c r="AV338" s="60">
        <f t="shared" si="68"/>
        <v>0</v>
      </c>
      <c r="AW338" s="60">
        <f t="shared" si="69"/>
        <v>0</v>
      </c>
      <c r="AX338" s="60">
        <f t="shared" si="76"/>
        <v>0</v>
      </c>
      <c r="AY338" s="64">
        <f t="shared" si="77"/>
        <v>0</v>
      </c>
      <c r="AZ338" s="65">
        <f t="shared" si="70"/>
        <v>0</v>
      </c>
      <c r="BA338" s="65">
        <f t="shared" si="71"/>
        <v>0</v>
      </c>
    </row>
    <row r="339" spans="3:53" s="17" customFormat="1" x14ac:dyDescent="0.25">
      <c r="C339" s="194"/>
      <c r="D339" s="195"/>
      <c r="E339" s="90"/>
      <c r="F339" s="198"/>
      <c r="G339" s="214"/>
      <c r="H339" s="199"/>
      <c r="I339" s="78"/>
      <c r="J339" s="79"/>
      <c r="K339" s="78"/>
      <c r="L339" s="80"/>
      <c r="M339" s="80"/>
      <c r="N339" s="78" t="s">
        <v>39</v>
      </c>
      <c r="O339" s="113"/>
      <c r="P339" s="155"/>
      <c r="Q339" s="114" t="str">
        <f>IFERROR(MIN(VLOOKUP(ROUNDDOWN(P339,0),'Aide calcul'!$B$2:$C$282,2,FALSE),O339+1),"")</f>
        <v/>
      </c>
      <c r="R339" s="115" t="str">
        <f t="shared" si="72"/>
        <v/>
      </c>
      <c r="S339" s="155"/>
      <c r="T339" s="155"/>
      <c r="U339" s="155"/>
      <c r="V339" s="155"/>
      <c r="W339" s="155"/>
      <c r="X339" s="155"/>
      <c r="Y339" s="155"/>
      <c r="Z339" s="78"/>
      <c r="AA339" s="78"/>
      <c r="AB339" s="116" t="str">
        <f>IF(C339="3111. Logements",ROUND(VLOOKUP(C339,'Informations générales'!$C$66:$D$70,2,FALSE)*(AK339/$AL$27)/12,0)*12,IF(C339="3112. Logements",ROUND(VLOOKUP(C339,'Informations générales'!$C$66:$D$70,2,FALSE)*(AK339/$AM$27)/12,0)*12,IF(C339="3113. Logements",ROUND(VLOOKUP(C339,'Informations générales'!$C$66:$D$70,2,FALSE)*(AK339/$AN$27)/12,0)*12,IF(C339="3114. Logements",ROUND(VLOOKUP(C339,'Informations générales'!$C$66:$D$70,2,FALSE)*(AK339/$AO$27)/12,0)*12,IF(C339="3115. Logements",ROUND(VLOOKUP(C339,'Informations générales'!$C$66:$D$70,2,FALSE)*(AK339/$AP$27)/12,0)*12,"")))))</f>
        <v/>
      </c>
      <c r="AC339" s="117"/>
      <c r="AD339" s="116">
        <f t="shared" si="73"/>
        <v>0</v>
      </c>
      <c r="AE339" s="117"/>
      <c r="AF339" s="116" t="str">
        <f>IF(C339="3111. Logements",ROUND(VLOOKUP(C339,'Informations générales'!$C$66:$G$70,5,FALSE)*(AK339/$AL$27)/12,0)*12,IF(C339="3112. Logements",ROUND(VLOOKUP(C339,'Informations générales'!$C$66:$G$70,5,FALSE)*(AK339/$AM$27)/12,0)*12,IF(C339="3113. Logements",ROUND(VLOOKUP(C339,'Informations générales'!$C$66:$G$70,5,FALSE)*(AK339/$AN$27)/12,0)*12,IF(C339="3114. Logements",ROUND(VLOOKUP(C339,'Informations générales'!$C$66:$G$70,5,FALSE)*(AK339/$AO$27)/12,0)*12,IF(C339="3115. Logements",ROUND(VLOOKUP(C339,'Informations générales'!$C$66:$G$70,5,FALSE)*(AK339/$AP$27)/12,0)*12,"")))))</f>
        <v/>
      </c>
      <c r="AG339" s="117"/>
      <c r="AH339" s="116" t="str">
        <f t="shared" si="74"/>
        <v/>
      </c>
      <c r="AI339" s="92"/>
      <c r="AJ339" s="78"/>
      <c r="AK339" s="60">
        <f t="shared" si="75"/>
        <v>0</v>
      </c>
      <c r="AL339" s="60"/>
      <c r="AM339" s="60"/>
      <c r="AN339" s="60"/>
      <c r="AO339" s="60"/>
      <c r="AP339" s="60"/>
      <c r="AQ339" s="60">
        <f t="shared" si="63"/>
        <v>0</v>
      </c>
      <c r="AR339" s="60">
        <f t="shared" si="64"/>
        <v>0</v>
      </c>
      <c r="AS339" s="60">
        <f t="shared" si="65"/>
        <v>0</v>
      </c>
      <c r="AT339" s="60">
        <f t="shared" si="66"/>
        <v>0</v>
      </c>
      <c r="AU339" s="60">
        <f t="shared" si="67"/>
        <v>0</v>
      </c>
      <c r="AV339" s="60">
        <f t="shared" si="68"/>
        <v>0</v>
      </c>
      <c r="AW339" s="60">
        <f t="shared" si="69"/>
        <v>0</v>
      </c>
      <c r="AX339" s="60">
        <f t="shared" si="76"/>
        <v>0</v>
      </c>
      <c r="AY339" s="64">
        <f t="shared" si="77"/>
        <v>0</v>
      </c>
      <c r="AZ339" s="65">
        <f t="shared" si="70"/>
        <v>0</v>
      </c>
      <c r="BA339" s="65">
        <f t="shared" si="71"/>
        <v>0</v>
      </c>
    </row>
    <row r="340" spans="3:53" s="17" customFormat="1" x14ac:dyDescent="0.25">
      <c r="C340" s="194"/>
      <c r="D340" s="195"/>
      <c r="E340" s="90"/>
      <c r="F340" s="198"/>
      <c r="G340" s="214"/>
      <c r="H340" s="199"/>
      <c r="I340" s="78"/>
      <c r="J340" s="79"/>
      <c r="K340" s="78"/>
      <c r="L340" s="80"/>
      <c r="M340" s="80"/>
      <c r="N340" s="78" t="s">
        <v>39</v>
      </c>
      <c r="O340" s="113"/>
      <c r="P340" s="155"/>
      <c r="Q340" s="114" t="str">
        <f>IFERROR(MIN(VLOOKUP(ROUNDDOWN(P340,0),'Aide calcul'!$B$2:$C$282,2,FALSE),O340+1),"")</f>
        <v/>
      </c>
      <c r="R340" s="115" t="str">
        <f t="shared" si="72"/>
        <v/>
      </c>
      <c r="S340" s="155"/>
      <c r="T340" s="155"/>
      <c r="U340" s="155"/>
      <c r="V340" s="155"/>
      <c r="W340" s="155"/>
      <c r="X340" s="155"/>
      <c r="Y340" s="155"/>
      <c r="Z340" s="78"/>
      <c r="AA340" s="78"/>
      <c r="AB340" s="116" t="str">
        <f>IF(C340="3111. Logements",ROUND(VLOOKUP(C340,'Informations générales'!$C$66:$D$70,2,FALSE)*(AK340/$AL$27)/12,0)*12,IF(C340="3112. Logements",ROUND(VLOOKUP(C340,'Informations générales'!$C$66:$D$70,2,FALSE)*(AK340/$AM$27)/12,0)*12,IF(C340="3113. Logements",ROUND(VLOOKUP(C340,'Informations générales'!$C$66:$D$70,2,FALSE)*(AK340/$AN$27)/12,0)*12,IF(C340="3114. Logements",ROUND(VLOOKUP(C340,'Informations générales'!$C$66:$D$70,2,FALSE)*(AK340/$AO$27)/12,0)*12,IF(C340="3115. Logements",ROUND(VLOOKUP(C340,'Informations générales'!$C$66:$D$70,2,FALSE)*(AK340/$AP$27)/12,0)*12,"")))))</f>
        <v/>
      </c>
      <c r="AC340" s="117"/>
      <c r="AD340" s="116">
        <f t="shared" si="73"/>
        <v>0</v>
      </c>
      <c r="AE340" s="117"/>
      <c r="AF340" s="116" t="str">
        <f>IF(C340="3111. Logements",ROUND(VLOOKUP(C340,'Informations générales'!$C$66:$G$70,5,FALSE)*(AK340/$AL$27)/12,0)*12,IF(C340="3112. Logements",ROUND(VLOOKUP(C340,'Informations générales'!$C$66:$G$70,5,FALSE)*(AK340/$AM$27)/12,0)*12,IF(C340="3113. Logements",ROUND(VLOOKUP(C340,'Informations générales'!$C$66:$G$70,5,FALSE)*(AK340/$AN$27)/12,0)*12,IF(C340="3114. Logements",ROUND(VLOOKUP(C340,'Informations générales'!$C$66:$G$70,5,FALSE)*(AK340/$AO$27)/12,0)*12,IF(C340="3115. Logements",ROUND(VLOOKUP(C340,'Informations générales'!$C$66:$G$70,5,FALSE)*(AK340/$AP$27)/12,0)*12,"")))))</f>
        <v/>
      </c>
      <c r="AG340" s="117"/>
      <c r="AH340" s="116" t="str">
        <f t="shared" si="74"/>
        <v/>
      </c>
      <c r="AI340" s="92"/>
      <c r="AJ340" s="78"/>
      <c r="AK340" s="60">
        <f t="shared" si="75"/>
        <v>0</v>
      </c>
      <c r="AL340" s="60"/>
      <c r="AM340" s="60"/>
      <c r="AN340" s="60"/>
      <c r="AO340" s="60"/>
      <c r="AP340" s="60"/>
      <c r="AQ340" s="60">
        <f t="shared" si="63"/>
        <v>0</v>
      </c>
      <c r="AR340" s="60">
        <f t="shared" si="64"/>
        <v>0</v>
      </c>
      <c r="AS340" s="60">
        <f t="shared" si="65"/>
        <v>0</v>
      </c>
      <c r="AT340" s="60">
        <f t="shared" si="66"/>
        <v>0</v>
      </c>
      <c r="AU340" s="60">
        <f t="shared" si="67"/>
        <v>0</v>
      </c>
      <c r="AV340" s="60">
        <f t="shared" si="68"/>
        <v>0</v>
      </c>
      <c r="AW340" s="60">
        <f t="shared" si="69"/>
        <v>0</v>
      </c>
      <c r="AX340" s="60">
        <f t="shared" si="76"/>
        <v>0</v>
      </c>
      <c r="AY340" s="64">
        <f t="shared" si="77"/>
        <v>0</v>
      </c>
      <c r="AZ340" s="65">
        <f t="shared" si="70"/>
        <v>0</v>
      </c>
      <c r="BA340" s="65">
        <f t="shared" si="71"/>
        <v>0</v>
      </c>
    </row>
    <row r="341" spans="3:53" s="17" customFormat="1" x14ac:dyDescent="0.25">
      <c r="C341" s="194"/>
      <c r="D341" s="195"/>
      <c r="E341" s="90"/>
      <c r="F341" s="198"/>
      <c r="G341" s="214"/>
      <c r="H341" s="199"/>
      <c r="I341" s="78"/>
      <c r="J341" s="79"/>
      <c r="K341" s="78"/>
      <c r="L341" s="80"/>
      <c r="M341" s="80"/>
      <c r="N341" s="78" t="s">
        <v>39</v>
      </c>
      <c r="O341" s="113"/>
      <c r="P341" s="155"/>
      <c r="Q341" s="114" t="str">
        <f>IFERROR(MIN(VLOOKUP(ROUNDDOWN(P341,0),'Aide calcul'!$B$2:$C$282,2,FALSE),O341+1),"")</f>
        <v/>
      </c>
      <c r="R341" s="115" t="str">
        <f t="shared" si="72"/>
        <v/>
      </c>
      <c r="S341" s="155"/>
      <c r="T341" s="155"/>
      <c r="U341" s="155"/>
      <c r="V341" s="155"/>
      <c r="W341" s="155"/>
      <c r="X341" s="155"/>
      <c r="Y341" s="155"/>
      <c r="Z341" s="78"/>
      <c r="AA341" s="78"/>
      <c r="AB341" s="116" t="str">
        <f>IF(C341="3111. Logements",ROUND(VLOOKUP(C341,'Informations générales'!$C$66:$D$70,2,FALSE)*(AK341/$AL$27)/12,0)*12,IF(C341="3112. Logements",ROUND(VLOOKUP(C341,'Informations générales'!$C$66:$D$70,2,FALSE)*(AK341/$AM$27)/12,0)*12,IF(C341="3113. Logements",ROUND(VLOOKUP(C341,'Informations générales'!$C$66:$D$70,2,FALSE)*(AK341/$AN$27)/12,0)*12,IF(C341="3114. Logements",ROUND(VLOOKUP(C341,'Informations générales'!$C$66:$D$70,2,FALSE)*(AK341/$AO$27)/12,0)*12,IF(C341="3115. Logements",ROUND(VLOOKUP(C341,'Informations générales'!$C$66:$D$70,2,FALSE)*(AK341/$AP$27)/12,0)*12,"")))))</f>
        <v/>
      </c>
      <c r="AC341" s="117"/>
      <c r="AD341" s="116">
        <f t="shared" si="73"/>
        <v>0</v>
      </c>
      <c r="AE341" s="117"/>
      <c r="AF341" s="116" t="str">
        <f>IF(C341="3111. Logements",ROUND(VLOOKUP(C341,'Informations générales'!$C$66:$G$70,5,FALSE)*(AK341/$AL$27)/12,0)*12,IF(C341="3112. Logements",ROUND(VLOOKUP(C341,'Informations générales'!$C$66:$G$70,5,FALSE)*(AK341/$AM$27)/12,0)*12,IF(C341="3113. Logements",ROUND(VLOOKUP(C341,'Informations générales'!$C$66:$G$70,5,FALSE)*(AK341/$AN$27)/12,0)*12,IF(C341="3114. Logements",ROUND(VLOOKUP(C341,'Informations générales'!$C$66:$G$70,5,FALSE)*(AK341/$AO$27)/12,0)*12,IF(C341="3115. Logements",ROUND(VLOOKUP(C341,'Informations générales'!$C$66:$G$70,5,FALSE)*(AK341/$AP$27)/12,0)*12,"")))))</f>
        <v/>
      </c>
      <c r="AG341" s="117"/>
      <c r="AH341" s="116" t="str">
        <f t="shared" si="74"/>
        <v/>
      </c>
      <c r="AI341" s="92"/>
      <c r="AJ341" s="78"/>
      <c r="AK341" s="60">
        <f t="shared" si="75"/>
        <v>0</v>
      </c>
      <c r="AL341" s="60"/>
      <c r="AM341" s="60"/>
      <c r="AN341" s="60"/>
      <c r="AO341" s="60"/>
      <c r="AP341" s="60"/>
      <c r="AQ341" s="60">
        <f t="shared" si="63"/>
        <v>0</v>
      </c>
      <c r="AR341" s="60">
        <f t="shared" si="64"/>
        <v>0</v>
      </c>
      <c r="AS341" s="60">
        <f t="shared" si="65"/>
        <v>0</v>
      </c>
      <c r="AT341" s="60">
        <f t="shared" si="66"/>
        <v>0</v>
      </c>
      <c r="AU341" s="60">
        <f t="shared" si="67"/>
        <v>0</v>
      </c>
      <c r="AV341" s="60">
        <f t="shared" si="68"/>
        <v>0</v>
      </c>
      <c r="AW341" s="60">
        <f t="shared" si="69"/>
        <v>0</v>
      </c>
      <c r="AX341" s="60">
        <f t="shared" si="76"/>
        <v>0</v>
      </c>
      <c r="AY341" s="64">
        <f t="shared" si="77"/>
        <v>0</v>
      </c>
      <c r="AZ341" s="65">
        <f t="shared" si="70"/>
        <v>0</v>
      </c>
      <c r="BA341" s="65">
        <f t="shared" si="71"/>
        <v>0</v>
      </c>
    </row>
    <row r="342" spans="3:53" s="17" customFormat="1" x14ac:dyDescent="0.25">
      <c r="C342" s="194"/>
      <c r="D342" s="195"/>
      <c r="E342" s="90"/>
      <c r="F342" s="198"/>
      <c r="G342" s="214"/>
      <c r="H342" s="199"/>
      <c r="I342" s="78"/>
      <c r="J342" s="79"/>
      <c r="K342" s="78"/>
      <c r="L342" s="80"/>
      <c r="M342" s="80"/>
      <c r="N342" s="78" t="s">
        <v>39</v>
      </c>
      <c r="O342" s="113"/>
      <c r="P342" s="155"/>
      <c r="Q342" s="114" t="str">
        <f>IFERROR(MIN(VLOOKUP(ROUNDDOWN(P342,0),'Aide calcul'!$B$2:$C$282,2,FALSE),O342+1),"")</f>
        <v/>
      </c>
      <c r="R342" s="115" t="str">
        <f t="shared" si="72"/>
        <v/>
      </c>
      <c r="S342" s="155"/>
      <c r="T342" s="155"/>
      <c r="U342" s="155"/>
      <c r="V342" s="155"/>
      <c r="W342" s="155"/>
      <c r="X342" s="155"/>
      <c r="Y342" s="155"/>
      <c r="Z342" s="78"/>
      <c r="AA342" s="78"/>
      <c r="AB342" s="116" t="str">
        <f>IF(C342="3111. Logements",ROUND(VLOOKUP(C342,'Informations générales'!$C$66:$D$70,2,FALSE)*(AK342/$AL$27)/12,0)*12,IF(C342="3112. Logements",ROUND(VLOOKUP(C342,'Informations générales'!$C$66:$D$70,2,FALSE)*(AK342/$AM$27)/12,0)*12,IF(C342="3113. Logements",ROUND(VLOOKUP(C342,'Informations générales'!$C$66:$D$70,2,FALSE)*(AK342/$AN$27)/12,0)*12,IF(C342="3114. Logements",ROUND(VLOOKUP(C342,'Informations générales'!$C$66:$D$70,2,FALSE)*(AK342/$AO$27)/12,0)*12,IF(C342="3115. Logements",ROUND(VLOOKUP(C342,'Informations générales'!$C$66:$D$70,2,FALSE)*(AK342/$AP$27)/12,0)*12,"")))))</f>
        <v/>
      </c>
      <c r="AC342" s="117"/>
      <c r="AD342" s="116">
        <f t="shared" si="73"/>
        <v>0</v>
      </c>
      <c r="AE342" s="117"/>
      <c r="AF342" s="116" t="str">
        <f>IF(C342="3111. Logements",ROUND(VLOOKUP(C342,'Informations générales'!$C$66:$G$70,5,FALSE)*(AK342/$AL$27)/12,0)*12,IF(C342="3112. Logements",ROUND(VLOOKUP(C342,'Informations générales'!$C$66:$G$70,5,FALSE)*(AK342/$AM$27)/12,0)*12,IF(C342="3113. Logements",ROUND(VLOOKUP(C342,'Informations générales'!$C$66:$G$70,5,FALSE)*(AK342/$AN$27)/12,0)*12,IF(C342="3114. Logements",ROUND(VLOOKUP(C342,'Informations générales'!$C$66:$G$70,5,FALSE)*(AK342/$AO$27)/12,0)*12,IF(C342="3115. Logements",ROUND(VLOOKUP(C342,'Informations générales'!$C$66:$G$70,5,FALSE)*(AK342/$AP$27)/12,0)*12,"")))))</f>
        <v/>
      </c>
      <c r="AG342" s="117"/>
      <c r="AH342" s="116" t="str">
        <f t="shared" si="74"/>
        <v/>
      </c>
      <c r="AI342" s="92"/>
      <c r="AJ342" s="78"/>
      <c r="AK342" s="60">
        <f t="shared" si="75"/>
        <v>0</v>
      </c>
      <c r="AL342" s="60"/>
      <c r="AM342" s="60"/>
      <c r="AN342" s="60"/>
      <c r="AO342" s="60"/>
      <c r="AP342" s="60"/>
      <c r="AQ342" s="60">
        <f t="shared" si="63"/>
        <v>0</v>
      </c>
      <c r="AR342" s="60">
        <f t="shared" si="64"/>
        <v>0</v>
      </c>
      <c r="AS342" s="60">
        <f t="shared" si="65"/>
        <v>0</v>
      </c>
      <c r="AT342" s="60">
        <f t="shared" si="66"/>
        <v>0</v>
      </c>
      <c r="AU342" s="60">
        <f t="shared" si="67"/>
        <v>0</v>
      </c>
      <c r="AV342" s="60">
        <f t="shared" si="68"/>
        <v>0</v>
      </c>
      <c r="AW342" s="60">
        <f t="shared" si="69"/>
        <v>0</v>
      </c>
      <c r="AX342" s="60">
        <f t="shared" si="76"/>
        <v>0</v>
      </c>
      <c r="AY342" s="64">
        <f t="shared" si="77"/>
        <v>0</v>
      </c>
      <c r="AZ342" s="65">
        <f t="shared" si="70"/>
        <v>0</v>
      </c>
      <c r="BA342" s="65">
        <f t="shared" si="71"/>
        <v>0</v>
      </c>
    </row>
    <row r="343" spans="3:53" s="17" customFormat="1" x14ac:dyDescent="0.25">
      <c r="C343" s="194"/>
      <c r="D343" s="195"/>
      <c r="E343" s="90"/>
      <c r="F343" s="198"/>
      <c r="G343" s="214"/>
      <c r="H343" s="199"/>
      <c r="I343" s="78"/>
      <c r="J343" s="79"/>
      <c r="K343" s="78"/>
      <c r="L343" s="80"/>
      <c r="M343" s="80"/>
      <c r="N343" s="78" t="s">
        <v>39</v>
      </c>
      <c r="O343" s="113"/>
      <c r="P343" s="155"/>
      <c r="Q343" s="114" t="str">
        <f>IFERROR(MIN(VLOOKUP(ROUNDDOWN(P343,0),'Aide calcul'!$B$2:$C$282,2,FALSE),O343+1),"")</f>
        <v/>
      </c>
      <c r="R343" s="115" t="str">
        <f t="shared" si="72"/>
        <v/>
      </c>
      <c r="S343" s="155"/>
      <c r="T343" s="155"/>
      <c r="U343" s="155"/>
      <c r="V343" s="155"/>
      <c r="W343" s="155"/>
      <c r="X343" s="155"/>
      <c r="Y343" s="155"/>
      <c r="Z343" s="78"/>
      <c r="AA343" s="78"/>
      <c r="AB343" s="116" t="str">
        <f>IF(C343="3111. Logements",ROUND(VLOOKUP(C343,'Informations générales'!$C$66:$D$70,2,FALSE)*(AK343/$AL$27)/12,0)*12,IF(C343="3112. Logements",ROUND(VLOOKUP(C343,'Informations générales'!$C$66:$D$70,2,FALSE)*(AK343/$AM$27)/12,0)*12,IF(C343="3113. Logements",ROUND(VLOOKUP(C343,'Informations générales'!$C$66:$D$70,2,FALSE)*(AK343/$AN$27)/12,0)*12,IF(C343="3114. Logements",ROUND(VLOOKUP(C343,'Informations générales'!$C$66:$D$70,2,FALSE)*(AK343/$AO$27)/12,0)*12,IF(C343="3115. Logements",ROUND(VLOOKUP(C343,'Informations générales'!$C$66:$D$70,2,FALSE)*(AK343/$AP$27)/12,0)*12,"")))))</f>
        <v/>
      </c>
      <c r="AC343" s="117"/>
      <c r="AD343" s="116">
        <f t="shared" si="73"/>
        <v>0</v>
      </c>
      <c r="AE343" s="117"/>
      <c r="AF343" s="116" t="str">
        <f>IF(C343="3111. Logements",ROUND(VLOOKUP(C343,'Informations générales'!$C$66:$G$70,5,FALSE)*(AK343/$AL$27)/12,0)*12,IF(C343="3112. Logements",ROUND(VLOOKUP(C343,'Informations générales'!$C$66:$G$70,5,FALSE)*(AK343/$AM$27)/12,0)*12,IF(C343="3113. Logements",ROUND(VLOOKUP(C343,'Informations générales'!$C$66:$G$70,5,FALSE)*(AK343/$AN$27)/12,0)*12,IF(C343="3114. Logements",ROUND(VLOOKUP(C343,'Informations générales'!$C$66:$G$70,5,FALSE)*(AK343/$AO$27)/12,0)*12,IF(C343="3115. Logements",ROUND(VLOOKUP(C343,'Informations générales'!$C$66:$G$70,5,FALSE)*(AK343/$AP$27)/12,0)*12,"")))))</f>
        <v/>
      </c>
      <c r="AG343" s="117"/>
      <c r="AH343" s="116" t="str">
        <f t="shared" si="74"/>
        <v/>
      </c>
      <c r="AI343" s="92"/>
      <c r="AJ343" s="78"/>
      <c r="AK343" s="60">
        <f t="shared" si="75"/>
        <v>0</v>
      </c>
      <c r="AL343" s="60"/>
      <c r="AM343" s="60"/>
      <c r="AN343" s="60"/>
      <c r="AO343" s="60"/>
      <c r="AP343" s="60"/>
      <c r="AQ343" s="60">
        <f t="shared" si="63"/>
        <v>0</v>
      </c>
      <c r="AR343" s="60">
        <f t="shared" si="64"/>
        <v>0</v>
      </c>
      <c r="AS343" s="60">
        <f t="shared" si="65"/>
        <v>0</v>
      </c>
      <c r="AT343" s="60">
        <f t="shared" si="66"/>
        <v>0</v>
      </c>
      <c r="AU343" s="60">
        <f t="shared" si="67"/>
        <v>0</v>
      </c>
      <c r="AV343" s="60">
        <f t="shared" si="68"/>
        <v>0</v>
      </c>
      <c r="AW343" s="60">
        <f t="shared" si="69"/>
        <v>0</v>
      </c>
      <c r="AX343" s="60">
        <f t="shared" si="76"/>
        <v>0</v>
      </c>
      <c r="AY343" s="64">
        <f t="shared" si="77"/>
        <v>0</v>
      </c>
      <c r="AZ343" s="65">
        <f t="shared" si="70"/>
        <v>0</v>
      </c>
      <c r="BA343" s="65">
        <f t="shared" si="71"/>
        <v>0</v>
      </c>
    </row>
    <row r="344" spans="3:53" s="17" customFormat="1" x14ac:dyDescent="0.25">
      <c r="C344" s="194"/>
      <c r="D344" s="195"/>
      <c r="E344" s="90"/>
      <c r="F344" s="198"/>
      <c r="G344" s="214"/>
      <c r="H344" s="199"/>
      <c r="I344" s="78"/>
      <c r="J344" s="79"/>
      <c r="K344" s="78"/>
      <c r="L344" s="80"/>
      <c r="M344" s="80"/>
      <c r="N344" s="78" t="s">
        <v>39</v>
      </c>
      <c r="O344" s="113"/>
      <c r="P344" s="155"/>
      <c r="Q344" s="114" t="str">
        <f>IFERROR(MIN(VLOOKUP(ROUNDDOWN(P344,0),'Aide calcul'!$B$2:$C$282,2,FALSE),O344+1),"")</f>
        <v/>
      </c>
      <c r="R344" s="115" t="str">
        <f t="shared" si="72"/>
        <v/>
      </c>
      <c r="S344" s="155"/>
      <c r="T344" s="155"/>
      <c r="U344" s="155"/>
      <c r="V344" s="155"/>
      <c r="W344" s="155"/>
      <c r="X344" s="155"/>
      <c r="Y344" s="155"/>
      <c r="Z344" s="78"/>
      <c r="AA344" s="78"/>
      <c r="AB344" s="116" t="str">
        <f>IF(C344="3111. Logements",ROUND(VLOOKUP(C344,'Informations générales'!$C$66:$D$70,2,FALSE)*(AK344/$AL$27)/12,0)*12,IF(C344="3112. Logements",ROUND(VLOOKUP(C344,'Informations générales'!$C$66:$D$70,2,FALSE)*(AK344/$AM$27)/12,0)*12,IF(C344="3113. Logements",ROUND(VLOOKUP(C344,'Informations générales'!$C$66:$D$70,2,FALSE)*(AK344/$AN$27)/12,0)*12,IF(C344="3114. Logements",ROUND(VLOOKUP(C344,'Informations générales'!$C$66:$D$70,2,FALSE)*(AK344/$AO$27)/12,0)*12,IF(C344="3115. Logements",ROUND(VLOOKUP(C344,'Informations générales'!$C$66:$D$70,2,FALSE)*(AK344/$AP$27)/12,0)*12,"")))))</f>
        <v/>
      </c>
      <c r="AC344" s="117"/>
      <c r="AD344" s="116">
        <f t="shared" si="73"/>
        <v>0</v>
      </c>
      <c r="AE344" s="117"/>
      <c r="AF344" s="116" t="str">
        <f>IF(C344="3111. Logements",ROUND(VLOOKUP(C344,'Informations générales'!$C$66:$G$70,5,FALSE)*(AK344/$AL$27)/12,0)*12,IF(C344="3112. Logements",ROUND(VLOOKUP(C344,'Informations générales'!$C$66:$G$70,5,FALSE)*(AK344/$AM$27)/12,0)*12,IF(C344="3113. Logements",ROUND(VLOOKUP(C344,'Informations générales'!$C$66:$G$70,5,FALSE)*(AK344/$AN$27)/12,0)*12,IF(C344="3114. Logements",ROUND(VLOOKUP(C344,'Informations générales'!$C$66:$G$70,5,FALSE)*(AK344/$AO$27)/12,0)*12,IF(C344="3115. Logements",ROUND(VLOOKUP(C344,'Informations générales'!$C$66:$G$70,5,FALSE)*(AK344/$AP$27)/12,0)*12,"")))))</f>
        <v/>
      </c>
      <c r="AG344" s="117"/>
      <c r="AH344" s="116" t="str">
        <f t="shared" si="74"/>
        <v/>
      </c>
      <c r="AI344" s="92"/>
      <c r="AJ344" s="78"/>
      <c r="AK344" s="60">
        <f t="shared" si="75"/>
        <v>0</v>
      </c>
      <c r="AL344" s="60"/>
      <c r="AM344" s="60"/>
      <c r="AN344" s="60"/>
      <c r="AO344" s="60"/>
      <c r="AP344" s="60"/>
      <c r="AQ344" s="60">
        <f t="shared" si="63"/>
        <v>0</v>
      </c>
      <c r="AR344" s="60">
        <f t="shared" si="64"/>
        <v>0</v>
      </c>
      <c r="AS344" s="60">
        <f t="shared" si="65"/>
        <v>0</v>
      </c>
      <c r="AT344" s="60">
        <f t="shared" si="66"/>
        <v>0</v>
      </c>
      <c r="AU344" s="60">
        <f t="shared" si="67"/>
        <v>0</v>
      </c>
      <c r="AV344" s="60">
        <f t="shared" si="68"/>
        <v>0</v>
      </c>
      <c r="AW344" s="60">
        <f t="shared" si="69"/>
        <v>0</v>
      </c>
      <c r="AX344" s="60">
        <f t="shared" si="76"/>
        <v>0</v>
      </c>
      <c r="AY344" s="64">
        <f t="shared" si="77"/>
        <v>0</v>
      </c>
      <c r="AZ344" s="65">
        <f t="shared" si="70"/>
        <v>0</v>
      </c>
      <c r="BA344" s="65">
        <f t="shared" si="71"/>
        <v>0</v>
      </c>
    </row>
    <row r="345" spans="3:53" s="17" customFormat="1" x14ac:dyDescent="0.25">
      <c r="C345" s="194"/>
      <c r="D345" s="195"/>
      <c r="E345" s="90"/>
      <c r="F345" s="198"/>
      <c r="G345" s="214"/>
      <c r="H345" s="199"/>
      <c r="I345" s="78"/>
      <c r="J345" s="79"/>
      <c r="K345" s="78"/>
      <c r="L345" s="80"/>
      <c r="M345" s="80"/>
      <c r="N345" s="78" t="s">
        <v>39</v>
      </c>
      <c r="O345" s="113"/>
      <c r="P345" s="155"/>
      <c r="Q345" s="114" t="str">
        <f>IFERROR(MIN(VLOOKUP(ROUNDDOWN(P345,0),'Aide calcul'!$B$2:$C$282,2,FALSE),O345+1),"")</f>
        <v/>
      </c>
      <c r="R345" s="115" t="str">
        <f t="shared" si="72"/>
        <v/>
      </c>
      <c r="S345" s="155"/>
      <c r="T345" s="155"/>
      <c r="U345" s="155"/>
      <c r="V345" s="155"/>
      <c r="W345" s="155"/>
      <c r="X345" s="155"/>
      <c r="Y345" s="155"/>
      <c r="Z345" s="78"/>
      <c r="AA345" s="78"/>
      <c r="AB345" s="116" t="str">
        <f>IF(C345="3111. Logements",ROUND(VLOOKUP(C345,'Informations générales'!$C$66:$D$70,2,FALSE)*(AK345/$AL$27)/12,0)*12,IF(C345="3112. Logements",ROUND(VLOOKUP(C345,'Informations générales'!$C$66:$D$70,2,FALSE)*(AK345/$AM$27)/12,0)*12,IF(C345="3113. Logements",ROUND(VLOOKUP(C345,'Informations générales'!$C$66:$D$70,2,FALSE)*(AK345/$AN$27)/12,0)*12,IF(C345="3114. Logements",ROUND(VLOOKUP(C345,'Informations générales'!$C$66:$D$70,2,FALSE)*(AK345/$AO$27)/12,0)*12,IF(C345="3115. Logements",ROUND(VLOOKUP(C345,'Informations générales'!$C$66:$D$70,2,FALSE)*(AK345/$AP$27)/12,0)*12,"")))))</f>
        <v/>
      </c>
      <c r="AC345" s="117"/>
      <c r="AD345" s="116">
        <f t="shared" si="73"/>
        <v>0</v>
      </c>
      <c r="AE345" s="117"/>
      <c r="AF345" s="116" t="str">
        <f>IF(C345="3111. Logements",ROUND(VLOOKUP(C345,'Informations générales'!$C$66:$G$70,5,FALSE)*(AK345/$AL$27)/12,0)*12,IF(C345="3112. Logements",ROUND(VLOOKUP(C345,'Informations générales'!$C$66:$G$70,5,FALSE)*(AK345/$AM$27)/12,0)*12,IF(C345="3113. Logements",ROUND(VLOOKUP(C345,'Informations générales'!$C$66:$G$70,5,FALSE)*(AK345/$AN$27)/12,0)*12,IF(C345="3114. Logements",ROUND(VLOOKUP(C345,'Informations générales'!$C$66:$G$70,5,FALSE)*(AK345/$AO$27)/12,0)*12,IF(C345="3115. Logements",ROUND(VLOOKUP(C345,'Informations générales'!$C$66:$G$70,5,FALSE)*(AK345/$AP$27)/12,0)*12,"")))))</f>
        <v/>
      </c>
      <c r="AG345" s="117"/>
      <c r="AH345" s="116" t="str">
        <f t="shared" si="74"/>
        <v/>
      </c>
      <c r="AI345" s="92"/>
      <c r="AJ345" s="78"/>
      <c r="AK345" s="60">
        <f t="shared" si="75"/>
        <v>0</v>
      </c>
      <c r="AL345" s="60"/>
      <c r="AM345" s="60"/>
      <c r="AN345" s="60"/>
      <c r="AO345" s="60"/>
      <c r="AP345" s="60"/>
      <c r="AQ345" s="60">
        <f t="shared" si="63"/>
        <v>0</v>
      </c>
      <c r="AR345" s="60">
        <f t="shared" si="64"/>
        <v>0</v>
      </c>
      <c r="AS345" s="60">
        <f t="shared" si="65"/>
        <v>0</v>
      </c>
      <c r="AT345" s="60">
        <f t="shared" si="66"/>
        <v>0</v>
      </c>
      <c r="AU345" s="60">
        <f t="shared" si="67"/>
        <v>0</v>
      </c>
      <c r="AV345" s="60">
        <f t="shared" si="68"/>
        <v>0</v>
      </c>
      <c r="AW345" s="60">
        <f t="shared" si="69"/>
        <v>0</v>
      </c>
      <c r="AX345" s="60">
        <f t="shared" si="76"/>
        <v>0</v>
      </c>
      <c r="AY345" s="64">
        <f t="shared" si="77"/>
        <v>0</v>
      </c>
      <c r="AZ345" s="65">
        <f t="shared" si="70"/>
        <v>0</v>
      </c>
      <c r="BA345" s="65">
        <f t="shared" si="71"/>
        <v>0</v>
      </c>
    </row>
    <row r="346" spans="3:53" s="17" customFormat="1" x14ac:dyDescent="0.25">
      <c r="C346" s="194"/>
      <c r="D346" s="195"/>
      <c r="E346" s="90"/>
      <c r="F346" s="198"/>
      <c r="G346" s="214"/>
      <c r="H346" s="199"/>
      <c r="I346" s="78"/>
      <c r="J346" s="79"/>
      <c r="K346" s="78"/>
      <c r="L346" s="80"/>
      <c r="M346" s="80"/>
      <c r="N346" s="78" t="s">
        <v>39</v>
      </c>
      <c r="O346" s="113"/>
      <c r="P346" s="155"/>
      <c r="Q346" s="114" t="str">
        <f>IFERROR(MIN(VLOOKUP(ROUNDDOWN(P346,0),'Aide calcul'!$B$2:$C$282,2,FALSE),O346+1),"")</f>
        <v/>
      </c>
      <c r="R346" s="115" t="str">
        <f t="shared" si="72"/>
        <v/>
      </c>
      <c r="S346" s="155"/>
      <c r="T346" s="155"/>
      <c r="U346" s="155"/>
      <c r="V346" s="155"/>
      <c r="W346" s="155"/>
      <c r="X346" s="155"/>
      <c r="Y346" s="155"/>
      <c r="Z346" s="78"/>
      <c r="AA346" s="78"/>
      <c r="AB346" s="116" t="str">
        <f>IF(C346="3111. Logements",ROUND(VLOOKUP(C346,'Informations générales'!$C$66:$D$70,2,FALSE)*(AK346/$AL$27)/12,0)*12,IF(C346="3112. Logements",ROUND(VLOOKUP(C346,'Informations générales'!$C$66:$D$70,2,FALSE)*(AK346/$AM$27)/12,0)*12,IF(C346="3113. Logements",ROUND(VLOOKUP(C346,'Informations générales'!$C$66:$D$70,2,FALSE)*(AK346/$AN$27)/12,0)*12,IF(C346="3114. Logements",ROUND(VLOOKUP(C346,'Informations générales'!$C$66:$D$70,2,FALSE)*(AK346/$AO$27)/12,0)*12,IF(C346="3115. Logements",ROUND(VLOOKUP(C346,'Informations générales'!$C$66:$D$70,2,FALSE)*(AK346/$AP$27)/12,0)*12,"")))))</f>
        <v/>
      </c>
      <c r="AC346" s="117"/>
      <c r="AD346" s="116">
        <f t="shared" si="73"/>
        <v>0</v>
      </c>
      <c r="AE346" s="117"/>
      <c r="AF346" s="116" t="str">
        <f>IF(C346="3111. Logements",ROUND(VLOOKUP(C346,'Informations générales'!$C$66:$G$70,5,FALSE)*(AK346/$AL$27)/12,0)*12,IF(C346="3112. Logements",ROUND(VLOOKUP(C346,'Informations générales'!$C$66:$G$70,5,FALSE)*(AK346/$AM$27)/12,0)*12,IF(C346="3113. Logements",ROUND(VLOOKUP(C346,'Informations générales'!$C$66:$G$70,5,FALSE)*(AK346/$AN$27)/12,0)*12,IF(C346="3114. Logements",ROUND(VLOOKUP(C346,'Informations générales'!$C$66:$G$70,5,FALSE)*(AK346/$AO$27)/12,0)*12,IF(C346="3115. Logements",ROUND(VLOOKUP(C346,'Informations générales'!$C$66:$G$70,5,FALSE)*(AK346/$AP$27)/12,0)*12,"")))))</f>
        <v/>
      </c>
      <c r="AG346" s="117"/>
      <c r="AH346" s="116" t="str">
        <f t="shared" si="74"/>
        <v/>
      </c>
      <c r="AI346" s="92"/>
      <c r="AJ346" s="78"/>
      <c r="AK346" s="60">
        <f t="shared" si="75"/>
        <v>0</v>
      </c>
      <c r="AL346" s="60"/>
      <c r="AM346" s="60"/>
      <c r="AN346" s="60"/>
      <c r="AO346" s="60"/>
      <c r="AP346" s="60"/>
      <c r="AQ346" s="60">
        <f t="shared" si="63"/>
        <v>0</v>
      </c>
      <c r="AR346" s="60">
        <f t="shared" si="64"/>
        <v>0</v>
      </c>
      <c r="AS346" s="60">
        <f t="shared" si="65"/>
        <v>0</v>
      </c>
      <c r="AT346" s="60">
        <f t="shared" si="66"/>
        <v>0</v>
      </c>
      <c r="AU346" s="60">
        <f t="shared" si="67"/>
        <v>0</v>
      </c>
      <c r="AV346" s="60">
        <f t="shared" si="68"/>
        <v>0</v>
      </c>
      <c r="AW346" s="60">
        <f t="shared" si="69"/>
        <v>0</v>
      </c>
      <c r="AX346" s="60">
        <f t="shared" si="76"/>
        <v>0</v>
      </c>
      <c r="AY346" s="64">
        <f t="shared" si="77"/>
        <v>0</v>
      </c>
      <c r="AZ346" s="65">
        <f t="shared" si="70"/>
        <v>0</v>
      </c>
      <c r="BA346" s="65">
        <f t="shared" si="71"/>
        <v>0</v>
      </c>
    </row>
    <row r="347" spans="3:53" s="17" customFormat="1" x14ac:dyDescent="0.25">
      <c r="C347" s="194"/>
      <c r="D347" s="195"/>
      <c r="E347" s="90"/>
      <c r="F347" s="198"/>
      <c r="G347" s="214"/>
      <c r="H347" s="199"/>
      <c r="I347" s="78"/>
      <c r="J347" s="79"/>
      <c r="K347" s="78"/>
      <c r="L347" s="80"/>
      <c r="M347" s="80"/>
      <c r="N347" s="78" t="s">
        <v>39</v>
      </c>
      <c r="O347" s="113"/>
      <c r="P347" s="155"/>
      <c r="Q347" s="114" t="str">
        <f>IFERROR(MIN(VLOOKUP(ROUNDDOWN(P347,0),'Aide calcul'!$B$2:$C$282,2,FALSE),O347+1),"")</f>
        <v/>
      </c>
      <c r="R347" s="115" t="str">
        <f t="shared" si="72"/>
        <v/>
      </c>
      <c r="S347" s="155"/>
      <c r="T347" s="155"/>
      <c r="U347" s="155"/>
      <c r="V347" s="155"/>
      <c r="W347" s="155"/>
      <c r="X347" s="155"/>
      <c r="Y347" s="155"/>
      <c r="Z347" s="78"/>
      <c r="AA347" s="78"/>
      <c r="AB347" s="116" t="str">
        <f>IF(C347="3111. Logements",ROUND(VLOOKUP(C347,'Informations générales'!$C$66:$D$70,2,FALSE)*(AK347/$AL$27)/12,0)*12,IF(C347="3112. Logements",ROUND(VLOOKUP(C347,'Informations générales'!$C$66:$D$70,2,FALSE)*(AK347/$AM$27)/12,0)*12,IF(C347="3113. Logements",ROUND(VLOOKUP(C347,'Informations générales'!$C$66:$D$70,2,FALSE)*(AK347/$AN$27)/12,0)*12,IF(C347="3114. Logements",ROUND(VLOOKUP(C347,'Informations générales'!$C$66:$D$70,2,FALSE)*(AK347/$AO$27)/12,0)*12,IF(C347="3115. Logements",ROUND(VLOOKUP(C347,'Informations générales'!$C$66:$D$70,2,FALSE)*(AK347/$AP$27)/12,0)*12,"")))))</f>
        <v/>
      </c>
      <c r="AC347" s="117"/>
      <c r="AD347" s="116">
        <f t="shared" si="73"/>
        <v>0</v>
      </c>
      <c r="AE347" s="117"/>
      <c r="AF347" s="116" t="str">
        <f>IF(C347="3111. Logements",ROUND(VLOOKUP(C347,'Informations générales'!$C$66:$G$70,5,FALSE)*(AK347/$AL$27)/12,0)*12,IF(C347="3112. Logements",ROUND(VLOOKUP(C347,'Informations générales'!$C$66:$G$70,5,FALSE)*(AK347/$AM$27)/12,0)*12,IF(C347="3113. Logements",ROUND(VLOOKUP(C347,'Informations générales'!$C$66:$G$70,5,FALSE)*(AK347/$AN$27)/12,0)*12,IF(C347="3114. Logements",ROUND(VLOOKUP(C347,'Informations générales'!$C$66:$G$70,5,FALSE)*(AK347/$AO$27)/12,0)*12,IF(C347="3115. Logements",ROUND(VLOOKUP(C347,'Informations générales'!$C$66:$G$70,5,FALSE)*(AK347/$AP$27)/12,0)*12,"")))))</f>
        <v/>
      </c>
      <c r="AG347" s="117"/>
      <c r="AH347" s="116" t="str">
        <f t="shared" si="74"/>
        <v/>
      </c>
      <c r="AI347" s="92"/>
      <c r="AJ347" s="78"/>
      <c r="AK347" s="60">
        <f t="shared" si="75"/>
        <v>0</v>
      </c>
      <c r="AL347" s="60"/>
      <c r="AM347" s="60"/>
      <c r="AN347" s="60"/>
      <c r="AO347" s="60"/>
      <c r="AP347" s="60"/>
      <c r="AQ347" s="60">
        <f t="shared" ref="AQ347:AQ410" si="78">S347*$E$13</f>
        <v>0</v>
      </c>
      <c r="AR347" s="60">
        <f t="shared" ref="AR347:AR410" si="79">T347*$E$14</f>
        <v>0</v>
      </c>
      <c r="AS347" s="60">
        <f t="shared" ref="AS347:AS410" si="80">U347*$E$15</f>
        <v>0</v>
      </c>
      <c r="AT347" s="60">
        <f t="shared" ref="AT347:AT410" si="81">V347*$E$16</f>
        <v>0</v>
      </c>
      <c r="AU347" s="60">
        <f t="shared" ref="AU347:AU410" si="82">W347*$E$17</f>
        <v>0</v>
      </c>
      <c r="AV347" s="60">
        <f t="shared" ref="AV347:AV410" si="83">X347*$E$18</f>
        <v>0</v>
      </c>
      <c r="AW347" s="60">
        <f t="shared" ref="AW347:AW410" si="84">Y347*$E$19</f>
        <v>0</v>
      </c>
      <c r="AX347" s="60">
        <f t="shared" si="76"/>
        <v>0</v>
      </c>
      <c r="AY347" s="64">
        <f t="shared" si="77"/>
        <v>0</v>
      </c>
      <c r="AZ347" s="65">
        <f t="shared" si="70"/>
        <v>0</v>
      </c>
      <c r="BA347" s="65">
        <f t="shared" si="71"/>
        <v>0</v>
      </c>
    </row>
    <row r="348" spans="3:53" s="17" customFormat="1" x14ac:dyDescent="0.25">
      <c r="C348" s="194"/>
      <c r="D348" s="195"/>
      <c r="E348" s="90"/>
      <c r="F348" s="198"/>
      <c r="G348" s="214"/>
      <c r="H348" s="199"/>
      <c r="I348" s="78"/>
      <c r="J348" s="79"/>
      <c r="K348" s="78"/>
      <c r="L348" s="80"/>
      <c r="M348" s="80"/>
      <c r="N348" s="78" t="s">
        <v>39</v>
      </c>
      <c r="O348" s="113"/>
      <c r="P348" s="155"/>
      <c r="Q348" s="114" t="str">
        <f>IFERROR(MIN(VLOOKUP(ROUNDDOWN(P348,0),'Aide calcul'!$B$2:$C$282,2,FALSE),O348+1),"")</f>
        <v/>
      </c>
      <c r="R348" s="115" t="str">
        <f t="shared" ref="R348:R411" si="85">IFERROR(TRUNC(Q348-0.5),"")</f>
        <v/>
      </c>
      <c r="S348" s="155"/>
      <c r="T348" s="155"/>
      <c r="U348" s="155"/>
      <c r="V348" s="155"/>
      <c r="W348" s="155"/>
      <c r="X348" s="155"/>
      <c r="Y348" s="155"/>
      <c r="Z348" s="78"/>
      <c r="AA348" s="78"/>
      <c r="AB348" s="116" t="str">
        <f>IF(C348="3111. Logements",ROUND(VLOOKUP(C348,'Informations générales'!$C$66:$D$70,2,FALSE)*(AK348/$AL$27)/12,0)*12,IF(C348="3112. Logements",ROUND(VLOOKUP(C348,'Informations générales'!$C$66:$D$70,2,FALSE)*(AK348/$AM$27)/12,0)*12,IF(C348="3113. Logements",ROUND(VLOOKUP(C348,'Informations générales'!$C$66:$D$70,2,FALSE)*(AK348/$AN$27)/12,0)*12,IF(C348="3114. Logements",ROUND(VLOOKUP(C348,'Informations générales'!$C$66:$D$70,2,FALSE)*(AK348/$AO$27)/12,0)*12,IF(C348="3115. Logements",ROUND(VLOOKUP(C348,'Informations générales'!$C$66:$D$70,2,FALSE)*(AK348/$AP$27)/12,0)*12,"")))))</f>
        <v/>
      </c>
      <c r="AC348" s="117"/>
      <c r="AD348" s="116">
        <f t="shared" ref="AD348:AD411" si="86">MIN(AB348,AC348)</f>
        <v>0</v>
      </c>
      <c r="AE348" s="117"/>
      <c r="AF348" s="116" t="str">
        <f>IF(C348="3111. Logements",ROUND(VLOOKUP(C348,'Informations générales'!$C$66:$G$70,5,FALSE)*(AK348/$AL$27)/12,0)*12,IF(C348="3112. Logements",ROUND(VLOOKUP(C348,'Informations générales'!$C$66:$G$70,5,FALSE)*(AK348/$AM$27)/12,0)*12,IF(C348="3113. Logements",ROUND(VLOOKUP(C348,'Informations générales'!$C$66:$G$70,5,FALSE)*(AK348/$AN$27)/12,0)*12,IF(C348="3114. Logements",ROUND(VLOOKUP(C348,'Informations générales'!$C$66:$G$70,5,FALSE)*(AK348/$AO$27)/12,0)*12,IF(C348="3115. Logements",ROUND(VLOOKUP(C348,'Informations générales'!$C$66:$G$70,5,FALSE)*(AK348/$AP$27)/12,0)*12,"")))))</f>
        <v/>
      </c>
      <c r="AG348" s="117"/>
      <c r="AH348" s="116" t="str">
        <f t="shared" ref="AH348:AH411" si="87">IFERROR(IF(AE348/S348&lt;&gt;0,AE348/S348,AB348/S348),"")</f>
        <v/>
      </c>
      <c r="AI348" s="92"/>
      <c r="AJ348" s="78"/>
      <c r="AK348" s="60">
        <f t="shared" ref="AK348:AK411" si="88">AX348*(SUM(1,AY348,AZ348,BA348))</f>
        <v>0</v>
      </c>
      <c r="AL348" s="60"/>
      <c r="AM348" s="60"/>
      <c r="AN348" s="60"/>
      <c r="AO348" s="60"/>
      <c r="AP348" s="60"/>
      <c r="AQ348" s="60">
        <f t="shared" si="78"/>
        <v>0</v>
      </c>
      <c r="AR348" s="60">
        <f t="shared" si="79"/>
        <v>0</v>
      </c>
      <c r="AS348" s="60">
        <f t="shared" si="80"/>
        <v>0</v>
      </c>
      <c r="AT348" s="60">
        <f t="shared" si="81"/>
        <v>0</v>
      </c>
      <c r="AU348" s="60">
        <f t="shared" si="82"/>
        <v>0</v>
      </c>
      <c r="AV348" s="60">
        <f t="shared" si="83"/>
        <v>0</v>
      </c>
      <c r="AW348" s="60">
        <f t="shared" si="84"/>
        <v>0</v>
      </c>
      <c r="AX348" s="60">
        <f t="shared" ref="AX348:AX411" si="89">SUM(AQ348:AW348)</f>
        <v>0</v>
      </c>
      <c r="AY348" s="64">
        <f t="shared" ref="AY348:AY411" si="90">IFERROR(I348*$E$12,0)</f>
        <v>0</v>
      </c>
      <c r="AZ348" s="65">
        <f t="shared" ref="AZ348:AZ403" si="91">IFERROR(VLOOKUP(Z348,$H$12:$I$22,2,FALSE),0)</f>
        <v>0</v>
      </c>
      <c r="BA348" s="65">
        <f t="shared" ref="BA348:BA411" si="92">IFERROR(VLOOKUP(AA348,$L$12:$N$19,3,FALSE),0)</f>
        <v>0</v>
      </c>
    </row>
    <row r="349" spans="3:53" s="17" customFormat="1" x14ac:dyDescent="0.25">
      <c r="C349" s="194"/>
      <c r="D349" s="195"/>
      <c r="E349" s="90"/>
      <c r="F349" s="198"/>
      <c r="G349" s="214"/>
      <c r="H349" s="199"/>
      <c r="I349" s="78"/>
      <c r="J349" s="79"/>
      <c r="K349" s="78"/>
      <c r="L349" s="80"/>
      <c r="M349" s="80"/>
      <c r="N349" s="78" t="s">
        <v>39</v>
      </c>
      <c r="O349" s="113"/>
      <c r="P349" s="155"/>
      <c r="Q349" s="114" t="str">
        <f>IFERROR(MIN(VLOOKUP(ROUNDDOWN(P349,0),'Aide calcul'!$B$2:$C$282,2,FALSE),O349+1),"")</f>
        <v/>
      </c>
      <c r="R349" s="115" t="str">
        <f t="shared" si="85"/>
        <v/>
      </c>
      <c r="S349" s="155"/>
      <c r="T349" s="155"/>
      <c r="U349" s="155"/>
      <c r="V349" s="155"/>
      <c r="W349" s="155"/>
      <c r="X349" s="155"/>
      <c r="Y349" s="155"/>
      <c r="Z349" s="78"/>
      <c r="AA349" s="78"/>
      <c r="AB349" s="116" t="str">
        <f>IF(C349="3111. Logements",ROUND(VLOOKUP(C349,'Informations générales'!$C$66:$D$70,2,FALSE)*(AK349/$AL$27)/12,0)*12,IF(C349="3112. Logements",ROUND(VLOOKUP(C349,'Informations générales'!$C$66:$D$70,2,FALSE)*(AK349/$AM$27)/12,0)*12,IF(C349="3113. Logements",ROUND(VLOOKUP(C349,'Informations générales'!$C$66:$D$70,2,FALSE)*(AK349/$AN$27)/12,0)*12,IF(C349="3114. Logements",ROUND(VLOOKUP(C349,'Informations générales'!$C$66:$D$70,2,FALSE)*(AK349/$AO$27)/12,0)*12,IF(C349="3115. Logements",ROUND(VLOOKUP(C349,'Informations générales'!$C$66:$D$70,2,FALSE)*(AK349/$AP$27)/12,0)*12,"")))))</f>
        <v/>
      </c>
      <c r="AC349" s="117"/>
      <c r="AD349" s="116">
        <f t="shared" si="86"/>
        <v>0</v>
      </c>
      <c r="AE349" s="117"/>
      <c r="AF349" s="116" t="str">
        <f>IF(C349="3111. Logements",ROUND(VLOOKUP(C349,'Informations générales'!$C$66:$G$70,5,FALSE)*(AK349/$AL$27)/12,0)*12,IF(C349="3112. Logements",ROUND(VLOOKUP(C349,'Informations générales'!$C$66:$G$70,5,FALSE)*(AK349/$AM$27)/12,0)*12,IF(C349="3113. Logements",ROUND(VLOOKUP(C349,'Informations générales'!$C$66:$G$70,5,FALSE)*(AK349/$AN$27)/12,0)*12,IF(C349="3114. Logements",ROUND(VLOOKUP(C349,'Informations générales'!$C$66:$G$70,5,FALSE)*(AK349/$AO$27)/12,0)*12,IF(C349="3115. Logements",ROUND(VLOOKUP(C349,'Informations générales'!$C$66:$G$70,5,FALSE)*(AK349/$AP$27)/12,0)*12,"")))))</f>
        <v/>
      </c>
      <c r="AG349" s="117"/>
      <c r="AH349" s="116" t="str">
        <f t="shared" si="87"/>
        <v/>
      </c>
      <c r="AI349" s="92"/>
      <c r="AJ349" s="78"/>
      <c r="AK349" s="60">
        <f t="shared" si="88"/>
        <v>0</v>
      </c>
      <c r="AL349" s="60"/>
      <c r="AM349" s="60"/>
      <c r="AN349" s="60"/>
      <c r="AO349" s="60"/>
      <c r="AP349" s="60"/>
      <c r="AQ349" s="60">
        <f t="shared" si="78"/>
        <v>0</v>
      </c>
      <c r="AR349" s="60">
        <f t="shared" si="79"/>
        <v>0</v>
      </c>
      <c r="AS349" s="60">
        <f t="shared" si="80"/>
        <v>0</v>
      </c>
      <c r="AT349" s="60">
        <f t="shared" si="81"/>
        <v>0</v>
      </c>
      <c r="AU349" s="60">
        <f t="shared" si="82"/>
        <v>0</v>
      </c>
      <c r="AV349" s="60">
        <f t="shared" si="83"/>
        <v>0</v>
      </c>
      <c r="AW349" s="60">
        <f t="shared" si="84"/>
        <v>0</v>
      </c>
      <c r="AX349" s="60">
        <f t="shared" si="89"/>
        <v>0</v>
      </c>
      <c r="AY349" s="64">
        <f t="shared" si="90"/>
        <v>0</v>
      </c>
      <c r="AZ349" s="65">
        <f t="shared" si="91"/>
        <v>0</v>
      </c>
      <c r="BA349" s="65">
        <f t="shared" si="92"/>
        <v>0</v>
      </c>
    </row>
    <row r="350" spans="3:53" s="17" customFormat="1" x14ac:dyDescent="0.25">
      <c r="C350" s="194"/>
      <c r="D350" s="195"/>
      <c r="E350" s="90"/>
      <c r="F350" s="198"/>
      <c r="G350" s="214"/>
      <c r="H350" s="199"/>
      <c r="I350" s="78"/>
      <c r="J350" s="79"/>
      <c r="K350" s="78"/>
      <c r="L350" s="80"/>
      <c r="M350" s="80"/>
      <c r="N350" s="78" t="s">
        <v>39</v>
      </c>
      <c r="O350" s="113"/>
      <c r="P350" s="155"/>
      <c r="Q350" s="114" t="str">
        <f>IFERROR(MIN(VLOOKUP(ROUNDDOWN(P350,0),'Aide calcul'!$B$2:$C$282,2,FALSE),O350+1),"")</f>
        <v/>
      </c>
      <c r="R350" s="115" t="str">
        <f t="shared" si="85"/>
        <v/>
      </c>
      <c r="S350" s="155"/>
      <c r="T350" s="155"/>
      <c r="U350" s="155"/>
      <c r="V350" s="155"/>
      <c r="W350" s="155"/>
      <c r="X350" s="155"/>
      <c r="Y350" s="155"/>
      <c r="Z350" s="78"/>
      <c r="AA350" s="78"/>
      <c r="AB350" s="116" t="str">
        <f>IF(C350="3111. Logements",ROUND(VLOOKUP(C350,'Informations générales'!$C$66:$D$70,2,FALSE)*(AK350/$AL$27)/12,0)*12,IF(C350="3112. Logements",ROUND(VLOOKUP(C350,'Informations générales'!$C$66:$D$70,2,FALSE)*(AK350/$AM$27)/12,0)*12,IF(C350="3113. Logements",ROUND(VLOOKUP(C350,'Informations générales'!$C$66:$D$70,2,FALSE)*(AK350/$AN$27)/12,0)*12,IF(C350="3114. Logements",ROUND(VLOOKUP(C350,'Informations générales'!$C$66:$D$70,2,FALSE)*(AK350/$AO$27)/12,0)*12,IF(C350="3115. Logements",ROUND(VLOOKUP(C350,'Informations générales'!$C$66:$D$70,2,FALSE)*(AK350/$AP$27)/12,0)*12,"")))))</f>
        <v/>
      </c>
      <c r="AC350" s="117"/>
      <c r="AD350" s="116">
        <f t="shared" si="86"/>
        <v>0</v>
      </c>
      <c r="AE350" s="117"/>
      <c r="AF350" s="116" t="str">
        <f>IF(C350="3111. Logements",ROUND(VLOOKUP(C350,'Informations générales'!$C$66:$G$70,5,FALSE)*(AK350/$AL$27)/12,0)*12,IF(C350="3112. Logements",ROUND(VLOOKUP(C350,'Informations générales'!$C$66:$G$70,5,FALSE)*(AK350/$AM$27)/12,0)*12,IF(C350="3113. Logements",ROUND(VLOOKUP(C350,'Informations générales'!$C$66:$G$70,5,FALSE)*(AK350/$AN$27)/12,0)*12,IF(C350="3114. Logements",ROUND(VLOOKUP(C350,'Informations générales'!$C$66:$G$70,5,FALSE)*(AK350/$AO$27)/12,0)*12,IF(C350="3115. Logements",ROUND(VLOOKUP(C350,'Informations générales'!$C$66:$G$70,5,FALSE)*(AK350/$AP$27)/12,0)*12,"")))))</f>
        <v/>
      </c>
      <c r="AG350" s="117"/>
      <c r="AH350" s="116" t="str">
        <f t="shared" si="87"/>
        <v/>
      </c>
      <c r="AI350" s="92"/>
      <c r="AJ350" s="78"/>
      <c r="AK350" s="60">
        <f t="shared" si="88"/>
        <v>0</v>
      </c>
      <c r="AL350" s="60"/>
      <c r="AM350" s="60"/>
      <c r="AN350" s="60"/>
      <c r="AO350" s="60"/>
      <c r="AP350" s="60"/>
      <c r="AQ350" s="60">
        <f t="shared" si="78"/>
        <v>0</v>
      </c>
      <c r="AR350" s="60">
        <f t="shared" si="79"/>
        <v>0</v>
      </c>
      <c r="AS350" s="60">
        <f t="shared" si="80"/>
        <v>0</v>
      </c>
      <c r="AT350" s="60">
        <f t="shared" si="81"/>
        <v>0</v>
      </c>
      <c r="AU350" s="60">
        <f t="shared" si="82"/>
        <v>0</v>
      </c>
      <c r="AV350" s="60">
        <f t="shared" si="83"/>
        <v>0</v>
      </c>
      <c r="AW350" s="60">
        <f t="shared" si="84"/>
        <v>0</v>
      </c>
      <c r="AX350" s="60">
        <f t="shared" si="89"/>
        <v>0</v>
      </c>
      <c r="AY350" s="64">
        <f t="shared" si="90"/>
        <v>0</v>
      </c>
      <c r="AZ350" s="65">
        <f t="shared" si="91"/>
        <v>0</v>
      </c>
      <c r="BA350" s="65">
        <f t="shared" si="92"/>
        <v>0</v>
      </c>
    </row>
    <row r="351" spans="3:53" s="17" customFormat="1" x14ac:dyDescent="0.25">
      <c r="C351" s="194"/>
      <c r="D351" s="195"/>
      <c r="E351" s="90"/>
      <c r="F351" s="198"/>
      <c r="G351" s="214"/>
      <c r="H351" s="199"/>
      <c r="I351" s="78"/>
      <c r="J351" s="79"/>
      <c r="K351" s="78"/>
      <c r="L351" s="80"/>
      <c r="M351" s="80"/>
      <c r="N351" s="78" t="s">
        <v>39</v>
      </c>
      <c r="O351" s="113"/>
      <c r="P351" s="155"/>
      <c r="Q351" s="114" t="str">
        <f>IFERROR(MIN(VLOOKUP(ROUNDDOWN(P351,0),'Aide calcul'!$B$2:$C$282,2,FALSE),O351+1),"")</f>
        <v/>
      </c>
      <c r="R351" s="115" t="str">
        <f t="shared" si="85"/>
        <v/>
      </c>
      <c r="S351" s="155"/>
      <c r="T351" s="155"/>
      <c r="U351" s="155"/>
      <c r="V351" s="155"/>
      <c r="W351" s="155"/>
      <c r="X351" s="155"/>
      <c r="Y351" s="155"/>
      <c r="Z351" s="78"/>
      <c r="AA351" s="78"/>
      <c r="AB351" s="116" t="str">
        <f>IF(C351="3111. Logements",ROUND(VLOOKUP(C351,'Informations générales'!$C$66:$D$70,2,FALSE)*(AK351/$AL$27)/12,0)*12,IF(C351="3112. Logements",ROUND(VLOOKUP(C351,'Informations générales'!$C$66:$D$70,2,FALSE)*(AK351/$AM$27)/12,0)*12,IF(C351="3113. Logements",ROUND(VLOOKUP(C351,'Informations générales'!$C$66:$D$70,2,FALSE)*(AK351/$AN$27)/12,0)*12,IF(C351="3114. Logements",ROUND(VLOOKUP(C351,'Informations générales'!$C$66:$D$70,2,FALSE)*(AK351/$AO$27)/12,0)*12,IF(C351="3115. Logements",ROUND(VLOOKUP(C351,'Informations générales'!$C$66:$D$70,2,FALSE)*(AK351/$AP$27)/12,0)*12,"")))))</f>
        <v/>
      </c>
      <c r="AC351" s="117"/>
      <c r="AD351" s="116">
        <f t="shared" si="86"/>
        <v>0</v>
      </c>
      <c r="AE351" s="117"/>
      <c r="AF351" s="116" t="str">
        <f>IF(C351="3111. Logements",ROUND(VLOOKUP(C351,'Informations générales'!$C$66:$G$70,5,FALSE)*(AK351/$AL$27)/12,0)*12,IF(C351="3112. Logements",ROUND(VLOOKUP(C351,'Informations générales'!$C$66:$G$70,5,FALSE)*(AK351/$AM$27)/12,0)*12,IF(C351="3113. Logements",ROUND(VLOOKUP(C351,'Informations générales'!$C$66:$G$70,5,FALSE)*(AK351/$AN$27)/12,0)*12,IF(C351="3114. Logements",ROUND(VLOOKUP(C351,'Informations générales'!$C$66:$G$70,5,FALSE)*(AK351/$AO$27)/12,0)*12,IF(C351="3115. Logements",ROUND(VLOOKUP(C351,'Informations générales'!$C$66:$G$70,5,FALSE)*(AK351/$AP$27)/12,0)*12,"")))))</f>
        <v/>
      </c>
      <c r="AG351" s="117"/>
      <c r="AH351" s="116" t="str">
        <f t="shared" si="87"/>
        <v/>
      </c>
      <c r="AI351" s="92"/>
      <c r="AJ351" s="78"/>
      <c r="AK351" s="60">
        <f t="shared" si="88"/>
        <v>0</v>
      </c>
      <c r="AL351" s="60"/>
      <c r="AM351" s="60"/>
      <c r="AN351" s="60"/>
      <c r="AO351" s="60"/>
      <c r="AP351" s="60"/>
      <c r="AQ351" s="60">
        <f t="shared" si="78"/>
        <v>0</v>
      </c>
      <c r="AR351" s="60">
        <f t="shared" si="79"/>
        <v>0</v>
      </c>
      <c r="AS351" s="60">
        <f t="shared" si="80"/>
        <v>0</v>
      </c>
      <c r="AT351" s="60">
        <f t="shared" si="81"/>
        <v>0</v>
      </c>
      <c r="AU351" s="60">
        <f t="shared" si="82"/>
        <v>0</v>
      </c>
      <c r="AV351" s="60">
        <f t="shared" si="83"/>
        <v>0</v>
      </c>
      <c r="AW351" s="60">
        <f t="shared" si="84"/>
        <v>0</v>
      </c>
      <c r="AX351" s="60">
        <f t="shared" si="89"/>
        <v>0</v>
      </c>
      <c r="AY351" s="64">
        <f t="shared" si="90"/>
        <v>0</v>
      </c>
      <c r="AZ351" s="65">
        <f t="shared" si="91"/>
        <v>0</v>
      </c>
      <c r="BA351" s="65">
        <f t="shared" si="92"/>
        <v>0</v>
      </c>
    </row>
    <row r="352" spans="3:53" s="17" customFormat="1" x14ac:dyDescent="0.25">
      <c r="C352" s="194"/>
      <c r="D352" s="195"/>
      <c r="E352" s="90"/>
      <c r="F352" s="198"/>
      <c r="G352" s="214"/>
      <c r="H352" s="199"/>
      <c r="I352" s="78"/>
      <c r="J352" s="79"/>
      <c r="K352" s="78"/>
      <c r="L352" s="80"/>
      <c r="M352" s="80"/>
      <c r="N352" s="78" t="s">
        <v>39</v>
      </c>
      <c r="O352" s="113"/>
      <c r="P352" s="155"/>
      <c r="Q352" s="114" t="str">
        <f>IFERROR(MIN(VLOOKUP(ROUNDDOWN(P352,0),'Aide calcul'!$B$2:$C$282,2,FALSE),O352+1),"")</f>
        <v/>
      </c>
      <c r="R352" s="115" t="str">
        <f t="shared" si="85"/>
        <v/>
      </c>
      <c r="S352" s="155"/>
      <c r="T352" s="155"/>
      <c r="U352" s="155"/>
      <c r="V352" s="155"/>
      <c r="W352" s="155"/>
      <c r="X352" s="155"/>
      <c r="Y352" s="155"/>
      <c r="Z352" s="78"/>
      <c r="AA352" s="78"/>
      <c r="AB352" s="116" t="str">
        <f>IF(C352="3111. Logements",ROUND(VLOOKUP(C352,'Informations générales'!$C$66:$D$70,2,FALSE)*(AK352/$AL$27)/12,0)*12,IF(C352="3112. Logements",ROUND(VLOOKUP(C352,'Informations générales'!$C$66:$D$70,2,FALSE)*(AK352/$AM$27)/12,0)*12,IF(C352="3113. Logements",ROUND(VLOOKUP(C352,'Informations générales'!$C$66:$D$70,2,FALSE)*(AK352/$AN$27)/12,0)*12,IF(C352="3114. Logements",ROUND(VLOOKUP(C352,'Informations générales'!$C$66:$D$70,2,FALSE)*(AK352/$AO$27)/12,0)*12,IF(C352="3115. Logements",ROUND(VLOOKUP(C352,'Informations générales'!$C$66:$D$70,2,FALSE)*(AK352/$AP$27)/12,0)*12,"")))))</f>
        <v/>
      </c>
      <c r="AC352" s="117"/>
      <c r="AD352" s="116">
        <f t="shared" si="86"/>
        <v>0</v>
      </c>
      <c r="AE352" s="117"/>
      <c r="AF352" s="116" t="str">
        <f>IF(C352="3111. Logements",ROUND(VLOOKUP(C352,'Informations générales'!$C$66:$G$70,5,FALSE)*(AK352/$AL$27)/12,0)*12,IF(C352="3112. Logements",ROUND(VLOOKUP(C352,'Informations générales'!$C$66:$G$70,5,FALSE)*(AK352/$AM$27)/12,0)*12,IF(C352="3113. Logements",ROUND(VLOOKUP(C352,'Informations générales'!$C$66:$G$70,5,FALSE)*(AK352/$AN$27)/12,0)*12,IF(C352="3114. Logements",ROUND(VLOOKUP(C352,'Informations générales'!$C$66:$G$70,5,FALSE)*(AK352/$AO$27)/12,0)*12,IF(C352="3115. Logements",ROUND(VLOOKUP(C352,'Informations générales'!$C$66:$G$70,5,FALSE)*(AK352/$AP$27)/12,0)*12,"")))))</f>
        <v/>
      </c>
      <c r="AG352" s="117"/>
      <c r="AH352" s="116" t="str">
        <f t="shared" si="87"/>
        <v/>
      </c>
      <c r="AI352" s="92"/>
      <c r="AJ352" s="78"/>
      <c r="AK352" s="60">
        <f t="shared" si="88"/>
        <v>0</v>
      </c>
      <c r="AL352" s="60"/>
      <c r="AM352" s="60"/>
      <c r="AN352" s="60"/>
      <c r="AO352" s="60"/>
      <c r="AP352" s="60"/>
      <c r="AQ352" s="60">
        <f t="shared" si="78"/>
        <v>0</v>
      </c>
      <c r="AR352" s="60">
        <f t="shared" si="79"/>
        <v>0</v>
      </c>
      <c r="AS352" s="60">
        <f t="shared" si="80"/>
        <v>0</v>
      </c>
      <c r="AT352" s="60">
        <f t="shared" si="81"/>
        <v>0</v>
      </c>
      <c r="AU352" s="60">
        <f t="shared" si="82"/>
        <v>0</v>
      </c>
      <c r="AV352" s="60">
        <f t="shared" si="83"/>
        <v>0</v>
      </c>
      <c r="AW352" s="60">
        <f t="shared" si="84"/>
        <v>0</v>
      </c>
      <c r="AX352" s="60">
        <f t="shared" si="89"/>
        <v>0</v>
      </c>
      <c r="AY352" s="64">
        <f t="shared" si="90"/>
        <v>0</v>
      </c>
      <c r="AZ352" s="65">
        <f t="shared" si="91"/>
        <v>0</v>
      </c>
      <c r="BA352" s="65">
        <f t="shared" si="92"/>
        <v>0</v>
      </c>
    </row>
    <row r="353" spans="3:53" s="17" customFormat="1" x14ac:dyDescent="0.25">
      <c r="C353" s="194"/>
      <c r="D353" s="195"/>
      <c r="E353" s="90"/>
      <c r="F353" s="198"/>
      <c r="G353" s="214"/>
      <c r="H353" s="199"/>
      <c r="I353" s="78"/>
      <c r="J353" s="79"/>
      <c r="K353" s="78"/>
      <c r="L353" s="80"/>
      <c r="M353" s="80"/>
      <c r="N353" s="78" t="s">
        <v>39</v>
      </c>
      <c r="O353" s="113"/>
      <c r="P353" s="155"/>
      <c r="Q353" s="114" t="str">
        <f>IFERROR(MIN(VLOOKUP(ROUNDDOWN(P353,0),'Aide calcul'!$B$2:$C$282,2,FALSE),O353+1),"")</f>
        <v/>
      </c>
      <c r="R353" s="115" t="str">
        <f t="shared" si="85"/>
        <v/>
      </c>
      <c r="S353" s="155"/>
      <c r="T353" s="155"/>
      <c r="U353" s="155"/>
      <c r="V353" s="155"/>
      <c r="W353" s="155"/>
      <c r="X353" s="155"/>
      <c r="Y353" s="155"/>
      <c r="Z353" s="78"/>
      <c r="AA353" s="78"/>
      <c r="AB353" s="116" t="str">
        <f>IF(C353="3111. Logements",ROUND(VLOOKUP(C353,'Informations générales'!$C$66:$D$70,2,FALSE)*(AK353/$AL$27)/12,0)*12,IF(C353="3112. Logements",ROUND(VLOOKUP(C353,'Informations générales'!$C$66:$D$70,2,FALSE)*(AK353/$AM$27)/12,0)*12,IF(C353="3113. Logements",ROUND(VLOOKUP(C353,'Informations générales'!$C$66:$D$70,2,FALSE)*(AK353/$AN$27)/12,0)*12,IF(C353="3114. Logements",ROUND(VLOOKUP(C353,'Informations générales'!$C$66:$D$70,2,FALSE)*(AK353/$AO$27)/12,0)*12,IF(C353="3115. Logements",ROUND(VLOOKUP(C353,'Informations générales'!$C$66:$D$70,2,FALSE)*(AK353/$AP$27)/12,0)*12,"")))))</f>
        <v/>
      </c>
      <c r="AC353" s="117"/>
      <c r="AD353" s="116">
        <f t="shared" si="86"/>
        <v>0</v>
      </c>
      <c r="AE353" s="117"/>
      <c r="AF353" s="116" t="str">
        <f>IF(C353="3111. Logements",ROUND(VLOOKUP(C353,'Informations générales'!$C$66:$G$70,5,FALSE)*(AK353/$AL$27)/12,0)*12,IF(C353="3112. Logements",ROUND(VLOOKUP(C353,'Informations générales'!$C$66:$G$70,5,FALSE)*(AK353/$AM$27)/12,0)*12,IF(C353="3113. Logements",ROUND(VLOOKUP(C353,'Informations générales'!$C$66:$G$70,5,FALSE)*(AK353/$AN$27)/12,0)*12,IF(C353="3114. Logements",ROUND(VLOOKUP(C353,'Informations générales'!$C$66:$G$70,5,FALSE)*(AK353/$AO$27)/12,0)*12,IF(C353="3115. Logements",ROUND(VLOOKUP(C353,'Informations générales'!$C$66:$G$70,5,FALSE)*(AK353/$AP$27)/12,0)*12,"")))))</f>
        <v/>
      </c>
      <c r="AG353" s="117"/>
      <c r="AH353" s="116" t="str">
        <f t="shared" si="87"/>
        <v/>
      </c>
      <c r="AI353" s="92"/>
      <c r="AJ353" s="78"/>
      <c r="AK353" s="60">
        <f t="shared" si="88"/>
        <v>0</v>
      </c>
      <c r="AL353" s="60"/>
      <c r="AM353" s="60"/>
      <c r="AN353" s="60"/>
      <c r="AO353" s="60"/>
      <c r="AP353" s="60"/>
      <c r="AQ353" s="60">
        <f t="shared" si="78"/>
        <v>0</v>
      </c>
      <c r="AR353" s="60">
        <f t="shared" si="79"/>
        <v>0</v>
      </c>
      <c r="AS353" s="60">
        <f t="shared" si="80"/>
        <v>0</v>
      </c>
      <c r="AT353" s="60">
        <f t="shared" si="81"/>
        <v>0</v>
      </c>
      <c r="AU353" s="60">
        <f t="shared" si="82"/>
        <v>0</v>
      </c>
      <c r="AV353" s="60">
        <f t="shared" si="83"/>
        <v>0</v>
      </c>
      <c r="AW353" s="60">
        <f t="shared" si="84"/>
        <v>0</v>
      </c>
      <c r="AX353" s="60">
        <f t="shared" si="89"/>
        <v>0</v>
      </c>
      <c r="AY353" s="64">
        <f t="shared" si="90"/>
        <v>0</v>
      </c>
      <c r="AZ353" s="65">
        <f t="shared" si="91"/>
        <v>0</v>
      </c>
      <c r="BA353" s="65">
        <f t="shared" si="92"/>
        <v>0</v>
      </c>
    </row>
    <row r="354" spans="3:53" s="17" customFormat="1" x14ac:dyDescent="0.25">
      <c r="C354" s="194"/>
      <c r="D354" s="195"/>
      <c r="E354" s="90"/>
      <c r="F354" s="198"/>
      <c r="G354" s="214"/>
      <c r="H354" s="199"/>
      <c r="I354" s="78"/>
      <c r="J354" s="79"/>
      <c r="K354" s="78"/>
      <c r="L354" s="80"/>
      <c r="M354" s="80"/>
      <c r="N354" s="78" t="s">
        <v>39</v>
      </c>
      <c r="O354" s="113"/>
      <c r="P354" s="155"/>
      <c r="Q354" s="114" t="str">
        <f>IFERROR(MIN(VLOOKUP(ROUNDDOWN(P354,0),'Aide calcul'!$B$2:$C$282,2,FALSE),O354+1),"")</f>
        <v/>
      </c>
      <c r="R354" s="115" t="str">
        <f t="shared" si="85"/>
        <v/>
      </c>
      <c r="S354" s="155"/>
      <c r="T354" s="155"/>
      <c r="U354" s="155"/>
      <c r="V354" s="155"/>
      <c r="W354" s="155"/>
      <c r="X354" s="155"/>
      <c r="Y354" s="155"/>
      <c r="Z354" s="78"/>
      <c r="AA354" s="78"/>
      <c r="AB354" s="116" t="str">
        <f>IF(C354="3111. Logements",ROUND(VLOOKUP(C354,'Informations générales'!$C$66:$D$70,2,FALSE)*(AK354/$AL$27)/12,0)*12,IF(C354="3112. Logements",ROUND(VLOOKUP(C354,'Informations générales'!$C$66:$D$70,2,FALSE)*(AK354/$AM$27)/12,0)*12,IF(C354="3113. Logements",ROUND(VLOOKUP(C354,'Informations générales'!$C$66:$D$70,2,FALSE)*(AK354/$AN$27)/12,0)*12,IF(C354="3114. Logements",ROUND(VLOOKUP(C354,'Informations générales'!$C$66:$D$70,2,FALSE)*(AK354/$AO$27)/12,0)*12,IF(C354="3115. Logements",ROUND(VLOOKUP(C354,'Informations générales'!$C$66:$D$70,2,FALSE)*(AK354/$AP$27)/12,0)*12,"")))))</f>
        <v/>
      </c>
      <c r="AC354" s="117"/>
      <c r="AD354" s="116">
        <f t="shared" si="86"/>
        <v>0</v>
      </c>
      <c r="AE354" s="117"/>
      <c r="AF354" s="116" t="str">
        <f>IF(C354="3111. Logements",ROUND(VLOOKUP(C354,'Informations générales'!$C$66:$G$70,5,FALSE)*(AK354/$AL$27)/12,0)*12,IF(C354="3112. Logements",ROUND(VLOOKUP(C354,'Informations générales'!$C$66:$G$70,5,FALSE)*(AK354/$AM$27)/12,0)*12,IF(C354="3113. Logements",ROUND(VLOOKUP(C354,'Informations générales'!$C$66:$G$70,5,FALSE)*(AK354/$AN$27)/12,0)*12,IF(C354="3114. Logements",ROUND(VLOOKUP(C354,'Informations générales'!$C$66:$G$70,5,FALSE)*(AK354/$AO$27)/12,0)*12,IF(C354="3115. Logements",ROUND(VLOOKUP(C354,'Informations générales'!$C$66:$G$70,5,FALSE)*(AK354/$AP$27)/12,0)*12,"")))))</f>
        <v/>
      </c>
      <c r="AG354" s="117"/>
      <c r="AH354" s="116" t="str">
        <f t="shared" si="87"/>
        <v/>
      </c>
      <c r="AI354" s="92"/>
      <c r="AJ354" s="78"/>
      <c r="AK354" s="60">
        <f t="shared" si="88"/>
        <v>0</v>
      </c>
      <c r="AL354" s="60"/>
      <c r="AM354" s="60"/>
      <c r="AN354" s="60"/>
      <c r="AO354" s="60"/>
      <c r="AP354" s="60"/>
      <c r="AQ354" s="60">
        <f t="shared" si="78"/>
        <v>0</v>
      </c>
      <c r="AR354" s="60">
        <f t="shared" si="79"/>
        <v>0</v>
      </c>
      <c r="AS354" s="60">
        <f t="shared" si="80"/>
        <v>0</v>
      </c>
      <c r="AT354" s="60">
        <f t="shared" si="81"/>
        <v>0</v>
      </c>
      <c r="AU354" s="60">
        <f t="shared" si="82"/>
        <v>0</v>
      </c>
      <c r="AV354" s="60">
        <f t="shared" si="83"/>
        <v>0</v>
      </c>
      <c r="AW354" s="60">
        <f t="shared" si="84"/>
        <v>0</v>
      </c>
      <c r="AX354" s="60">
        <f t="shared" si="89"/>
        <v>0</v>
      </c>
      <c r="AY354" s="64">
        <f t="shared" si="90"/>
        <v>0</v>
      </c>
      <c r="AZ354" s="65">
        <f t="shared" si="91"/>
        <v>0</v>
      </c>
      <c r="BA354" s="65">
        <f t="shared" si="92"/>
        <v>0</v>
      </c>
    </row>
    <row r="355" spans="3:53" s="17" customFormat="1" x14ac:dyDescent="0.25">
      <c r="C355" s="194"/>
      <c r="D355" s="195"/>
      <c r="E355" s="90"/>
      <c r="F355" s="198"/>
      <c r="G355" s="214"/>
      <c r="H355" s="199"/>
      <c r="I355" s="78"/>
      <c r="J355" s="79"/>
      <c r="K355" s="78"/>
      <c r="L355" s="80"/>
      <c r="M355" s="80"/>
      <c r="N355" s="78" t="s">
        <v>39</v>
      </c>
      <c r="O355" s="113"/>
      <c r="P355" s="155"/>
      <c r="Q355" s="114" t="str">
        <f>IFERROR(MIN(VLOOKUP(ROUNDDOWN(P355,0),'Aide calcul'!$B$2:$C$282,2,FALSE),O355+1),"")</f>
        <v/>
      </c>
      <c r="R355" s="115" t="str">
        <f t="shared" si="85"/>
        <v/>
      </c>
      <c r="S355" s="155"/>
      <c r="T355" s="155"/>
      <c r="U355" s="155"/>
      <c r="V355" s="155"/>
      <c r="W355" s="155"/>
      <c r="X355" s="155"/>
      <c r="Y355" s="155"/>
      <c r="Z355" s="78"/>
      <c r="AA355" s="78"/>
      <c r="AB355" s="116" t="str">
        <f>IF(C355="3111. Logements",ROUND(VLOOKUP(C355,'Informations générales'!$C$66:$D$70,2,FALSE)*(AK355/$AL$27)/12,0)*12,IF(C355="3112. Logements",ROUND(VLOOKUP(C355,'Informations générales'!$C$66:$D$70,2,FALSE)*(AK355/$AM$27)/12,0)*12,IF(C355="3113. Logements",ROUND(VLOOKUP(C355,'Informations générales'!$C$66:$D$70,2,FALSE)*(AK355/$AN$27)/12,0)*12,IF(C355="3114. Logements",ROUND(VLOOKUP(C355,'Informations générales'!$C$66:$D$70,2,FALSE)*(AK355/$AO$27)/12,0)*12,IF(C355="3115. Logements",ROUND(VLOOKUP(C355,'Informations générales'!$C$66:$D$70,2,FALSE)*(AK355/$AP$27)/12,0)*12,"")))))</f>
        <v/>
      </c>
      <c r="AC355" s="117"/>
      <c r="AD355" s="116">
        <f t="shared" si="86"/>
        <v>0</v>
      </c>
      <c r="AE355" s="117"/>
      <c r="AF355" s="116" t="str">
        <f>IF(C355="3111. Logements",ROUND(VLOOKUP(C355,'Informations générales'!$C$66:$G$70,5,FALSE)*(AK355/$AL$27)/12,0)*12,IF(C355="3112. Logements",ROUND(VLOOKUP(C355,'Informations générales'!$C$66:$G$70,5,FALSE)*(AK355/$AM$27)/12,0)*12,IF(C355="3113. Logements",ROUND(VLOOKUP(C355,'Informations générales'!$C$66:$G$70,5,FALSE)*(AK355/$AN$27)/12,0)*12,IF(C355="3114. Logements",ROUND(VLOOKUP(C355,'Informations générales'!$C$66:$G$70,5,FALSE)*(AK355/$AO$27)/12,0)*12,IF(C355="3115. Logements",ROUND(VLOOKUP(C355,'Informations générales'!$C$66:$G$70,5,FALSE)*(AK355/$AP$27)/12,0)*12,"")))))</f>
        <v/>
      </c>
      <c r="AG355" s="117"/>
      <c r="AH355" s="116" t="str">
        <f t="shared" si="87"/>
        <v/>
      </c>
      <c r="AI355" s="92"/>
      <c r="AJ355" s="78"/>
      <c r="AK355" s="60">
        <f t="shared" si="88"/>
        <v>0</v>
      </c>
      <c r="AL355" s="60"/>
      <c r="AM355" s="60"/>
      <c r="AN355" s="60"/>
      <c r="AO355" s="60"/>
      <c r="AP355" s="60"/>
      <c r="AQ355" s="60">
        <f t="shared" si="78"/>
        <v>0</v>
      </c>
      <c r="AR355" s="60">
        <f t="shared" si="79"/>
        <v>0</v>
      </c>
      <c r="AS355" s="60">
        <f t="shared" si="80"/>
        <v>0</v>
      </c>
      <c r="AT355" s="60">
        <f t="shared" si="81"/>
        <v>0</v>
      </c>
      <c r="AU355" s="60">
        <f t="shared" si="82"/>
        <v>0</v>
      </c>
      <c r="AV355" s="60">
        <f t="shared" si="83"/>
        <v>0</v>
      </c>
      <c r="AW355" s="60">
        <f t="shared" si="84"/>
        <v>0</v>
      </c>
      <c r="AX355" s="60">
        <f t="shared" si="89"/>
        <v>0</v>
      </c>
      <c r="AY355" s="64">
        <f t="shared" si="90"/>
        <v>0</v>
      </c>
      <c r="AZ355" s="65">
        <f t="shared" si="91"/>
        <v>0</v>
      </c>
      <c r="BA355" s="65">
        <f t="shared" si="92"/>
        <v>0</v>
      </c>
    </row>
    <row r="356" spans="3:53" s="17" customFormat="1" x14ac:dyDescent="0.25">
      <c r="C356" s="194"/>
      <c r="D356" s="195"/>
      <c r="E356" s="90"/>
      <c r="F356" s="198"/>
      <c r="G356" s="214"/>
      <c r="H356" s="199"/>
      <c r="I356" s="78"/>
      <c r="J356" s="79"/>
      <c r="K356" s="78"/>
      <c r="L356" s="80"/>
      <c r="M356" s="80"/>
      <c r="N356" s="78" t="s">
        <v>39</v>
      </c>
      <c r="O356" s="113"/>
      <c r="P356" s="155"/>
      <c r="Q356" s="114" t="str">
        <f>IFERROR(MIN(VLOOKUP(ROUNDDOWN(P356,0),'Aide calcul'!$B$2:$C$282,2,FALSE),O356+1),"")</f>
        <v/>
      </c>
      <c r="R356" s="115" t="str">
        <f t="shared" si="85"/>
        <v/>
      </c>
      <c r="S356" s="155"/>
      <c r="T356" s="155"/>
      <c r="U356" s="155"/>
      <c r="V356" s="155"/>
      <c r="W356" s="155"/>
      <c r="X356" s="155"/>
      <c r="Y356" s="155"/>
      <c r="Z356" s="78"/>
      <c r="AA356" s="78"/>
      <c r="AB356" s="116" t="str">
        <f>IF(C356="3111. Logements",ROUND(VLOOKUP(C356,'Informations générales'!$C$66:$D$70,2,FALSE)*(AK356/$AL$27)/12,0)*12,IF(C356="3112. Logements",ROUND(VLOOKUP(C356,'Informations générales'!$C$66:$D$70,2,FALSE)*(AK356/$AM$27)/12,0)*12,IF(C356="3113. Logements",ROUND(VLOOKUP(C356,'Informations générales'!$C$66:$D$70,2,FALSE)*(AK356/$AN$27)/12,0)*12,IF(C356="3114. Logements",ROUND(VLOOKUP(C356,'Informations générales'!$C$66:$D$70,2,FALSE)*(AK356/$AO$27)/12,0)*12,IF(C356="3115. Logements",ROUND(VLOOKUP(C356,'Informations générales'!$C$66:$D$70,2,FALSE)*(AK356/$AP$27)/12,0)*12,"")))))</f>
        <v/>
      </c>
      <c r="AC356" s="117"/>
      <c r="AD356" s="116">
        <f t="shared" si="86"/>
        <v>0</v>
      </c>
      <c r="AE356" s="117"/>
      <c r="AF356" s="116" t="str">
        <f>IF(C356="3111. Logements",ROUND(VLOOKUP(C356,'Informations générales'!$C$66:$G$70,5,FALSE)*(AK356/$AL$27)/12,0)*12,IF(C356="3112. Logements",ROUND(VLOOKUP(C356,'Informations générales'!$C$66:$G$70,5,FALSE)*(AK356/$AM$27)/12,0)*12,IF(C356="3113. Logements",ROUND(VLOOKUP(C356,'Informations générales'!$C$66:$G$70,5,FALSE)*(AK356/$AN$27)/12,0)*12,IF(C356="3114. Logements",ROUND(VLOOKUP(C356,'Informations générales'!$C$66:$G$70,5,FALSE)*(AK356/$AO$27)/12,0)*12,IF(C356="3115. Logements",ROUND(VLOOKUP(C356,'Informations générales'!$C$66:$G$70,5,FALSE)*(AK356/$AP$27)/12,0)*12,"")))))</f>
        <v/>
      </c>
      <c r="AG356" s="117"/>
      <c r="AH356" s="116" t="str">
        <f t="shared" si="87"/>
        <v/>
      </c>
      <c r="AI356" s="92"/>
      <c r="AJ356" s="78"/>
      <c r="AK356" s="60">
        <f t="shared" si="88"/>
        <v>0</v>
      </c>
      <c r="AL356" s="60"/>
      <c r="AM356" s="60"/>
      <c r="AN356" s="60"/>
      <c r="AO356" s="60"/>
      <c r="AP356" s="60"/>
      <c r="AQ356" s="60">
        <f t="shared" si="78"/>
        <v>0</v>
      </c>
      <c r="AR356" s="60">
        <f t="shared" si="79"/>
        <v>0</v>
      </c>
      <c r="AS356" s="60">
        <f t="shared" si="80"/>
        <v>0</v>
      </c>
      <c r="AT356" s="60">
        <f t="shared" si="81"/>
        <v>0</v>
      </c>
      <c r="AU356" s="60">
        <f t="shared" si="82"/>
        <v>0</v>
      </c>
      <c r="AV356" s="60">
        <f t="shared" si="83"/>
        <v>0</v>
      </c>
      <c r="AW356" s="60">
        <f t="shared" si="84"/>
        <v>0</v>
      </c>
      <c r="AX356" s="60">
        <f t="shared" si="89"/>
        <v>0</v>
      </c>
      <c r="AY356" s="64">
        <f t="shared" si="90"/>
        <v>0</v>
      </c>
      <c r="AZ356" s="65">
        <f t="shared" si="91"/>
        <v>0</v>
      </c>
      <c r="BA356" s="65">
        <f t="shared" si="92"/>
        <v>0</v>
      </c>
    </row>
    <row r="357" spans="3:53" s="17" customFormat="1" x14ac:dyDescent="0.25">
      <c r="C357" s="194"/>
      <c r="D357" s="195"/>
      <c r="E357" s="90"/>
      <c r="F357" s="198"/>
      <c r="G357" s="214"/>
      <c r="H357" s="199"/>
      <c r="I357" s="78"/>
      <c r="J357" s="79"/>
      <c r="K357" s="78"/>
      <c r="L357" s="80"/>
      <c r="M357" s="80"/>
      <c r="N357" s="78" t="s">
        <v>39</v>
      </c>
      <c r="O357" s="113"/>
      <c r="P357" s="155"/>
      <c r="Q357" s="114" t="str">
        <f>IFERROR(MIN(VLOOKUP(ROUNDDOWN(P357,0),'Aide calcul'!$B$2:$C$282,2,FALSE),O357+1),"")</f>
        <v/>
      </c>
      <c r="R357" s="115" t="str">
        <f t="shared" si="85"/>
        <v/>
      </c>
      <c r="S357" s="155"/>
      <c r="T357" s="155"/>
      <c r="U357" s="155"/>
      <c r="V357" s="155"/>
      <c r="W357" s="155"/>
      <c r="X357" s="155"/>
      <c r="Y357" s="155"/>
      <c r="Z357" s="78"/>
      <c r="AA357" s="78"/>
      <c r="AB357" s="116" t="str">
        <f>IF(C357="3111. Logements",ROUND(VLOOKUP(C357,'Informations générales'!$C$66:$D$70,2,FALSE)*(AK357/$AL$27)/12,0)*12,IF(C357="3112. Logements",ROUND(VLOOKUP(C357,'Informations générales'!$C$66:$D$70,2,FALSE)*(AK357/$AM$27)/12,0)*12,IF(C357="3113. Logements",ROUND(VLOOKUP(C357,'Informations générales'!$C$66:$D$70,2,FALSE)*(AK357/$AN$27)/12,0)*12,IF(C357="3114. Logements",ROUND(VLOOKUP(C357,'Informations générales'!$C$66:$D$70,2,FALSE)*(AK357/$AO$27)/12,0)*12,IF(C357="3115. Logements",ROUND(VLOOKUP(C357,'Informations générales'!$C$66:$D$70,2,FALSE)*(AK357/$AP$27)/12,0)*12,"")))))</f>
        <v/>
      </c>
      <c r="AC357" s="117"/>
      <c r="AD357" s="116">
        <f t="shared" si="86"/>
        <v>0</v>
      </c>
      <c r="AE357" s="117"/>
      <c r="AF357" s="116" t="str">
        <f>IF(C357="3111. Logements",ROUND(VLOOKUP(C357,'Informations générales'!$C$66:$G$70,5,FALSE)*(AK357/$AL$27)/12,0)*12,IF(C357="3112. Logements",ROUND(VLOOKUP(C357,'Informations générales'!$C$66:$G$70,5,FALSE)*(AK357/$AM$27)/12,0)*12,IF(C357="3113. Logements",ROUND(VLOOKUP(C357,'Informations générales'!$C$66:$G$70,5,FALSE)*(AK357/$AN$27)/12,0)*12,IF(C357="3114. Logements",ROUND(VLOOKUP(C357,'Informations générales'!$C$66:$G$70,5,FALSE)*(AK357/$AO$27)/12,0)*12,IF(C357="3115. Logements",ROUND(VLOOKUP(C357,'Informations générales'!$C$66:$G$70,5,FALSE)*(AK357/$AP$27)/12,0)*12,"")))))</f>
        <v/>
      </c>
      <c r="AG357" s="117"/>
      <c r="AH357" s="116" t="str">
        <f t="shared" si="87"/>
        <v/>
      </c>
      <c r="AI357" s="92"/>
      <c r="AJ357" s="78"/>
      <c r="AK357" s="60">
        <f t="shared" si="88"/>
        <v>0</v>
      </c>
      <c r="AL357" s="60"/>
      <c r="AM357" s="60"/>
      <c r="AN357" s="60"/>
      <c r="AO357" s="60"/>
      <c r="AP357" s="60"/>
      <c r="AQ357" s="60">
        <f t="shared" si="78"/>
        <v>0</v>
      </c>
      <c r="AR357" s="60">
        <f t="shared" si="79"/>
        <v>0</v>
      </c>
      <c r="AS357" s="60">
        <f t="shared" si="80"/>
        <v>0</v>
      </c>
      <c r="AT357" s="60">
        <f t="shared" si="81"/>
        <v>0</v>
      </c>
      <c r="AU357" s="60">
        <f t="shared" si="82"/>
        <v>0</v>
      </c>
      <c r="AV357" s="60">
        <f t="shared" si="83"/>
        <v>0</v>
      </c>
      <c r="AW357" s="60">
        <f t="shared" si="84"/>
        <v>0</v>
      </c>
      <c r="AX357" s="60">
        <f t="shared" si="89"/>
        <v>0</v>
      </c>
      <c r="AY357" s="64">
        <f t="shared" si="90"/>
        <v>0</v>
      </c>
      <c r="AZ357" s="65">
        <f t="shared" si="91"/>
        <v>0</v>
      </c>
      <c r="BA357" s="65">
        <f t="shared" si="92"/>
        <v>0</v>
      </c>
    </row>
    <row r="358" spans="3:53" s="17" customFormat="1" x14ac:dyDescent="0.25">
      <c r="C358" s="194"/>
      <c r="D358" s="195"/>
      <c r="E358" s="90"/>
      <c r="F358" s="198"/>
      <c r="G358" s="214"/>
      <c r="H358" s="199"/>
      <c r="I358" s="78"/>
      <c r="J358" s="79"/>
      <c r="K358" s="78"/>
      <c r="L358" s="80"/>
      <c r="M358" s="80"/>
      <c r="N358" s="78" t="s">
        <v>39</v>
      </c>
      <c r="O358" s="113"/>
      <c r="P358" s="155"/>
      <c r="Q358" s="114" t="str">
        <f>IFERROR(MIN(VLOOKUP(ROUNDDOWN(P358,0),'Aide calcul'!$B$2:$C$282,2,FALSE),O358+1),"")</f>
        <v/>
      </c>
      <c r="R358" s="115" t="str">
        <f t="shared" si="85"/>
        <v/>
      </c>
      <c r="S358" s="155"/>
      <c r="T358" s="155"/>
      <c r="U358" s="155"/>
      <c r="V358" s="155"/>
      <c r="W358" s="155"/>
      <c r="X358" s="155"/>
      <c r="Y358" s="155"/>
      <c r="Z358" s="78"/>
      <c r="AA358" s="78"/>
      <c r="AB358" s="116" t="str">
        <f>IF(C358="3111. Logements",ROUND(VLOOKUP(C358,'Informations générales'!$C$66:$D$70,2,FALSE)*(AK358/$AL$27)/12,0)*12,IF(C358="3112. Logements",ROUND(VLOOKUP(C358,'Informations générales'!$C$66:$D$70,2,FALSE)*(AK358/$AM$27)/12,0)*12,IF(C358="3113. Logements",ROUND(VLOOKUP(C358,'Informations générales'!$C$66:$D$70,2,FALSE)*(AK358/$AN$27)/12,0)*12,IF(C358="3114. Logements",ROUND(VLOOKUP(C358,'Informations générales'!$C$66:$D$70,2,FALSE)*(AK358/$AO$27)/12,0)*12,IF(C358="3115. Logements",ROUND(VLOOKUP(C358,'Informations générales'!$C$66:$D$70,2,FALSE)*(AK358/$AP$27)/12,0)*12,"")))))</f>
        <v/>
      </c>
      <c r="AC358" s="117"/>
      <c r="AD358" s="116">
        <f t="shared" si="86"/>
        <v>0</v>
      </c>
      <c r="AE358" s="117"/>
      <c r="AF358" s="116" t="str">
        <f>IF(C358="3111. Logements",ROUND(VLOOKUP(C358,'Informations générales'!$C$66:$G$70,5,FALSE)*(AK358/$AL$27)/12,0)*12,IF(C358="3112. Logements",ROUND(VLOOKUP(C358,'Informations générales'!$C$66:$G$70,5,FALSE)*(AK358/$AM$27)/12,0)*12,IF(C358="3113. Logements",ROUND(VLOOKUP(C358,'Informations générales'!$C$66:$G$70,5,FALSE)*(AK358/$AN$27)/12,0)*12,IF(C358="3114. Logements",ROUND(VLOOKUP(C358,'Informations générales'!$C$66:$G$70,5,FALSE)*(AK358/$AO$27)/12,0)*12,IF(C358="3115. Logements",ROUND(VLOOKUP(C358,'Informations générales'!$C$66:$G$70,5,FALSE)*(AK358/$AP$27)/12,0)*12,"")))))</f>
        <v/>
      </c>
      <c r="AG358" s="117"/>
      <c r="AH358" s="116" t="str">
        <f t="shared" si="87"/>
        <v/>
      </c>
      <c r="AI358" s="92"/>
      <c r="AJ358" s="78"/>
      <c r="AK358" s="60">
        <f t="shared" si="88"/>
        <v>0</v>
      </c>
      <c r="AL358" s="60"/>
      <c r="AM358" s="60"/>
      <c r="AN358" s="60"/>
      <c r="AO358" s="60"/>
      <c r="AP358" s="60"/>
      <c r="AQ358" s="60">
        <f t="shared" si="78"/>
        <v>0</v>
      </c>
      <c r="AR358" s="60">
        <f t="shared" si="79"/>
        <v>0</v>
      </c>
      <c r="AS358" s="60">
        <f t="shared" si="80"/>
        <v>0</v>
      </c>
      <c r="AT358" s="60">
        <f t="shared" si="81"/>
        <v>0</v>
      </c>
      <c r="AU358" s="60">
        <f t="shared" si="82"/>
        <v>0</v>
      </c>
      <c r="AV358" s="60">
        <f t="shared" si="83"/>
        <v>0</v>
      </c>
      <c r="AW358" s="60">
        <f t="shared" si="84"/>
        <v>0</v>
      </c>
      <c r="AX358" s="60">
        <f t="shared" si="89"/>
        <v>0</v>
      </c>
      <c r="AY358" s="64">
        <f t="shared" si="90"/>
        <v>0</v>
      </c>
      <c r="AZ358" s="65">
        <f t="shared" si="91"/>
        <v>0</v>
      </c>
      <c r="BA358" s="65">
        <f t="shared" si="92"/>
        <v>0</v>
      </c>
    </row>
    <row r="359" spans="3:53" s="17" customFormat="1" x14ac:dyDescent="0.25">
      <c r="C359" s="194"/>
      <c r="D359" s="195"/>
      <c r="E359" s="90"/>
      <c r="F359" s="198"/>
      <c r="G359" s="214"/>
      <c r="H359" s="199"/>
      <c r="I359" s="78"/>
      <c r="J359" s="79"/>
      <c r="K359" s="78"/>
      <c r="L359" s="80"/>
      <c r="M359" s="80"/>
      <c r="N359" s="78" t="s">
        <v>39</v>
      </c>
      <c r="O359" s="113"/>
      <c r="P359" s="155"/>
      <c r="Q359" s="114" t="str">
        <f>IFERROR(MIN(VLOOKUP(ROUNDDOWN(P359,0),'Aide calcul'!$B$2:$C$282,2,FALSE),O359+1),"")</f>
        <v/>
      </c>
      <c r="R359" s="115" t="str">
        <f t="shared" si="85"/>
        <v/>
      </c>
      <c r="S359" s="155"/>
      <c r="T359" s="155"/>
      <c r="U359" s="155"/>
      <c r="V359" s="155"/>
      <c r="W359" s="155"/>
      <c r="X359" s="155"/>
      <c r="Y359" s="155"/>
      <c r="Z359" s="78"/>
      <c r="AA359" s="78"/>
      <c r="AB359" s="116" t="str">
        <f>IF(C359="3111. Logements",ROUND(VLOOKUP(C359,'Informations générales'!$C$66:$D$70,2,FALSE)*(AK359/$AL$27)/12,0)*12,IF(C359="3112. Logements",ROUND(VLOOKUP(C359,'Informations générales'!$C$66:$D$70,2,FALSE)*(AK359/$AM$27)/12,0)*12,IF(C359="3113. Logements",ROUND(VLOOKUP(C359,'Informations générales'!$C$66:$D$70,2,FALSE)*(AK359/$AN$27)/12,0)*12,IF(C359="3114. Logements",ROUND(VLOOKUP(C359,'Informations générales'!$C$66:$D$70,2,FALSE)*(AK359/$AO$27)/12,0)*12,IF(C359="3115. Logements",ROUND(VLOOKUP(C359,'Informations générales'!$C$66:$D$70,2,FALSE)*(AK359/$AP$27)/12,0)*12,"")))))</f>
        <v/>
      </c>
      <c r="AC359" s="117"/>
      <c r="AD359" s="116">
        <f t="shared" si="86"/>
        <v>0</v>
      </c>
      <c r="AE359" s="117"/>
      <c r="AF359" s="116" t="str">
        <f>IF(C359="3111. Logements",ROUND(VLOOKUP(C359,'Informations générales'!$C$66:$G$70,5,FALSE)*(AK359/$AL$27)/12,0)*12,IF(C359="3112. Logements",ROUND(VLOOKUP(C359,'Informations générales'!$C$66:$G$70,5,FALSE)*(AK359/$AM$27)/12,0)*12,IF(C359="3113. Logements",ROUND(VLOOKUP(C359,'Informations générales'!$C$66:$G$70,5,FALSE)*(AK359/$AN$27)/12,0)*12,IF(C359="3114. Logements",ROUND(VLOOKUP(C359,'Informations générales'!$C$66:$G$70,5,FALSE)*(AK359/$AO$27)/12,0)*12,IF(C359="3115. Logements",ROUND(VLOOKUP(C359,'Informations générales'!$C$66:$G$70,5,FALSE)*(AK359/$AP$27)/12,0)*12,"")))))</f>
        <v/>
      </c>
      <c r="AG359" s="117"/>
      <c r="AH359" s="116" t="str">
        <f t="shared" si="87"/>
        <v/>
      </c>
      <c r="AI359" s="92"/>
      <c r="AJ359" s="78"/>
      <c r="AK359" s="60">
        <f t="shared" si="88"/>
        <v>0</v>
      </c>
      <c r="AL359" s="60"/>
      <c r="AM359" s="60"/>
      <c r="AN359" s="60"/>
      <c r="AO359" s="60"/>
      <c r="AP359" s="60"/>
      <c r="AQ359" s="60">
        <f t="shared" si="78"/>
        <v>0</v>
      </c>
      <c r="AR359" s="60">
        <f t="shared" si="79"/>
        <v>0</v>
      </c>
      <c r="AS359" s="60">
        <f t="shared" si="80"/>
        <v>0</v>
      </c>
      <c r="AT359" s="60">
        <f t="shared" si="81"/>
        <v>0</v>
      </c>
      <c r="AU359" s="60">
        <f t="shared" si="82"/>
        <v>0</v>
      </c>
      <c r="AV359" s="60">
        <f t="shared" si="83"/>
        <v>0</v>
      </c>
      <c r="AW359" s="60">
        <f t="shared" si="84"/>
        <v>0</v>
      </c>
      <c r="AX359" s="60">
        <f t="shared" si="89"/>
        <v>0</v>
      </c>
      <c r="AY359" s="64">
        <f t="shared" si="90"/>
        <v>0</v>
      </c>
      <c r="AZ359" s="65">
        <f t="shared" si="91"/>
        <v>0</v>
      </c>
      <c r="BA359" s="65">
        <f t="shared" si="92"/>
        <v>0</v>
      </c>
    </row>
    <row r="360" spans="3:53" s="17" customFormat="1" x14ac:dyDescent="0.25">
      <c r="C360" s="194"/>
      <c r="D360" s="195"/>
      <c r="E360" s="90"/>
      <c r="F360" s="198"/>
      <c r="G360" s="214"/>
      <c r="H360" s="199"/>
      <c r="I360" s="78"/>
      <c r="J360" s="79"/>
      <c r="K360" s="78"/>
      <c r="L360" s="80"/>
      <c r="M360" s="80"/>
      <c r="N360" s="78" t="s">
        <v>39</v>
      </c>
      <c r="O360" s="113"/>
      <c r="P360" s="155"/>
      <c r="Q360" s="114" t="str">
        <f>IFERROR(MIN(VLOOKUP(ROUNDDOWN(P360,0),'Aide calcul'!$B$2:$C$282,2,FALSE),O360+1),"")</f>
        <v/>
      </c>
      <c r="R360" s="115" t="str">
        <f t="shared" si="85"/>
        <v/>
      </c>
      <c r="S360" s="155"/>
      <c r="T360" s="155"/>
      <c r="U360" s="155"/>
      <c r="V360" s="155"/>
      <c r="W360" s="155"/>
      <c r="X360" s="155"/>
      <c r="Y360" s="155"/>
      <c r="Z360" s="78"/>
      <c r="AA360" s="78"/>
      <c r="AB360" s="116" t="str">
        <f>IF(C360="3111. Logements",ROUND(VLOOKUP(C360,'Informations générales'!$C$66:$D$70,2,FALSE)*(AK360/$AL$27)/12,0)*12,IF(C360="3112. Logements",ROUND(VLOOKUP(C360,'Informations générales'!$C$66:$D$70,2,FALSE)*(AK360/$AM$27)/12,0)*12,IF(C360="3113. Logements",ROUND(VLOOKUP(C360,'Informations générales'!$C$66:$D$70,2,FALSE)*(AK360/$AN$27)/12,0)*12,IF(C360="3114. Logements",ROUND(VLOOKUP(C360,'Informations générales'!$C$66:$D$70,2,FALSE)*(AK360/$AO$27)/12,0)*12,IF(C360="3115. Logements",ROUND(VLOOKUP(C360,'Informations générales'!$C$66:$D$70,2,FALSE)*(AK360/$AP$27)/12,0)*12,"")))))</f>
        <v/>
      </c>
      <c r="AC360" s="117"/>
      <c r="AD360" s="116">
        <f t="shared" si="86"/>
        <v>0</v>
      </c>
      <c r="AE360" s="117"/>
      <c r="AF360" s="116" t="str">
        <f>IF(C360="3111. Logements",ROUND(VLOOKUP(C360,'Informations générales'!$C$66:$G$70,5,FALSE)*(AK360/$AL$27)/12,0)*12,IF(C360="3112. Logements",ROUND(VLOOKUP(C360,'Informations générales'!$C$66:$G$70,5,FALSE)*(AK360/$AM$27)/12,0)*12,IF(C360="3113. Logements",ROUND(VLOOKUP(C360,'Informations générales'!$C$66:$G$70,5,FALSE)*(AK360/$AN$27)/12,0)*12,IF(C360="3114. Logements",ROUND(VLOOKUP(C360,'Informations générales'!$C$66:$G$70,5,FALSE)*(AK360/$AO$27)/12,0)*12,IF(C360="3115. Logements",ROUND(VLOOKUP(C360,'Informations générales'!$C$66:$G$70,5,FALSE)*(AK360/$AP$27)/12,0)*12,"")))))</f>
        <v/>
      </c>
      <c r="AG360" s="117"/>
      <c r="AH360" s="116" t="str">
        <f t="shared" si="87"/>
        <v/>
      </c>
      <c r="AI360" s="92"/>
      <c r="AJ360" s="78"/>
      <c r="AK360" s="60">
        <f t="shared" si="88"/>
        <v>0</v>
      </c>
      <c r="AL360" s="60"/>
      <c r="AM360" s="60"/>
      <c r="AN360" s="60"/>
      <c r="AO360" s="60"/>
      <c r="AP360" s="60"/>
      <c r="AQ360" s="60">
        <f t="shared" si="78"/>
        <v>0</v>
      </c>
      <c r="AR360" s="60">
        <f t="shared" si="79"/>
        <v>0</v>
      </c>
      <c r="AS360" s="60">
        <f t="shared" si="80"/>
        <v>0</v>
      </c>
      <c r="AT360" s="60">
        <f t="shared" si="81"/>
        <v>0</v>
      </c>
      <c r="AU360" s="60">
        <f t="shared" si="82"/>
        <v>0</v>
      </c>
      <c r="AV360" s="60">
        <f t="shared" si="83"/>
        <v>0</v>
      </c>
      <c r="AW360" s="60">
        <f t="shared" si="84"/>
        <v>0</v>
      </c>
      <c r="AX360" s="60">
        <f t="shared" si="89"/>
        <v>0</v>
      </c>
      <c r="AY360" s="64">
        <f t="shared" si="90"/>
        <v>0</v>
      </c>
      <c r="AZ360" s="65">
        <f t="shared" si="91"/>
        <v>0</v>
      </c>
      <c r="BA360" s="65">
        <f t="shared" si="92"/>
        <v>0</v>
      </c>
    </row>
    <row r="361" spans="3:53" s="17" customFormat="1" x14ac:dyDescent="0.25">
      <c r="C361" s="194"/>
      <c r="D361" s="195"/>
      <c r="E361" s="90"/>
      <c r="F361" s="198"/>
      <c r="G361" s="214"/>
      <c r="H361" s="199"/>
      <c r="I361" s="78"/>
      <c r="J361" s="79"/>
      <c r="K361" s="78"/>
      <c r="L361" s="80"/>
      <c r="M361" s="80"/>
      <c r="N361" s="78" t="s">
        <v>39</v>
      </c>
      <c r="O361" s="113"/>
      <c r="P361" s="155"/>
      <c r="Q361" s="114" t="str">
        <f>IFERROR(MIN(VLOOKUP(ROUNDDOWN(P361,0),'Aide calcul'!$B$2:$C$282,2,FALSE),O361+1),"")</f>
        <v/>
      </c>
      <c r="R361" s="115" t="str">
        <f t="shared" si="85"/>
        <v/>
      </c>
      <c r="S361" s="155"/>
      <c r="T361" s="155"/>
      <c r="U361" s="155"/>
      <c r="V361" s="155"/>
      <c r="W361" s="155"/>
      <c r="X361" s="155"/>
      <c r="Y361" s="155"/>
      <c r="Z361" s="78"/>
      <c r="AA361" s="78"/>
      <c r="AB361" s="116" t="str">
        <f>IF(C361="3111. Logements",ROUND(VLOOKUP(C361,'Informations générales'!$C$66:$D$70,2,FALSE)*(AK361/$AL$27)/12,0)*12,IF(C361="3112. Logements",ROUND(VLOOKUP(C361,'Informations générales'!$C$66:$D$70,2,FALSE)*(AK361/$AM$27)/12,0)*12,IF(C361="3113. Logements",ROUND(VLOOKUP(C361,'Informations générales'!$C$66:$D$70,2,FALSE)*(AK361/$AN$27)/12,0)*12,IF(C361="3114. Logements",ROUND(VLOOKUP(C361,'Informations générales'!$C$66:$D$70,2,FALSE)*(AK361/$AO$27)/12,0)*12,IF(C361="3115. Logements",ROUND(VLOOKUP(C361,'Informations générales'!$C$66:$D$70,2,FALSE)*(AK361/$AP$27)/12,0)*12,"")))))</f>
        <v/>
      </c>
      <c r="AC361" s="117"/>
      <c r="AD361" s="116">
        <f t="shared" si="86"/>
        <v>0</v>
      </c>
      <c r="AE361" s="117"/>
      <c r="AF361" s="116" t="str">
        <f>IF(C361="3111. Logements",ROUND(VLOOKUP(C361,'Informations générales'!$C$66:$G$70,5,FALSE)*(AK361/$AL$27)/12,0)*12,IF(C361="3112. Logements",ROUND(VLOOKUP(C361,'Informations générales'!$C$66:$G$70,5,FALSE)*(AK361/$AM$27)/12,0)*12,IF(C361="3113. Logements",ROUND(VLOOKUP(C361,'Informations générales'!$C$66:$G$70,5,FALSE)*(AK361/$AN$27)/12,0)*12,IF(C361="3114. Logements",ROUND(VLOOKUP(C361,'Informations générales'!$C$66:$G$70,5,FALSE)*(AK361/$AO$27)/12,0)*12,IF(C361="3115. Logements",ROUND(VLOOKUP(C361,'Informations générales'!$C$66:$G$70,5,FALSE)*(AK361/$AP$27)/12,0)*12,"")))))</f>
        <v/>
      </c>
      <c r="AG361" s="117"/>
      <c r="AH361" s="116" t="str">
        <f t="shared" si="87"/>
        <v/>
      </c>
      <c r="AI361" s="92"/>
      <c r="AJ361" s="78"/>
      <c r="AK361" s="60">
        <f t="shared" si="88"/>
        <v>0</v>
      </c>
      <c r="AL361" s="60"/>
      <c r="AM361" s="60"/>
      <c r="AN361" s="60"/>
      <c r="AO361" s="60"/>
      <c r="AP361" s="60"/>
      <c r="AQ361" s="60">
        <f t="shared" si="78"/>
        <v>0</v>
      </c>
      <c r="AR361" s="60">
        <f t="shared" si="79"/>
        <v>0</v>
      </c>
      <c r="AS361" s="60">
        <f t="shared" si="80"/>
        <v>0</v>
      </c>
      <c r="AT361" s="60">
        <f t="shared" si="81"/>
        <v>0</v>
      </c>
      <c r="AU361" s="60">
        <f t="shared" si="82"/>
        <v>0</v>
      </c>
      <c r="AV361" s="60">
        <f t="shared" si="83"/>
        <v>0</v>
      </c>
      <c r="AW361" s="60">
        <f t="shared" si="84"/>
        <v>0</v>
      </c>
      <c r="AX361" s="60">
        <f t="shared" si="89"/>
        <v>0</v>
      </c>
      <c r="AY361" s="64">
        <f t="shared" si="90"/>
        <v>0</v>
      </c>
      <c r="AZ361" s="65">
        <f t="shared" si="91"/>
        <v>0</v>
      </c>
      <c r="BA361" s="65">
        <f t="shared" si="92"/>
        <v>0</v>
      </c>
    </row>
    <row r="362" spans="3:53" s="17" customFormat="1" x14ac:dyDescent="0.25">
      <c r="C362" s="194"/>
      <c r="D362" s="195"/>
      <c r="E362" s="90"/>
      <c r="F362" s="198"/>
      <c r="G362" s="214"/>
      <c r="H362" s="199"/>
      <c r="I362" s="78"/>
      <c r="J362" s="79"/>
      <c r="K362" s="78"/>
      <c r="L362" s="80"/>
      <c r="M362" s="80"/>
      <c r="N362" s="78" t="s">
        <v>39</v>
      </c>
      <c r="O362" s="113"/>
      <c r="P362" s="155"/>
      <c r="Q362" s="114" t="str">
        <f>IFERROR(MIN(VLOOKUP(ROUNDDOWN(P362,0),'Aide calcul'!$B$2:$C$282,2,FALSE),O362+1),"")</f>
        <v/>
      </c>
      <c r="R362" s="115" t="str">
        <f t="shared" si="85"/>
        <v/>
      </c>
      <c r="S362" s="155"/>
      <c r="T362" s="155"/>
      <c r="U362" s="155"/>
      <c r="V362" s="155"/>
      <c r="W362" s="155"/>
      <c r="X362" s="155"/>
      <c r="Y362" s="155"/>
      <c r="Z362" s="78"/>
      <c r="AA362" s="78"/>
      <c r="AB362" s="116" t="str">
        <f>IF(C362="3111. Logements",ROUND(VLOOKUP(C362,'Informations générales'!$C$66:$D$70,2,FALSE)*(AK362/$AL$27)/12,0)*12,IF(C362="3112. Logements",ROUND(VLOOKUP(C362,'Informations générales'!$C$66:$D$70,2,FALSE)*(AK362/$AM$27)/12,0)*12,IF(C362="3113. Logements",ROUND(VLOOKUP(C362,'Informations générales'!$C$66:$D$70,2,FALSE)*(AK362/$AN$27)/12,0)*12,IF(C362="3114. Logements",ROUND(VLOOKUP(C362,'Informations générales'!$C$66:$D$70,2,FALSE)*(AK362/$AO$27)/12,0)*12,IF(C362="3115. Logements",ROUND(VLOOKUP(C362,'Informations générales'!$C$66:$D$70,2,FALSE)*(AK362/$AP$27)/12,0)*12,"")))))</f>
        <v/>
      </c>
      <c r="AC362" s="117"/>
      <c r="AD362" s="116">
        <f t="shared" si="86"/>
        <v>0</v>
      </c>
      <c r="AE362" s="117"/>
      <c r="AF362" s="116" t="str">
        <f>IF(C362="3111. Logements",ROUND(VLOOKUP(C362,'Informations générales'!$C$66:$G$70,5,FALSE)*(AK362/$AL$27)/12,0)*12,IF(C362="3112. Logements",ROUND(VLOOKUP(C362,'Informations générales'!$C$66:$G$70,5,FALSE)*(AK362/$AM$27)/12,0)*12,IF(C362="3113. Logements",ROUND(VLOOKUP(C362,'Informations générales'!$C$66:$G$70,5,FALSE)*(AK362/$AN$27)/12,0)*12,IF(C362="3114. Logements",ROUND(VLOOKUP(C362,'Informations générales'!$C$66:$G$70,5,FALSE)*(AK362/$AO$27)/12,0)*12,IF(C362="3115. Logements",ROUND(VLOOKUP(C362,'Informations générales'!$C$66:$G$70,5,FALSE)*(AK362/$AP$27)/12,0)*12,"")))))</f>
        <v/>
      </c>
      <c r="AG362" s="117"/>
      <c r="AH362" s="116" t="str">
        <f t="shared" si="87"/>
        <v/>
      </c>
      <c r="AI362" s="92"/>
      <c r="AJ362" s="78"/>
      <c r="AK362" s="60">
        <f t="shared" si="88"/>
        <v>0</v>
      </c>
      <c r="AL362" s="60"/>
      <c r="AM362" s="60"/>
      <c r="AN362" s="60"/>
      <c r="AO362" s="60"/>
      <c r="AP362" s="60"/>
      <c r="AQ362" s="60">
        <f t="shared" si="78"/>
        <v>0</v>
      </c>
      <c r="AR362" s="60">
        <f t="shared" si="79"/>
        <v>0</v>
      </c>
      <c r="AS362" s="60">
        <f t="shared" si="80"/>
        <v>0</v>
      </c>
      <c r="AT362" s="60">
        <f t="shared" si="81"/>
        <v>0</v>
      </c>
      <c r="AU362" s="60">
        <f t="shared" si="82"/>
        <v>0</v>
      </c>
      <c r="AV362" s="60">
        <f t="shared" si="83"/>
        <v>0</v>
      </c>
      <c r="AW362" s="60">
        <f t="shared" si="84"/>
        <v>0</v>
      </c>
      <c r="AX362" s="60">
        <f t="shared" si="89"/>
        <v>0</v>
      </c>
      <c r="AY362" s="64">
        <f t="shared" si="90"/>
        <v>0</v>
      </c>
      <c r="AZ362" s="65">
        <f t="shared" si="91"/>
        <v>0</v>
      </c>
      <c r="BA362" s="65">
        <f t="shared" si="92"/>
        <v>0</v>
      </c>
    </row>
    <row r="363" spans="3:53" s="17" customFormat="1" x14ac:dyDescent="0.25">
      <c r="C363" s="194"/>
      <c r="D363" s="195"/>
      <c r="E363" s="90"/>
      <c r="F363" s="198"/>
      <c r="G363" s="214"/>
      <c r="H363" s="199"/>
      <c r="I363" s="78"/>
      <c r="J363" s="79"/>
      <c r="K363" s="78"/>
      <c r="L363" s="80"/>
      <c r="M363" s="80"/>
      <c r="N363" s="78" t="s">
        <v>39</v>
      </c>
      <c r="O363" s="113"/>
      <c r="P363" s="155"/>
      <c r="Q363" s="114" t="str">
        <f>IFERROR(MIN(VLOOKUP(ROUNDDOWN(P363,0),'Aide calcul'!$B$2:$C$282,2,FALSE),O363+1),"")</f>
        <v/>
      </c>
      <c r="R363" s="115" t="str">
        <f t="shared" si="85"/>
        <v/>
      </c>
      <c r="S363" s="155"/>
      <c r="T363" s="155"/>
      <c r="U363" s="155"/>
      <c r="V363" s="155"/>
      <c r="W363" s="155"/>
      <c r="X363" s="155"/>
      <c r="Y363" s="155"/>
      <c r="Z363" s="78"/>
      <c r="AA363" s="78"/>
      <c r="AB363" s="116" t="str">
        <f>IF(C363="3111. Logements",ROUND(VLOOKUP(C363,'Informations générales'!$C$66:$D$70,2,FALSE)*(AK363/$AL$27)/12,0)*12,IF(C363="3112. Logements",ROUND(VLOOKUP(C363,'Informations générales'!$C$66:$D$70,2,FALSE)*(AK363/$AM$27)/12,0)*12,IF(C363="3113. Logements",ROUND(VLOOKUP(C363,'Informations générales'!$C$66:$D$70,2,FALSE)*(AK363/$AN$27)/12,0)*12,IF(C363="3114. Logements",ROUND(VLOOKUP(C363,'Informations générales'!$C$66:$D$70,2,FALSE)*(AK363/$AO$27)/12,0)*12,IF(C363="3115. Logements",ROUND(VLOOKUP(C363,'Informations générales'!$C$66:$D$70,2,FALSE)*(AK363/$AP$27)/12,0)*12,"")))))</f>
        <v/>
      </c>
      <c r="AC363" s="117"/>
      <c r="AD363" s="116">
        <f t="shared" si="86"/>
        <v>0</v>
      </c>
      <c r="AE363" s="117"/>
      <c r="AF363" s="116" t="str">
        <f>IF(C363="3111. Logements",ROUND(VLOOKUP(C363,'Informations générales'!$C$66:$G$70,5,FALSE)*(AK363/$AL$27)/12,0)*12,IF(C363="3112. Logements",ROUND(VLOOKUP(C363,'Informations générales'!$C$66:$G$70,5,FALSE)*(AK363/$AM$27)/12,0)*12,IF(C363="3113. Logements",ROUND(VLOOKUP(C363,'Informations générales'!$C$66:$G$70,5,FALSE)*(AK363/$AN$27)/12,0)*12,IF(C363="3114. Logements",ROUND(VLOOKUP(C363,'Informations générales'!$C$66:$G$70,5,FALSE)*(AK363/$AO$27)/12,0)*12,IF(C363="3115. Logements",ROUND(VLOOKUP(C363,'Informations générales'!$C$66:$G$70,5,FALSE)*(AK363/$AP$27)/12,0)*12,"")))))</f>
        <v/>
      </c>
      <c r="AG363" s="117"/>
      <c r="AH363" s="116" t="str">
        <f t="shared" si="87"/>
        <v/>
      </c>
      <c r="AI363" s="92"/>
      <c r="AJ363" s="78"/>
      <c r="AK363" s="60">
        <f t="shared" si="88"/>
        <v>0</v>
      </c>
      <c r="AL363" s="60"/>
      <c r="AM363" s="60"/>
      <c r="AN363" s="60"/>
      <c r="AO363" s="60"/>
      <c r="AP363" s="60"/>
      <c r="AQ363" s="60">
        <f t="shared" si="78"/>
        <v>0</v>
      </c>
      <c r="AR363" s="60">
        <f t="shared" si="79"/>
        <v>0</v>
      </c>
      <c r="AS363" s="60">
        <f t="shared" si="80"/>
        <v>0</v>
      </c>
      <c r="AT363" s="60">
        <f t="shared" si="81"/>
        <v>0</v>
      </c>
      <c r="AU363" s="60">
        <f t="shared" si="82"/>
        <v>0</v>
      </c>
      <c r="AV363" s="60">
        <f t="shared" si="83"/>
        <v>0</v>
      </c>
      <c r="AW363" s="60">
        <f t="shared" si="84"/>
        <v>0</v>
      </c>
      <c r="AX363" s="60">
        <f t="shared" si="89"/>
        <v>0</v>
      </c>
      <c r="AY363" s="64">
        <f t="shared" si="90"/>
        <v>0</v>
      </c>
      <c r="AZ363" s="65">
        <f t="shared" si="91"/>
        <v>0</v>
      </c>
      <c r="BA363" s="65">
        <f t="shared" si="92"/>
        <v>0</v>
      </c>
    </row>
    <row r="364" spans="3:53" s="17" customFormat="1" x14ac:dyDescent="0.25">
      <c r="C364" s="194"/>
      <c r="D364" s="195"/>
      <c r="E364" s="90"/>
      <c r="F364" s="198"/>
      <c r="G364" s="214"/>
      <c r="H364" s="199"/>
      <c r="I364" s="78"/>
      <c r="J364" s="79"/>
      <c r="K364" s="78"/>
      <c r="L364" s="80"/>
      <c r="M364" s="80"/>
      <c r="N364" s="78" t="s">
        <v>39</v>
      </c>
      <c r="O364" s="113"/>
      <c r="P364" s="155"/>
      <c r="Q364" s="114" t="str">
        <f>IFERROR(MIN(VLOOKUP(ROUNDDOWN(P364,0),'Aide calcul'!$B$2:$C$282,2,FALSE),O364+1),"")</f>
        <v/>
      </c>
      <c r="R364" s="115" t="str">
        <f t="shared" si="85"/>
        <v/>
      </c>
      <c r="S364" s="155"/>
      <c r="T364" s="155"/>
      <c r="U364" s="155"/>
      <c r="V364" s="155"/>
      <c r="W364" s="155"/>
      <c r="X364" s="155"/>
      <c r="Y364" s="155"/>
      <c r="Z364" s="78"/>
      <c r="AA364" s="78"/>
      <c r="AB364" s="116" t="str">
        <f>IF(C364="3111. Logements",ROUND(VLOOKUP(C364,'Informations générales'!$C$66:$D$70,2,FALSE)*(AK364/$AL$27)/12,0)*12,IF(C364="3112. Logements",ROUND(VLOOKUP(C364,'Informations générales'!$C$66:$D$70,2,FALSE)*(AK364/$AM$27)/12,0)*12,IF(C364="3113. Logements",ROUND(VLOOKUP(C364,'Informations générales'!$C$66:$D$70,2,FALSE)*(AK364/$AN$27)/12,0)*12,IF(C364="3114. Logements",ROUND(VLOOKUP(C364,'Informations générales'!$C$66:$D$70,2,FALSE)*(AK364/$AO$27)/12,0)*12,IF(C364="3115. Logements",ROUND(VLOOKUP(C364,'Informations générales'!$C$66:$D$70,2,FALSE)*(AK364/$AP$27)/12,0)*12,"")))))</f>
        <v/>
      </c>
      <c r="AC364" s="117"/>
      <c r="AD364" s="116">
        <f t="shared" si="86"/>
        <v>0</v>
      </c>
      <c r="AE364" s="117"/>
      <c r="AF364" s="116" t="str">
        <f>IF(C364="3111. Logements",ROUND(VLOOKUP(C364,'Informations générales'!$C$66:$G$70,5,FALSE)*(AK364/$AL$27)/12,0)*12,IF(C364="3112. Logements",ROUND(VLOOKUP(C364,'Informations générales'!$C$66:$G$70,5,FALSE)*(AK364/$AM$27)/12,0)*12,IF(C364="3113. Logements",ROUND(VLOOKUP(C364,'Informations générales'!$C$66:$G$70,5,FALSE)*(AK364/$AN$27)/12,0)*12,IF(C364="3114. Logements",ROUND(VLOOKUP(C364,'Informations générales'!$C$66:$G$70,5,FALSE)*(AK364/$AO$27)/12,0)*12,IF(C364="3115. Logements",ROUND(VLOOKUP(C364,'Informations générales'!$C$66:$G$70,5,FALSE)*(AK364/$AP$27)/12,0)*12,"")))))</f>
        <v/>
      </c>
      <c r="AG364" s="117"/>
      <c r="AH364" s="116" t="str">
        <f t="shared" si="87"/>
        <v/>
      </c>
      <c r="AI364" s="92"/>
      <c r="AJ364" s="78"/>
      <c r="AK364" s="60">
        <f t="shared" si="88"/>
        <v>0</v>
      </c>
      <c r="AL364" s="60"/>
      <c r="AM364" s="60"/>
      <c r="AN364" s="60"/>
      <c r="AO364" s="60"/>
      <c r="AP364" s="60"/>
      <c r="AQ364" s="60">
        <f t="shared" si="78"/>
        <v>0</v>
      </c>
      <c r="AR364" s="60">
        <f t="shared" si="79"/>
        <v>0</v>
      </c>
      <c r="AS364" s="60">
        <f t="shared" si="80"/>
        <v>0</v>
      </c>
      <c r="AT364" s="60">
        <f t="shared" si="81"/>
        <v>0</v>
      </c>
      <c r="AU364" s="60">
        <f t="shared" si="82"/>
        <v>0</v>
      </c>
      <c r="AV364" s="60">
        <f t="shared" si="83"/>
        <v>0</v>
      </c>
      <c r="AW364" s="60">
        <f t="shared" si="84"/>
        <v>0</v>
      </c>
      <c r="AX364" s="60">
        <f t="shared" si="89"/>
        <v>0</v>
      </c>
      <c r="AY364" s="64">
        <f t="shared" si="90"/>
        <v>0</v>
      </c>
      <c r="AZ364" s="65">
        <f t="shared" si="91"/>
        <v>0</v>
      </c>
      <c r="BA364" s="65">
        <f t="shared" si="92"/>
        <v>0</v>
      </c>
    </row>
    <row r="365" spans="3:53" s="17" customFormat="1" x14ac:dyDescent="0.25">
      <c r="C365" s="194"/>
      <c r="D365" s="195"/>
      <c r="E365" s="90"/>
      <c r="F365" s="198"/>
      <c r="G365" s="214"/>
      <c r="H365" s="199"/>
      <c r="I365" s="78"/>
      <c r="J365" s="79"/>
      <c r="K365" s="78"/>
      <c r="L365" s="80"/>
      <c r="M365" s="80"/>
      <c r="N365" s="78" t="s">
        <v>39</v>
      </c>
      <c r="O365" s="113"/>
      <c r="P365" s="155"/>
      <c r="Q365" s="114" t="str">
        <f>IFERROR(MIN(VLOOKUP(ROUNDDOWN(P365,0),'Aide calcul'!$B$2:$C$282,2,FALSE),O365+1),"")</f>
        <v/>
      </c>
      <c r="R365" s="115" t="str">
        <f t="shared" si="85"/>
        <v/>
      </c>
      <c r="S365" s="155"/>
      <c r="T365" s="155"/>
      <c r="U365" s="155"/>
      <c r="V365" s="155"/>
      <c r="W365" s="155"/>
      <c r="X365" s="155"/>
      <c r="Y365" s="155"/>
      <c r="Z365" s="78"/>
      <c r="AA365" s="78"/>
      <c r="AB365" s="116" t="str">
        <f>IF(C365="3111. Logements",ROUND(VLOOKUP(C365,'Informations générales'!$C$66:$D$70,2,FALSE)*(AK365/$AL$27)/12,0)*12,IF(C365="3112. Logements",ROUND(VLOOKUP(C365,'Informations générales'!$C$66:$D$70,2,FALSE)*(AK365/$AM$27)/12,0)*12,IF(C365="3113. Logements",ROUND(VLOOKUP(C365,'Informations générales'!$C$66:$D$70,2,FALSE)*(AK365/$AN$27)/12,0)*12,IF(C365="3114. Logements",ROUND(VLOOKUP(C365,'Informations générales'!$C$66:$D$70,2,FALSE)*(AK365/$AO$27)/12,0)*12,IF(C365="3115. Logements",ROUND(VLOOKUP(C365,'Informations générales'!$C$66:$D$70,2,FALSE)*(AK365/$AP$27)/12,0)*12,"")))))</f>
        <v/>
      </c>
      <c r="AC365" s="117"/>
      <c r="AD365" s="116">
        <f t="shared" si="86"/>
        <v>0</v>
      </c>
      <c r="AE365" s="117"/>
      <c r="AF365" s="116" t="str">
        <f>IF(C365="3111. Logements",ROUND(VLOOKUP(C365,'Informations générales'!$C$66:$G$70,5,FALSE)*(AK365/$AL$27)/12,0)*12,IF(C365="3112. Logements",ROUND(VLOOKUP(C365,'Informations générales'!$C$66:$G$70,5,FALSE)*(AK365/$AM$27)/12,0)*12,IF(C365="3113. Logements",ROUND(VLOOKUP(C365,'Informations générales'!$C$66:$G$70,5,FALSE)*(AK365/$AN$27)/12,0)*12,IF(C365="3114. Logements",ROUND(VLOOKUP(C365,'Informations générales'!$C$66:$G$70,5,FALSE)*(AK365/$AO$27)/12,0)*12,IF(C365="3115. Logements",ROUND(VLOOKUP(C365,'Informations générales'!$C$66:$G$70,5,FALSE)*(AK365/$AP$27)/12,0)*12,"")))))</f>
        <v/>
      </c>
      <c r="AG365" s="117"/>
      <c r="AH365" s="116" t="str">
        <f t="shared" si="87"/>
        <v/>
      </c>
      <c r="AI365" s="92"/>
      <c r="AJ365" s="78"/>
      <c r="AK365" s="60">
        <f t="shared" si="88"/>
        <v>0</v>
      </c>
      <c r="AL365" s="60"/>
      <c r="AM365" s="60"/>
      <c r="AN365" s="60"/>
      <c r="AO365" s="60"/>
      <c r="AP365" s="60"/>
      <c r="AQ365" s="60">
        <f t="shared" si="78"/>
        <v>0</v>
      </c>
      <c r="AR365" s="60">
        <f t="shared" si="79"/>
        <v>0</v>
      </c>
      <c r="AS365" s="60">
        <f t="shared" si="80"/>
        <v>0</v>
      </c>
      <c r="AT365" s="60">
        <f t="shared" si="81"/>
        <v>0</v>
      </c>
      <c r="AU365" s="60">
        <f t="shared" si="82"/>
        <v>0</v>
      </c>
      <c r="AV365" s="60">
        <f t="shared" si="83"/>
        <v>0</v>
      </c>
      <c r="AW365" s="60">
        <f t="shared" si="84"/>
        <v>0</v>
      </c>
      <c r="AX365" s="60">
        <f t="shared" si="89"/>
        <v>0</v>
      </c>
      <c r="AY365" s="64">
        <f t="shared" si="90"/>
        <v>0</v>
      </c>
      <c r="AZ365" s="65">
        <f t="shared" si="91"/>
        <v>0</v>
      </c>
      <c r="BA365" s="65">
        <f t="shared" si="92"/>
        <v>0</v>
      </c>
    </row>
    <row r="366" spans="3:53" s="17" customFormat="1" x14ac:dyDescent="0.25">
      <c r="C366" s="194"/>
      <c r="D366" s="195"/>
      <c r="E366" s="90"/>
      <c r="F366" s="198"/>
      <c r="G366" s="214"/>
      <c r="H366" s="199"/>
      <c r="I366" s="78"/>
      <c r="J366" s="79"/>
      <c r="K366" s="78"/>
      <c r="L366" s="80"/>
      <c r="M366" s="80"/>
      <c r="N366" s="78" t="s">
        <v>39</v>
      </c>
      <c r="O366" s="113"/>
      <c r="P366" s="155"/>
      <c r="Q366" s="114" t="str">
        <f>IFERROR(MIN(VLOOKUP(ROUNDDOWN(P366,0),'Aide calcul'!$B$2:$C$282,2,FALSE),O366+1),"")</f>
        <v/>
      </c>
      <c r="R366" s="115" t="str">
        <f t="shared" si="85"/>
        <v/>
      </c>
      <c r="S366" s="155"/>
      <c r="T366" s="155"/>
      <c r="U366" s="155"/>
      <c r="V366" s="155"/>
      <c r="W366" s="155"/>
      <c r="X366" s="155"/>
      <c r="Y366" s="155"/>
      <c r="Z366" s="78"/>
      <c r="AA366" s="78"/>
      <c r="AB366" s="116" t="str">
        <f>IF(C366="3111. Logements",ROUND(VLOOKUP(C366,'Informations générales'!$C$66:$D$70,2,FALSE)*(AK366/$AL$27)/12,0)*12,IF(C366="3112. Logements",ROUND(VLOOKUP(C366,'Informations générales'!$C$66:$D$70,2,FALSE)*(AK366/$AM$27)/12,0)*12,IF(C366="3113. Logements",ROUND(VLOOKUP(C366,'Informations générales'!$C$66:$D$70,2,FALSE)*(AK366/$AN$27)/12,0)*12,IF(C366="3114. Logements",ROUND(VLOOKUP(C366,'Informations générales'!$C$66:$D$70,2,FALSE)*(AK366/$AO$27)/12,0)*12,IF(C366="3115. Logements",ROUND(VLOOKUP(C366,'Informations générales'!$C$66:$D$70,2,FALSE)*(AK366/$AP$27)/12,0)*12,"")))))</f>
        <v/>
      </c>
      <c r="AC366" s="117"/>
      <c r="AD366" s="116">
        <f t="shared" si="86"/>
        <v>0</v>
      </c>
      <c r="AE366" s="117"/>
      <c r="AF366" s="116" t="str">
        <f>IF(C366="3111. Logements",ROUND(VLOOKUP(C366,'Informations générales'!$C$66:$G$70,5,FALSE)*(AK366/$AL$27)/12,0)*12,IF(C366="3112. Logements",ROUND(VLOOKUP(C366,'Informations générales'!$C$66:$G$70,5,FALSE)*(AK366/$AM$27)/12,0)*12,IF(C366="3113. Logements",ROUND(VLOOKUP(C366,'Informations générales'!$C$66:$G$70,5,FALSE)*(AK366/$AN$27)/12,0)*12,IF(C366="3114. Logements",ROUND(VLOOKUP(C366,'Informations générales'!$C$66:$G$70,5,FALSE)*(AK366/$AO$27)/12,0)*12,IF(C366="3115. Logements",ROUND(VLOOKUP(C366,'Informations générales'!$C$66:$G$70,5,FALSE)*(AK366/$AP$27)/12,0)*12,"")))))</f>
        <v/>
      </c>
      <c r="AG366" s="117"/>
      <c r="AH366" s="116" t="str">
        <f t="shared" si="87"/>
        <v/>
      </c>
      <c r="AI366" s="92"/>
      <c r="AJ366" s="78"/>
      <c r="AK366" s="60">
        <f t="shared" si="88"/>
        <v>0</v>
      </c>
      <c r="AL366" s="60"/>
      <c r="AM366" s="60"/>
      <c r="AN366" s="60"/>
      <c r="AO366" s="60"/>
      <c r="AP366" s="60"/>
      <c r="AQ366" s="60">
        <f t="shared" si="78"/>
        <v>0</v>
      </c>
      <c r="AR366" s="60">
        <f t="shared" si="79"/>
        <v>0</v>
      </c>
      <c r="AS366" s="60">
        <f t="shared" si="80"/>
        <v>0</v>
      </c>
      <c r="AT366" s="60">
        <f t="shared" si="81"/>
        <v>0</v>
      </c>
      <c r="AU366" s="60">
        <f t="shared" si="82"/>
        <v>0</v>
      </c>
      <c r="AV366" s="60">
        <f t="shared" si="83"/>
        <v>0</v>
      </c>
      <c r="AW366" s="60">
        <f t="shared" si="84"/>
        <v>0</v>
      </c>
      <c r="AX366" s="60">
        <f t="shared" si="89"/>
        <v>0</v>
      </c>
      <c r="AY366" s="64">
        <f t="shared" si="90"/>
        <v>0</v>
      </c>
      <c r="AZ366" s="65">
        <f t="shared" si="91"/>
        <v>0</v>
      </c>
      <c r="BA366" s="65">
        <f t="shared" si="92"/>
        <v>0</v>
      </c>
    </row>
    <row r="367" spans="3:53" s="17" customFormat="1" x14ac:dyDescent="0.25">
      <c r="C367" s="194"/>
      <c r="D367" s="195"/>
      <c r="E367" s="90"/>
      <c r="F367" s="198"/>
      <c r="G367" s="214"/>
      <c r="H367" s="199"/>
      <c r="I367" s="78"/>
      <c r="J367" s="79"/>
      <c r="K367" s="78"/>
      <c r="L367" s="80"/>
      <c r="M367" s="80"/>
      <c r="N367" s="78" t="s">
        <v>39</v>
      </c>
      <c r="O367" s="113"/>
      <c r="P367" s="155"/>
      <c r="Q367" s="114" t="str">
        <f>IFERROR(MIN(VLOOKUP(ROUNDDOWN(P367,0),'Aide calcul'!$B$2:$C$282,2,FALSE),O367+1),"")</f>
        <v/>
      </c>
      <c r="R367" s="115" t="str">
        <f t="shared" si="85"/>
        <v/>
      </c>
      <c r="S367" s="155"/>
      <c r="T367" s="155"/>
      <c r="U367" s="155"/>
      <c r="V367" s="155"/>
      <c r="W367" s="155"/>
      <c r="X367" s="155"/>
      <c r="Y367" s="155"/>
      <c r="Z367" s="78"/>
      <c r="AA367" s="78"/>
      <c r="AB367" s="116" t="str">
        <f>IF(C367="3111. Logements",ROUND(VLOOKUP(C367,'Informations générales'!$C$66:$D$70,2,FALSE)*(AK367/$AL$27)/12,0)*12,IF(C367="3112. Logements",ROUND(VLOOKUP(C367,'Informations générales'!$C$66:$D$70,2,FALSE)*(AK367/$AM$27)/12,0)*12,IF(C367="3113. Logements",ROUND(VLOOKUP(C367,'Informations générales'!$C$66:$D$70,2,FALSE)*(AK367/$AN$27)/12,0)*12,IF(C367="3114. Logements",ROUND(VLOOKUP(C367,'Informations générales'!$C$66:$D$70,2,FALSE)*(AK367/$AO$27)/12,0)*12,IF(C367="3115. Logements",ROUND(VLOOKUP(C367,'Informations générales'!$C$66:$D$70,2,FALSE)*(AK367/$AP$27)/12,0)*12,"")))))</f>
        <v/>
      </c>
      <c r="AC367" s="117"/>
      <c r="AD367" s="116">
        <f t="shared" si="86"/>
        <v>0</v>
      </c>
      <c r="AE367" s="117"/>
      <c r="AF367" s="116" t="str">
        <f>IF(C367="3111. Logements",ROUND(VLOOKUP(C367,'Informations générales'!$C$66:$G$70,5,FALSE)*(AK367/$AL$27)/12,0)*12,IF(C367="3112. Logements",ROUND(VLOOKUP(C367,'Informations générales'!$C$66:$G$70,5,FALSE)*(AK367/$AM$27)/12,0)*12,IF(C367="3113. Logements",ROUND(VLOOKUP(C367,'Informations générales'!$C$66:$G$70,5,FALSE)*(AK367/$AN$27)/12,0)*12,IF(C367="3114. Logements",ROUND(VLOOKUP(C367,'Informations générales'!$C$66:$G$70,5,FALSE)*(AK367/$AO$27)/12,0)*12,IF(C367="3115. Logements",ROUND(VLOOKUP(C367,'Informations générales'!$C$66:$G$70,5,FALSE)*(AK367/$AP$27)/12,0)*12,"")))))</f>
        <v/>
      </c>
      <c r="AG367" s="117"/>
      <c r="AH367" s="116" t="str">
        <f t="shared" si="87"/>
        <v/>
      </c>
      <c r="AI367" s="92"/>
      <c r="AJ367" s="78"/>
      <c r="AK367" s="60">
        <f t="shared" si="88"/>
        <v>0</v>
      </c>
      <c r="AL367" s="60"/>
      <c r="AM367" s="60"/>
      <c r="AN367" s="60"/>
      <c r="AO367" s="60"/>
      <c r="AP367" s="60"/>
      <c r="AQ367" s="60">
        <f t="shared" si="78"/>
        <v>0</v>
      </c>
      <c r="AR367" s="60">
        <f t="shared" si="79"/>
        <v>0</v>
      </c>
      <c r="AS367" s="60">
        <f t="shared" si="80"/>
        <v>0</v>
      </c>
      <c r="AT367" s="60">
        <f t="shared" si="81"/>
        <v>0</v>
      </c>
      <c r="AU367" s="60">
        <f t="shared" si="82"/>
        <v>0</v>
      </c>
      <c r="AV367" s="60">
        <f t="shared" si="83"/>
        <v>0</v>
      </c>
      <c r="AW367" s="60">
        <f t="shared" si="84"/>
        <v>0</v>
      </c>
      <c r="AX367" s="60">
        <f t="shared" si="89"/>
        <v>0</v>
      </c>
      <c r="AY367" s="64">
        <f t="shared" si="90"/>
        <v>0</v>
      </c>
      <c r="AZ367" s="65">
        <f t="shared" si="91"/>
        <v>0</v>
      </c>
      <c r="BA367" s="65">
        <f t="shared" si="92"/>
        <v>0</v>
      </c>
    </row>
    <row r="368" spans="3:53" s="17" customFormat="1" x14ac:dyDescent="0.25">
      <c r="C368" s="194"/>
      <c r="D368" s="195"/>
      <c r="E368" s="90"/>
      <c r="F368" s="198"/>
      <c r="G368" s="214"/>
      <c r="H368" s="199"/>
      <c r="I368" s="78"/>
      <c r="J368" s="79"/>
      <c r="K368" s="78"/>
      <c r="L368" s="80"/>
      <c r="M368" s="80"/>
      <c r="N368" s="78" t="s">
        <v>39</v>
      </c>
      <c r="O368" s="113"/>
      <c r="P368" s="155"/>
      <c r="Q368" s="114" t="str">
        <f>IFERROR(MIN(VLOOKUP(ROUNDDOWN(P368,0),'Aide calcul'!$B$2:$C$282,2,FALSE),O368+1),"")</f>
        <v/>
      </c>
      <c r="R368" s="115" t="str">
        <f t="shared" si="85"/>
        <v/>
      </c>
      <c r="S368" s="155"/>
      <c r="T368" s="155"/>
      <c r="U368" s="155"/>
      <c r="V368" s="155"/>
      <c r="W368" s="155"/>
      <c r="X368" s="155"/>
      <c r="Y368" s="155"/>
      <c r="Z368" s="78"/>
      <c r="AA368" s="78"/>
      <c r="AB368" s="116" t="str">
        <f>IF(C368="3111. Logements",ROUND(VLOOKUP(C368,'Informations générales'!$C$66:$D$70,2,FALSE)*(AK368/$AL$27)/12,0)*12,IF(C368="3112. Logements",ROUND(VLOOKUP(C368,'Informations générales'!$C$66:$D$70,2,FALSE)*(AK368/$AM$27)/12,0)*12,IF(C368="3113. Logements",ROUND(VLOOKUP(C368,'Informations générales'!$C$66:$D$70,2,FALSE)*(AK368/$AN$27)/12,0)*12,IF(C368="3114. Logements",ROUND(VLOOKUP(C368,'Informations générales'!$C$66:$D$70,2,FALSE)*(AK368/$AO$27)/12,0)*12,IF(C368="3115. Logements",ROUND(VLOOKUP(C368,'Informations générales'!$C$66:$D$70,2,FALSE)*(AK368/$AP$27)/12,0)*12,"")))))</f>
        <v/>
      </c>
      <c r="AC368" s="117"/>
      <c r="AD368" s="116">
        <f t="shared" si="86"/>
        <v>0</v>
      </c>
      <c r="AE368" s="117"/>
      <c r="AF368" s="116" t="str">
        <f>IF(C368="3111. Logements",ROUND(VLOOKUP(C368,'Informations générales'!$C$66:$G$70,5,FALSE)*(AK368/$AL$27)/12,0)*12,IF(C368="3112. Logements",ROUND(VLOOKUP(C368,'Informations générales'!$C$66:$G$70,5,FALSE)*(AK368/$AM$27)/12,0)*12,IF(C368="3113. Logements",ROUND(VLOOKUP(C368,'Informations générales'!$C$66:$G$70,5,FALSE)*(AK368/$AN$27)/12,0)*12,IF(C368="3114. Logements",ROUND(VLOOKUP(C368,'Informations générales'!$C$66:$G$70,5,FALSE)*(AK368/$AO$27)/12,0)*12,IF(C368="3115. Logements",ROUND(VLOOKUP(C368,'Informations générales'!$C$66:$G$70,5,FALSE)*(AK368/$AP$27)/12,0)*12,"")))))</f>
        <v/>
      </c>
      <c r="AG368" s="117"/>
      <c r="AH368" s="116" t="str">
        <f t="shared" si="87"/>
        <v/>
      </c>
      <c r="AI368" s="92"/>
      <c r="AJ368" s="78"/>
      <c r="AK368" s="60">
        <f t="shared" si="88"/>
        <v>0</v>
      </c>
      <c r="AL368" s="60"/>
      <c r="AM368" s="60"/>
      <c r="AN368" s="60"/>
      <c r="AO368" s="60"/>
      <c r="AP368" s="60"/>
      <c r="AQ368" s="60">
        <f t="shared" si="78"/>
        <v>0</v>
      </c>
      <c r="AR368" s="60">
        <f t="shared" si="79"/>
        <v>0</v>
      </c>
      <c r="AS368" s="60">
        <f t="shared" si="80"/>
        <v>0</v>
      </c>
      <c r="AT368" s="60">
        <f t="shared" si="81"/>
        <v>0</v>
      </c>
      <c r="AU368" s="60">
        <f t="shared" si="82"/>
        <v>0</v>
      </c>
      <c r="AV368" s="60">
        <f t="shared" si="83"/>
        <v>0</v>
      </c>
      <c r="AW368" s="60">
        <f t="shared" si="84"/>
        <v>0</v>
      </c>
      <c r="AX368" s="60">
        <f t="shared" si="89"/>
        <v>0</v>
      </c>
      <c r="AY368" s="64">
        <f t="shared" si="90"/>
        <v>0</v>
      </c>
      <c r="AZ368" s="65">
        <f t="shared" si="91"/>
        <v>0</v>
      </c>
      <c r="BA368" s="65">
        <f t="shared" si="92"/>
        <v>0</v>
      </c>
    </row>
    <row r="369" spans="3:53" s="17" customFormat="1" x14ac:dyDescent="0.25">
      <c r="C369" s="194"/>
      <c r="D369" s="195"/>
      <c r="E369" s="90"/>
      <c r="F369" s="198"/>
      <c r="G369" s="214"/>
      <c r="H369" s="199"/>
      <c r="I369" s="78"/>
      <c r="J369" s="79"/>
      <c r="K369" s="78"/>
      <c r="L369" s="80"/>
      <c r="M369" s="80"/>
      <c r="N369" s="78" t="s">
        <v>39</v>
      </c>
      <c r="O369" s="113"/>
      <c r="P369" s="155"/>
      <c r="Q369" s="114" t="str">
        <f>IFERROR(MIN(VLOOKUP(ROUNDDOWN(P369,0),'Aide calcul'!$B$2:$C$282,2,FALSE),O369+1),"")</f>
        <v/>
      </c>
      <c r="R369" s="115" t="str">
        <f t="shared" si="85"/>
        <v/>
      </c>
      <c r="S369" s="155"/>
      <c r="T369" s="155"/>
      <c r="U369" s="155"/>
      <c r="V369" s="155"/>
      <c r="W369" s="155"/>
      <c r="X369" s="155"/>
      <c r="Y369" s="155"/>
      <c r="Z369" s="78"/>
      <c r="AA369" s="78"/>
      <c r="AB369" s="116" t="str">
        <f>IF(C369="3111. Logements",ROUND(VLOOKUP(C369,'Informations générales'!$C$66:$D$70,2,FALSE)*(AK369/$AL$27)/12,0)*12,IF(C369="3112. Logements",ROUND(VLOOKUP(C369,'Informations générales'!$C$66:$D$70,2,FALSE)*(AK369/$AM$27)/12,0)*12,IF(C369="3113. Logements",ROUND(VLOOKUP(C369,'Informations générales'!$C$66:$D$70,2,FALSE)*(AK369/$AN$27)/12,0)*12,IF(C369="3114. Logements",ROUND(VLOOKUP(C369,'Informations générales'!$C$66:$D$70,2,FALSE)*(AK369/$AO$27)/12,0)*12,IF(C369="3115. Logements",ROUND(VLOOKUP(C369,'Informations générales'!$C$66:$D$70,2,FALSE)*(AK369/$AP$27)/12,0)*12,"")))))</f>
        <v/>
      </c>
      <c r="AC369" s="117"/>
      <c r="AD369" s="116">
        <f t="shared" si="86"/>
        <v>0</v>
      </c>
      <c r="AE369" s="117"/>
      <c r="AF369" s="116" t="str">
        <f>IF(C369="3111. Logements",ROUND(VLOOKUP(C369,'Informations générales'!$C$66:$G$70,5,FALSE)*(AK369/$AL$27)/12,0)*12,IF(C369="3112. Logements",ROUND(VLOOKUP(C369,'Informations générales'!$C$66:$G$70,5,FALSE)*(AK369/$AM$27)/12,0)*12,IF(C369="3113. Logements",ROUND(VLOOKUP(C369,'Informations générales'!$C$66:$G$70,5,FALSE)*(AK369/$AN$27)/12,0)*12,IF(C369="3114. Logements",ROUND(VLOOKUP(C369,'Informations générales'!$C$66:$G$70,5,FALSE)*(AK369/$AO$27)/12,0)*12,IF(C369="3115. Logements",ROUND(VLOOKUP(C369,'Informations générales'!$C$66:$G$70,5,FALSE)*(AK369/$AP$27)/12,0)*12,"")))))</f>
        <v/>
      </c>
      <c r="AG369" s="117"/>
      <c r="AH369" s="116" t="str">
        <f t="shared" si="87"/>
        <v/>
      </c>
      <c r="AI369" s="92"/>
      <c r="AJ369" s="78"/>
      <c r="AK369" s="60">
        <f t="shared" si="88"/>
        <v>0</v>
      </c>
      <c r="AL369" s="60"/>
      <c r="AM369" s="60"/>
      <c r="AN369" s="60"/>
      <c r="AO369" s="60"/>
      <c r="AP369" s="60"/>
      <c r="AQ369" s="60">
        <f t="shared" si="78"/>
        <v>0</v>
      </c>
      <c r="AR369" s="60">
        <f t="shared" si="79"/>
        <v>0</v>
      </c>
      <c r="AS369" s="60">
        <f t="shared" si="80"/>
        <v>0</v>
      </c>
      <c r="AT369" s="60">
        <f t="shared" si="81"/>
        <v>0</v>
      </c>
      <c r="AU369" s="60">
        <f t="shared" si="82"/>
        <v>0</v>
      </c>
      <c r="AV369" s="60">
        <f t="shared" si="83"/>
        <v>0</v>
      </c>
      <c r="AW369" s="60">
        <f t="shared" si="84"/>
        <v>0</v>
      </c>
      <c r="AX369" s="60">
        <f t="shared" si="89"/>
        <v>0</v>
      </c>
      <c r="AY369" s="64">
        <f t="shared" si="90"/>
        <v>0</v>
      </c>
      <c r="AZ369" s="65">
        <f t="shared" si="91"/>
        <v>0</v>
      </c>
      <c r="BA369" s="65">
        <f t="shared" si="92"/>
        <v>0</v>
      </c>
    </row>
    <row r="370" spans="3:53" s="17" customFormat="1" x14ac:dyDescent="0.25">
      <c r="C370" s="194"/>
      <c r="D370" s="195"/>
      <c r="E370" s="90"/>
      <c r="F370" s="198"/>
      <c r="G370" s="214"/>
      <c r="H370" s="199"/>
      <c r="I370" s="78"/>
      <c r="J370" s="79"/>
      <c r="K370" s="78"/>
      <c r="L370" s="80"/>
      <c r="M370" s="80"/>
      <c r="N370" s="78" t="s">
        <v>39</v>
      </c>
      <c r="O370" s="113"/>
      <c r="P370" s="155"/>
      <c r="Q370" s="114" t="str">
        <f>IFERROR(MIN(VLOOKUP(ROUNDDOWN(P370,0),'Aide calcul'!$B$2:$C$282,2,FALSE),O370+1),"")</f>
        <v/>
      </c>
      <c r="R370" s="115" t="str">
        <f t="shared" si="85"/>
        <v/>
      </c>
      <c r="S370" s="155"/>
      <c r="T370" s="155"/>
      <c r="U370" s="155"/>
      <c r="V370" s="155"/>
      <c r="W370" s="155"/>
      <c r="X370" s="155"/>
      <c r="Y370" s="155"/>
      <c r="Z370" s="78"/>
      <c r="AA370" s="78"/>
      <c r="AB370" s="116" t="str">
        <f>IF(C370="3111. Logements",ROUND(VLOOKUP(C370,'Informations générales'!$C$66:$D$70,2,FALSE)*(AK370/$AL$27)/12,0)*12,IF(C370="3112. Logements",ROUND(VLOOKUP(C370,'Informations générales'!$C$66:$D$70,2,FALSE)*(AK370/$AM$27)/12,0)*12,IF(C370="3113. Logements",ROUND(VLOOKUP(C370,'Informations générales'!$C$66:$D$70,2,FALSE)*(AK370/$AN$27)/12,0)*12,IF(C370="3114. Logements",ROUND(VLOOKUP(C370,'Informations générales'!$C$66:$D$70,2,FALSE)*(AK370/$AO$27)/12,0)*12,IF(C370="3115. Logements",ROUND(VLOOKUP(C370,'Informations générales'!$C$66:$D$70,2,FALSE)*(AK370/$AP$27)/12,0)*12,"")))))</f>
        <v/>
      </c>
      <c r="AC370" s="117"/>
      <c r="AD370" s="116">
        <f t="shared" si="86"/>
        <v>0</v>
      </c>
      <c r="AE370" s="117"/>
      <c r="AF370" s="116" t="str">
        <f>IF(C370="3111. Logements",ROUND(VLOOKUP(C370,'Informations générales'!$C$66:$G$70,5,FALSE)*(AK370/$AL$27)/12,0)*12,IF(C370="3112. Logements",ROUND(VLOOKUP(C370,'Informations générales'!$C$66:$G$70,5,FALSE)*(AK370/$AM$27)/12,0)*12,IF(C370="3113. Logements",ROUND(VLOOKUP(C370,'Informations générales'!$C$66:$G$70,5,FALSE)*(AK370/$AN$27)/12,0)*12,IF(C370="3114. Logements",ROUND(VLOOKUP(C370,'Informations générales'!$C$66:$G$70,5,FALSE)*(AK370/$AO$27)/12,0)*12,IF(C370="3115. Logements",ROUND(VLOOKUP(C370,'Informations générales'!$C$66:$G$70,5,FALSE)*(AK370/$AP$27)/12,0)*12,"")))))</f>
        <v/>
      </c>
      <c r="AG370" s="117"/>
      <c r="AH370" s="116" t="str">
        <f t="shared" si="87"/>
        <v/>
      </c>
      <c r="AI370" s="92"/>
      <c r="AJ370" s="78"/>
      <c r="AK370" s="60">
        <f t="shared" si="88"/>
        <v>0</v>
      </c>
      <c r="AL370" s="60"/>
      <c r="AM370" s="60"/>
      <c r="AN370" s="60"/>
      <c r="AO370" s="60"/>
      <c r="AP370" s="60"/>
      <c r="AQ370" s="60">
        <f t="shared" si="78"/>
        <v>0</v>
      </c>
      <c r="AR370" s="60">
        <f t="shared" si="79"/>
        <v>0</v>
      </c>
      <c r="AS370" s="60">
        <f t="shared" si="80"/>
        <v>0</v>
      </c>
      <c r="AT370" s="60">
        <f t="shared" si="81"/>
        <v>0</v>
      </c>
      <c r="AU370" s="60">
        <f t="shared" si="82"/>
        <v>0</v>
      </c>
      <c r="AV370" s="60">
        <f t="shared" si="83"/>
        <v>0</v>
      </c>
      <c r="AW370" s="60">
        <f t="shared" si="84"/>
        <v>0</v>
      </c>
      <c r="AX370" s="60">
        <f t="shared" si="89"/>
        <v>0</v>
      </c>
      <c r="AY370" s="64">
        <f t="shared" si="90"/>
        <v>0</v>
      </c>
      <c r="AZ370" s="65">
        <f t="shared" si="91"/>
        <v>0</v>
      </c>
      <c r="BA370" s="65">
        <f t="shared" si="92"/>
        <v>0</v>
      </c>
    </row>
    <row r="371" spans="3:53" s="17" customFormat="1" x14ac:dyDescent="0.25">
      <c r="C371" s="194"/>
      <c r="D371" s="195"/>
      <c r="E371" s="90"/>
      <c r="F371" s="198"/>
      <c r="G371" s="214"/>
      <c r="H371" s="199"/>
      <c r="I371" s="78"/>
      <c r="J371" s="79"/>
      <c r="K371" s="78"/>
      <c r="L371" s="80"/>
      <c r="M371" s="80"/>
      <c r="N371" s="78" t="s">
        <v>39</v>
      </c>
      <c r="O371" s="113"/>
      <c r="P371" s="155"/>
      <c r="Q371" s="114" t="str">
        <f>IFERROR(MIN(VLOOKUP(ROUNDDOWN(P371,0),'Aide calcul'!$B$2:$C$282,2,FALSE),O371+1),"")</f>
        <v/>
      </c>
      <c r="R371" s="115" t="str">
        <f t="shared" si="85"/>
        <v/>
      </c>
      <c r="S371" s="155"/>
      <c r="T371" s="155"/>
      <c r="U371" s="155"/>
      <c r="V371" s="155"/>
      <c r="W371" s="155"/>
      <c r="X371" s="155"/>
      <c r="Y371" s="155"/>
      <c r="Z371" s="78"/>
      <c r="AA371" s="78"/>
      <c r="AB371" s="116" t="str">
        <f>IF(C371="3111. Logements",ROUND(VLOOKUP(C371,'Informations générales'!$C$66:$D$70,2,FALSE)*(AK371/$AL$27)/12,0)*12,IF(C371="3112. Logements",ROUND(VLOOKUP(C371,'Informations générales'!$C$66:$D$70,2,FALSE)*(AK371/$AM$27)/12,0)*12,IF(C371="3113. Logements",ROUND(VLOOKUP(C371,'Informations générales'!$C$66:$D$70,2,FALSE)*(AK371/$AN$27)/12,0)*12,IF(C371="3114. Logements",ROUND(VLOOKUP(C371,'Informations générales'!$C$66:$D$70,2,FALSE)*(AK371/$AO$27)/12,0)*12,IF(C371="3115. Logements",ROUND(VLOOKUP(C371,'Informations générales'!$C$66:$D$70,2,FALSE)*(AK371/$AP$27)/12,0)*12,"")))))</f>
        <v/>
      </c>
      <c r="AC371" s="117"/>
      <c r="AD371" s="116">
        <f t="shared" si="86"/>
        <v>0</v>
      </c>
      <c r="AE371" s="117"/>
      <c r="AF371" s="116" t="str">
        <f>IF(C371="3111. Logements",ROUND(VLOOKUP(C371,'Informations générales'!$C$66:$G$70,5,FALSE)*(AK371/$AL$27)/12,0)*12,IF(C371="3112. Logements",ROUND(VLOOKUP(C371,'Informations générales'!$C$66:$G$70,5,FALSE)*(AK371/$AM$27)/12,0)*12,IF(C371="3113. Logements",ROUND(VLOOKUP(C371,'Informations générales'!$C$66:$G$70,5,FALSE)*(AK371/$AN$27)/12,0)*12,IF(C371="3114. Logements",ROUND(VLOOKUP(C371,'Informations générales'!$C$66:$G$70,5,FALSE)*(AK371/$AO$27)/12,0)*12,IF(C371="3115. Logements",ROUND(VLOOKUP(C371,'Informations générales'!$C$66:$G$70,5,FALSE)*(AK371/$AP$27)/12,0)*12,"")))))</f>
        <v/>
      </c>
      <c r="AG371" s="117"/>
      <c r="AH371" s="116" t="str">
        <f t="shared" si="87"/>
        <v/>
      </c>
      <c r="AI371" s="92"/>
      <c r="AJ371" s="78"/>
      <c r="AK371" s="60">
        <f t="shared" si="88"/>
        <v>0</v>
      </c>
      <c r="AL371" s="60"/>
      <c r="AM371" s="60"/>
      <c r="AN371" s="60"/>
      <c r="AO371" s="60"/>
      <c r="AP371" s="60"/>
      <c r="AQ371" s="60">
        <f t="shared" si="78"/>
        <v>0</v>
      </c>
      <c r="AR371" s="60">
        <f t="shared" si="79"/>
        <v>0</v>
      </c>
      <c r="AS371" s="60">
        <f t="shared" si="80"/>
        <v>0</v>
      </c>
      <c r="AT371" s="60">
        <f t="shared" si="81"/>
        <v>0</v>
      </c>
      <c r="AU371" s="60">
        <f t="shared" si="82"/>
        <v>0</v>
      </c>
      <c r="AV371" s="60">
        <f t="shared" si="83"/>
        <v>0</v>
      </c>
      <c r="AW371" s="60">
        <f t="shared" si="84"/>
        <v>0</v>
      </c>
      <c r="AX371" s="60">
        <f t="shared" si="89"/>
        <v>0</v>
      </c>
      <c r="AY371" s="64">
        <f t="shared" si="90"/>
        <v>0</v>
      </c>
      <c r="AZ371" s="65">
        <f t="shared" si="91"/>
        <v>0</v>
      </c>
      <c r="BA371" s="65">
        <f t="shared" si="92"/>
        <v>0</v>
      </c>
    </row>
    <row r="372" spans="3:53" s="17" customFormat="1" x14ac:dyDescent="0.25">
      <c r="C372" s="194"/>
      <c r="D372" s="195"/>
      <c r="E372" s="90"/>
      <c r="F372" s="198"/>
      <c r="G372" s="214"/>
      <c r="H372" s="199"/>
      <c r="I372" s="78"/>
      <c r="J372" s="79"/>
      <c r="K372" s="78"/>
      <c r="L372" s="80"/>
      <c r="M372" s="80"/>
      <c r="N372" s="78" t="s">
        <v>39</v>
      </c>
      <c r="O372" s="113"/>
      <c r="P372" s="155"/>
      <c r="Q372" s="114" t="str">
        <f>IFERROR(MIN(VLOOKUP(ROUNDDOWN(P372,0),'Aide calcul'!$B$2:$C$282,2,FALSE),O372+1),"")</f>
        <v/>
      </c>
      <c r="R372" s="115" t="str">
        <f t="shared" si="85"/>
        <v/>
      </c>
      <c r="S372" s="155"/>
      <c r="T372" s="155"/>
      <c r="U372" s="155"/>
      <c r="V372" s="155"/>
      <c r="W372" s="155"/>
      <c r="X372" s="155"/>
      <c r="Y372" s="155"/>
      <c r="Z372" s="78"/>
      <c r="AA372" s="78"/>
      <c r="AB372" s="116" t="str">
        <f>IF(C372="3111. Logements",ROUND(VLOOKUP(C372,'Informations générales'!$C$66:$D$70,2,FALSE)*(AK372/$AL$27)/12,0)*12,IF(C372="3112. Logements",ROUND(VLOOKUP(C372,'Informations générales'!$C$66:$D$70,2,FALSE)*(AK372/$AM$27)/12,0)*12,IF(C372="3113. Logements",ROUND(VLOOKUP(C372,'Informations générales'!$C$66:$D$70,2,FALSE)*(AK372/$AN$27)/12,0)*12,IF(C372="3114. Logements",ROUND(VLOOKUP(C372,'Informations générales'!$C$66:$D$70,2,FALSE)*(AK372/$AO$27)/12,0)*12,IF(C372="3115. Logements",ROUND(VLOOKUP(C372,'Informations générales'!$C$66:$D$70,2,FALSE)*(AK372/$AP$27)/12,0)*12,"")))))</f>
        <v/>
      </c>
      <c r="AC372" s="117"/>
      <c r="AD372" s="116">
        <f t="shared" si="86"/>
        <v>0</v>
      </c>
      <c r="AE372" s="117"/>
      <c r="AF372" s="116" t="str">
        <f>IF(C372="3111. Logements",ROUND(VLOOKUP(C372,'Informations générales'!$C$66:$G$70,5,FALSE)*(AK372/$AL$27)/12,0)*12,IF(C372="3112. Logements",ROUND(VLOOKUP(C372,'Informations générales'!$C$66:$G$70,5,FALSE)*(AK372/$AM$27)/12,0)*12,IF(C372="3113. Logements",ROUND(VLOOKUP(C372,'Informations générales'!$C$66:$G$70,5,FALSE)*(AK372/$AN$27)/12,0)*12,IF(C372="3114. Logements",ROUND(VLOOKUP(C372,'Informations générales'!$C$66:$G$70,5,FALSE)*(AK372/$AO$27)/12,0)*12,IF(C372="3115. Logements",ROUND(VLOOKUP(C372,'Informations générales'!$C$66:$G$70,5,FALSE)*(AK372/$AP$27)/12,0)*12,"")))))</f>
        <v/>
      </c>
      <c r="AG372" s="117"/>
      <c r="AH372" s="116" t="str">
        <f t="shared" si="87"/>
        <v/>
      </c>
      <c r="AI372" s="92"/>
      <c r="AJ372" s="78"/>
      <c r="AK372" s="60">
        <f t="shared" si="88"/>
        <v>0</v>
      </c>
      <c r="AL372" s="60"/>
      <c r="AM372" s="60"/>
      <c r="AN372" s="60"/>
      <c r="AO372" s="60"/>
      <c r="AP372" s="60"/>
      <c r="AQ372" s="60">
        <f t="shared" si="78"/>
        <v>0</v>
      </c>
      <c r="AR372" s="60">
        <f t="shared" si="79"/>
        <v>0</v>
      </c>
      <c r="AS372" s="60">
        <f t="shared" si="80"/>
        <v>0</v>
      </c>
      <c r="AT372" s="60">
        <f t="shared" si="81"/>
        <v>0</v>
      </c>
      <c r="AU372" s="60">
        <f t="shared" si="82"/>
        <v>0</v>
      </c>
      <c r="AV372" s="60">
        <f t="shared" si="83"/>
        <v>0</v>
      </c>
      <c r="AW372" s="60">
        <f t="shared" si="84"/>
        <v>0</v>
      </c>
      <c r="AX372" s="60">
        <f t="shared" si="89"/>
        <v>0</v>
      </c>
      <c r="AY372" s="64">
        <f t="shared" si="90"/>
        <v>0</v>
      </c>
      <c r="AZ372" s="65">
        <f t="shared" si="91"/>
        <v>0</v>
      </c>
      <c r="BA372" s="65">
        <f t="shared" si="92"/>
        <v>0</v>
      </c>
    </row>
    <row r="373" spans="3:53" s="17" customFormat="1" x14ac:dyDescent="0.25">
      <c r="C373" s="194"/>
      <c r="D373" s="195"/>
      <c r="E373" s="90"/>
      <c r="F373" s="198"/>
      <c r="G373" s="214"/>
      <c r="H373" s="199"/>
      <c r="I373" s="78"/>
      <c r="J373" s="79"/>
      <c r="K373" s="78"/>
      <c r="L373" s="80"/>
      <c r="M373" s="80"/>
      <c r="N373" s="78" t="s">
        <v>39</v>
      </c>
      <c r="O373" s="113"/>
      <c r="P373" s="155"/>
      <c r="Q373" s="114" t="str">
        <f>IFERROR(MIN(VLOOKUP(ROUNDDOWN(P373,0),'Aide calcul'!$B$2:$C$282,2,FALSE),O373+1),"")</f>
        <v/>
      </c>
      <c r="R373" s="115" t="str">
        <f t="shared" si="85"/>
        <v/>
      </c>
      <c r="S373" s="155"/>
      <c r="T373" s="155"/>
      <c r="U373" s="155"/>
      <c r="V373" s="155"/>
      <c r="W373" s="155"/>
      <c r="X373" s="155"/>
      <c r="Y373" s="155"/>
      <c r="Z373" s="78"/>
      <c r="AA373" s="78"/>
      <c r="AB373" s="116" t="str">
        <f>IF(C373="3111. Logements",ROUND(VLOOKUP(C373,'Informations générales'!$C$66:$D$70,2,FALSE)*(AK373/$AL$27)/12,0)*12,IF(C373="3112. Logements",ROUND(VLOOKUP(C373,'Informations générales'!$C$66:$D$70,2,FALSE)*(AK373/$AM$27)/12,0)*12,IF(C373="3113. Logements",ROUND(VLOOKUP(C373,'Informations générales'!$C$66:$D$70,2,FALSE)*(AK373/$AN$27)/12,0)*12,IF(C373="3114. Logements",ROUND(VLOOKUP(C373,'Informations générales'!$C$66:$D$70,2,FALSE)*(AK373/$AO$27)/12,0)*12,IF(C373="3115. Logements",ROUND(VLOOKUP(C373,'Informations générales'!$C$66:$D$70,2,FALSE)*(AK373/$AP$27)/12,0)*12,"")))))</f>
        <v/>
      </c>
      <c r="AC373" s="117"/>
      <c r="AD373" s="116">
        <f t="shared" si="86"/>
        <v>0</v>
      </c>
      <c r="AE373" s="117"/>
      <c r="AF373" s="116" t="str">
        <f>IF(C373="3111. Logements",ROUND(VLOOKUP(C373,'Informations générales'!$C$66:$G$70,5,FALSE)*(AK373/$AL$27)/12,0)*12,IF(C373="3112. Logements",ROUND(VLOOKUP(C373,'Informations générales'!$C$66:$G$70,5,FALSE)*(AK373/$AM$27)/12,0)*12,IF(C373="3113. Logements",ROUND(VLOOKUP(C373,'Informations générales'!$C$66:$G$70,5,FALSE)*(AK373/$AN$27)/12,0)*12,IF(C373="3114. Logements",ROUND(VLOOKUP(C373,'Informations générales'!$C$66:$G$70,5,FALSE)*(AK373/$AO$27)/12,0)*12,IF(C373="3115. Logements",ROUND(VLOOKUP(C373,'Informations générales'!$C$66:$G$70,5,FALSE)*(AK373/$AP$27)/12,0)*12,"")))))</f>
        <v/>
      </c>
      <c r="AG373" s="117"/>
      <c r="AH373" s="116" t="str">
        <f t="shared" si="87"/>
        <v/>
      </c>
      <c r="AI373" s="92"/>
      <c r="AJ373" s="78"/>
      <c r="AK373" s="60">
        <f t="shared" si="88"/>
        <v>0</v>
      </c>
      <c r="AL373" s="60"/>
      <c r="AM373" s="60"/>
      <c r="AN373" s="60"/>
      <c r="AO373" s="60"/>
      <c r="AP373" s="60"/>
      <c r="AQ373" s="60">
        <f t="shared" si="78"/>
        <v>0</v>
      </c>
      <c r="AR373" s="60">
        <f t="shared" si="79"/>
        <v>0</v>
      </c>
      <c r="AS373" s="60">
        <f t="shared" si="80"/>
        <v>0</v>
      </c>
      <c r="AT373" s="60">
        <f t="shared" si="81"/>
        <v>0</v>
      </c>
      <c r="AU373" s="60">
        <f t="shared" si="82"/>
        <v>0</v>
      </c>
      <c r="AV373" s="60">
        <f t="shared" si="83"/>
        <v>0</v>
      </c>
      <c r="AW373" s="60">
        <f t="shared" si="84"/>
        <v>0</v>
      </c>
      <c r="AX373" s="60">
        <f t="shared" si="89"/>
        <v>0</v>
      </c>
      <c r="AY373" s="64">
        <f t="shared" si="90"/>
        <v>0</v>
      </c>
      <c r="AZ373" s="65">
        <f t="shared" si="91"/>
        <v>0</v>
      </c>
      <c r="BA373" s="65">
        <f t="shared" si="92"/>
        <v>0</v>
      </c>
    </row>
    <row r="374" spans="3:53" s="17" customFormat="1" x14ac:dyDescent="0.25">
      <c r="C374" s="194"/>
      <c r="D374" s="195"/>
      <c r="E374" s="90"/>
      <c r="F374" s="198"/>
      <c r="G374" s="214"/>
      <c r="H374" s="199"/>
      <c r="I374" s="78"/>
      <c r="J374" s="79"/>
      <c r="K374" s="78"/>
      <c r="L374" s="80"/>
      <c r="M374" s="80"/>
      <c r="N374" s="78" t="s">
        <v>39</v>
      </c>
      <c r="O374" s="113"/>
      <c r="P374" s="155"/>
      <c r="Q374" s="114" t="str">
        <f>IFERROR(MIN(VLOOKUP(ROUNDDOWN(P374,0),'Aide calcul'!$B$2:$C$282,2,FALSE),O374+1),"")</f>
        <v/>
      </c>
      <c r="R374" s="115" t="str">
        <f t="shared" si="85"/>
        <v/>
      </c>
      <c r="S374" s="155"/>
      <c r="T374" s="155"/>
      <c r="U374" s="155"/>
      <c r="V374" s="155"/>
      <c r="W374" s="155"/>
      <c r="X374" s="155"/>
      <c r="Y374" s="155"/>
      <c r="Z374" s="78"/>
      <c r="AA374" s="78"/>
      <c r="AB374" s="116" t="str">
        <f>IF(C374="3111. Logements",ROUND(VLOOKUP(C374,'Informations générales'!$C$66:$D$70,2,FALSE)*(AK374/$AL$27)/12,0)*12,IF(C374="3112. Logements",ROUND(VLOOKUP(C374,'Informations générales'!$C$66:$D$70,2,FALSE)*(AK374/$AM$27)/12,0)*12,IF(C374="3113. Logements",ROUND(VLOOKUP(C374,'Informations générales'!$C$66:$D$70,2,FALSE)*(AK374/$AN$27)/12,0)*12,IF(C374="3114. Logements",ROUND(VLOOKUP(C374,'Informations générales'!$C$66:$D$70,2,FALSE)*(AK374/$AO$27)/12,0)*12,IF(C374="3115. Logements",ROUND(VLOOKUP(C374,'Informations générales'!$C$66:$D$70,2,FALSE)*(AK374/$AP$27)/12,0)*12,"")))))</f>
        <v/>
      </c>
      <c r="AC374" s="117"/>
      <c r="AD374" s="116">
        <f t="shared" si="86"/>
        <v>0</v>
      </c>
      <c r="AE374" s="117"/>
      <c r="AF374" s="116" t="str">
        <f>IF(C374="3111. Logements",ROUND(VLOOKUP(C374,'Informations générales'!$C$66:$G$70,5,FALSE)*(AK374/$AL$27)/12,0)*12,IF(C374="3112. Logements",ROUND(VLOOKUP(C374,'Informations générales'!$C$66:$G$70,5,FALSE)*(AK374/$AM$27)/12,0)*12,IF(C374="3113. Logements",ROUND(VLOOKUP(C374,'Informations générales'!$C$66:$G$70,5,FALSE)*(AK374/$AN$27)/12,0)*12,IF(C374="3114. Logements",ROUND(VLOOKUP(C374,'Informations générales'!$C$66:$G$70,5,FALSE)*(AK374/$AO$27)/12,0)*12,IF(C374="3115. Logements",ROUND(VLOOKUP(C374,'Informations générales'!$C$66:$G$70,5,FALSE)*(AK374/$AP$27)/12,0)*12,"")))))</f>
        <v/>
      </c>
      <c r="AG374" s="117"/>
      <c r="AH374" s="116" t="str">
        <f t="shared" si="87"/>
        <v/>
      </c>
      <c r="AI374" s="92"/>
      <c r="AJ374" s="78"/>
      <c r="AK374" s="60">
        <f t="shared" si="88"/>
        <v>0</v>
      </c>
      <c r="AL374" s="60"/>
      <c r="AM374" s="60"/>
      <c r="AN374" s="60"/>
      <c r="AO374" s="60"/>
      <c r="AP374" s="60"/>
      <c r="AQ374" s="60">
        <f t="shared" si="78"/>
        <v>0</v>
      </c>
      <c r="AR374" s="60">
        <f t="shared" si="79"/>
        <v>0</v>
      </c>
      <c r="AS374" s="60">
        <f t="shared" si="80"/>
        <v>0</v>
      </c>
      <c r="AT374" s="60">
        <f t="shared" si="81"/>
        <v>0</v>
      </c>
      <c r="AU374" s="60">
        <f t="shared" si="82"/>
        <v>0</v>
      </c>
      <c r="AV374" s="60">
        <f t="shared" si="83"/>
        <v>0</v>
      </c>
      <c r="AW374" s="60">
        <f t="shared" si="84"/>
        <v>0</v>
      </c>
      <c r="AX374" s="60">
        <f t="shared" si="89"/>
        <v>0</v>
      </c>
      <c r="AY374" s="64">
        <f t="shared" si="90"/>
        <v>0</v>
      </c>
      <c r="AZ374" s="65">
        <f t="shared" si="91"/>
        <v>0</v>
      </c>
      <c r="BA374" s="65">
        <f t="shared" si="92"/>
        <v>0</v>
      </c>
    </row>
    <row r="375" spans="3:53" s="17" customFormat="1" x14ac:dyDescent="0.25">
      <c r="C375" s="194"/>
      <c r="D375" s="195"/>
      <c r="E375" s="90"/>
      <c r="F375" s="198"/>
      <c r="G375" s="214"/>
      <c r="H375" s="199"/>
      <c r="I375" s="78"/>
      <c r="J375" s="79"/>
      <c r="K375" s="78"/>
      <c r="L375" s="80"/>
      <c r="M375" s="80"/>
      <c r="N375" s="78" t="s">
        <v>39</v>
      </c>
      <c r="O375" s="113"/>
      <c r="P375" s="155"/>
      <c r="Q375" s="114" t="str">
        <f>IFERROR(MIN(VLOOKUP(ROUNDDOWN(P375,0),'Aide calcul'!$B$2:$C$282,2,FALSE),O375+1),"")</f>
        <v/>
      </c>
      <c r="R375" s="115" t="str">
        <f t="shared" si="85"/>
        <v/>
      </c>
      <c r="S375" s="155"/>
      <c r="T375" s="155"/>
      <c r="U375" s="155"/>
      <c r="V375" s="155"/>
      <c r="W375" s="155"/>
      <c r="X375" s="155"/>
      <c r="Y375" s="155"/>
      <c r="Z375" s="78"/>
      <c r="AA375" s="78"/>
      <c r="AB375" s="116" t="str">
        <f>IF(C375="3111. Logements",ROUND(VLOOKUP(C375,'Informations générales'!$C$66:$D$70,2,FALSE)*(AK375/$AL$27)/12,0)*12,IF(C375="3112. Logements",ROUND(VLOOKUP(C375,'Informations générales'!$C$66:$D$70,2,FALSE)*(AK375/$AM$27)/12,0)*12,IF(C375="3113. Logements",ROUND(VLOOKUP(C375,'Informations générales'!$C$66:$D$70,2,FALSE)*(AK375/$AN$27)/12,0)*12,IF(C375="3114. Logements",ROUND(VLOOKUP(C375,'Informations générales'!$C$66:$D$70,2,FALSE)*(AK375/$AO$27)/12,0)*12,IF(C375="3115. Logements",ROUND(VLOOKUP(C375,'Informations générales'!$C$66:$D$70,2,FALSE)*(AK375/$AP$27)/12,0)*12,"")))))</f>
        <v/>
      </c>
      <c r="AC375" s="117"/>
      <c r="AD375" s="116">
        <f t="shared" si="86"/>
        <v>0</v>
      </c>
      <c r="AE375" s="117"/>
      <c r="AF375" s="116" t="str">
        <f>IF(C375="3111. Logements",ROUND(VLOOKUP(C375,'Informations générales'!$C$66:$G$70,5,FALSE)*(AK375/$AL$27)/12,0)*12,IF(C375="3112. Logements",ROUND(VLOOKUP(C375,'Informations générales'!$C$66:$G$70,5,FALSE)*(AK375/$AM$27)/12,0)*12,IF(C375="3113. Logements",ROUND(VLOOKUP(C375,'Informations générales'!$C$66:$G$70,5,FALSE)*(AK375/$AN$27)/12,0)*12,IF(C375="3114. Logements",ROUND(VLOOKUP(C375,'Informations générales'!$C$66:$G$70,5,FALSE)*(AK375/$AO$27)/12,0)*12,IF(C375="3115. Logements",ROUND(VLOOKUP(C375,'Informations générales'!$C$66:$G$70,5,FALSE)*(AK375/$AP$27)/12,0)*12,"")))))</f>
        <v/>
      </c>
      <c r="AG375" s="117"/>
      <c r="AH375" s="116" t="str">
        <f t="shared" si="87"/>
        <v/>
      </c>
      <c r="AI375" s="92"/>
      <c r="AJ375" s="78"/>
      <c r="AK375" s="60">
        <f t="shared" si="88"/>
        <v>0</v>
      </c>
      <c r="AL375" s="60"/>
      <c r="AM375" s="60"/>
      <c r="AN375" s="60"/>
      <c r="AO375" s="60"/>
      <c r="AP375" s="60"/>
      <c r="AQ375" s="60">
        <f t="shared" si="78"/>
        <v>0</v>
      </c>
      <c r="AR375" s="60">
        <f t="shared" si="79"/>
        <v>0</v>
      </c>
      <c r="AS375" s="60">
        <f t="shared" si="80"/>
        <v>0</v>
      </c>
      <c r="AT375" s="60">
        <f t="shared" si="81"/>
        <v>0</v>
      </c>
      <c r="AU375" s="60">
        <f t="shared" si="82"/>
        <v>0</v>
      </c>
      <c r="AV375" s="60">
        <f t="shared" si="83"/>
        <v>0</v>
      </c>
      <c r="AW375" s="60">
        <f t="shared" si="84"/>
        <v>0</v>
      </c>
      <c r="AX375" s="60">
        <f t="shared" si="89"/>
        <v>0</v>
      </c>
      <c r="AY375" s="64">
        <f t="shared" si="90"/>
        <v>0</v>
      </c>
      <c r="AZ375" s="65">
        <f t="shared" si="91"/>
        <v>0</v>
      </c>
      <c r="BA375" s="65">
        <f t="shared" si="92"/>
        <v>0</v>
      </c>
    </row>
    <row r="376" spans="3:53" s="17" customFormat="1" x14ac:dyDescent="0.25">
      <c r="C376" s="194"/>
      <c r="D376" s="195"/>
      <c r="E376" s="90"/>
      <c r="F376" s="198"/>
      <c r="G376" s="214"/>
      <c r="H376" s="199"/>
      <c r="I376" s="78"/>
      <c r="J376" s="79"/>
      <c r="K376" s="78"/>
      <c r="L376" s="80"/>
      <c r="M376" s="80"/>
      <c r="N376" s="78" t="s">
        <v>39</v>
      </c>
      <c r="O376" s="113"/>
      <c r="P376" s="155"/>
      <c r="Q376" s="114" t="str">
        <f>IFERROR(MIN(VLOOKUP(ROUNDDOWN(P376,0),'Aide calcul'!$B$2:$C$282,2,FALSE),O376+1),"")</f>
        <v/>
      </c>
      <c r="R376" s="115" t="str">
        <f t="shared" si="85"/>
        <v/>
      </c>
      <c r="S376" s="155"/>
      <c r="T376" s="155"/>
      <c r="U376" s="155"/>
      <c r="V376" s="155"/>
      <c r="W376" s="155"/>
      <c r="X376" s="155"/>
      <c r="Y376" s="155"/>
      <c r="Z376" s="78"/>
      <c r="AA376" s="78"/>
      <c r="AB376" s="116" t="str">
        <f>IF(C376="3111. Logements",ROUND(VLOOKUP(C376,'Informations générales'!$C$66:$D$70,2,FALSE)*(AK376/$AL$27)/12,0)*12,IF(C376="3112. Logements",ROUND(VLOOKUP(C376,'Informations générales'!$C$66:$D$70,2,FALSE)*(AK376/$AM$27)/12,0)*12,IF(C376="3113. Logements",ROUND(VLOOKUP(C376,'Informations générales'!$C$66:$D$70,2,FALSE)*(AK376/$AN$27)/12,0)*12,IF(C376="3114. Logements",ROUND(VLOOKUP(C376,'Informations générales'!$C$66:$D$70,2,FALSE)*(AK376/$AO$27)/12,0)*12,IF(C376="3115. Logements",ROUND(VLOOKUP(C376,'Informations générales'!$C$66:$D$70,2,FALSE)*(AK376/$AP$27)/12,0)*12,"")))))</f>
        <v/>
      </c>
      <c r="AC376" s="117"/>
      <c r="AD376" s="116">
        <f t="shared" si="86"/>
        <v>0</v>
      </c>
      <c r="AE376" s="117"/>
      <c r="AF376" s="116" t="str">
        <f>IF(C376="3111. Logements",ROUND(VLOOKUP(C376,'Informations générales'!$C$66:$G$70,5,FALSE)*(AK376/$AL$27)/12,0)*12,IF(C376="3112. Logements",ROUND(VLOOKUP(C376,'Informations générales'!$C$66:$G$70,5,FALSE)*(AK376/$AM$27)/12,0)*12,IF(C376="3113. Logements",ROUND(VLOOKUP(C376,'Informations générales'!$C$66:$G$70,5,FALSE)*(AK376/$AN$27)/12,0)*12,IF(C376="3114. Logements",ROUND(VLOOKUP(C376,'Informations générales'!$C$66:$G$70,5,FALSE)*(AK376/$AO$27)/12,0)*12,IF(C376="3115. Logements",ROUND(VLOOKUP(C376,'Informations générales'!$C$66:$G$70,5,FALSE)*(AK376/$AP$27)/12,0)*12,"")))))</f>
        <v/>
      </c>
      <c r="AG376" s="117"/>
      <c r="AH376" s="116" t="str">
        <f t="shared" si="87"/>
        <v/>
      </c>
      <c r="AI376" s="92"/>
      <c r="AJ376" s="78"/>
      <c r="AK376" s="60">
        <f t="shared" si="88"/>
        <v>0</v>
      </c>
      <c r="AL376" s="60"/>
      <c r="AM376" s="60"/>
      <c r="AN376" s="60"/>
      <c r="AO376" s="60"/>
      <c r="AP376" s="60"/>
      <c r="AQ376" s="60">
        <f t="shared" si="78"/>
        <v>0</v>
      </c>
      <c r="AR376" s="60">
        <f t="shared" si="79"/>
        <v>0</v>
      </c>
      <c r="AS376" s="60">
        <f t="shared" si="80"/>
        <v>0</v>
      </c>
      <c r="AT376" s="60">
        <f t="shared" si="81"/>
        <v>0</v>
      </c>
      <c r="AU376" s="60">
        <f t="shared" si="82"/>
        <v>0</v>
      </c>
      <c r="AV376" s="60">
        <f t="shared" si="83"/>
        <v>0</v>
      </c>
      <c r="AW376" s="60">
        <f t="shared" si="84"/>
        <v>0</v>
      </c>
      <c r="AX376" s="60">
        <f t="shared" si="89"/>
        <v>0</v>
      </c>
      <c r="AY376" s="64">
        <f t="shared" si="90"/>
        <v>0</v>
      </c>
      <c r="AZ376" s="65">
        <f t="shared" si="91"/>
        <v>0</v>
      </c>
      <c r="BA376" s="65">
        <f t="shared" si="92"/>
        <v>0</v>
      </c>
    </row>
    <row r="377" spans="3:53" s="17" customFormat="1" x14ac:dyDescent="0.25">
      <c r="C377" s="194"/>
      <c r="D377" s="195"/>
      <c r="E377" s="90"/>
      <c r="F377" s="198"/>
      <c r="G377" s="214"/>
      <c r="H377" s="199"/>
      <c r="I377" s="78"/>
      <c r="J377" s="79"/>
      <c r="K377" s="78"/>
      <c r="L377" s="80"/>
      <c r="M377" s="80"/>
      <c r="N377" s="78" t="s">
        <v>39</v>
      </c>
      <c r="O377" s="113"/>
      <c r="P377" s="155"/>
      <c r="Q377" s="114" t="str">
        <f>IFERROR(MIN(VLOOKUP(ROUNDDOWN(P377,0),'Aide calcul'!$B$2:$C$282,2,FALSE),O377+1),"")</f>
        <v/>
      </c>
      <c r="R377" s="115" t="str">
        <f t="shared" si="85"/>
        <v/>
      </c>
      <c r="S377" s="155"/>
      <c r="T377" s="155"/>
      <c r="U377" s="155"/>
      <c r="V377" s="155"/>
      <c r="W377" s="155"/>
      <c r="X377" s="155"/>
      <c r="Y377" s="155"/>
      <c r="Z377" s="78"/>
      <c r="AA377" s="78"/>
      <c r="AB377" s="116" t="str">
        <f>IF(C377="3111. Logements",ROUND(VLOOKUP(C377,'Informations générales'!$C$66:$D$70,2,FALSE)*(AK377/$AL$27)/12,0)*12,IF(C377="3112. Logements",ROUND(VLOOKUP(C377,'Informations générales'!$C$66:$D$70,2,FALSE)*(AK377/$AM$27)/12,0)*12,IF(C377="3113. Logements",ROUND(VLOOKUP(C377,'Informations générales'!$C$66:$D$70,2,FALSE)*(AK377/$AN$27)/12,0)*12,IF(C377="3114. Logements",ROUND(VLOOKUP(C377,'Informations générales'!$C$66:$D$70,2,FALSE)*(AK377/$AO$27)/12,0)*12,IF(C377="3115. Logements",ROUND(VLOOKUP(C377,'Informations générales'!$C$66:$D$70,2,FALSE)*(AK377/$AP$27)/12,0)*12,"")))))</f>
        <v/>
      </c>
      <c r="AC377" s="117"/>
      <c r="AD377" s="116">
        <f t="shared" si="86"/>
        <v>0</v>
      </c>
      <c r="AE377" s="117"/>
      <c r="AF377" s="116" t="str">
        <f>IF(C377="3111. Logements",ROUND(VLOOKUP(C377,'Informations générales'!$C$66:$G$70,5,FALSE)*(AK377/$AL$27)/12,0)*12,IF(C377="3112. Logements",ROUND(VLOOKUP(C377,'Informations générales'!$C$66:$G$70,5,FALSE)*(AK377/$AM$27)/12,0)*12,IF(C377="3113. Logements",ROUND(VLOOKUP(C377,'Informations générales'!$C$66:$G$70,5,FALSE)*(AK377/$AN$27)/12,0)*12,IF(C377="3114. Logements",ROUND(VLOOKUP(C377,'Informations générales'!$C$66:$G$70,5,FALSE)*(AK377/$AO$27)/12,0)*12,IF(C377="3115. Logements",ROUND(VLOOKUP(C377,'Informations générales'!$C$66:$G$70,5,FALSE)*(AK377/$AP$27)/12,0)*12,"")))))</f>
        <v/>
      </c>
      <c r="AG377" s="117"/>
      <c r="AH377" s="116" t="str">
        <f t="shared" si="87"/>
        <v/>
      </c>
      <c r="AI377" s="92"/>
      <c r="AJ377" s="78"/>
      <c r="AK377" s="60">
        <f t="shared" si="88"/>
        <v>0</v>
      </c>
      <c r="AL377" s="60"/>
      <c r="AM377" s="60"/>
      <c r="AN377" s="60"/>
      <c r="AO377" s="60"/>
      <c r="AP377" s="60"/>
      <c r="AQ377" s="60">
        <f t="shared" si="78"/>
        <v>0</v>
      </c>
      <c r="AR377" s="60">
        <f t="shared" si="79"/>
        <v>0</v>
      </c>
      <c r="AS377" s="60">
        <f t="shared" si="80"/>
        <v>0</v>
      </c>
      <c r="AT377" s="60">
        <f t="shared" si="81"/>
        <v>0</v>
      </c>
      <c r="AU377" s="60">
        <f t="shared" si="82"/>
        <v>0</v>
      </c>
      <c r="AV377" s="60">
        <f t="shared" si="83"/>
        <v>0</v>
      </c>
      <c r="AW377" s="60">
        <f t="shared" si="84"/>
        <v>0</v>
      </c>
      <c r="AX377" s="60">
        <f t="shared" si="89"/>
        <v>0</v>
      </c>
      <c r="AY377" s="64">
        <f t="shared" si="90"/>
        <v>0</v>
      </c>
      <c r="AZ377" s="65">
        <f t="shared" si="91"/>
        <v>0</v>
      </c>
      <c r="BA377" s="65">
        <f t="shared" si="92"/>
        <v>0</v>
      </c>
    </row>
    <row r="378" spans="3:53" s="17" customFormat="1" x14ac:dyDescent="0.25">
      <c r="C378" s="194"/>
      <c r="D378" s="195"/>
      <c r="E378" s="90"/>
      <c r="F378" s="198"/>
      <c r="G378" s="214"/>
      <c r="H378" s="199"/>
      <c r="I378" s="78"/>
      <c r="J378" s="79"/>
      <c r="K378" s="78"/>
      <c r="L378" s="80"/>
      <c r="M378" s="80"/>
      <c r="N378" s="78" t="s">
        <v>39</v>
      </c>
      <c r="O378" s="113"/>
      <c r="P378" s="155"/>
      <c r="Q378" s="114" t="str">
        <f>IFERROR(MIN(VLOOKUP(ROUNDDOWN(P378,0),'Aide calcul'!$B$2:$C$282,2,FALSE),O378+1),"")</f>
        <v/>
      </c>
      <c r="R378" s="115" t="str">
        <f t="shared" si="85"/>
        <v/>
      </c>
      <c r="S378" s="155"/>
      <c r="T378" s="155"/>
      <c r="U378" s="155"/>
      <c r="V378" s="155"/>
      <c r="W378" s="155"/>
      <c r="X378" s="155"/>
      <c r="Y378" s="155"/>
      <c r="Z378" s="78"/>
      <c r="AA378" s="78"/>
      <c r="AB378" s="116" t="str">
        <f>IF(C378="3111. Logements",ROUND(VLOOKUP(C378,'Informations générales'!$C$66:$D$70,2,FALSE)*(AK378/$AL$27)/12,0)*12,IF(C378="3112. Logements",ROUND(VLOOKUP(C378,'Informations générales'!$C$66:$D$70,2,FALSE)*(AK378/$AM$27)/12,0)*12,IF(C378="3113. Logements",ROUND(VLOOKUP(C378,'Informations générales'!$C$66:$D$70,2,FALSE)*(AK378/$AN$27)/12,0)*12,IF(C378="3114. Logements",ROUND(VLOOKUP(C378,'Informations générales'!$C$66:$D$70,2,FALSE)*(AK378/$AO$27)/12,0)*12,IF(C378="3115. Logements",ROUND(VLOOKUP(C378,'Informations générales'!$C$66:$D$70,2,FALSE)*(AK378/$AP$27)/12,0)*12,"")))))</f>
        <v/>
      </c>
      <c r="AC378" s="117"/>
      <c r="AD378" s="116">
        <f t="shared" si="86"/>
        <v>0</v>
      </c>
      <c r="AE378" s="117"/>
      <c r="AF378" s="116" t="str">
        <f>IF(C378="3111. Logements",ROUND(VLOOKUP(C378,'Informations générales'!$C$66:$G$70,5,FALSE)*(AK378/$AL$27)/12,0)*12,IF(C378="3112. Logements",ROUND(VLOOKUP(C378,'Informations générales'!$C$66:$G$70,5,FALSE)*(AK378/$AM$27)/12,0)*12,IF(C378="3113. Logements",ROUND(VLOOKUP(C378,'Informations générales'!$C$66:$G$70,5,FALSE)*(AK378/$AN$27)/12,0)*12,IF(C378="3114. Logements",ROUND(VLOOKUP(C378,'Informations générales'!$C$66:$G$70,5,FALSE)*(AK378/$AO$27)/12,0)*12,IF(C378="3115. Logements",ROUND(VLOOKUP(C378,'Informations générales'!$C$66:$G$70,5,FALSE)*(AK378/$AP$27)/12,0)*12,"")))))</f>
        <v/>
      </c>
      <c r="AG378" s="117"/>
      <c r="AH378" s="116" t="str">
        <f t="shared" si="87"/>
        <v/>
      </c>
      <c r="AI378" s="92"/>
      <c r="AJ378" s="78"/>
      <c r="AK378" s="60">
        <f t="shared" si="88"/>
        <v>0</v>
      </c>
      <c r="AL378" s="60"/>
      <c r="AM378" s="60"/>
      <c r="AN378" s="60"/>
      <c r="AO378" s="60"/>
      <c r="AP378" s="60"/>
      <c r="AQ378" s="60">
        <f t="shared" si="78"/>
        <v>0</v>
      </c>
      <c r="AR378" s="60">
        <f t="shared" si="79"/>
        <v>0</v>
      </c>
      <c r="AS378" s="60">
        <f t="shared" si="80"/>
        <v>0</v>
      </c>
      <c r="AT378" s="60">
        <f t="shared" si="81"/>
        <v>0</v>
      </c>
      <c r="AU378" s="60">
        <f t="shared" si="82"/>
        <v>0</v>
      </c>
      <c r="AV378" s="60">
        <f t="shared" si="83"/>
        <v>0</v>
      </c>
      <c r="AW378" s="60">
        <f t="shared" si="84"/>
        <v>0</v>
      </c>
      <c r="AX378" s="60">
        <f t="shared" si="89"/>
        <v>0</v>
      </c>
      <c r="AY378" s="64">
        <f t="shared" si="90"/>
        <v>0</v>
      </c>
      <c r="AZ378" s="65">
        <f t="shared" si="91"/>
        <v>0</v>
      </c>
      <c r="BA378" s="65">
        <f t="shared" si="92"/>
        <v>0</v>
      </c>
    </row>
    <row r="379" spans="3:53" s="17" customFormat="1" x14ac:dyDescent="0.25">
      <c r="C379" s="194"/>
      <c r="D379" s="195"/>
      <c r="E379" s="90"/>
      <c r="F379" s="198"/>
      <c r="G379" s="214"/>
      <c r="H379" s="199"/>
      <c r="I379" s="78"/>
      <c r="J379" s="79"/>
      <c r="K379" s="78"/>
      <c r="L379" s="80"/>
      <c r="M379" s="80"/>
      <c r="N379" s="78" t="s">
        <v>39</v>
      </c>
      <c r="O379" s="113"/>
      <c r="P379" s="155"/>
      <c r="Q379" s="114" t="str">
        <f>IFERROR(MIN(VLOOKUP(ROUNDDOWN(P379,0),'Aide calcul'!$B$2:$C$282,2,FALSE),O379+1),"")</f>
        <v/>
      </c>
      <c r="R379" s="115" t="str">
        <f t="shared" si="85"/>
        <v/>
      </c>
      <c r="S379" s="155"/>
      <c r="T379" s="155"/>
      <c r="U379" s="155"/>
      <c r="V379" s="155"/>
      <c r="W379" s="155"/>
      <c r="X379" s="155"/>
      <c r="Y379" s="155"/>
      <c r="Z379" s="78"/>
      <c r="AA379" s="78"/>
      <c r="AB379" s="116" t="str">
        <f>IF(C379="3111. Logements",ROUND(VLOOKUP(C379,'Informations générales'!$C$66:$D$70,2,FALSE)*(AK379/$AL$27)/12,0)*12,IF(C379="3112. Logements",ROUND(VLOOKUP(C379,'Informations générales'!$C$66:$D$70,2,FALSE)*(AK379/$AM$27)/12,0)*12,IF(C379="3113. Logements",ROUND(VLOOKUP(C379,'Informations générales'!$C$66:$D$70,2,FALSE)*(AK379/$AN$27)/12,0)*12,IF(C379="3114. Logements",ROUND(VLOOKUP(C379,'Informations générales'!$C$66:$D$70,2,FALSE)*(AK379/$AO$27)/12,0)*12,IF(C379="3115. Logements",ROUND(VLOOKUP(C379,'Informations générales'!$C$66:$D$70,2,FALSE)*(AK379/$AP$27)/12,0)*12,"")))))</f>
        <v/>
      </c>
      <c r="AC379" s="117"/>
      <c r="AD379" s="116">
        <f t="shared" si="86"/>
        <v>0</v>
      </c>
      <c r="AE379" s="117"/>
      <c r="AF379" s="116" t="str">
        <f>IF(C379="3111. Logements",ROUND(VLOOKUP(C379,'Informations générales'!$C$66:$G$70,5,FALSE)*(AK379/$AL$27)/12,0)*12,IF(C379="3112. Logements",ROUND(VLOOKUP(C379,'Informations générales'!$C$66:$G$70,5,FALSE)*(AK379/$AM$27)/12,0)*12,IF(C379="3113. Logements",ROUND(VLOOKUP(C379,'Informations générales'!$C$66:$G$70,5,FALSE)*(AK379/$AN$27)/12,0)*12,IF(C379="3114. Logements",ROUND(VLOOKUP(C379,'Informations générales'!$C$66:$G$70,5,FALSE)*(AK379/$AO$27)/12,0)*12,IF(C379="3115. Logements",ROUND(VLOOKUP(C379,'Informations générales'!$C$66:$G$70,5,FALSE)*(AK379/$AP$27)/12,0)*12,"")))))</f>
        <v/>
      </c>
      <c r="AG379" s="117"/>
      <c r="AH379" s="116" t="str">
        <f t="shared" si="87"/>
        <v/>
      </c>
      <c r="AI379" s="92"/>
      <c r="AJ379" s="78"/>
      <c r="AK379" s="60">
        <f t="shared" si="88"/>
        <v>0</v>
      </c>
      <c r="AL379" s="60"/>
      <c r="AM379" s="60"/>
      <c r="AN379" s="60"/>
      <c r="AO379" s="60"/>
      <c r="AP379" s="60"/>
      <c r="AQ379" s="60">
        <f t="shared" si="78"/>
        <v>0</v>
      </c>
      <c r="AR379" s="60">
        <f t="shared" si="79"/>
        <v>0</v>
      </c>
      <c r="AS379" s="60">
        <f t="shared" si="80"/>
        <v>0</v>
      </c>
      <c r="AT379" s="60">
        <f t="shared" si="81"/>
        <v>0</v>
      </c>
      <c r="AU379" s="60">
        <f t="shared" si="82"/>
        <v>0</v>
      </c>
      <c r="AV379" s="60">
        <f t="shared" si="83"/>
        <v>0</v>
      </c>
      <c r="AW379" s="60">
        <f t="shared" si="84"/>
        <v>0</v>
      </c>
      <c r="AX379" s="60">
        <f t="shared" si="89"/>
        <v>0</v>
      </c>
      <c r="AY379" s="64">
        <f t="shared" si="90"/>
        <v>0</v>
      </c>
      <c r="AZ379" s="65">
        <f t="shared" si="91"/>
        <v>0</v>
      </c>
      <c r="BA379" s="65">
        <f t="shared" si="92"/>
        <v>0</v>
      </c>
    </row>
    <row r="380" spans="3:53" s="17" customFormat="1" x14ac:dyDescent="0.25">
      <c r="C380" s="194"/>
      <c r="D380" s="195"/>
      <c r="E380" s="90"/>
      <c r="F380" s="198"/>
      <c r="G380" s="214"/>
      <c r="H380" s="199"/>
      <c r="I380" s="78"/>
      <c r="J380" s="79"/>
      <c r="K380" s="78"/>
      <c r="L380" s="80"/>
      <c r="M380" s="80"/>
      <c r="N380" s="78" t="s">
        <v>39</v>
      </c>
      <c r="O380" s="113"/>
      <c r="P380" s="155"/>
      <c r="Q380" s="114" t="str">
        <f>IFERROR(MIN(VLOOKUP(ROUNDDOWN(P380,0),'Aide calcul'!$B$2:$C$282,2,FALSE),O380+1),"")</f>
        <v/>
      </c>
      <c r="R380" s="115" t="str">
        <f t="shared" si="85"/>
        <v/>
      </c>
      <c r="S380" s="155"/>
      <c r="T380" s="155"/>
      <c r="U380" s="155"/>
      <c r="V380" s="155"/>
      <c r="W380" s="155"/>
      <c r="X380" s="155"/>
      <c r="Y380" s="155"/>
      <c r="Z380" s="78"/>
      <c r="AA380" s="78"/>
      <c r="AB380" s="116" t="str">
        <f>IF(C380="3111. Logements",ROUND(VLOOKUP(C380,'Informations générales'!$C$66:$D$70,2,FALSE)*(AK380/$AL$27)/12,0)*12,IF(C380="3112. Logements",ROUND(VLOOKUP(C380,'Informations générales'!$C$66:$D$70,2,FALSE)*(AK380/$AM$27)/12,0)*12,IF(C380="3113. Logements",ROUND(VLOOKUP(C380,'Informations générales'!$C$66:$D$70,2,FALSE)*(AK380/$AN$27)/12,0)*12,IF(C380="3114. Logements",ROUND(VLOOKUP(C380,'Informations générales'!$C$66:$D$70,2,FALSE)*(AK380/$AO$27)/12,0)*12,IF(C380="3115. Logements",ROUND(VLOOKUP(C380,'Informations générales'!$C$66:$D$70,2,FALSE)*(AK380/$AP$27)/12,0)*12,"")))))</f>
        <v/>
      </c>
      <c r="AC380" s="117"/>
      <c r="AD380" s="116">
        <f t="shared" si="86"/>
        <v>0</v>
      </c>
      <c r="AE380" s="117"/>
      <c r="AF380" s="116" t="str">
        <f>IF(C380="3111. Logements",ROUND(VLOOKUP(C380,'Informations générales'!$C$66:$G$70,5,FALSE)*(AK380/$AL$27)/12,0)*12,IF(C380="3112. Logements",ROUND(VLOOKUP(C380,'Informations générales'!$C$66:$G$70,5,FALSE)*(AK380/$AM$27)/12,0)*12,IF(C380="3113. Logements",ROUND(VLOOKUP(C380,'Informations générales'!$C$66:$G$70,5,FALSE)*(AK380/$AN$27)/12,0)*12,IF(C380="3114. Logements",ROUND(VLOOKUP(C380,'Informations générales'!$C$66:$G$70,5,FALSE)*(AK380/$AO$27)/12,0)*12,IF(C380="3115. Logements",ROUND(VLOOKUP(C380,'Informations générales'!$C$66:$G$70,5,FALSE)*(AK380/$AP$27)/12,0)*12,"")))))</f>
        <v/>
      </c>
      <c r="AG380" s="117"/>
      <c r="AH380" s="116" t="str">
        <f t="shared" si="87"/>
        <v/>
      </c>
      <c r="AI380" s="92"/>
      <c r="AJ380" s="78"/>
      <c r="AK380" s="60">
        <f t="shared" si="88"/>
        <v>0</v>
      </c>
      <c r="AL380" s="60"/>
      <c r="AM380" s="60"/>
      <c r="AN380" s="60"/>
      <c r="AO380" s="60"/>
      <c r="AP380" s="60"/>
      <c r="AQ380" s="60">
        <f t="shared" si="78"/>
        <v>0</v>
      </c>
      <c r="AR380" s="60">
        <f t="shared" si="79"/>
        <v>0</v>
      </c>
      <c r="AS380" s="60">
        <f t="shared" si="80"/>
        <v>0</v>
      </c>
      <c r="AT380" s="60">
        <f t="shared" si="81"/>
        <v>0</v>
      </c>
      <c r="AU380" s="60">
        <f t="shared" si="82"/>
        <v>0</v>
      </c>
      <c r="AV380" s="60">
        <f t="shared" si="83"/>
        <v>0</v>
      </c>
      <c r="AW380" s="60">
        <f t="shared" si="84"/>
        <v>0</v>
      </c>
      <c r="AX380" s="60">
        <f t="shared" si="89"/>
        <v>0</v>
      </c>
      <c r="AY380" s="64">
        <f t="shared" si="90"/>
        <v>0</v>
      </c>
      <c r="AZ380" s="65">
        <f t="shared" si="91"/>
        <v>0</v>
      </c>
      <c r="BA380" s="65">
        <f t="shared" si="92"/>
        <v>0</v>
      </c>
    </row>
    <row r="381" spans="3:53" s="17" customFormat="1" x14ac:dyDescent="0.25">
      <c r="C381" s="194"/>
      <c r="D381" s="195"/>
      <c r="E381" s="90"/>
      <c r="F381" s="198"/>
      <c r="G381" s="214"/>
      <c r="H381" s="199"/>
      <c r="I381" s="78"/>
      <c r="J381" s="79"/>
      <c r="K381" s="78"/>
      <c r="L381" s="80"/>
      <c r="M381" s="80"/>
      <c r="N381" s="78" t="s">
        <v>39</v>
      </c>
      <c r="O381" s="113"/>
      <c r="P381" s="155"/>
      <c r="Q381" s="114" t="str">
        <f>IFERROR(MIN(VLOOKUP(ROUNDDOWN(P381,0),'Aide calcul'!$B$2:$C$282,2,FALSE),O381+1),"")</f>
        <v/>
      </c>
      <c r="R381" s="115" t="str">
        <f t="shared" si="85"/>
        <v/>
      </c>
      <c r="S381" s="155"/>
      <c r="T381" s="155"/>
      <c r="U381" s="155"/>
      <c r="V381" s="155"/>
      <c r="W381" s="155"/>
      <c r="X381" s="155"/>
      <c r="Y381" s="155"/>
      <c r="Z381" s="78"/>
      <c r="AA381" s="78"/>
      <c r="AB381" s="116" t="str">
        <f>IF(C381="3111. Logements",ROUND(VLOOKUP(C381,'Informations générales'!$C$66:$D$70,2,FALSE)*(AK381/$AL$27)/12,0)*12,IF(C381="3112. Logements",ROUND(VLOOKUP(C381,'Informations générales'!$C$66:$D$70,2,FALSE)*(AK381/$AM$27)/12,0)*12,IF(C381="3113. Logements",ROUND(VLOOKUP(C381,'Informations générales'!$C$66:$D$70,2,FALSE)*(AK381/$AN$27)/12,0)*12,IF(C381="3114. Logements",ROUND(VLOOKUP(C381,'Informations générales'!$C$66:$D$70,2,FALSE)*(AK381/$AO$27)/12,0)*12,IF(C381="3115. Logements",ROUND(VLOOKUP(C381,'Informations générales'!$C$66:$D$70,2,FALSE)*(AK381/$AP$27)/12,0)*12,"")))))</f>
        <v/>
      </c>
      <c r="AC381" s="117"/>
      <c r="AD381" s="116">
        <f t="shared" si="86"/>
        <v>0</v>
      </c>
      <c r="AE381" s="117"/>
      <c r="AF381" s="116" t="str">
        <f>IF(C381="3111. Logements",ROUND(VLOOKUP(C381,'Informations générales'!$C$66:$G$70,5,FALSE)*(AK381/$AL$27)/12,0)*12,IF(C381="3112. Logements",ROUND(VLOOKUP(C381,'Informations générales'!$C$66:$G$70,5,FALSE)*(AK381/$AM$27)/12,0)*12,IF(C381="3113. Logements",ROUND(VLOOKUP(C381,'Informations générales'!$C$66:$G$70,5,FALSE)*(AK381/$AN$27)/12,0)*12,IF(C381="3114. Logements",ROUND(VLOOKUP(C381,'Informations générales'!$C$66:$G$70,5,FALSE)*(AK381/$AO$27)/12,0)*12,IF(C381="3115. Logements",ROUND(VLOOKUP(C381,'Informations générales'!$C$66:$G$70,5,FALSE)*(AK381/$AP$27)/12,0)*12,"")))))</f>
        <v/>
      </c>
      <c r="AG381" s="117"/>
      <c r="AH381" s="116" t="str">
        <f t="shared" si="87"/>
        <v/>
      </c>
      <c r="AI381" s="92"/>
      <c r="AJ381" s="78"/>
      <c r="AK381" s="60">
        <f t="shared" si="88"/>
        <v>0</v>
      </c>
      <c r="AL381" s="60"/>
      <c r="AM381" s="60"/>
      <c r="AN381" s="60"/>
      <c r="AO381" s="60"/>
      <c r="AP381" s="60"/>
      <c r="AQ381" s="60">
        <f t="shared" si="78"/>
        <v>0</v>
      </c>
      <c r="AR381" s="60">
        <f t="shared" si="79"/>
        <v>0</v>
      </c>
      <c r="AS381" s="60">
        <f t="shared" si="80"/>
        <v>0</v>
      </c>
      <c r="AT381" s="60">
        <f t="shared" si="81"/>
        <v>0</v>
      </c>
      <c r="AU381" s="60">
        <f t="shared" si="82"/>
        <v>0</v>
      </c>
      <c r="AV381" s="60">
        <f t="shared" si="83"/>
        <v>0</v>
      </c>
      <c r="AW381" s="60">
        <f t="shared" si="84"/>
        <v>0</v>
      </c>
      <c r="AX381" s="60">
        <f t="shared" si="89"/>
        <v>0</v>
      </c>
      <c r="AY381" s="64">
        <f t="shared" si="90"/>
        <v>0</v>
      </c>
      <c r="AZ381" s="65">
        <f t="shared" si="91"/>
        <v>0</v>
      </c>
      <c r="BA381" s="65">
        <f t="shared" si="92"/>
        <v>0</v>
      </c>
    </row>
    <row r="382" spans="3:53" s="17" customFormat="1" x14ac:dyDescent="0.25">
      <c r="C382" s="194"/>
      <c r="D382" s="195"/>
      <c r="E382" s="90"/>
      <c r="F382" s="198"/>
      <c r="G382" s="214"/>
      <c r="H382" s="199"/>
      <c r="I382" s="78"/>
      <c r="J382" s="79"/>
      <c r="K382" s="78"/>
      <c r="L382" s="80"/>
      <c r="M382" s="80"/>
      <c r="N382" s="78" t="s">
        <v>39</v>
      </c>
      <c r="O382" s="113"/>
      <c r="P382" s="155"/>
      <c r="Q382" s="114" t="str">
        <f>IFERROR(MIN(VLOOKUP(ROUNDDOWN(P382,0),'Aide calcul'!$B$2:$C$282,2,FALSE),O382+1),"")</f>
        <v/>
      </c>
      <c r="R382" s="115" t="str">
        <f t="shared" si="85"/>
        <v/>
      </c>
      <c r="S382" s="155"/>
      <c r="T382" s="155"/>
      <c r="U382" s="155"/>
      <c r="V382" s="155"/>
      <c r="W382" s="155"/>
      <c r="X382" s="155"/>
      <c r="Y382" s="155"/>
      <c r="Z382" s="78"/>
      <c r="AA382" s="78"/>
      <c r="AB382" s="116" t="str">
        <f>IF(C382="3111. Logements",ROUND(VLOOKUP(C382,'Informations générales'!$C$66:$D$70,2,FALSE)*(AK382/$AL$27)/12,0)*12,IF(C382="3112. Logements",ROUND(VLOOKUP(C382,'Informations générales'!$C$66:$D$70,2,FALSE)*(AK382/$AM$27)/12,0)*12,IF(C382="3113. Logements",ROUND(VLOOKUP(C382,'Informations générales'!$C$66:$D$70,2,FALSE)*(AK382/$AN$27)/12,0)*12,IF(C382="3114. Logements",ROUND(VLOOKUP(C382,'Informations générales'!$C$66:$D$70,2,FALSE)*(AK382/$AO$27)/12,0)*12,IF(C382="3115. Logements",ROUND(VLOOKUP(C382,'Informations générales'!$C$66:$D$70,2,FALSE)*(AK382/$AP$27)/12,0)*12,"")))))</f>
        <v/>
      </c>
      <c r="AC382" s="117"/>
      <c r="AD382" s="116">
        <f t="shared" si="86"/>
        <v>0</v>
      </c>
      <c r="AE382" s="117"/>
      <c r="AF382" s="116" t="str">
        <f>IF(C382="3111. Logements",ROUND(VLOOKUP(C382,'Informations générales'!$C$66:$G$70,5,FALSE)*(AK382/$AL$27)/12,0)*12,IF(C382="3112. Logements",ROUND(VLOOKUP(C382,'Informations générales'!$C$66:$G$70,5,FALSE)*(AK382/$AM$27)/12,0)*12,IF(C382="3113. Logements",ROUND(VLOOKUP(C382,'Informations générales'!$C$66:$G$70,5,FALSE)*(AK382/$AN$27)/12,0)*12,IF(C382="3114. Logements",ROUND(VLOOKUP(C382,'Informations générales'!$C$66:$G$70,5,FALSE)*(AK382/$AO$27)/12,0)*12,IF(C382="3115. Logements",ROUND(VLOOKUP(C382,'Informations générales'!$C$66:$G$70,5,FALSE)*(AK382/$AP$27)/12,0)*12,"")))))</f>
        <v/>
      </c>
      <c r="AG382" s="117"/>
      <c r="AH382" s="116" t="str">
        <f t="shared" si="87"/>
        <v/>
      </c>
      <c r="AI382" s="92"/>
      <c r="AJ382" s="78"/>
      <c r="AK382" s="60">
        <f t="shared" si="88"/>
        <v>0</v>
      </c>
      <c r="AL382" s="60"/>
      <c r="AM382" s="60"/>
      <c r="AN382" s="60"/>
      <c r="AO382" s="60"/>
      <c r="AP382" s="60"/>
      <c r="AQ382" s="60">
        <f t="shared" si="78"/>
        <v>0</v>
      </c>
      <c r="AR382" s="60">
        <f t="shared" si="79"/>
        <v>0</v>
      </c>
      <c r="AS382" s="60">
        <f t="shared" si="80"/>
        <v>0</v>
      </c>
      <c r="AT382" s="60">
        <f t="shared" si="81"/>
        <v>0</v>
      </c>
      <c r="AU382" s="60">
        <f t="shared" si="82"/>
        <v>0</v>
      </c>
      <c r="AV382" s="60">
        <f t="shared" si="83"/>
        <v>0</v>
      </c>
      <c r="AW382" s="60">
        <f t="shared" si="84"/>
        <v>0</v>
      </c>
      <c r="AX382" s="60">
        <f t="shared" si="89"/>
        <v>0</v>
      </c>
      <c r="AY382" s="64">
        <f t="shared" si="90"/>
        <v>0</v>
      </c>
      <c r="AZ382" s="65">
        <f t="shared" si="91"/>
        <v>0</v>
      </c>
      <c r="BA382" s="65">
        <f t="shared" si="92"/>
        <v>0</v>
      </c>
    </row>
    <row r="383" spans="3:53" s="17" customFormat="1" x14ac:dyDescent="0.25">
      <c r="C383" s="194"/>
      <c r="D383" s="195"/>
      <c r="E383" s="90"/>
      <c r="F383" s="198"/>
      <c r="G383" s="214"/>
      <c r="H383" s="199"/>
      <c r="I383" s="78"/>
      <c r="J383" s="79"/>
      <c r="K383" s="78"/>
      <c r="L383" s="80"/>
      <c r="M383" s="80"/>
      <c r="N383" s="78" t="s">
        <v>39</v>
      </c>
      <c r="O383" s="113"/>
      <c r="P383" s="155"/>
      <c r="Q383" s="114" t="str">
        <f>IFERROR(MIN(VLOOKUP(ROUNDDOWN(P383,0),'Aide calcul'!$B$2:$C$282,2,FALSE),O383+1),"")</f>
        <v/>
      </c>
      <c r="R383" s="115" t="str">
        <f t="shared" si="85"/>
        <v/>
      </c>
      <c r="S383" s="155"/>
      <c r="T383" s="155"/>
      <c r="U383" s="155"/>
      <c r="V383" s="155"/>
      <c r="W383" s="155"/>
      <c r="X383" s="155"/>
      <c r="Y383" s="155"/>
      <c r="Z383" s="78"/>
      <c r="AA383" s="78"/>
      <c r="AB383" s="116" t="str">
        <f>IF(C383="3111. Logements",ROUND(VLOOKUP(C383,'Informations générales'!$C$66:$D$70,2,FALSE)*(AK383/$AL$27)/12,0)*12,IF(C383="3112. Logements",ROUND(VLOOKUP(C383,'Informations générales'!$C$66:$D$70,2,FALSE)*(AK383/$AM$27)/12,0)*12,IF(C383="3113. Logements",ROUND(VLOOKUP(C383,'Informations générales'!$C$66:$D$70,2,FALSE)*(AK383/$AN$27)/12,0)*12,IF(C383="3114. Logements",ROUND(VLOOKUP(C383,'Informations générales'!$C$66:$D$70,2,FALSE)*(AK383/$AO$27)/12,0)*12,IF(C383="3115. Logements",ROUND(VLOOKUP(C383,'Informations générales'!$C$66:$D$70,2,FALSE)*(AK383/$AP$27)/12,0)*12,"")))))</f>
        <v/>
      </c>
      <c r="AC383" s="117"/>
      <c r="AD383" s="116">
        <f t="shared" si="86"/>
        <v>0</v>
      </c>
      <c r="AE383" s="117"/>
      <c r="AF383" s="116" t="str">
        <f>IF(C383="3111. Logements",ROUND(VLOOKUP(C383,'Informations générales'!$C$66:$G$70,5,FALSE)*(AK383/$AL$27)/12,0)*12,IF(C383="3112. Logements",ROUND(VLOOKUP(C383,'Informations générales'!$C$66:$G$70,5,FALSE)*(AK383/$AM$27)/12,0)*12,IF(C383="3113. Logements",ROUND(VLOOKUP(C383,'Informations générales'!$C$66:$G$70,5,FALSE)*(AK383/$AN$27)/12,0)*12,IF(C383="3114. Logements",ROUND(VLOOKUP(C383,'Informations générales'!$C$66:$G$70,5,FALSE)*(AK383/$AO$27)/12,0)*12,IF(C383="3115. Logements",ROUND(VLOOKUP(C383,'Informations générales'!$C$66:$G$70,5,FALSE)*(AK383/$AP$27)/12,0)*12,"")))))</f>
        <v/>
      </c>
      <c r="AG383" s="117"/>
      <c r="AH383" s="116" t="str">
        <f t="shared" si="87"/>
        <v/>
      </c>
      <c r="AI383" s="92"/>
      <c r="AJ383" s="78"/>
      <c r="AK383" s="60">
        <f t="shared" si="88"/>
        <v>0</v>
      </c>
      <c r="AL383" s="60"/>
      <c r="AM383" s="60"/>
      <c r="AN383" s="60"/>
      <c r="AO383" s="60"/>
      <c r="AP383" s="60"/>
      <c r="AQ383" s="60">
        <f t="shared" si="78"/>
        <v>0</v>
      </c>
      <c r="AR383" s="60">
        <f t="shared" si="79"/>
        <v>0</v>
      </c>
      <c r="AS383" s="60">
        <f t="shared" si="80"/>
        <v>0</v>
      </c>
      <c r="AT383" s="60">
        <f t="shared" si="81"/>
        <v>0</v>
      </c>
      <c r="AU383" s="60">
        <f t="shared" si="82"/>
        <v>0</v>
      </c>
      <c r="AV383" s="60">
        <f t="shared" si="83"/>
        <v>0</v>
      </c>
      <c r="AW383" s="60">
        <f t="shared" si="84"/>
        <v>0</v>
      </c>
      <c r="AX383" s="60">
        <f t="shared" si="89"/>
        <v>0</v>
      </c>
      <c r="AY383" s="64">
        <f t="shared" si="90"/>
        <v>0</v>
      </c>
      <c r="AZ383" s="65">
        <f t="shared" si="91"/>
        <v>0</v>
      </c>
      <c r="BA383" s="65">
        <f t="shared" si="92"/>
        <v>0</v>
      </c>
    </row>
    <row r="384" spans="3:53" s="17" customFormat="1" x14ac:dyDescent="0.25">
      <c r="C384" s="194"/>
      <c r="D384" s="195"/>
      <c r="E384" s="90"/>
      <c r="F384" s="198"/>
      <c r="G384" s="214"/>
      <c r="H384" s="199"/>
      <c r="I384" s="78"/>
      <c r="J384" s="79"/>
      <c r="K384" s="78"/>
      <c r="L384" s="80"/>
      <c r="M384" s="80"/>
      <c r="N384" s="78" t="s">
        <v>39</v>
      </c>
      <c r="O384" s="113"/>
      <c r="P384" s="155"/>
      <c r="Q384" s="114" t="str">
        <f>IFERROR(MIN(VLOOKUP(ROUNDDOWN(P384,0),'Aide calcul'!$B$2:$C$282,2,FALSE),O384+1),"")</f>
        <v/>
      </c>
      <c r="R384" s="115" t="str">
        <f t="shared" si="85"/>
        <v/>
      </c>
      <c r="S384" s="155"/>
      <c r="T384" s="155"/>
      <c r="U384" s="155"/>
      <c r="V384" s="155"/>
      <c r="W384" s="155"/>
      <c r="X384" s="155"/>
      <c r="Y384" s="155"/>
      <c r="Z384" s="78"/>
      <c r="AA384" s="78"/>
      <c r="AB384" s="116" t="str">
        <f>IF(C384="3111. Logements",ROUND(VLOOKUP(C384,'Informations générales'!$C$66:$D$70,2,FALSE)*(AK384/$AL$27)/12,0)*12,IF(C384="3112. Logements",ROUND(VLOOKUP(C384,'Informations générales'!$C$66:$D$70,2,FALSE)*(AK384/$AM$27)/12,0)*12,IF(C384="3113. Logements",ROUND(VLOOKUP(C384,'Informations générales'!$C$66:$D$70,2,FALSE)*(AK384/$AN$27)/12,0)*12,IF(C384="3114. Logements",ROUND(VLOOKUP(C384,'Informations générales'!$C$66:$D$70,2,FALSE)*(AK384/$AO$27)/12,0)*12,IF(C384="3115. Logements",ROUND(VLOOKUP(C384,'Informations générales'!$C$66:$D$70,2,FALSE)*(AK384/$AP$27)/12,0)*12,"")))))</f>
        <v/>
      </c>
      <c r="AC384" s="117"/>
      <c r="AD384" s="116">
        <f t="shared" si="86"/>
        <v>0</v>
      </c>
      <c r="AE384" s="117"/>
      <c r="AF384" s="116" t="str">
        <f>IF(C384="3111. Logements",ROUND(VLOOKUP(C384,'Informations générales'!$C$66:$G$70,5,FALSE)*(AK384/$AL$27)/12,0)*12,IF(C384="3112. Logements",ROUND(VLOOKUP(C384,'Informations générales'!$C$66:$G$70,5,FALSE)*(AK384/$AM$27)/12,0)*12,IF(C384="3113. Logements",ROUND(VLOOKUP(C384,'Informations générales'!$C$66:$G$70,5,FALSE)*(AK384/$AN$27)/12,0)*12,IF(C384="3114. Logements",ROUND(VLOOKUP(C384,'Informations générales'!$C$66:$G$70,5,FALSE)*(AK384/$AO$27)/12,0)*12,IF(C384="3115. Logements",ROUND(VLOOKUP(C384,'Informations générales'!$C$66:$G$70,5,FALSE)*(AK384/$AP$27)/12,0)*12,"")))))</f>
        <v/>
      </c>
      <c r="AG384" s="117"/>
      <c r="AH384" s="116" t="str">
        <f t="shared" si="87"/>
        <v/>
      </c>
      <c r="AI384" s="92"/>
      <c r="AJ384" s="78"/>
      <c r="AK384" s="60">
        <f t="shared" si="88"/>
        <v>0</v>
      </c>
      <c r="AL384" s="60"/>
      <c r="AM384" s="60"/>
      <c r="AN384" s="60"/>
      <c r="AO384" s="60"/>
      <c r="AP384" s="60"/>
      <c r="AQ384" s="60">
        <f t="shared" si="78"/>
        <v>0</v>
      </c>
      <c r="AR384" s="60">
        <f t="shared" si="79"/>
        <v>0</v>
      </c>
      <c r="AS384" s="60">
        <f t="shared" si="80"/>
        <v>0</v>
      </c>
      <c r="AT384" s="60">
        <f t="shared" si="81"/>
        <v>0</v>
      </c>
      <c r="AU384" s="60">
        <f t="shared" si="82"/>
        <v>0</v>
      </c>
      <c r="AV384" s="60">
        <f t="shared" si="83"/>
        <v>0</v>
      </c>
      <c r="AW384" s="60">
        <f t="shared" si="84"/>
        <v>0</v>
      </c>
      <c r="AX384" s="60">
        <f t="shared" si="89"/>
        <v>0</v>
      </c>
      <c r="AY384" s="64">
        <f t="shared" si="90"/>
        <v>0</v>
      </c>
      <c r="AZ384" s="65">
        <f t="shared" si="91"/>
        <v>0</v>
      </c>
      <c r="BA384" s="65">
        <f t="shared" si="92"/>
        <v>0</v>
      </c>
    </row>
    <row r="385" spans="3:53" s="17" customFormat="1" x14ac:dyDescent="0.25">
      <c r="C385" s="194"/>
      <c r="D385" s="195"/>
      <c r="E385" s="90"/>
      <c r="F385" s="198"/>
      <c r="G385" s="214"/>
      <c r="H385" s="199"/>
      <c r="I385" s="78"/>
      <c r="J385" s="79"/>
      <c r="K385" s="78"/>
      <c r="L385" s="80"/>
      <c r="M385" s="80"/>
      <c r="N385" s="78" t="s">
        <v>39</v>
      </c>
      <c r="O385" s="113"/>
      <c r="P385" s="155"/>
      <c r="Q385" s="114" t="str">
        <f>IFERROR(MIN(VLOOKUP(ROUNDDOWN(P385,0),'Aide calcul'!$B$2:$C$282,2,FALSE),O385+1),"")</f>
        <v/>
      </c>
      <c r="R385" s="115" t="str">
        <f t="shared" si="85"/>
        <v/>
      </c>
      <c r="S385" s="155"/>
      <c r="T385" s="155"/>
      <c r="U385" s="155"/>
      <c r="V385" s="155"/>
      <c r="W385" s="155"/>
      <c r="X385" s="155"/>
      <c r="Y385" s="155"/>
      <c r="Z385" s="78"/>
      <c r="AA385" s="78"/>
      <c r="AB385" s="116" t="str">
        <f>IF(C385="3111. Logements",ROUND(VLOOKUP(C385,'Informations générales'!$C$66:$D$70,2,FALSE)*(AK385/$AL$27)/12,0)*12,IF(C385="3112. Logements",ROUND(VLOOKUP(C385,'Informations générales'!$C$66:$D$70,2,FALSE)*(AK385/$AM$27)/12,0)*12,IF(C385="3113. Logements",ROUND(VLOOKUP(C385,'Informations générales'!$C$66:$D$70,2,FALSE)*(AK385/$AN$27)/12,0)*12,IF(C385="3114. Logements",ROUND(VLOOKUP(C385,'Informations générales'!$C$66:$D$70,2,FALSE)*(AK385/$AO$27)/12,0)*12,IF(C385="3115. Logements",ROUND(VLOOKUP(C385,'Informations générales'!$C$66:$D$70,2,FALSE)*(AK385/$AP$27)/12,0)*12,"")))))</f>
        <v/>
      </c>
      <c r="AC385" s="117"/>
      <c r="AD385" s="116">
        <f t="shared" si="86"/>
        <v>0</v>
      </c>
      <c r="AE385" s="117"/>
      <c r="AF385" s="116" t="str">
        <f>IF(C385="3111. Logements",ROUND(VLOOKUP(C385,'Informations générales'!$C$66:$G$70,5,FALSE)*(AK385/$AL$27)/12,0)*12,IF(C385="3112. Logements",ROUND(VLOOKUP(C385,'Informations générales'!$C$66:$G$70,5,FALSE)*(AK385/$AM$27)/12,0)*12,IF(C385="3113. Logements",ROUND(VLOOKUP(C385,'Informations générales'!$C$66:$G$70,5,FALSE)*(AK385/$AN$27)/12,0)*12,IF(C385="3114. Logements",ROUND(VLOOKUP(C385,'Informations générales'!$C$66:$G$70,5,FALSE)*(AK385/$AO$27)/12,0)*12,IF(C385="3115. Logements",ROUND(VLOOKUP(C385,'Informations générales'!$C$66:$G$70,5,FALSE)*(AK385/$AP$27)/12,0)*12,"")))))</f>
        <v/>
      </c>
      <c r="AG385" s="117"/>
      <c r="AH385" s="116" t="str">
        <f t="shared" si="87"/>
        <v/>
      </c>
      <c r="AI385" s="92"/>
      <c r="AJ385" s="78"/>
      <c r="AK385" s="60">
        <f t="shared" si="88"/>
        <v>0</v>
      </c>
      <c r="AL385" s="60"/>
      <c r="AM385" s="60"/>
      <c r="AN385" s="60"/>
      <c r="AO385" s="60"/>
      <c r="AP385" s="60"/>
      <c r="AQ385" s="60">
        <f t="shared" si="78"/>
        <v>0</v>
      </c>
      <c r="AR385" s="60">
        <f t="shared" si="79"/>
        <v>0</v>
      </c>
      <c r="AS385" s="60">
        <f t="shared" si="80"/>
        <v>0</v>
      </c>
      <c r="AT385" s="60">
        <f t="shared" si="81"/>
        <v>0</v>
      </c>
      <c r="AU385" s="60">
        <f t="shared" si="82"/>
        <v>0</v>
      </c>
      <c r="AV385" s="60">
        <f t="shared" si="83"/>
        <v>0</v>
      </c>
      <c r="AW385" s="60">
        <f t="shared" si="84"/>
        <v>0</v>
      </c>
      <c r="AX385" s="60">
        <f t="shared" si="89"/>
        <v>0</v>
      </c>
      <c r="AY385" s="64">
        <f t="shared" si="90"/>
        <v>0</v>
      </c>
      <c r="AZ385" s="65">
        <f t="shared" si="91"/>
        <v>0</v>
      </c>
      <c r="BA385" s="65">
        <f t="shared" si="92"/>
        <v>0</v>
      </c>
    </row>
    <row r="386" spans="3:53" s="17" customFormat="1" x14ac:dyDescent="0.25">
      <c r="C386" s="194"/>
      <c r="D386" s="195"/>
      <c r="E386" s="90"/>
      <c r="F386" s="198"/>
      <c r="G386" s="214"/>
      <c r="H386" s="199"/>
      <c r="I386" s="78"/>
      <c r="J386" s="79"/>
      <c r="K386" s="78"/>
      <c r="L386" s="80"/>
      <c r="M386" s="80"/>
      <c r="N386" s="78" t="s">
        <v>39</v>
      </c>
      <c r="O386" s="113"/>
      <c r="P386" s="155"/>
      <c r="Q386" s="114" t="str">
        <f>IFERROR(MIN(VLOOKUP(ROUNDDOWN(P386,0),'Aide calcul'!$B$2:$C$282,2,FALSE),O386+1),"")</f>
        <v/>
      </c>
      <c r="R386" s="115" t="str">
        <f t="shared" si="85"/>
        <v/>
      </c>
      <c r="S386" s="155"/>
      <c r="T386" s="155"/>
      <c r="U386" s="155"/>
      <c r="V386" s="155"/>
      <c r="W386" s="155"/>
      <c r="X386" s="155"/>
      <c r="Y386" s="155"/>
      <c r="Z386" s="78"/>
      <c r="AA386" s="78"/>
      <c r="AB386" s="116" t="str">
        <f>IF(C386="3111. Logements",ROUND(VLOOKUP(C386,'Informations générales'!$C$66:$D$70,2,FALSE)*(AK386/$AL$27)/12,0)*12,IF(C386="3112. Logements",ROUND(VLOOKUP(C386,'Informations générales'!$C$66:$D$70,2,FALSE)*(AK386/$AM$27)/12,0)*12,IF(C386="3113. Logements",ROUND(VLOOKUP(C386,'Informations générales'!$C$66:$D$70,2,FALSE)*(AK386/$AN$27)/12,0)*12,IF(C386="3114. Logements",ROUND(VLOOKUP(C386,'Informations générales'!$C$66:$D$70,2,FALSE)*(AK386/$AO$27)/12,0)*12,IF(C386="3115. Logements",ROUND(VLOOKUP(C386,'Informations générales'!$C$66:$D$70,2,FALSE)*(AK386/$AP$27)/12,0)*12,"")))))</f>
        <v/>
      </c>
      <c r="AC386" s="117"/>
      <c r="AD386" s="116">
        <f t="shared" si="86"/>
        <v>0</v>
      </c>
      <c r="AE386" s="117"/>
      <c r="AF386" s="116" t="str">
        <f>IF(C386="3111. Logements",ROUND(VLOOKUP(C386,'Informations générales'!$C$66:$G$70,5,FALSE)*(AK386/$AL$27)/12,0)*12,IF(C386="3112. Logements",ROUND(VLOOKUP(C386,'Informations générales'!$C$66:$G$70,5,FALSE)*(AK386/$AM$27)/12,0)*12,IF(C386="3113. Logements",ROUND(VLOOKUP(C386,'Informations générales'!$C$66:$G$70,5,FALSE)*(AK386/$AN$27)/12,0)*12,IF(C386="3114. Logements",ROUND(VLOOKUP(C386,'Informations générales'!$C$66:$G$70,5,FALSE)*(AK386/$AO$27)/12,0)*12,IF(C386="3115. Logements",ROUND(VLOOKUP(C386,'Informations générales'!$C$66:$G$70,5,FALSE)*(AK386/$AP$27)/12,0)*12,"")))))</f>
        <v/>
      </c>
      <c r="AG386" s="117"/>
      <c r="AH386" s="116" t="str">
        <f t="shared" si="87"/>
        <v/>
      </c>
      <c r="AI386" s="92"/>
      <c r="AJ386" s="78"/>
      <c r="AK386" s="60">
        <f t="shared" si="88"/>
        <v>0</v>
      </c>
      <c r="AL386" s="60"/>
      <c r="AM386" s="60"/>
      <c r="AN386" s="60"/>
      <c r="AO386" s="60"/>
      <c r="AP386" s="60"/>
      <c r="AQ386" s="60">
        <f t="shared" si="78"/>
        <v>0</v>
      </c>
      <c r="AR386" s="60">
        <f t="shared" si="79"/>
        <v>0</v>
      </c>
      <c r="AS386" s="60">
        <f t="shared" si="80"/>
        <v>0</v>
      </c>
      <c r="AT386" s="60">
        <f t="shared" si="81"/>
        <v>0</v>
      </c>
      <c r="AU386" s="60">
        <f t="shared" si="82"/>
        <v>0</v>
      </c>
      <c r="AV386" s="60">
        <f t="shared" si="83"/>
        <v>0</v>
      </c>
      <c r="AW386" s="60">
        <f t="shared" si="84"/>
        <v>0</v>
      </c>
      <c r="AX386" s="60">
        <f t="shared" si="89"/>
        <v>0</v>
      </c>
      <c r="AY386" s="64">
        <f t="shared" si="90"/>
        <v>0</v>
      </c>
      <c r="AZ386" s="65">
        <f t="shared" si="91"/>
        <v>0</v>
      </c>
      <c r="BA386" s="65">
        <f t="shared" si="92"/>
        <v>0</v>
      </c>
    </row>
    <row r="387" spans="3:53" s="17" customFormat="1" x14ac:dyDescent="0.25">
      <c r="C387" s="194"/>
      <c r="D387" s="195"/>
      <c r="E387" s="90"/>
      <c r="F387" s="198"/>
      <c r="G387" s="214"/>
      <c r="H387" s="199"/>
      <c r="I387" s="78"/>
      <c r="J387" s="79"/>
      <c r="K387" s="78"/>
      <c r="L387" s="80"/>
      <c r="M387" s="80"/>
      <c r="N387" s="78" t="s">
        <v>39</v>
      </c>
      <c r="O387" s="113"/>
      <c r="P387" s="155"/>
      <c r="Q387" s="114" t="str">
        <f>IFERROR(MIN(VLOOKUP(ROUNDDOWN(P387,0),'Aide calcul'!$B$2:$C$282,2,FALSE),O387+1),"")</f>
        <v/>
      </c>
      <c r="R387" s="115" t="str">
        <f t="shared" si="85"/>
        <v/>
      </c>
      <c r="S387" s="155"/>
      <c r="T387" s="155"/>
      <c r="U387" s="155"/>
      <c r="V387" s="155"/>
      <c r="W387" s="155"/>
      <c r="X387" s="155"/>
      <c r="Y387" s="155"/>
      <c r="Z387" s="78"/>
      <c r="AA387" s="78"/>
      <c r="AB387" s="116" t="str">
        <f>IF(C387="3111. Logements",ROUND(VLOOKUP(C387,'Informations générales'!$C$66:$D$70,2,FALSE)*(AK387/$AL$27)/12,0)*12,IF(C387="3112. Logements",ROUND(VLOOKUP(C387,'Informations générales'!$C$66:$D$70,2,FALSE)*(AK387/$AM$27)/12,0)*12,IF(C387="3113. Logements",ROUND(VLOOKUP(C387,'Informations générales'!$C$66:$D$70,2,FALSE)*(AK387/$AN$27)/12,0)*12,IF(C387="3114. Logements",ROUND(VLOOKUP(C387,'Informations générales'!$C$66:$D$70,2,FALSE)*(AK387/$AO$27)/12,0)*12,IF(C387="3115. Logements",ROUND(VLOOKUP(C387,'Informations générales'!$C$66:$D$70,2,FALSE)*(AK387/$AP$27)/12,0)*12,"")))))</f>
        <v/>
      </c>
      <c r="AC387" s="117"/>
      <c r="AD387" s="116">
        <f t="shared" si="86"/>
        <v>0</v>
      </c>
      <c r="AE387" s="117"/>
      <c r="AF387" s="116" t="str">
        <f>IF(C387="3111. Logements",ROUND(VLOOKUP(C387,'Informations générales'!$C$66:$G$70,5,FALSE)*(AK387/$AL$27)/12,0)*12,IF(C387="3112. Logements",ROUND(VLOOKUP(C387,'Informations générales'!$C$66:$G$70,5,FALSE)*(AK387/$AM$27)/12,0)*12,IF(C387="3113. Logements",ROUND(VLOOKUP(C387,'Informations générales'!$C$66:$G$70,5,FALSE)*(AK387/$AN$27)/12,0)*12,IF(C387="3114. Logements",ROUND(VLOOKUP(C387,'Informations générales'!$C$66:$G$70,5,FALSE)*(AK387/$AO$27)/12,0)*12,IF(C387="3115. Logements",ROUND(VLOOKUP(C387,'Informations générales'!$C$66:$G$70,5,FALSE)*(AK387/$AP$27)/12,0)*12,"")))))</f>
        <v/>
      </c>
      <c r="AG387" s="117"/>
      <c r="AH387" s="116" t="str">
        <f t="shared" si="87"/>
        <v/>
      </c>
      <c r="AI387" s="92"/>
      <c r="AJ387" s="78"/>
      <c r="AK387" s="60">
        <f t="shared" si="88"/>
        <v>0</v>
      </c>
      <c r="AL387" s="60"/>
      <c r="AM387" s="60"/>
      <c r="AN387" s="60"/>
      <c r="AO387" s="60"/>
      <c r="AP387" s="60"/>
      <c r="AQ387" s="60">
        <f t="shared" si="78"/>
        <v>0</v>
      </c>
      <c r="AR387" s="60">
        <f t="shared" si="79"/>
        <v>0</v>
      </c>
      <c r="AS387" s="60">
        <f t="shared" si="80"/>
        <v>0</v>
      </c>
      <c r="AT387" s="60">
        <f t="shared" si="81"/>
        <v>0</v>
      </c>
      <c r="AU387" s="60">
        <f t="shared" si="82"/>
        <v>0</v>
      </c>
      <c r="AV387" s="60">
        <f t="shared" si="83"/>
        <v>0</v>
      </c>
      <c r="AW387" s="60">
        <f t="shared" si="84"/>
        <v>0</v>
      </c>
      <c r="AX387" s="60">
        <f t="shared" si="89"/>
        <v>0</v>
      </c>
      <c r="AY387" s="64">
        <f t="shared" si="90"/>
        <v>0</v>
      </c>
      <c r="AZ387" s="65">
        <f t="shared" si="91"/>
        <v>0</v>
      </c>
      <c r="BA387" s="65">
        <f t="shared" si="92"/>
        <v>0</v>
      </c>
    </row>
    <row r="388" spans="3:53" s="17" customFormat="1" x14ac:dyDescent="0.25">
      <c r="C388" s="194"/>
      <c r="D388" s="195"/>
      <c r="E388" s="90"/>
      <c r="F388" s="198"/>
      <c r="G388" s="214"/>
      <c r="H388" s="199"/>
      <c r="I388" s="78"/>
      <c r="J388" s="79"/>
      <c r="K388" s="78"/>
      <c r="L388" s="80"/>
      <c r="M388" s="80"/>
      <c r="N388" s="78" t="s">
        <v>39</v>
      </c>
      <c r="O388" s="113"/>
      <c r="P388" s="155"/>
      <c r="Q388" s="114" t="str">
        <f>IFERROR(MIN(VLOOKUP(ROUNDDOWN(P388,0),'Aide calcul'!$B$2:$C$282,2,FALSE),O388+1),"")</f>
        <v/>
      </c>
      <c r="R388" s="115" t="str">
        <f t="shared" si="85"/>
        <v/>
      </c>
      <c r="S388" s="155"/>
      <c r="T388" s="155"/>
      <c r="U388" s="155"/>
      <c r="V388" s="155"/>
      <c r="W388" s="155"/>
      <c r="X388" s="155"/>
      <c r="Y388" s="155"/>
      <c r="Z388" s="78"/>
      <c r="AA388" s="78"/>
      <c r="AB388" s="116" t="str">
        <f>IF(C388="3111. Logements",ROUND(VLOOKUP(C388,'Informations générales'!$C$66:$D$70,2,FALSE)*(AK388/$AL$27)/12,0)*12,IF(C388="3112. Logements",ROUND(VLOOKUP(C388,'Informations générales'!$C$66:$D$70,2,FALSE)*(AK388/$AM$27)/12,0)*12,IF(C388="3113. Logements",ROUND(VLOOKUP(C388,'Informations générales'!$C$66:$D$70,2,FALSE)*(AK388/$AN$27)/12,0)*12,IF(C388="3114. Logements",ROUND(VLOOKUP(C388,'Informations générales'!$C$66:$D$70,2,FALSE)*(AK388/$AO$27)/12,0)*12,IF(C388="3115. Logements",ROUND(VLOOKUP(C388,'Informations générales'!$C$66:$D$70,2,FALSE)*(AK388/$AP$27)/12,0)*12,"")))))</f>
        <v/>
      </c>
      <c r="AC388" s="117"/>
      <c r="AD388" s="116">
        <f t="shared" si="86"/>
        <v>0</v>
      </c>
      <c r="AE388" s="117"/>
      <c r="AF388" s="116" t="str">
        <f>IF(C388="3111. Logements",ROUND(VLOOKUP(C388,'Informations générales'!$C$66:$G$70,5,FALSE)*(AK388/$AL$27)/12,0)*12,IF(C388="3112. Logements",ROUND(VLOOKUP(C388,'Informations générales'!$C$66:$G$70,5,FALSE)*(AK388/$AM$27)/12,0)*12,IF(C388="3113. Logements",ROUND(VLOOKUP(C388,'Informations générales'!$C$66:$G$70,5,FALSE)*(AK388/$AN$27)/12,0)*12,IF(C388="3114. Logements",ROUND(VLOOKUP(C388,'Informations générales'!$C$66:$G$70,5,FALSE)*(AK388/$AO$27)/12,0)*12,IF(C388="3115. Logements",ROUND(VLOOKUP(C388,'Informations générales'!$C$66:$G$70,5,FALSE)*(AK388/$AP$27)/12,0)*12,"")))))</f>
        <v/>
      </c>
      <c r="AG388" s="117"/>
      <c r="AH388" s="116" t="str">
        <f t="shared" si="87"/>
        <v/>
      </c>
      <c r="AI388" s="92"/>
      <c r="AJ388" s="78"/>
      <c r="AK388" s="60">
        <f t="shared" si="88"/>
        <v>0</v>
      </c>
      <c r="AL388" s="60"/>
      <c r="AM388" s="60"/>
      <c r="AN388" s="60"/>
      <c r="AO388" s="60"/>
      <c r="AP388" s="60"/>
      <c r="AQ388" s="60">
        <f t="shared" si="78"/>
        <v>0</v>
      </c>
      <c r="AR388" s="60">
        <f t="shared" si="79"/>
        <v>0</v>
      </c>
      <c r="AS388" s="60">
        <f t="shared" si="80"/>
        <v>0</v>
      </c>
      <c r="AT388" s="60">
        <f t="shared" si="81"/>
        <v>0</v>
      </c>
      <c r="AU388" s="60">
        <f t="shared" si="82"/>
        <v>0</v>
      </c>
      <c r="AV388" s="60">
        <f t="shared" si="83"/>
        <v>0</v>
      </c>
      <c r="AW388" s="60">
        <f t="shared" si="84"/>
        <v>0</v>
      </c>
      <c r="AX388" s="60">
        <f t="shared" si="89"/>
        <v>0</v>
      </c>
      <c r="AY388" s="64">
        <f t="shared" si="90"/>
        <v>0</v>
      </c>
      <c r="AZ388" s="65">
        <f t="shared" si="91"/>
        <v>0</v>
      </c>
      <c r="BA388" s="65">
        <f t="shared" si="92"/>
        <v>0</v>
      </c>
    </row>
    <row r="389" spans="3:53" s="17" customFormat="1" x14ac:dyDescent="0.25">
      <c r="C389" s="194"/>
      <c r="D389" s="195"/>
      <c r="E389" s="90"/>
      <c r="F389" s="198"/>
      <c r="G389" s="214"/>
      <c r="H389" s="199"/>
      <c r="I389" s="78"/>
      <c r="J389" s="79"/>
      <c r="K389" s="78"/>
      <c r="L389" s="80"/>
      <c r="M389" s="80"/>
      <c r="N389" s="78" t="s">
        <v>39</v>
      </c>
      <c r="O389" s="113"/>
      <c r="P389" s="155"/>
      <c r="Q389" s="114" t="str">
        <f>IFERROR(MIN(VLOOKUP(ROUNDDOWN(P389,0),'Aide calcul'!$B$2:$C$282,2,FALSE),O389+1),"")</f>
        <v/>
      </c>
      <c r="R389" s="115" t="str">
        <f t="shared" si="85"/>
        <v/>
      </c>
      <c r="S389" s="155"/>
      <c r="T389" s="155"/>
      <c r="U389" s="155"/>
      <c r="V389" s="155"/>
      <c r="W389" s="155"/>
      <c r="X389" s="155"/>
      <c r="Y389" s="155"/>
      <c r="Z389" s="78"/>
      <c r="AA389" s="78"/>
      <c r="AB389" s="116" t="str">
        <f>IF(C389="3111. Logements",ROUND(VLOOKUP(C389,'Informations générales'!$C$66:$D$70,2,FALSE)*(AK389/$AL$27)/12,0)*12,IF(C389="3112. Logements",ROUND(VLOOKUP(C389,'Informations générales'!$C$66:$D$70,2,FALSE)*(AK389/$AM$27)/12,0)*12,IF(C389="3113. Logements",ROUND(VLOOKUP(C389,'Informations générales'!$C$66:$D$70,2,FALSE)*(AK389/$AN$27)/12,0)*12,IF(C389="3114. Logements",ROUND(VLOOKUP(C389,'Informations générales'!$C$66:$D$70,2,FALSE)*(AK389/$AO$27)/12,0)*12,IF(C389="3115. Logements",ROUND(VLOOKUP(C389,'Informations générales'!$C$66:$D$70,2,FALSE)*(AK389/$AP$27)/12,0)*12,"")))))</f>
        <v/>
      </c>
      <c r="AC389" s="117"/>
      <c r="AD389" s="116">
        <f t="shared" si="86"/>
        <v>0</v>
      </c>
      <c r="AE389" s="117"/>
      <c r="AF389" s="116" t="str">
        <f>IF(C389="3111. Logements",ROUND(VLOOKUP(C389,'Informations générales'!$C$66:$G$70,5,FALSE)*(AK389/$AL$27)/12,0)*12,IF(C389="3112. Logements",ROUND(VLOOKUP(C389,'Informations générales'!$C$66:$G$70,5,FALSE)*(AK389/$AM$27)/12,0)*12,IF(C389="3113. Logements",ROUND(VLOOKUP(C389,'Informations générales'!$C$66:$G$70,5,FALSE)*(AK389/$AN$27)/12,0)*12,IF(C389="3114. Logements",ROUND(VLOOKUP(C389,'Informations générales'!$C$66:$G$70,5,FALSE)*(AK389/$AO$27)/12,0)*12,IF(C389="3115. Logements",ROUND(VLOOKUP(C389,'Informations générales'!$C$66:$G$70,5,FALSE)*(AK389/$AP$27)/12,0)*12,"")))))</f>
        <v/>
      </c>
      <c r="AG389" s="117"/>
      <c r="AH389" s="116" t="str">
        <f t="shared" si="87"/>
        <v/>
      </c>
      <c r="AI389" s="92"/>
      <c r="AJ389" s="78"/>
      <c r="AK389" s="60">
        <f t="shared" si="88"/>
        <v>0</v>
      </c>
      <c r="AL389" s="60"/>
      <c r="AM389" s="60"/>
      <c r="AN389" s="60"/>
      <c r="AO389" s="60"/>
      <c r="AP389" s="60"/>
      <c r="AQ389" s="60">
        <f t="shared" si="78"/>
        <v>0</v>
      </c>
      <c r="AR389" s="60">
        <f t="shared" si="79"/>
        <v>0</v>
      </c>
      <c r="AS389" s="60">
        <f t="shared" si="80"/>
        <v>0</v>
      </c>
      <c r="AT389" s="60">
        <f t="shared" si="81"/>
        <v>0</v>
      </c>
      <c r="AU389" s="60">
        <f t="shared" si="82"/>
        <v>0</v>
      </c>
      <c r="AV389" s="60">
        <f t="shared" si="83"/>
        <v>0</v>
      </c>
      <c r="AW389" s="60">
        <f t="shared" si="84"/>
        <v>0</v>
      </c>
      <c r="AX389" s="60">
        <f t="shared" si="89"/>
        <v>0</v>
      </c>
      <c r="AY389" s="64">
        <f t="shared" si="90"/>
        <v>0</v>
      </c>
      <c r="AZ389" s="65">
        <f t="shared" si="91"/>
        <v>0</v>
      </c>
      <c r="BA389" s="65">
        <f t="shared" si="92"/>
        <v>0</v>
      </c>
    </row>
    <row r="390" spans="3:53" s="17" customFormat="1" x14ac:dyDescent="0.25">
      <c r="C390" s="194"/>
      <c r="D390" s="195"/>
      <c r="E390" s="90"/>
      <c r="F390" s="198"/>
      <c r="G390" s="214"/>
      <c r="H390" s="199"/>
      <c r="I390" s="78"/>
      <c r="J390" s="79"/>
      <c r="K390" s="78"/>
      <c r="L390" s="80"/>
      <c r="M390" s="80"/>
      <c r="N390" s="78" t="s">
        <v>39</v>
      </c>
      <c r="O390" s="113"/>
      <c r="P390" s="155"/>
      <c r="Q390" s="114" t="str">
        <f>IFERROR(MIN(VLOOKUP(ROUNDDOWN(P390,0),'Aide calcul'!$B$2:$C$282,2,FALSE),O390+1),"")</f>
        <v/>
      </c>
      <c r="R390" s="115" t="str">
        <f t="shared" si="85"/>
        <v/>
      </c>
      <c r="S390" s="155"/>
      <c r="T390" s="155"/>
      <c r="U390" s="155"/>
      <c r="V390" s="155"/>
      <c r="W390" s="155"/>
      <c r="X390" s="155"/>
      <c r="Y390" s="155"/>
      <c r="Z390" s="78"/>
      <c r="AA390" s="78"/>
      <c r="AB390" s="116" t="str">
        <f>IF(C390="3111. Logements",ROUND(VLOOKUP(C390,'Informations générales'!$C$66:$D$70,2,FALSE)*(AK390/$AL$27)/12,0)*12,IF(C390="3112. Logements",ROUND(VLOOKUP(C390,'Informations générales'!$C$66:$D$70,2,FALSE)*(AK390/$AM$27)/12,0)*12,IF(C390="3113. Logements",ROUND(VLOOKUP(C390,'Informations générales'!$C$66:$D$70,2,FALSE)*(AK390/$AN$27)/12,0)*12,IF(C390="3114. Logements",ROUND(VLOOKUP(C390,'Informations générales'!$C$66:$D$70,2,FALSE)*(AK390/$AO$27)/12,0)*12,IF(C390="3115. Logements",ROUND(VLOOKUP(C390,'Informations générales'!$C$66:$D$70,2,FALSE)*(AK390/$AP$27)/12,0)*12,"")))))</f>
        <v/>
      </c>
      <c r="AC390" s="117"/>
      <c r="AD390" s="116">
        <f t="shared" si="86"/>
        <v>0</v>
      </c>
      <c r="AE390" s="117"/>
      <c r="AF390" s="116" t="str">
        <f>IF(C390="3111. Logements",ROUND(VLOOKUP(C390,'Informations générales'!$C$66:$G$70,5,FALSE)*(AK390/$AL$27)/12,0)*12,IF(C390="3112. Logements",ROUND(VLOOKUP(C390,'Informations générales'!$C$66:$G$70,5,FALSE)*(AK390/$AM$27)/12,0)*12,IF(C390="3113. Logements",ROUND(VLOOKUP(C390,'Informations générales'!$C$66:$G$70,5,FALSE)*(AK390/$AN$27)/12,0)*12,IF(C390="3114. Logements",ROUND(VLOOKUP(C390,'Informations générales'!$C$66:$G$70,5,FALSE)*(AK390/$AO$27)/12,0)*12,IF(C390="3115. Logements",ROUND(VLOOKUP(C390,'Informations générales'!$C$66:$G$70,5,FALSE)*(AK390/$AP$27)/12,0)*12,"")))))</f>
        <v/>
      </c>
      <c r="AG390" s="117"/>
      <c r="AH390" s="116" t="str">
        <f t="shared" si="87"/>
        <v/>
      </c>
      <c r="AI390" s="92"/>
      <c r="AJ390" s="78"/>
      <c r="AK390" s="60">
        <f t="shared" si="88"/>
        <v>0</v>
      </c>
      <c r="AL390" s="60"/>
      <c r="AM390" s="60"/>
      <c r="AN390" s="60"/>
      <c r="AO390" s="60"/>
      <c r="AP390" s="60"/>
      <c r="AQ390" s="60">
        <f t="shared" si="78"/>
        <v>0</v>
      </c>
      <c r="AR390" s="60">
        <f t="shared" si="79"/>
        <v>0</v>
      </c>
      <c r="AS390" s="60">
        <f t="shared" si="80"/>
        <v>0</v>
      </c>
      <c r="AT390" s="60">
        <f t="shared" si="81"/>
        <v>0</v>
      </c>
      <c r="AU390" s="60">
        <f t="shared" si="82"/>
        <v>0</v>
      </c>
      <c r="AV390" s="60">
        <f t="shared" si="83"/>
        <v>0</v>
      </c>
      <c r="AW390" s="60">
        <f t="shared" si="84"/>
        <v>0</v>
      </c>
      <c r="AX390" s="60">
        <f t="shared" si="89"/>
        <v>0</v>
      </c>
      <c r="AY390" s="64">
        <f t="shared" si="90"/>
        <v>0</v>
      </c>
      <c r="AZ390" s="65">
        <f t="shared" si="91"/>
        <v>0</v>
      </c>
      <c r="BA390" s="65">
        <f t="shared" si="92"/>
        <v>0</v>
      </c>
    </row>
    <row r="391" spans="3:53" s="17" customFormat="1" x14ac:dyDescent="0.25">
      <c r="C391" s="194"/>
      <c r="D391" s="195"/>
      <c r="E391" s="90"/>
      <c r="F391" s="198"/>
      <c r="G391" s="214"/>
      <c r="H391" s="199"/>
      <c r="I391" s="78"/>
      <c r="J391" s="79"/>
      <c r="K391" s="78"/>
      <c r="L391" s="80"/>
      <c r="M391" s="80"/>
      <c r="N391" s="78" t="s">
        <v>39</v>
      </c>
      <c r="O391" s="113"/>
      <c r="P391" s="155"/>
      <c r="Q391" s="114" t="str">
        <f>IFERROR(MIN(VLOOKUP(ROUNDDOWN(P391,0),'Aide calcul'!$B$2:$C$282,2,FALSE),O391+1),"")</f>
        <v/>
      </c>
      <c r="R391" s="115" t="str">
        <f t="shared" si="85"/>
        <v/>
      </c>
      <c r="S391" s="155"/>
      <c r="T391" s="155"/>
      <c r="U391" s="155"/>
      <c r="V391" s="155"/>
      <c r="W391" s="155"/>
      <c r="X391" s="155"/>
      <c r="Y391" s="155"/>
      <c r="Z391" s="78"/>
      <c r="AA391" s="78"/>
      <c r="AB391" s="116" t="str">
        <f>IF(C391="3111. Logements",ROUND(VLOOKUP(C391,'Informations générales'!$C$66:$D$70,2,FALSE)*(AK391/$AL$27)/12,0)*12,IF(C391="3112. Logements",ROUND(VLOOKUP(C391,'Informations générales'!$C$66:$D$70,2,FALSE)*(AK391/$AM$27)/12,0)*12,IF(C391="3113. Logements",ROUND(VLOOKUP(C391,'Informations générales'!$C$66:$D$70,2,FALSE)*(AK391/$AN$27)/12,0)*12,IF(C391="3114. Logements",ROUND(VLOOKUP(C391,'Informations générales'!$C$66:$D$70,2,FALSE)*(AK391/$AO$27)/12,0)*12,IF(C391="3115. Logements",ROUND(VLOOKUP(C391,'Informations générales'!$C$66:$D$70,2,FALSE)*(AK391/$AP$27)/12,0)*12,"")))))</f>
        <v/>
      </c>
      <c r="AC391" s="117"/>
      <c r="AD391" s="116">
        <f t="shared" si="86"/>
        <v>0</v>
      </c>
      <c r="AE391" s="117"/>
      <c r="AF391" s="116" t="str">
        <f>IF(C391="3111. Logements",ROUND(VLOOKUP(C391,'Informations générales'!$C$66:$G$70,5,FALSE)*(AK391/$AL$27)/12,0)*12,IF(C391="3112. Logements",ROUND(VLOOKUP(C391,'Informations générales'!$C$66:$G$70,5,FALSE)*(AK391/$AM$27)/12,0)*12,IF(C391="3113. Logements",ROUND(VLOOKUP(C391,'Informations générales'!$C$66:$G$70,5,FALSE)*(AK391/$AN$27)/12,0)*12,IF(C391="3114. Logements",ROUND(VLOOKUP(C391,'Informations générales'!$C$66:$G$70,5,FALSE)*(AK391/$AO$27)/12,0)*12,IF(C391="3115. Logements",ROUND(VLOOKUP(C391,'Informations générales'!$C$66:$G$70,5,FALSE)*(AK391/$AP$27)/12,0)*12,"")))))</f>
        <v/>
      </c>
      <c r="AG391" s="117"/>
      <c r="AH391" s="116" t="str">
        <f t="shared" si="87"/>
        <v/>
      </c>
      <c r="AI391" s="92"/>
      <c r="AJ391" s="78"/>
      <c r="AK391" s="60">
        <f t="shared" si="88"/>
        <v>0</v>
      </c>
      <c r="AL391" s="60"/>
      <c r="AM391" s="60"/>
      <c r="AN391" s="60"/>
      <c r="AO391" s="60"/>
      <c r="AP391" s="60"/>
      <c r="AQ391" s="60">
        <f t="shared" si="78"/>
        <v>0</v>
      </c>
      <c r="AR391" s="60">
        <f t="shared" si="79"/>
        <v>0</v>
      </c>
      <c r="AS391" s="60">
        <f t="shared" si="80"/>
        <v>0</v>
      </c>
      <c r="AT391" s="60">
        <f t="shared" si="81"/>
        <v>0</v>
      </c>
      <c r="AU391" s="60">
        <f t="shared" si="82"/>
        <v>0</v>
      </c>
      <c r="AV391" s="60">
        <f t="shared" si="83"/>
        <v>0</v>
      </c>
      <c r="AW391" s="60">
        <f t="shared" si="84"/>
        <v>0</v>
      </c>
      <c r="AX391" s="60">
        <f t="shared" si="89"/>
        <v>0</v>
      </c>
      <c r="AY391" s="64">
        <f t="shared" si="90"/>
        <v>0</v>
      </c>
      <c r="AZ391" s="65">
        <f t="shared" si="91"/>
        <v>0</v>
      </c>
      <c r="BA391" s="65">
        <f t="shared" si="92"/>
        <v>0</v>
      </c>
    </row>
    <row r="392" spans="3:53" s="17" customFormat="1" x14ac:dyDescent="0.25">
      <c r="C392" s="194"/>
      <c r="D392" s="195"/>
      <c r="E392" s="90"/>
      <c r="F392" s="198"/>
      <c r="G392" s="214"/>
      <c r="H392" s="199"/>
      <c r="I392" s="78"/>
      <c r="J392" s="79"/>
      <c r="K392" s="78"/>
      <c r="L392" s="80"/>
      <c r="M392" s="80"/>
      <c r="N392" s="78" t="s">
        <v>39</v>
      </c>
      <c r="O392" s="113"/>
      <c r="P392" s="155"/>
      <c r="Q392" s="114" t="str">
        <f>IFERROR(MIN(VLOOKUP(ROUNDDOWN(P392,0),'Aide calcul'!$B$2:$C$282,2,FALSE),O392+1),"")</f>
        <v/>
      </c>
      <c r="R392" s="115" t="str">
        <f t="shared" si="85"/>
        <v/>
      </c>
      <c r="S392" s="155"/>
      <c r="T392" s="155"/>
      <c r="U392" s="155"/>
      <c r="V392" s="155"/>
      <c r="W392" s="155"/>
      <c r="X392" s="155"/>
      <c r="Y392" s="155"/>
      <c r="Z392" s="78"/>
      <c r="AA392" s="78"/>
      <c r="AB392" s="116" t="str">
        <f>IF(C392="3111. Logements",ROUND(VLOOKUP(C392,'Informations générales'!$C$66:$D$70,2,FALSE)*(AK392/$AL$27)/12,0)*12,IF(C392="3112. Logements",ROUND(VLOOKUP(C392,'Informations générales'!$C$66:$D$70,2,FALSE)*(AK392/$AM$27)/12,0)*12,IF(C392="3113. Logements",ROUND(VLOOKUP(C392,'Informations générales'!$C$66:$D$70,2,FALSE)*(AK392/$AN$27)/12,0)*12,IF(C392="3114. Logements",ROUND(VLOOKUP(C392,'Informations générales'!$C$66:$D$70,2,FALSE)*(AK392/$AO$27)/12,0)*12,IF(C392="3115. Logements",ROUND(VLOOKUP(C392,'Informations générales'!$C$66:$D$70,2,FALSE)*(AK392/$AP$27)/12,0)*12,"")))))</f>
        <v/>
      </c>
      <c r="AC392" s="117"/>
      <c r="AD392" s="116">
        <f t="shared" si="86"/>
        <v>0</v>
      </c>
      <c r="AE392" s="117"/>
      <c r="AF392" s="116" t="str">
        <f>IF(C392="3111. Logements",ROUND(VLOOKUP(C392,'Informations générales'!$C$66:$G$70,5,FALSE)*(AK392/$AL$27)/12,0)*12,IF(C392="3112. Logements",ROUND(VLOOKUP(C392,'Informations générales'!$C$66:$G$70,5,FALSE)*(AK392/$AM$27)/12,0)*12,IF(C392="3113. Logements",ROUND(VLOOKUP(C392,'Informations générales'!$C$66:$G$70,5,FALSE)*(AK392/$AN$27)/12,0)*12,IF(C392="3114. Logements",ROUND(VLOOKUP(C392,'Informations générales'!$C$66:$G$70,5,FALSE)*(AK392/$AO$27)/12,0)*12,IF(C392="3115. Logements",ROUND(VLOOKUP(C392,'Informations générales'!$C$66:$G$70,5,FALSE)*(AK392/$AP$27)/12,0)*12,"")))))</f>
        <v/>
      </c>
      <c r="AG392" s="117"/>
      <c r="AH392" s="116" t="str">
        <f t="shared" si="87"/>
        <v/>
      </c>
      <c r="AI392" s="92"/>
      <c r="AJ392" s="78"/>
      <c r="AK392" s="60">
        <f t="shared" si="88"/>
        <v>0</v>
      </c>
      <c r="AL392" s="60"/>
      <c r="AM392" s="60"/>
      <c r="AN392" s="60"/>
      <c r="AO392" s="60"/>
      <c r="AP392" s="60"/>
      <c r="AQ392" s="60">
        <f t="shared" si="78"/>
        <v>0</v>
      </c>
      <c r="AR392" s="60">
        <f t="shared" si="79"/>
        <v>0</v>
      </c>
      <c r="AS392" s="60">
        <f t="shared" si="80"/>
        <v>0</v>
      </c>
      <c r="AT392" s="60">
        <f t="shared" si="81"/>
        <v>0</v>
      </c>
      <c r="AU392" s="60">
        <f t="shared" si="82"/>
        <v>0</v>
      </c>
      <c r="AV392" s="60">
        <f t="shared" si="83"/>
        <v>0</v>
      </c>
      <c r="AW392" s="60">
        <f t="shared" si="84"/>
        <v>0</v>
      </c>
      <c r="AX392" s="60">
        <f t="shared" si="89"/>
        <v>0</v>
      </c>
      <c r="AY392" s="64">
        <f t="shared" si="90"/>
        <v>0</v>
      </c>
      <c r="AZ392" s="65">
        <f t="shared" si="91"/>
        <v>0</v>
      </c>
      <c r="BA392" s="65">
        <f t="shared" si="92"/>
        <v>0</v>
      </c>
    </row>
    <row r="393" spans="3:53" s="17" customFormat="1" x14ac:dyDescent="0.25">
      <c r="C393" s="194"/>
      <c r="D393" s="195"/>
      <c r="E393" s="90"/>
      <c r="F393" s="198"/>
      <c r="G393" s="214"/>
      <c r="H393" s="199"/>
      <c r="I393" s="78"/>
      <c r="J393" s="79"/>
      <c r="K393" s="78"/>
      <c r="L393" s="80"/>
      <c r="M393" s="80"/>
      <c r="N393" s="78" t="s">
        <v>39</v>
      </c>
      <c r="O393" s="113"/>
      <c r="P393" s="155"/>
      <c r="Q393" s="114" t="str">
        <f>IFERROR(MIN(VLOOKUP(ROUNDDOWN(P393,0),'Aide calcul'!$B$2:$C$282,2,FALSE),O393+1),"")</f>
        <v/>
      </c>
      <c r="R393" s="115" t="str">
        <f t="shared" si="85"/>
        <v/>
      </c>
      <c r="S393" s="155"/>
      <c r="T393" s="155"/>
      <c r="U393" s="155"/>
      <c r="V393" s="155"/>
      <c r="W393" s="155"/>
      <c r="X393" s="155"/>
      <c r="Y393" s="155"/>
      <c r="Z393" s="78"/>
      <c r="AA393" s="78"/>
      <c r="AB393" s="116" t="str">
        <f>IF(C393="3111. Logements",ROUND(VLOOKUP(C393,'Informations générales'!$C$66:$D$70,2,FALSE)*(AK393/$AL$27)/12,0)*12,IF(C393="3112. Logements",ROUND(VLOOKUP(C393,'Informations générales'!$C$66:$D$70,2,FALSE)*(AK393/$AM$27)/12,0)*12,IF(C393="3113. Logements",ROUND(VLOOKUP(C393,'Informations générales'!$C$66:$D$70,2,FALSE)*(AK393/$AN$27)/12,0)*12,IF(C393="3114. Logements",ROUND(VLOOKUP(C393,'Informations générales'!$C$66:$D$70,2,FALSE)*(AK393/$AO$27)/12,0)*12,IF(C393="3115. Logements",ROUND(VLOOKUP(C393,'Informations générales'!$C$66:$D$70,2,FALSE)*(AK393/$AP$27)/12,0)*12,"")))))</f>
        <v/>
      </c>
      <c r="AC393" s="117"/>
      <c r="AD393" s="116">
        <f t="shared" si="86"/>
        <v>0</v>
      </c>
      <c r="AE393" s="117"/>
      <c r="AF393" s="116" t="str">
        <f>IF(C393="3111. Logements",ROUND(VLOOKUP(C393,'Informations générales'!$C$66:$G$70,5,FALSE)*(AK393/$AL$27)/12,0)*12,IF(C393="3112. Logements",ROUND(VLOOKUP(C393,'Informations générales'!$C$66:$G$70,5,FALSE)*(AK393/$AM$27)/12,0)*12,IF(C393="3113. Logements",ROUND(VLOOKUP(C393,'Informations générales'!$C$66:$G$70,5,FALSE)*(AK393/$AN$27)/12,0)*12,IF(C393="3114. Logements",ROUND(VLOOKUP(C393,'Informations générales'!$C$66:$G$70,5,FALSE)*(AK393/$AO$27)/12,0)*12,IF(C393="3115. Logements",ROUND(VLOOKUP(C393,'Informations générales'!$C$66:$G$70,5,FALSE)*(AK393/$AP$27)/12,0)*12,"")))))</f>
        <v/>
      </c>
      <c r="AG393" s="117"/>
      <c r="AH393" s="116" t="str">
        <f t="shared" si="87"/>
        <v/>
      </c>
      <c r="AI393" s="92"/>
      <c r="AJ393" s="78"/>
      <c r="AK393" s="60">
        <f t="shared" si="88"/>
        <v>0</v>
      </c>
      <c r="AL393" s="60"/>
      <c r="AM393" s="60"/>
      <c r="AN393" s="60"/>
      <c r="AO393" s="60"/>
      <c r="AP393" s="60"/>
      <c r="AQ393" s="60">
        <f t="shared" si="78"/>
        <v>0</v>
      </c>
      <c r="AR393" s="60">
        <f t="shared" si="79"/>
        <v>0</v>
      </c>
      <c r="AS393" s="60">
        <f t="shared" si="80"/>
        <v>0</v>
      </c>
      <c r="AT393" s="60">
        <f t="shared" si="81"/>
        <v>0</v>
      </c>
      <c r="AU393" s="60">
        <f t="shared" si="82"/>
        <v>0</v>
      </c>
      <c r="AV393" s="60">
        <f t="shared" si="83"/>
        <v>0</v>
      </c>
      <c r="AW393" s="60">
        <f t="shared" si="84"/>
        <v>0</v>
      </c>
      <c r="AX393" s="60">
        <f t="shared" si="89"/>
        <v>0</v>
      </c>
      <c r="AY393" s="64">
        <f t="shared" si="90"/>
        <v>0</v>
      </c>
      <c r="AZ393" s="65">
        <f t="shared" si="91"/>
        <v>0</v>
      </c>
      <c r="BA393" s="65">
        <f t="shared" si="92"/>
        <v>0</v>
      </c>
    </row>
    <row r="394" spans="3:53" s="17" customFormat="1" x14ac:dyDescent="0.25">
      <c r="C394" s="194"/>
      <c r="D394" s="195"/>
      <c r="E394" s="90"/>
      <c r="F394" s="198"/>
      <c r="G394" s="214"/>
      <c r="H394" s="199"/>
      <c r="I394" s="78"/>
      <c r="J394" s="79"/>
      <c r="K394" s="78"/>
      <c r="L394" s="80"/>
      <c r="M394" s="80"/>
      <c r="N394" s="78" t="s">
        <v>39</v>
      </c>
      <c r="O394" s="113"/>
      <c r="P394" s="155"/>
      <c r="Q394" s="114" t="str">
        <f>IFERROR(MIN(VLOOKUP(ROUNDDOWN(P394,0),'Aide calcul'!$B$2:$C$282,2,FALSE),O394+1),"")</f>
        <v/>
      </c>
      <c r="R394" s="115" t="str">
        <f t="shared" si="85"/>
        <v/>
      </c>
      <c r="S394" s="155"/>
      <c r="T394" s="155"/>
      <c r="U394" s="155"/>
      <c r="V394" s="155"/>
      <c r="W394" s="155"/>
      <c r="X394" s="155"/>
      <c r="Y394" s="155"/>
      <c r="Z394" s="78"/>
      <c r="AA394" s="78"/>
      <c r="AB394" s="116" t="str">
        <f>IF(C394="3111. Logements",ROUND(VLOOKUP(C394,'Informations générales'!$C$66:$D$70,2,FALSE)*(AK394/$AL$27)/12,0)*12,IF(C394="3112. Logements",ROUND(VLOOKUP(C394,'Informations générales'!$C$66:$D$70,2,FALSE)*(AK394/$AM$27)/12,0)*12,IF(C394="3113. Logements",ROUND(VLOOKUP(C394,'Informations générales'!$C$66:$D$70,2,FALSE)*(AK394/$AN$27)/12,0)*12,IF(C394="3114. Logements",ROUND(VLOOKUP(C394,'Informations générales'!$C$66:$D$70,2,FALSE)*(AK394/$AO$27)/12,0)*12,IF(C394="3115. Logements",ROUND(VLOOKUP(C394,'Informations générales'!$C$66:$D$70,2,FALSE)*(AK394/$AP$27)/12,0)*12,"")))))</f>
        <v/>
      </c>
      <c r="AC394" s="117"/>
      <c r="AD394" s="116">
        <f t="shared" si="86"/>
        <v>0</v>
      </c>
      <c r="AE394" s="117"/>
      <c r="AF394" s="116" t="str">
        <f>IF(C394="3111. Logements",ROUND(VLOOKUP(C394,'Informations générales'!$C$66:$G$70,5,FALSE)*(AK394/$AL$27)/12,0)*12,IF(C394="3112. Logements",ROUND(VLOOKUP(C394,'Informations générales'!$C$66:$G$70,5,FALSE)*(AK394/$AM$27)/12,0)*12,IF(C394="3113. Logements",ROUND(VLOOKUP(C394,'Informations générales'!$C$66:$G$70,5,FALSE)*(AK394/$AN$27)/12,0)*12,IF(C394="3114. Logements",ROUND(VLOOKUP(C394,'Informations générales'!$C$66:$G$70,5,FALSE)*(AK394/$AO$27)/12,0)*12,IF(C394="3115. Logements",ROUND(VLOOKUP(C394,'Informations générales'!$C$66:$G$70,5,FALSE)*(AK394/$AP$27)/12,0)*12,"")))))</f>
        <v/>
      </c>
      <c r="AG394" s="117"/>
      <c r="AH394" s="116" t="str">
        <f t="shared" si="87"/>
        <v/>
      </c>
      <c r="AI394" s="92"/>
      <c r="AJ394" s="78"/>
      <c r="AK394" s="60">
        <f t="shared" si="88"/>
        <v>0</v>
      </c>
      <c r="AL394" s="60"/>
      <c r="AM394" s="60"/>
      <c r="AN394" s="60"/>
      <c r="AO394" s="60"/>
      <c r="AP394" s="60"/>
      <c r="AQ394" s="60">
        <f t="shared" si="78"/>
        <v>0</v>
      </c>
      <c r="AR394" s="60">
        <f t="shared" si="79"/>
        <v>0</v>
      </c>
      <c r="AS394" s="60">
        <f t="shared" si="80"/>
        <v>0</v>
      </c>
      <c r="AT394" s="60">
        <f t="shared" si="81"/>
        <v>0</v>
      </c>
      <c r="AU394" s="60">
        <f t="shared" si="82"/>
        <v>0</v>
      </c>
      <c r="AV394" s="60">
        <f t="shared" si="83"/>
        <v>0</v>
      </c>
      <c r="AW394" s="60">
        <f t="shared" si="84"/>
        <v>0</v>
      </c>
      <c r="AX394" s="60">
        <f t="shared" si="89"/>
        <v>0</v>
      </c>
      <c r="AY394" s="64">
        <f t="shared" si="90"/>
        <v>0</v>
      </c>
      <c r="AZ394" s="65">
        <f t="shared" si="91"/>
        <v>0</v>
      </c>
      <c r="BA394" s="65">
        <f t="shared" si="92"/>
        <v>0</v>
      </c>
    </row>
    <row r="395" spans="3:53" s="17" customFormat="1" x14ac:dyDescent="0.25">
      <c r="C395" s="194"/>
      <c r="D395" s="195"/>
      <c r="E395" s="90"/>
      <c r="F395" s="198"/>
      <c r="G395" s="214"/>
      <c r="H395" s="199"/>
      <c r="I395" s="78"/>
      <c r="J395" s="79"/>
      <c r="K395" s="78"/>
      <c r="L395" s="80"/>
      <c r="M395" s="80"/>
      <c r="N395" s="78" t="s">
        <v>39</v>
      </c>
      <c r="O395" s="113"/>
      <c r="P395" s="155"/>
      <c r="Q395" s="114" t="str">
        <f>IFERROR(MIN(VLOOKUP(ROUNDDOWN(P395,0),'Aide calcul'!$B$2:$C$282,2,FALSE),O395+1),"")</f>
        <v/>
      </c>
      <c r="R395" s="115" t="str">
        <f t="shared" si="85"/>
        <v/>
      </c>
      <c r="S395" s="155"/>
      <c r="T395" s="155"/>
      <c r="U395" s="155"/>
      <c r="V395" s="155"/>
      <c r="W395" s="155"/>
      <c r="X395" s="155"/>
      <c r="Y395" s="155"/>
      <c r="Z395" s="78"/>
      <c r="AA395" s="78"/>
      <c r="AB395" s="116" t="str">
        <f>IF(C395="3111. Logements",ROUND(VLOOKUP(C395,'Informations générales'!$C$66:$D$70,2,FALSE)*(AK395/$AL$27)/12,0)*12,IF(C395="3112. Logements",ROUND(VLOOKUP(C395,'Informations générales'!$C$66:$D$70,2,FALSE)*(AK395/$AM$27)/12,0)*12,IF(C395="3113. Logements",ROUND(VLOOKUP(C395,'Informations générales'!$C$66:$D$70,2,FALSE)*(AK395/$AN$27)/12,0)*12,IF(C395="3114. Logements",ROUND(VLOOKUP(C395,'Informations générales'!$C$66:$D$70,2,FALSE)*(AK395/$AO$27)/12,0)*12,IF(C395="3115. Logements",ROUND(VLOOKUP(C395,'Informations générales'!$C$66:$D$70,2,FALSE)*(AK395/$AP$27)/12,0)*12,"")))))</f>
        <v/>
      </c>
      <c r="AC395" s="117"/>
      <c r="AD395" s="116">
        <f t="shared" si="86"/>
        <v>0</v>
      </c>
      <c r="AE395" s="117"/>
      <c r="AF395" s="116" t="str">
        <f>IF(C395="3111. Logements",ROUND(VLOOKUP(C395,'Informations générales'!$C$66:$G$70,5,FALSE)*(AK395/$AL$27)/12,0)*12,IF(C395="3112. Logements",ROUND(VLOOKUP(C395,'Informations générales'!$C$66:$G$70,5,FALSE)*(AK395/$AM$27)/12,0)*12,IF(C395="3113. Logements",ROUND(VLOOKUP(C395,'Informations générales'!$C$66:$G$70,5,FALSE)*(AK395/$AN$27)/12,0)*12,IF(C395="3114. Logements",ROUND(VLOOKUP(C395,'Informations générales'!$C$66:$G$70,5,FALSE)*(AK395/$AO$27)/12,0)*12,IF(C395="3115. Logements",ROUND(VLOOKUP(C395,'Informations générales'!$C$66:$G$70,5,FALSE)*(AK395/$AP$27)/12,0)*12,"")))))</f>
        <v/>
      </c>
      <c r="AG395" s="117"/>
      <c r="AH395" s="116" t="str">
        <f t="shared" si="87"/>
        <v/>
      </c>
      <c r="AI395" s="92"/>
      <c r="AJ395" s="78"/>
      <c r="AK395" s="60">
        <f t="shared" si="88"/>
        <v>0</v>
      </c>
      <c r="AL395" s="60"/>
      <c r="AM395" s="60"/>
      <c r="AN395" s="60"/>
      <c r="AO395" s="60"/>
      <c r="AP395" s="60"/>
      <c r="AQ395" s="60">
        <f t="shared" si="78"/>
        <v>0</v>
      </c>
      <c r="AR395" s="60">
        <f t="shared" si="79"/>
        <v>0</v>
      </c>
      <c r="AS395" s="60">
        <f t="shared" si="80"/>
        <v>0</v>
      </c>
      <c r="AT395" s="60">
        <f t="shared" si="81"/>
        <v>0</v>
      </c>
      <c r="AU395" s="60">
        <f t="shared" si="82"/>
        <v>0</v>
      </c>
      <c r="AV395" s="60">
        <f t="shared" si="83"/>
        <v>0</v>
      </c>
      <c r="AW395" s="60">
        <f t="shared" si="84"/>
        <v>0</v>
      </c>
      <c r="AX395" s="60">
        <f t="shared" si="89"/>
        <v>0</v>
      </c>
      <c r="AY395" s="64">
        <f t="shared" si="90"/>
        <v>0</v>
      </c>
      <c r="AZ395" s="65">
        <f t="shared" si="91"/>
        <v>0</v>
      </c>
      <c r="BA395" s="65">
        <f t="shared" si="92"/>
        <v>0</v>
      </c>
    </row>
    <row r="396" spans="3:53" s="17" customFormat="1" x14ac:dyDescent="0.25">
      <c r="C396" s="194"/>
      <c r="D396" s="195"/>
      <c r="E396" s="90"/>
      <c r="F396" s="198"/>
      <c r="G396" s="214"/>
      <c r="H396" s="199"/>
      <c r="I396" s="78"/>
      <c r="J396" s="79"/>
      <c r="K396" s="78"/>
      <c r="L396" s="80"/>
      <c r="M396" s="80"/>
      <c r="N396" s="78" t="s">
        <v>39</v>
      </c>
      <c r="O396" s="113"/>
      <c r="P396" s="155"/>
      <c r="Q396" s="114" t="str">
        <f>IFERROR(MIN(VLOOKUP(ROUNDDOWN(P396,0),'Aide calcul'!$B$2:$C$282,2,FALSE),O396+1),"")</f>
        <v/>
      </c>
      <c r="R396" s="115" t="str">
        <f t="shared" si="85"/>
        <v/>
      </c>
      <c r="S396" s="155"/>
      <c r="T396" s="155"/>
      <c r="U396" s="155"/>
      <c r="V396" s="155"/>
      <c r="W396" s="155"/>
      <c r="X396" s="155"/>
      <c r="Y396" s="155"/>
      <c r="Z396" s="78"/>
      <c r="AA396" s="78"/>
      <c r="AB396" s="116" t="str">
        <f>IF(C396="3111. Logements",ROUND(VLOOKUP(C396,'Informations générales'!$C$66:$D$70,2,FALSE)*(AK396/$AL$27)/12,0)*12,IF(C396="3112. Logements",ROUND(VLOOKUP(C396,'Informations générales'!$C$66:$D$70,2,FALSE)*(AK396/$AM$27)/12,0)*12,IF(C396="3113. Logements",ROUND(VLOOKUP(C396,'Informations générales'!$C$66:$D$70,2,FALSE)*(AK396/$AN$27)/12,0)*12,IF(C396="3114. Logements",ROUND(VLOOKUP(C396,'Informations générales'!$C$66:$D$70,2,FALSE)*(AK396/$AO$27)/12,0)*12,IF(C396="3115. Logements",ROUND(VLOOKUP(C396,'Informations générales'!$C$66:$D$70,2,FALSE)*(AK396/$AP$27)/12,0)*12,"")))))</f>
        <v/>
      </c>
      <c r="AC396" s="117"/>
      <c r="AD396" s="116">
        <f t="shared" si="86"/>
        <v>0</v>
      </c>
      <c r="AE396" s="117"/>
      <c r="AF396" s="116" t="str">
        <f>IF(C396="3111. Logements",ROUND(VLOOKUP(C396,'Informations générales'!$C$66:$G$70,5,FALSE)*(AK396/$AL$27)/12,0)*12,IF(C396="3112. Logements",ROUND(VLOOKUP(C396,'Informations générales'!$C$66:$G$70,5,FALSE)*(AK396/$AM$27)/12,0)*12,IF(C396="3113. Logements",ROUND(VLOOKUP(C396,'Informations générales'!$C$66:$G$70,5,FALSE)*(AK396/$AN$27)/12,0)*12,IF(C396="3114. Logements",ROUND(VLOOKUP(C396,'Informations générales'!$C$66:$G$70,5,FALSE)*(AK396/$AO$27)/12,0)*12,IF(C396="3115. Logements",ROUND(VLOOKUP(C396,'Informations générales'!$C$66:$G$70,5,FALSE)*(AK396/$AP$27)/12,0)*12,"")))))</f>
        <v/>
      </c>
      <c r="AG396" s="117"/>
      <c r="AH396" s="116" t="str">
        <f t="shared" si="87"/>
        <v/>
      </c>
      <c r="AI396" s="92"/>
      <c r="AJ396" s="78"/>
      <c r="AK396" s="60">
        <f t="shared" si="88"/>
        <v>0</v>
      </c>
      <c r="AL396" s="60"/>
      <c r="AM396" s="60"/>
      <c r="AN396" s="60"/>
      <c r="AO396" s="60"/>
      <c r="AP396" s="60"/>
      <c r="AQ396" s="60">
        <f t="shared" si="78"/>
        <v>0</v>
      </c>
      <c r="AR396" s="60">
        <f t="shared" si="79"/>
        <v>0</v>
      </c>
      <c r="AS396" s="60">
        <f t="shared" si="80"/>
        <v>0</v>
      </c>
      <c r="AT396" s="60">
        <f t="shared" si="81"/>
        <v>0</v>
      </c>
      <c r="AU396" s="60">
        <f t="shared" si="82"/>
        <v>0</v>
      </c>
      <c r="AV396" s="60">
        <f t="shared" si="83"/>
        <v>0</v>
      </c>
      <c r="AW396" s="60">
        <f t="shared" si="84"/>
        <v>0</v>
      </c>
      <c r="AX396" s="60">
        <f t="shared" si="89"/>
        <v>0</v>
      </c>
      <c r="AY396" s="64">
        <f t="shared" si="90"/>
        <v>0</v>
      </c>
      <c r="AZ396" s="65">
        <f t="shared" si="91"/>
        <v>0</v>
      </c>
      <c r="BA396" s="65">
        <f t="shared" si="92"/>
        <v>0</v>
      </c>
    </row>
    <row r="397" spans="3:53" s="17" customFormat="1" x14ac:dyDescent="0.25">
      <c r="C397" s="194"/>
      <c r="D397" s="195"/>
      <c r="E397" s="90"/>
      <c r="F397" s="198"/>
      <c r="G397" s="214"/>
      <c r="H397" s="199"/>
      <c r="I397" s="78"/>
      <c r="J397" s="79"/>
      <c r="K397" s="78"/>
      <c r="L397" s="80"/>
      <c r="M397" s="80"/>
      <c r="N397" s="78" t="s">
        <v>39</v>
      </c>
      <c r="O397" s="113"/>
      <c r="P397" s="155"/>
      <c r="Q397" s="114" t="str">
        <f>IFERROR(MIN(VLOOKUP(ROUNDDOWN(P397,0),'Aide calcul'!$B$2:$C$282,2,FALSE),O397+1),"")</f>
        <v/>
      </c>
      <c r="R397" s="115" t="str">
        <f t="shared" si="85"/>
        <v/>
      </c>
      <c r="S397" s="155"/>
      <c r="T397" s="155"/>
      <c r="U397" s="155"/>
      <c r="V397" s="155"/>
      <c r="W397" s="155"/>
      <c r="X397" s="155"/>
      <c r="Y397" s="155"/>
      <c r="Z397" s="78"/>
      <c r="AA397" s="78"/>
      <c r="AB397" s="116" t="str">
        <f>IF(C397="3111. Logements",ROUND(VLOOKUP(C397,'Informations générales'!$C$66:$D$70,2,FALSE)*(AK397/$AL$27)/12,0)*12,IF(C397="3112. Logements",ROUND(VLOOKUP(C397,'Informations générales'!$C$66:$D$70,2,FALSE)*(AK397/$AM$27)/12,0)*12,IF(C397="3113. Logements",ROUND(VLOOKUP(C397,'Informations générales'!$C$66:$D$70,2,FALSE)*(AK397/$AN$27)/12,0)*12,IF(C397="3114. Logements",ROUND(VLOOKUP(C397,'Informations générales'!$C$66:$D$70,2,FALSE)*(AK397/$AO$27)/12,0)*12,IF(C397="3115. Logements",ROUND(VLOOKUP(C397,'Informations générales'!$C$66:$D$70,2,FALSE)*(AK397/$AP$27)/12,0)*12,"")))))</f>
        <v/>
      </c>
      <c r="AC397" s="117"/>
      <c r="AD397" s="116">
        <f t="shared" si="86"/>
        <v>0</v>
      </c>
      <c r="AE397" s="117"/>
      <c r="AF397" s="116" t="str">
        <f>IF(C397="3111. Logements",ROUND(VLOOKUP(C397,'Informations générales'!$C$66:$G$70,5,FALSE)*(AK397/$AL$27)/12,0)*12,IF(C397="3112. Logements",ROUND(VLOOKUP(C397,'Informations générales'!$C$66:$G$70,5,FALSE)*(AK397/$AM$27)/12,0)*12,IF(C397="3113. Logements",ROUND(VLOOKUP(C397,'Informations générales'!$C$66:$G$70,5,FALSE)*(AK397/$AN$27)/12,0)*12,IF(C397="3114. Logements",ROUND(VLOOKUP(C397,'Informations générales'!$C$66:$G$70,5,FALSE)*(AK397/$AO$27)/12,0)*12,IF(C397="3115. Logements",ROUND(VLOOKUP(C397,'Informations générales'!$C$66:$G$70,5,FALSE)*(AK397/$AP$27)/12,0)*12,"")))))</f>
        <v/>
      </c>
      <c r="AG397" s="117"/>
      <c r="AH397" s="116" t="str">
        <f t="shared" si="87"/>
        <v/>
      </c>
      <c r="AI397" s="92"/>
      <c r="AJ397" s="78"/>
      <c r="AK397" s="60">
        <f t="shared" si="88"/>
        <v>0</v>
      </c>
      <c r="AL397" s="60"/>
      <c r="AM397" s="60"/>
      <c r="AN397" s="60"/>
      <c r="AO397" s="60"/>
      <c r="AP397" s="60"/>
      <c r="AQ397" s="60">
        <f t="shared" si="78"/>
        <v>0</v>
      </c>
      <c r="AR397" s="60">
        <f t="shared" si="79"/>
        <v>0</v>
      </c>
      <c r="AS397" s="60">
        <f t="shared" si="80"/>
        <v>0</v>
      </c>
      <c r="AT397" s="60">
        <f t="shared" si="81"/>
        <v>0</v>
      </c>
      <c r="AU397" s="60">
        <f t="shared" si="82"/>
        <v>0</v>
      </c>
      <c r="AV397" s="60">
        <f t="shared" si="83"/>
        <v>0</v>
      </c>
      <c r="AW397" s="60">
        <f t="shared" si="84"/>
        <v>0</v>
      </c>
      <c r="AX397" s="60">
        <f t="shared" si="89"/>
        <v>0</v>
      </c>
      <c r="AY397" s="64">
        <f t="shared" si="90"/>
        <v>0</v>
      </c>
      <c r="AZ397" s="65">
        <f t="shared" si="91"/>
        <v>0</v>
      </c>
      <c r="BA397" s="65">
        <f t="shared" si="92"/>
        <v>0</v>
      </c>
    </row>
    <row r="398" spans="3:53" s="17" customFormat="1" x14ac:dyDescent="0.25">
      <c r="C398" s="194"/>
      <c r="D398" s="195"/>
      <c r="E398" s="90"/>
      <c r="F398" s="198"/>
      <c r="G398" s="214"/>
      <c r="H398" s="199"/>
      <c r="I398" s="78"/>
      <c r="J398" s="79"/>
      <c r="K398" s="78"/>
      <c r="L398" s="80"/>
      <c r="M398" s="80"/>
      <c r="N398" s="78" t="s">
        <v>39</v>
      </c>
      <c r="O398" s="113"/>
      <c r="P398" s="155"/>
      <c r="Q398" s="114" t="str">
        <f>IFERROR(MIN(VLOOKUP(ROUNDDOWN(P398,0),'Aide calcul'!$B$2:$C$282,2,FALSE),O398+1),"")</f>
        <v/>
      </c>
      <c r="R398" s="115" t="str">
        <f t="shared" si="85"/>
        <v/>
      </c>
      <c r="S398" s="155"/>
      <c r="T398" s="155"/>
      <c r="U398" s="155"/>
      <c r="V398" s="155"/>
      <c r="W398" s="155"/>
      <c r="X398" s="155"/>
      <c r="Y398" s="155"/>
      <c r="Z398" s="78"/>
      <c r="AA398" s="78"/>
      <c r="AB398" s="116" t="str">
        <f>IF(C398="3111. Logements",ROUND(VLOOKUP(C398,'Informations générales'!$C$66:$D$70,2,FALSE)*(AK398/$AL$27)/12,0)*12,IF(C398="3112. Logements",ROUND(VLOOKUP(C398,'Informations générales'!$C$66:$D$70,2,FALSE)*(AK398/$AM$27)/12,0)*12,IF(C398="3113. Logements",ROUND(VLOOKUP(C398,'Informations générales'!$C$66:$D$70,2,FALSE)*(AK398/$AN$27)/12,0)*12,IF(C398="3114. Logements",ROUND(VLOOKUP(C398,'Informations générales'!$C$66:$D$70,2,FALSE)*(AK398/$AO$27)/12,0)*12,IF(C398="3115. Logements",ROUND(VLOOKUP(C398,'Informations générales'!$C$66:$D$70,2,FALSE)*(AK398/$AP$27)/12,0)*12,"")))))</f>
        <v/>
      </c>
      <c r="AC398" s="117"/>
      <c r="AD398" s="116">
        <f t="shared" si="86"/>
        <v>0</v>
      </c>
      <c r="AE398" s="117"/>
      <c r="AF398" s="116" t="str">
        <f>IF(C398="3111. Logements",ROUND(VLOOKUP(C398,'Informations générales'!$C$66:$G$70,5,FALSE)*(AK398/$AL$27)/12,0)*12,IF(C398="3112. Logements",ROUND(VLOOKUP(C398,'Informations générales'!$C$66:$G$70,5,FALSE)*(AK398/$AM$27)/12,0)*12,IF(C398="3113. Logements",ROUND(VLOOKUP(C398,'Informations générales'!$C$66:$G$70,5,FALSE)*(AK398/$AN$27)/12,0)*12,IF(C398="3114. Logements",ROUND(VLOOKUP(C398,'Informations générales'!$C$66:$G$70,5,FALSE)*(AK398/$AO$27)/12,0)*12,IF(C398="3115. Logements",ROUND(VLOOKUP(C398,'Informations générales'!$C$66:$G$70,5,FALSE)*(AK398/$AP$27)/12,0)*12,"")))))</f>
        <v/>
      </c>
      <c r="AG398" s="117"/>
      <c r="AH398" s="116" t="str">
        <f t="shared" si="87"/>
        <v/>
      </c>
      <c r="AI398" s="92"/>
      <c r="AJ398" s="78"/>
      <c r="AK398" s="60">
        <f t="shared" si="88"/>
        <v>0</v>
      </c>
      <c r="AL398" s="60"/>
      <c r="AM398" s="60"/>
      <c r="AN398" s="60"/>
      <c r="AO398" s="60"/>
      <c r="AP398" s="60"/>
      <c r="AQ398" s="60">
        <f t="shared" si="78"/>
        <v>0</v>
      </c>
      <c r="AR398" s="60">
        <f t="shared" si="79"/>
        <v>0</v>
      </c>
      <c r="AS398" s="60">
        <f t="shared" si="80"/>
        <v>0</v>
      </c>
      <c r="AT398" s="60">
        <f t="shared" si="81"/>
        <v>0</v>
      </c>
      <c r="AU398" s="60">
        <f t="shared" si="82"/>
        <v>0</v>
      </c>
      <c r="AV398" s="60">
        <f t="shared" si="83"/>
        <v>0</v>
      </c>
      <c r="AW398" s="60">
        <f t="shared" si="84"/>
        <v>0</v>
      </c>
      <c r="AX398" s="60">
        <f t="shared" si="89"/>
        <v>0</v>
      </c>
      <c r="AY398" s="64">
        <f t="shared" si="90"/>
        <v>0</v>
      </c>
      <c r="AZ398" s="65">
        <f t="shared" si="91"/>
        <v>0</v>
      </c>
      <c r="BA398" s="65">
        <f t="shared" si="92"/>
        <v>0</v>
      </c>
    </row>
    <row r="399" spans="3:53" s="17" customFormat="1" x14ac:dyDescent="0.25">
      <c r="C399" s="194"/>
      <c r="D399" s="195"/>
      <c r="E399" s="90"/>
      <c r="F399" s="198"/>
      <c r="G399" s="214"/>
      <c r="H399" s="199"/>
      <c r="I399" s="78"/>
      <c r="J399" s="79"/>
      <c r="K399" s="78"/>
      <c r="L399" s="80"/>
      <c r="M399" s="80"/>
      <c r="N399" s="78" t="s">
        <v>39</v>
      </c>
      <c r="O399" s="113"/>
      <c r="P399" s="155"/>
      <c r="Q399" s="114" t="str">
        <f>IFERROR(MIN(VLOOKUP(ROUNDDOWN(P399,0),'Aide calcul'!$B$2:$C$282,2,FALSE),O399+1),"")</f>
        <v/>
      </c>
      <c r="R399" s="115" t="str">
        <f t="shared" si="85"/>
        <v/>
      </c>
      <c r="S399" s="155"/>
      <c r="T399" s="155"/>
      <c r="U399" s="155"/>
      <c r="V399" s="155"/>
      <c r="W399" s="155"/>
      <c r="X399" s="155"/>
      <c r="Y399" s="155"/>
      <c r="Z399" s="78"/>
      <c r="AA399" s="78"/>
      <c r="AB399" s="116" t="str">
        <f>IF(C399="3111. Logements",ROUND(VLOOKUP(C399,'Informations générales'!$C$66:$D$70,2,FALSE)*(AK399/$AL$27)/12,0)*12,IF(C399="3112. Logements",ROUND(VLOOKUP(C399,'Informations générales'!$C$66:$D$70,2,FALSE)*(AK399/$AM$27)/12,0)*12,IF(C399="3113. Logements",ROUND(VLOOKUP(C399,'Informations générales'!$C$66:$D$70,2,FALSE)*(AK399/$AN$27)/12,0)*12,IF(C399="3114. Logements",ROUND(VLOOKUP(C399,'Informations générales'!$C$66:$D$70,2,FALSE)*(AK399/$AO$27)/12,0)*12,IF(C399="3115. Logements",ROUND(VLOOKUP(C399,'Informations générales'!$C$66:$D$70,2,FALSE)*(AK399/$AP$27)/12,0)*12,"")))))</f>
        <v/>
      </c>
      <c r="AC399" s="117"/>
      <c r="AD399" s="116">
        <f t="shared" si="86"/>
        <v>0</v>
      </c>
      <c r="AE399" s="117"/>
      <c r="AF399" s="116" t="str">
        <f>IF(C399="3111. Logements",ROUND(VLOOKUP(C399,'Informations générales'!$C$66:$G$70,5,FALSE)*(AK399/$AL$27)/12,0)*12,IF(C399="3112. Logements",ROUND(VLOOKUP(C399,'Informations générales'!$C$66:$G$70,5,FALSE)*(AK399/$AM$27)/12,0)*12,IF(C399="3113. Logements",ROUND(VLOOKUP(C399,'Informations générales'!$C$66:$G$70,5,FALSE)*(AK399/$AN$27)/12,0)*12,IF(C399="3114. Logements",ROUND(VLOOKUP(C399,'Informations générales'!$C$66:$G$70,5,FALSE)*(AK399/$AO$27)/12,0)*12,IF(C399="3115. Logements",ROUND(VLOOKUP(C399,'Informations générales'!$C$66:$G$70,5,FALSE)*(AK399/$AP$27)/12,0)*12,"")))))</f>
        <v/>
      </c>
      <c r="AG399" s="117"/>
      <c r="AH399" s="116" t="str">
        <f t="shared" si="87"/>
        <v/>
      </c>
      <c r="AI399" s="92"/>
      <c r="AJ399" s="78"/>
      <c r="AK399" s="60">
        <f t="shared" si="88"/>
        <v>0</v>
      </c>
      <c r="AL399" s="60"/>
      <c r="AM399" s="60"/>
      <c r="AN399" s="60"/>
      <c r="AO399" s="60"/>
      <c r="AP399" s="60"/>
      <c r="AQ399" s="60">
        <f t="shared" si="78"/>
        <v>0</v>
      </c>
      <c r="AR399" s="60">
        <f t="shared" si="79"/>
        <v>0</v>
      </c>
      <c r="AS399" s="60">
        <f t="shared" si="80"/>
        <v>0</v>
      </c>
      <c r="AT399" s="60">
        <f t="shared" si="81"/>
        <v>0</v>
      </c>
      <c r="AU399" s="60">
        <f t="shared" si="82"/>
        <v>0</v>
      </c>
      <c r="AV399" s="60">
        <f t="shared" si="83"/>
        <v>0</v>
      </c>
      <c r="AW399" s="60">
        <f t="shared" si="84"/>
        <v>0</v>
      </c>
      <c r="AX399" s="60">
        <f t="shared" si="89"/>
        <v>0</v>
      </c>
      <c r="AY399" s="64">
        <f t="shared" si="90"/>
        <v>0</v>
      </c>
      <c r="AZ399" s="65">
        <f t="shared" si="91"/>
        <v>0</v>
      </c>
      <c r="BA399" s="65">
        <f t="shared" si="92"/>
        <v>0</v>
      </c>
    </row>
    <row r="400" spans="3:53" s="17" customFormat="1" x14ac:dyDescent="0.25">
      <c r="C400" s="194"/>
      <c r="D400" s="195"/>
      <c r="E400" s="90"/>
      <c r="F400" s="198"/>
      <c r="G400" s="214"/>
      <c r="H400" s="199"/>
      <c r="I400" s="78"/>
      <c r="J400" s="79"/>
      <c r="K400" s="78"/>
      <c r="L400" s="80"/>
      <c r="M400" s="80"/>
      <c r="N400" s="78" t="s">
        <v>39</v>
      </c>
      <c r="O400" s="113"/>
      <c r="P400" s="155"/>
      <c r="Q400" s="114" t="str">
        <f>IFERROR(MIN(VLOOKUP(ROUNDDOWN(P400,0),'Aide calcul'!$B$2:$C$282,2,FALSE),O400+1),"")</f>
        <v/>
      </c>
      <c r="R400" s="115" t="str">
        <f t="shared" si="85"/>
        <v/>
      </c>
      <c r="S400" s="155"/>
      <c r="T400" s="155"/>
      <c r="U400" s="155"/>
      <c r="V400" s="155"/>
      <c r="W400" s="155"/>
      <c r="X400" s="155"/>
      <c r="Y400" s="155"/>
      <c r="Z400" s="78"/>
      <c r="AA400" s="78"/>
      <c r="AB400" s="116" t="str">
        <f>IF(C400="3111. Logements",ROUND(VLOOKUP(C400,'Informations générales'!$C$66:$D$70,2,FALSE)*(AK400/$AL$27)/12,0)*12,IF(C400="3112. Logements",ROUND(VLOOKUP(C400,'Informations générales'!$C$66:$D$70,2,FALSE)*(AK400/$AM$27)/12,0)*12,IF(C400="3113. Logements",ROUND(VLOOKUP(C400,'Informations générales'!$C$66:$D$70,2,FALSE)*(AK400/$AN$27)/12,0)*12,IF(C400="3114. Logements",ROUND(VLOOKUP(C400,'Informations générales'!$C$66:$D$70,2,FALSE)*(AK400/$AO$27)/12,0)*12,IF(C400="3115. Logements",ROUND(VLOOKUP(C400,'Informations générales'!$C$66:$D$70,2,FALSE)*(AK400/$AP$27)/12,0)*12,"")))))</f>
        <v/>
      </c>
      <c r="AC400" s="117"/>
      <c r="AD400" s="116">
        <f t="shared" si="86"/>
        <v>0</v>
      </c>
      <c r="AE400" s="117"/>
      <c r="AF400" s="116" t="str">
        <f>IF(C400="3111. Logements",ROUND(VLOOKUP(C400,'Informations générales'!$C$66:$G$70,5,FALSE)*(AK400/$AL$27)/12,0)*12,IF(C400="3112. Logements",ROUND(VLOOKUP(C400,'Informations générales'!$C$66:$G$70,5,FALSE)*(AK400/$AM$27)/12,0)*12,IF(C400="3113. Logements",ROUND(VLOOKUP(C400,'Informations générales'!$C$66:$G$70,5,FALSE)*(AK400/$AN$27)/12,0)*12,IF(C400="3114. Logements",ROUND(VLOOKUP(C400,'Informations générales'!$C$66:$G$70,5,FALSE)*(AK400/$AO$27)/12,0)*12,IF(C400="3115. Logements",ROUND(VLOOKUP(C400,'Informations générales'!$C$66:$G$70,5,FALSE)*(AK400/$AP$27)/12,0)*12,"")))))</f>
        <v/>
      </c>
      <c r="AG400" s="117"/>
      <c r="AH400" s="116" t="str">
        <f t="shared" si="87"/>
        <v/>
      </c>
      <c r="AI400" s="92"/>
      <c r="AJ400" s="78"/>
      <c r="AK400" s="60">
        <f t="shared" si="88"/>
        <v>0</v>
      </c>
      <c r="AL400" s="60"/>
      <c r="AM400" s="60"/>
      <c r="AN400" s="60"/>
      <c r="AO400" s="60"/>
      <c r="AP400" s="60"/>
      <c r="AQ400" s="60">
        <f t="shared" si="78"/>
        <v>0</v>
      </c>
      <c r="AR400" s="60">
        <f t="shared" si="79"/>
        <v>0</v>
      </c>
      <c r="AS400" s="60">
        <f t="shared" si="80"/>
        <v>0</v>
      </c>
      <c r="AT400" s="60">
        <f t="shared" si="81"/>
        <v>0</v>
      </c>
      <c r="AU400" s="60">
        <f t="shared" si="82"/>
        <v>0</v>
      </c>
      <c r="AV400" s="60">
        <f t="shared" si="83"/>
        <v>0</v>
      </c>
      <c r="AW400" s="60">
        <f t="shared" si="84"/>
        <v>0</v>
      </c>
      <c r="AX400" s="60">
        <f t="shared" si="89"/>
        <v>0</v>
      </c>
      <c r="AY400" s="64">
        <f t="shared" si="90"/>
        <v>0</v>
      </c>
      <c r="AZ400" s="65">
        <f t="shared" si="91"/>
        <v>0</v>
      </c>
      <c r="BA400" s="65">
        <f t="shared" si="92"/>
        <v>0</v>
      </c>
    </row>
    <row r="401" spans="3:53" s="17" customFormat="1" x14ac:dyDescent="0.25">
      <c r="C401" s="194"/>
      <c r="D401" s="195"/>
      <c r="E401" s="90"/>
      <c r="F401" s="198"/>
      <c r="G401" s="214"/>
      <c r="H401" s="199"/>
      <c r="I401" s="78"/>
      <c r="J401" s="79"/>
      <c r="K401" s="78"/>
      <c r="L401" s="80"/>
      <c r="M401" s="80"/>
      <c r="N401" s="78" t="s">
        <v>39</v>
      </c>
      <c r="O401" s="113"/>
      <c r="P401" s="155"/>
      <c r="Q401" s="114" t="str">
        <f>IFERROR(MIN(VLOOKUP(ROUNDDOWN(P401,0),'Aide calcul'!$B$2:$C$282,2,FALSE),O401+1),"")</f>
        <v/>
      </c>
      <c r="R401" s="115" t="str">
        <f t="shared" si="85"/>
        <v/>
      </c>
      <c r="S401" s="155"/>
      <c r="T401" s="155"/>
      <c r="U401" s="155"/>
      <c r="V401" s="155"/>
      <c r="W401" s="155"/>
      <c r="X401" s="155"/>
      <c r="Y401" s="155"/>
      <c r="Z401" s="78"/>
      <c r="AA401" s="78"/>
      <c r="AB401" s="116" t="str">
        <f>IF(C401="3111. Logements",ROUND(VLOOKUP(C401,'Informations générales'!$C$66:$D$70,2,FALSE)*(AK401/$AL$27)/12,0)*12,IF(C401="3112. Logements",ROUND(VLOOKUP(C401,'Informations générales'!$C$66:$D$70,2,FALSE)*(AK401/$AM$27)/12,0)*12,IF(C401="3113. Logements",ROUND(VLOOKUP(C401,'Informations générales'!$C$66:$D$70,2,FALSE)*(AK401/$AN$27)/12,0)*12,IF(C401="3114. Logements",ROUND(VLOOKUP(C401,'Informations générales'!$C$66:$D$70,2,FALSE)*(AK401/$AO$27)/12,0)*12,IF(C401="3115. Logements",ROUND(VLOOKUP(C401,'Informations générales'!$C$66:$D$70,2,FALSE)*(AK401/$AP$27)/12,0)*12,"")))))</f>
        <v/>
      </c>
      <c r="AC401" s="117"/>
      <c r="AD401" s="116">
        <f t="shared" si="86"/>
        <v>0</v>
      </c>
      <c r="AE401" s="117"/>
      <c r="AF401" s="116" t="str">
        <f>IF(C401="3111. Logements",ROUND(VLOOKUP(C401,'Informations générales'!$C$66:$G$70,5,FALSE)*(AK401/$AL$27)/12,0)*12,IF(C401="3112. Logements",ROUND(VLOOKUP(C401,'Informations générales'!$C$66:$G$70,5,FALSE)*(AK401/$AM$27)/12,0)*12,IF(C401="3113. Logements",ROUND(VLOOKUP(C401,'Informations générales'!$C$66:$G$70,5,FALSE)*(AK401/$AN$27)/12,0)*12,IF(C401="3114. Logements",ROUND(VLOOKUP(C401,'Informations générales'!$C$66:$G$70,5,FALSE)*(AK401/$AO$27)/12,0)*12,IF(C401="3115. Logements",ROUND(VLOOKUP(C401,'Informations générales'!$C$66:$G$70,5,FALSE)*(AK401/$AP$27)/12,0)*12,"")))))</f>
        <v/>
      </c>
      <c r="AG401" s="117"/>
      <c r="AH401" s="116" t="str">
        <f t="shared" si="87"/>
        <v/>
      </c>
      <c r="AI401" s="92"/>
      <c r="AJ401" s="78"/>
      <c r="AK401" s="60">
        <f t="shared" si="88"/>
        <v>0</v>
      </c>
      <c r="AL401" s="60"/>
      <c r="AM401" s="60"/>
      <c r="AN401" s="60"/>
      <c r="AO401" s="60"/>
      <c r="AP401" s="60"/>
      <c r="AQ401" s="60">
        <f t="shared" si="78"/>
        <v>0</v>
      </c>
      <c r="AR401" s="60">
        <f t="shared" si="79"/>
        <v>0</v>
      </c>
      <c r="AS401" s="60">
        <f t="shared" si="80"/>
        <v>0</v>
      </c>
      <c r="AT401" s="60">
        <f t="shared" si="81"/>
        <v>0</v>
      </c>
      <c r="AU401" s="60">
        <f t="shared" si="82"/>
        <v>0</v>
      </c>
      <c r="AV401" s="60">
        <f t="shared" si="83"/>
        <v>0</v>
      </c>
      <c r="AW401" s="60">
        <f t="shared" si="84"/>
        <v>0</v>
      </c>
      <c r="AX401" s="60">
        <f t="shared" si="89"/>
        <v>0</v>
      </c>
      <c r="AY401" s="64">
        <f t="shared" si="90"/>
        <v>0</v>
      </c>
      <c r="AZ401" s="65">
        <f t="shared" si="91"/>
        <v>0</v>
      </c>
      <c r="BA401" s="65">
        <f t="shared" si="92"/>
        <v>0</v>
      </c>
    </row>
    <row r="402" spans="3:53" s="17" customFormat="1" x14ac:dyDescent="0.25">
      <c r="C402" s="194"/>
      <c r="D402" s="195"/>
      <c r="E402" s="90"/>
      <c r="F402" s="198"/>
      <c r="G402" s="214"/>
      <c r="H402" s="199"/>
      <c r="I402" s="78"/>
      <c r="J402" s="79"/>
      <c r="K402" s="78"/>
      <c r="L402" s="80"/>
      <c r="M402" s="80"/>
      <c r="N402" s="78" t="s">
        <v>39</v>
      </c>
      <c r="O402" s="113"/>
      <c r="P402" s="155"/>
      <c r="Q402" s="114" t="str">
        <f>IFERROR(MIN(VLOOKUP(ROUNDDOWN(P402,0),'Aide calcul'!$B$2:$C$282,2,FALSE),O402+1),"")</f>
        <v/>
      </c>
      <c r="R402" s="115" t="str">
        <f t="shared" si="85"/>
        <v/>
      </c>
      <c r="S402" s="155"/>
      <c r="T402" s="155"/>
      <c r="U402" s="155"/>
      <c r="V402" s="155"/>
      <c r="W402" s="155"/>
      <c r="X402" s="155"/>
      <c r="Y402" s="155"/>
      <c r="Z402" s="78"/>
      <c r="AA402" s="78"/>
      <c r="AB402" s="116" t="str">
        <f>IF(C402="3111. Logements",ROUND(VLOOKUP(C402,'Informations générales'!$C$66:$D$70,2,FALSE)*(AK402/$AL$27)/12,0)*12,IF(C402="3112. Logements",ROUND(VLOOKUP(C402,'Informations générales'!$C$66:$D$70,2,FALSE)*(AK402/$AM$27)/12,0)*12,IF(C402="3113. Logements",ROUND(VLOOKUP(C402,'Informations générales'!$C$66:$D$70,2,FALSE)*(AK402/$AN$27)/12,0)*12,IF(C402="3114. Logements",ROUND(VLOOKUP(C402,'Informations générales'!$C$66:$D$70,2,FALSE)*(AK402/$AO$27)/12,0)*12,IF(C402="3115. Logements",ROUND(VLOOKUP(C402,'Informations générales'!$C$66:$D$70,2,FALSE)*(AK402/$AP$27)/12,0)*12,"")))))</f>
        <v/>
      </c>
      <c r="AC402" s="117"/>
      <c r="AD402" s="116">
        <f t="shared" si="86"/>
        <v>0</v>
      </c>
      <c r="AE402" s="117"/>
      <c r="AF402" s="116" t="str">
        <f>IF(C402="3111. Logements",ROUND(VLOOKUP(C402,'Informations générales'!$C$66:$G$70,5,FALSE)*(AK402/$AL$27)/12,0)*12,IF(C402="3112. Logements",ROUND(VLOOKUP(C402,'Informations générales'!$C$66:$G$70,5,FALSE)*(AK402/$AM$27)/12,0)*12,IF(C402="3113. Logements",ROUND(VLOOKUP(C402,'Informations générales'!$C$66:$G$70,5,FALSE)*(AK402/$AN$27)/12,0)*12,IF(C402="3114. Logements",ROUND(VLOOKUP(C402,'Informations générales'!$C$66:$G$70,5,FALSE)*(AK402/$AO$27)/12,0)*12,IF(C402="3115. Logements",ROUND(VLOOKUP(C402,'Informations générales'!$C$66:$G$70,5,FALSE)*(AK402/$AP$27)/12,0)*12,"")))))</f>
        <v/>
      </c>
      <c r="AG402" s="117"/>
      <c r="AH402" s="116" t="str">
        <f t="shared" si="87"/>
        <v/>
      </c>
      <c r="AI402" s="92"/>
      <c r="AJ402" s="78"/>
      <c r="AK402" s="60">
        <f t="shared" si="88"/>
        <v>0</v>
      </c>
      <c r="AL402" s="60"/>
      <c r="AM402" s="60"/>
      <c r="AN402" s="60"/>
      <c r="AO402" s="60"/>
      <c r="AP402" s="60"/>
      <c r="AQ402" s="60">
        <f t="shared" si="78"/>
        <v>0</v>
      </c>
      <c r="AR402" s="60">
        <f t="shared" si="79"/>
        <v>0</v>
      </c>
      <c r="AS402" s="60">
        <f t="shared" si="80"/>
        <v>0</v>
      </c>
      <c r="AT402" s="60">
        <f t="shared" si="81"/>
        <v>0</v>
      </c>
      <c r="AU402" s="60">
        <f t="shared" si="82"/>
        <v>0</v>
      </c>
      <c r="AV402" s="60">
        <f t="shared" si="83"/>
        <v>0</v>
      </c>
      <c r="AW402" s="60">
        <f t="shared" si="84"/>
        <v>0</v>
      </c>
      <c r="AX402" s="60">
        <f t="shared" si="89"/>
        <v>0</v>
      </c>
      <c r="AY402" s="64">
        <f t="shared" si="90"/>
        <v>0</v>
      </c>
      <c r="AZ402" s="65">
        <f t="shared" si="91"/>
        <v>0</v>
      </c>
      <c r="BA402" s="65">
        <f t="shared" si="92"/>
        <v>0</v>
      </c>
    </row>
    <row r="403" spans="3:53" s="17" customFormat="1" x14ac:dyDescent="0.25">
      <c r="C403" s="194"/>
      <c r="D403" s="195"/>
      <c r="E403" s="90"/>
      <c r="F403" s="198"/>
      <c r="G403" s="214"/>
      <c r="H403" s="199"/>
      <c r="I403" s="78"/>
      <c r="J403" s="79"/>
      <c r="K403" s="78"/>
      <c r="L403" s="80"/>
      <c r="M403" s="80"/>
      <c r="N403" s="78" t="s">
        <v>39</v>
      </c>
      <c r="O403" s="113"/>
      <c r="P403" s="155"/>
      <c r="Q403" s="114" t="str">
        <f>IFERROR(MIN(VLOOKUP(ROUNDDOWN(P403,0),'Aide calcul'!$B$2:$C$282,2,FALSE),O403+1),"")</f>
        <v/>
      </c>
      <c r="R403" s="115" t="str">
        <f t="shared" si="85"/>
        <v/>
      </c>
      <c r="S403" s="155"/>
      <c r="T403" s="155"/>
      <c r="U403" s="155"/>
      <c r="V403" s="155"/>
      <c r="W403" s="155"/>
      <c r="X403" s="155"/>
      <c r="Y403" s="155"/>
      <c r="Z403" s="78"/>
      <c r="AA403" s="78"/>
      <c r="AB403" s="116" t="str">
        <f>IF(C403="3111. Logements",ROUND(VLOOKUP(C403,'Informations générales'!$C$66:$D$70,2,FALSE)*(AK403/$AL$27)/12,0)*12,IF(C403="3112. Logements",ROUND(VLOOKUP(C403,'Informations générales'!$C$66:$D$70,2,FALSE)*(AK403/$AM$27)/12,0)*12,IF(C403="3113. Logements",ROUND(VLOOKUP(C403,'Informations générales'!$C$66:$D$70,2,FALSE)*(AK403/$AN$27)/12,0)*12,IF(C403="3114. Logements",ROUND(VLOOKUP(C403,'Informations générales'!$C$66:$D$70,2,FALSE)*(AK403/$AO$27)/12,0)*12,IF(C403="3115. Logements",ROUND(VLOOKUP(C403,'Informations générales'!$C$66:$D$70,2,FALSE)*(AK403/$AP$27)/12,0)*12,"")))))</f>
        <v/>
      </c>
      <c r="AC403" s="117"/>
      <c r="AD403" s="116">
        <f t="shared" si="86"/>
        <v>0</v>
      </c>
      <c r="AE403" s="117"/>
      <c r="AF403" s="116" t="str">
        <f>IF(C403="3111. Logements",ROUND(VLOOKUP(C403,'Informations générales'!$C$66:$G$70,5,FALSE)*(AK403/$AL$27)/12,0)*12,IF(C403="3112. Logements",ROUND(VLOOKUP(C403,'Informations générales'!$C$66:$G$70,5,FALSE)*(AK403/$AM$27)/12,0)*12,IF(C403="3113. Logements",ROUND(VLOOKUP(C403,'Informations générales'!$C$66:$G$70,5,FALSE)*(AK403/$AN$27)/12,0)*12,IF(C403="3114. Logements",ROUND(VLOOKUP(C403,'Informations générales'!$C$66:$G$70,5,FALSE)*(AK403/$AO$27)/12,0)*12,IF(C403="3115. Logements",ROUND(VLOOKUP(C403,'Informations générales'!$C$66:$G$70,5,FALSE)*(AK403/$AP$27)/12,0)*12,"")))))</f>
        <v/>
      </c>
      <c r="AG403" s="117"/>
      <c r="AH403" s="116" t="str">
        <f t="shared" si="87"/>
        <v/>
      </c>
      <c r="AI403" s="92"/>
      <c r="AJ403" s="78"/>
      <c r="AK403" s="60">
        <f t="shared" si="88"/>
        <v>0</v>
      </c>
      <c r="AL403" s="60"/>
      <c r="AM403" s="60"/>
      <c r="AN403" s="60"/>
      <c r="AO403" s="60"/>
      <c r="AP403" s="60"/>
      <c r="AQ403" s="60">
        <f t="shared" si="78"/>
        <v>0</v>
      </c>
      <c r="AR403" s="60">
        <f t="shared" si="79"/>
        <v>0</v>
      </c>
      <c r="AS403" s="60">
        <f t="shared" si="80"/>
        <v>0</v>
      </c>
      <c r="AT403" s="60">
        <f t="shared" si="81"/>
        <v>0</v>
      </c>
      <c r="AU403" s="60">
        <f t="shared" si="82"/>
        <v>0</v>
      </c>
      <c r="AV403" s="60">
        <f t="shared" si="83"/>
        <v>0</v>
      </c>
      <c r="AW403" s="60">
        <f t="shared" si="84"/>
        <v>0</v>
      </c>
      <c r="AX403" s="60">
        <f t="shared" si="89"/>
        <v>0</v>
      </c>
      <c r="AY403" s="64">
        <f t="shared" si="90"/>
        <v>0</v>
      </c>
      <c r="AZ403" s="65">
        <f t="shared" si="91"/>
        <v>0</v>
      </c>
      <c r="BA403" s="65">
        <f t="shared" si="92"/>
        <v>0</v>
      </c>
    </row>
    <row r="404" spans="3:53" s="17" customFormat="1" x14ac:dyDescent="0.25">
      <c r="C404" s="194"/>
      <c r="D404" s="195"/>
      <c r="E404" s="90"/>
      <c r="F404" s="198"/>
      <c r="G404" s="214"/>
      <c r="H404" s="199"/>
      <c r="I404" s="78"/>
      <c r="J404" s="79"/>
      <c r="K404" s="78"/>
      <c r="L404" s="80"/>
      <c r="M404" s="80"/>
      <c r="N404" s="78" t="s">
        <v>39</v>
      </c>
      <c r="O404" s="113"/>
      <c r="P404" s="155"/>
      <c r="Q404" s="114" t="str">
        <f>IFERROR(MIN(VLOOKUP(ROUNDDOWN(P404,0),'Aide calcul'!$B$2:$C$282,2,FALSE),O404+1),"")</f>
        <v/>
      </c>
      <c r="R404" s="115" t="str">
        <f t="shared" si="85"/>
        <v/>
      </c>
      <c r="S404" s="155"/>
      <c r="T404" s="155"/>
      <c r="U404" s="155"/>
      <c r="V404" s="155"/>
      <c r="W404" s="155"/>
      <c r="X404" s="155"/>
      <c r="Y404" s="155"/>
      <c r="Z404" s="78"/>
      <c r="AA404" s="78"/>
      <c r="AB404" s="116" t="str">
        <f>IF(C404="3111. Logements",ROUND(VLOOKUP(C404,'Informations générales'!$C$66:$D$70,2,FALSE)*(AK404/$AL$27)/12,0)*12,IF(C404="3112. Logements",ROUND(VLOOKUP(C404,'Informations générales'!$C$66:$D$70,2,FALSE)*(AK404/$AM$27)/12,0)*12,IF(C404="3113. Logements",ROUND(VLOOKUP(C404,'Informations générales'!$C$66:$D$70,2,FALSE)*(AK404/$AN$27)/12,0)*12,IF(C404="3114. Logements",ROUND(VLOOKUP(C404,'Informations générales'!$C$66:$D$70,2,FALSE)*(AK404/$AO$27)/12,0)*12,IF(C404="3115. Logements",ROUND(VLOOKUP(C404,'Informations générales'!$C$66:$D$70,2,FALSE)*(AK404/$AP$27)/12,0)*12,"")))))</f>
        <v/>
      </c>
      <c r="AC404" s="117"/>
      <c r="AD404" s="116">
        <f t="shared" si="86"/>
        <v>0</v>
      </c>
      <c r="AE404" s="117"/>
      <c r="AF404" s="116" t="str">
        <f>IF(C404="3111. Logements",ROUND(VLOOKUP(C404,'Informations générales'!$C$66:$G$70,5,FALSE)*(AK404/$AL$27)/12,0)*12,IF(C404="3112. Logements",ROUND(VLOOKUP(C404,'Informations générales'!$C$66:$G$70,5,FALSE)*(AK404/$AM$27)/12,0)*12,IF(C404="3113. Logements",ROUND(VLOOKUP(C404,'Informations générales'!$C$66:$G$70,5,FALSE)*(AK404/$AN$27)/12,0)*12,IF(C404="3114. Logements",ROUND(VLOOKUP(C404,'Informations générales'!$C$66:$G$70,5,FALSE)*(AK404/$AO$27)/12,0)*12,IF(C404="3115. Logements",ROUND(VLOOKUP(C404,'Informations générales'!$C$66:$G$70,5,FALSE)*(AK404/$AP$27)/12,0)*12,"")))))</f>
        <v/>
      </c>
      <c r="AG404" s="117"/>
      <c r="AH404" s="116" t="str">
        <f t="shared" si="87"/>
        <v/>
      </c>
      <c r="AI404" s="92"/>
      <c r="AJ404" s="78"/>
      <c r="AK404" s="60">
        <f t="shared" si="88"/>
        <v>0</v>
      </c>
      <c r="AL404" s="60"/>
      <c r="AM404" s="60"/>
      <c r="AN404" s="60"/>
      <c r="AO404" s="60"/>
      <c r="AP404" s="60"/>
      <c r="AQ404" s="60">
        <f t="shared" si="78"/>
        <v>0</v>
      </c>
      <c r="AR404" s="60">
        <f t="shared" si="79"/>
        <v>0</v>
      </c>
      <c r="AS404" s="60">
        <f t="shared" si="80"/>
        <v>0</v>
      </c>
      <c r="AT404" s="60">
        <f t="shared" si="81"/>
        <v>0</v>
      </c>
      <c r="AU404" s="60">
        <f t="shared" si="82"/>
        <v>0</v>
      </c>
      <c r="AV404" s="60">
        <f t="shared" si="83"/>
        <v>0</v>
      </c>
      <c r="AW404" s="60">
        <f t="shared" si="84"/>
        <v>0</v>
      </c>
      <c r="AX404" s="60">
        <f t="shared" si="89"/>
        <v>0</v>
      </c>
      <c r="AY404" s="64">
        <f t="shared" si="90"/>
        <v>0</v>
      </c>
      <c r="AZ404" s="65">
        <f t="shared" ref="AZ404:AZ427" si="93">IFERROR(VLOOKUP(Z404,$H$12:$I$22,2,FALSE),0)</f>
        <v>0</v>
      </c>
      <c r="BA404" s="65">
        <f t="shared" si="92"/>
        <v>0</v>
      </c>
    </row>
    <row r="405" spans="3:53" s="17" customFormat="1" x14ac:dyDescent="0.25">
      <c r="C405" s="194"/>
      <c r="D405" s="195"/>
      <c r="E405" s="90"/>
      <c r="F405" s="198"/>
      <c r="G405" s="214"/>
      <c r="H405" s="199"/>
      <c r="I405" s="78"/>
      <c r="J405" s="79"/>
      <c r="K405" s="78"/>
      <c r="L405" s="80"/>
      <c r="M405" s="80"/>
      <c r="N405" s="78" t="s">
        <v>39</v>
      </c>
      <c r="O405" s="113"/>
      <c r="P405" s="155"/>
      <c r="Q405" s="114" t="str">
        <f>IFERROR(MIN(VLOOKUP(ROUNDDOWN(P405,0),'Aide calcul'!$B$2:$C$282,2,FALSE),O405+1),"")</f>
        <v/>
      </c>
      <c r="R405" s="115" t="str">
        <f t="shared" si="85"/>
        <v/>
      </c>
      <c r="S405" s="155"/>
      <c r="T405" s="155"/>
      <c r="U405" s="155"/>
      <c r="V405" s="155"/>
      <c r="W405" s="155"/>
      <c r="X405" s="155"/>
      <c r="Y405" s="155"/>
      <c r="Z405" s="78"/>
      <c r="AA405" s="78"/>
      <c r="AB405" s="116" t="str">
        <f>IF(C405="3111. Logements",ROUND(VLOOKUP(C405,'Informations générales'!$C$66:$D$70,2,FALSE)*(AK405/$AL$27)/12,0)*12,IF(C405="3112. Logements",ROUND(VLOOKUP(C405,'Informations générales'!$C$66:$D$70,2,FALSE)*(AK405/$AM$27)/12,0)*12,IF(C405="3113. Logements",ROUND(VLOOKUP(C405,'Informations générales'!$C$66:$D$70,2,FALSE)*(AK405/$AN$27)/12,0)*12,IF(C405="3114. Logements",ROUND(VLOOKUP(C405,'Informations générales'!$C$66:$D$70,2,FALSE)*(AK405/$AO$27)/12,0)*12,IF(C405="3115. Logements",ROUND(VLOOKUP(C405,'Informations générales'!$C$66:$D$70,2,FALSE)*(AK405/$AP$27)/12,0)*12,"")))))</f>
        <v/>
      </c>
      <c r="AC405" s="117"/>
      <c r="AD405" s="116">
        <f t="shared" si="86"/>
        <v>0</v>
      </c>
      <c r="AE405" s="117"/>
      <c r="AF405" s="116" t="str">
        <f>IF(C405="3111. Logements",ROUND(VLOOKUP(C405,'Informations générales'!$C$66:$G$70,5,FALSE)*(AK405/$AL$27)/12,0)*12,IF(C405="3112. Logements",ROUND(VLOOKUP(C405,'Informations générales'!$C$66:$G$70,5,FALSE)*(AK405/$AM$27)/12,0)*12,IF(C405="3113. Logements",ROUND(VLOOKUP(C405,'Informations générales'!$C$66:$G$70,5,FALSE)*(AK405/$AN$27)/12,0)*12,IF(C405="3114. Logements",ROUND(VLOOKUP(C405,'Informations générales'!$C$66:$G$70,5,FALSE)*(AK405/$AO$27)/12,0)*12,IF(C405="3115. Logements",ROUND(VLOOKUP(C405,'Informations générales'!$C$66:$G$70,5,FALSE)*(AK405/$AP$27)/12,0)*12,"")))))</f>
        <v/>
      </c>
      <c r="AG405" s="117"/>
      <c r="AH405" s="116" t="str">
        <f t="shared" si="87"/>
        <v/>
      </c>
      <c r="AI405" s="92"/>
      <c r="AJ405" s="78"/>
      <c r="AK405" s="60">
        <f t="shared" si="88"/>
        <v>0</v>
      </c>
      <c r="AL405" s="60"/>
      <c r="AM405" s="60"/>
      <c r="AN405" s="60"/>
      <c r="AO405" s="60"/>
      <c r="AP405" s="60"/>
      <c r="AQ405" s="60">
        <f t="shared" si="78"/>
        <v>0</v>
      </c>
      <c r="AR405" s="60">
        <f t="shared" si="79"/>
        <v>0</v>
      </c>
      <c r="AS405" s="60">
        <f t="shared" si="80"/>
        <v>0</v>
      </c>
      <c r="AT405" s="60">
        <f t="shared" si="81"/>
        <v>0</v>
      </c>
      <c r="AU405" s="60">
        <f t="shared" si="82"/>
        <v>0</v>
      </c>
      <c r="AV405" s="60">
        <f t="shared" si="83"/>
        <v>0</v>
      </c>
      <c r="AW405" s="60">
        <f t="shared" si="84"/>
        <v>0</v>
      </c>
      <c r="AX405" s="60">
        <f t="shared" si="89"/>
        <v>0</v>
      </c>
      <c r="AY405" s="64">
        <f t="shared" si="90"/>
        <v>0</v>
      </c>
      <c r="AZ405" s="65">
        <f t="shared" si="93"/>
        <v>0</v>
      </c>
      <c r="BA405" s="65">
        <f t="shared" si="92"/>
        <v>0</v>
      </c>
    </row>
    <row r="406" spans="3:53" s="17" customFormat="1" x14ac:dyDescent="0.25">
      <c r="C406" s="194"/>
      <c r="D406" s="195"/>
      <c r="E406" s="90"/>
      <c r="F406" s="198"/>
      <c r="G406" s="214"/>
      <c r="H406" s="199"/>
      <c r="I406" s="78"/>
      <c r="J406" s="79"/>
      <c r="K406" s="78"/>
      <c r="L406" s="80"/>
      <c r="M406" s="80"/>
      <c r="N406" s="78" t="s">
        <v>39</v>
      </c>
      <c r="O406" s="113"/>
      <c r="P406" s="155"/>
      <c r="Q406" s="114" t="str">
        <f>IFERROR(MIN(VLOOKUP(ROUNDDOWN(P406,0),'Aide calcul'!$B$2:$C$282,2,FALSE),O406+1),"")</f>
        <v/>
      </c>
      <c r="R406" s="115" t="str">
        <f t="shared" si="85"/>
        <v/>
      </c>
      <c r="S406" s="155"/>
      <c r="T406" s="155"/>
      <c r="U406" s="155"/>
      <c r="V406" s="155"/>
      <c r="W406" s="155"/>
      <c r="X406" s="155"/>
      <c r="Y406" s="155"/>
      <c r="Z406" s="78"/>
      <c r="AA406" s="78"/>
      <c r="AB406" s="116" t="str">
        <f>IF(C406="3111. Logements",ROUND(VLOOKUP(C406,'Informations générales'!$C$66:$D$70,2,FALSE)*(AK406/$AL$27)/12,0)*12,IF(C406="3112. Logements",ROUND(VLOOKUP(C406,'Informations générales'!$C$66:$D$70,2,FALSE)*(AK406/$AM$27)/12,0)*12,IF(C406="3113. Logements",ROUND(VLOOKUP(C406,'Informations générales'!$C$66:$D$70,2,FALSE)*(AK406/$AN$27)/12,0)*12,IF(C406="3114. Logements",ROUND(VLOOKUP(C406,'Informations générales'!$C$66:$D$70,2,FALSE)*(AK406/$AO$27)/12,0)*12,IF(C406="3115. Logements",ROUND(VLOOKUP(C406,'Informations générales'!$C$66:$D$70,2,FALSE)*(AK406/$AP$27)/12,0)*12,"")))))</f>
        <v/>
      </c>
      <c r="AC406" s="117"/>
      <c r="AD406" s="116">
        <f t="shared" si="86"/>
        <v>0</v>
      </c>
      <c r="AE406" s="117"/>
      <c r="AF406" s="116" t="str">
        <f>IF(C406="3111. Logements",ROUND(VLOOKUP(C406,'Informations générales'!$C$66:$G$70,5,FALSE)*(AK406/$AL$27)/12,0)*12,IF(C406="3112. Logements",ROUND(VLOOKUP(C406,'Informations générales'!$C$66:$G$70,5,FALSE)*(AK406/$AM$27)/12,0)*12,IF(C406="3113. Logements",ROUND(VLOOKUP(C406,'Informations générales'!$C$66:$G$70,5,FALSE)*(AK406/$AN$27)/12,0)*12,IF(C406="3114. Logements",ROUND(VLOOKUP(C406,'Informations générales'!$C$66:$G$70,5,FALSE)*(AK406/$AO$27)/12,0)*12,IF(C406="3115. Logements",ROUND(VLOOKUP(C406,'Informations générales'!$C$66:$G$70,5,FALSE)*(AK406/$AP$27)/12,0)*12,"")))))</f>
        <v/>
      </c>
      <c r="AG406" s="117"/>
      <c r="AH406" s="116" t="str">
        <f t="shared" si="87"/>
        <v/>
      </c>
      <c r="AI406" s="92"/>
      <c r="AJ406" s="78"/>
      <c r="AK406" s="60">
        <f t="shared" si="88"/>
        <v>0</v>
      </c>
      <c r="AL406" s="60"/>
      <c r="AM406" s="60"/>
      <c r="AN406" s="60"/>
      <c r="AO406" s="60"/>
      <c r="AP406" s="60"/>
      <c r="AQ406" s="60">
        <f t="shared" si="78"/>
        <v>0</v>
      </c>
      <c r="AR406" s="60">
        <f t="shared" si="79"/>
        <v>0</v>
      </c>
      <c r="AS406" s="60">
        <f t="shared" si="80"/>
        <v>0</v>
      </c>
      <c r="AT406" s="60">
        <f t="shared" si="81"/>
        <v>0</v>
      </c>
      <c r="AU406" s="60">
        <f t="shared" si="82"/>
        <v>0</v>
      </c>
      <c r="AV406" s="60">
        <f t="shared" si="83"/>
        <v>0</v>
      </c>
      <c r="AW406" s="60">
        <f t="shared" si="84"/>
        <v>0</v>
      </c>
      <c r="AX406" s="60">
        <f t="shared" si="89"/>
        <v>0</v>
      </c>
      <c r="AY406" s="64">
        <f t="shared" si="90"/>
        <v>0</v>
      </c>
      <c r="AZ406" s="65">
        <f t="shared" si="93"/>
        <v>0</v>
      </c>
      <c r="BA406" s="65">
        <f t="shared" si="92"/>
        <v>0</v>
      </c>
    </row>
    <row r="407" spans="3:53" s="17" customFormat="1" x14ac:dyDescent="0.25">
      <c r="C407" s="194"/>
      <c r="D407" s="195"/>
      <c r="E407" s="90"/>
      <c r="F407" s="198"/>
      <c r="G407" s="214"/>
      <c r="H407" s="199"/>
      <c r="I407" s="78"/>
      <c r="J407" s="79"/>
      <c r="K407" s="78"/>
      <c r="L407" s="80"/>
      <c r="M407" s="80"/>
      <c r="N407" s="78" t="s">
        <v>39</v>
      </c>
      <c r="O407" s="113"/>
      <c r="P407" s="155"/>
      <c r="Q407" s="114" t="str">
        <f>IFERROR(MIN(VLOOKUP(ROUNDDOWN(P407,0),'Aide calcul'!$B$2:$C$282,2,FALSE),O407+1),"")</f>
        <v/>
      </c>
      <c r="R407" s="115" t="str">
        <f t="shared" si="85"/>
        <v/>
      </c>
      <c r="S407" s="155"/>
      <c r="T407" s="155"/>
      <c r="U407" s="155"/>
      <c r="V407" s="155"/>
      <c r="W407" s="155"/>
      <c r="X407" s="155"/>
      <c r="Y407" s="155"/>
      <c r="Z407" s="78"/>
      <c r="AA407" s="78"/>
      <c r="AB407" s="116" t="str">
        <f>IF(C407="3111. Logements",ROUND(VLOOKUP(C407,'Informations générales'!$C$66:$D$70,2,FALSE)*(AK407/$AL$27)/12,0)*12,IF(C407="3112. Logements",ROUND(VLOOKUP(C407,'Informations générales'!$C$66:$D$70,2,FALSE)*(AK407/$AM$27)/12,0)*12,IF(C407="3113. Logements",ROUND(VLOOKUP(C407,'Informations générales'!$C$66:$D$70,2,FALSE)*(AK407/$AN$27)/12,0)*12,IF(C407="3114. Logements",ROUND(VLOOKUP(C407,'Informations générales'!$C$66:$D$70,2,FALSE)*(AK407/$AO$27)/12,0)*12,IF(C407="3115. Logements",ROUND(VLOOKUP(C407,'Informations générales'!$C$66:$D$70,2,FALSE)*(AK407/$AP$27)/12,0)*12,"")))))</f>
        <v/>
      </c>
      <c r="AC407" s="117"/>
      <c r="AD407" s="116">
        <f t="shared" si="86"/>
        <v>0</v>
      </c>
      <c r="AE407" s="117"/>
      <c r="AF407" s="116" t="str">
        <f>IF(C407="3111. Logements",ROUND(VLOOKUP(C407,'Informations générales'!$C$66:$G$70,5,FALSE)*(AK407/$AL$27)/12,0)*12,IF(C407="3112. Logements",ROUND(VLOOKUP(C407,'Informations générales'!$C$66:$G$70,5,FALSE)*(AK407/$AM$27)/12,0)*12,IF(C407="3113. Logements",ROUND(VLOOKUP(C407,'Informations générales'!$C$66:$G$70,5,FALSE)*(AK407/$AN$27)/12,0)*12,IF(C407="3114. Logements",ROUND(VLOOKUP(C407,'Informations générales'!$C$66:$G$70,5,FALSE)*(AK407/$AO$27)/12,0)*12,IF(C407="3115. Logements",ROUND(VLOOKUP(C407,'Informations générales'!$C$66:$G$70,5,FALSE)*(AK407/$AP$27)/12,0)*12,"")))))</f>
        <v/>
      </c>
      <c r="AG407" s="117"/>
      <c r="AH407" s="116" t="str">
        <f t="shared" si="87"/>
        <v/>
      </c>
      <c r="AI407" s="92"/>
      <c r="AJ407" s="78"/>
      <c r="AK407" s="60">
        <f t="shared" si="88"/>
        <v>0</v>
      </c>
      <c r="AL407" s="60"/>
      <c r="AM407" s="60"/>
      <c r="AN407" s="60"/>
      <c r="AO407" s="60"/>
      <c r="AP407" s="60"/>
      <c r="AQ407" s="60">
        <f t="shared" si="78"/>
        <v>0</v>
      </c>
      <c r="AR407" s="60">
        <f t="shared" si="79"/>
        <v>0</v>
      </c>
      <c r="AS407" s="60">
        <f t="shared" si="80"/>
        <v>0</v>
      </c>
      <c r="AT407" s="60">
        <f t="shared" si="81"/>
        <v>0</v>
      </c>
      <c r="AU407" s="60">
        <f t="shared" si="82"/>
        <v>0</v>
      </c>
      <c r="AV407" s="60">
        <f t="shared" si="83"/>
        <v>0</v>
      </c>
      <c r="AW407" s="60">
        <f t="shared" si="84"/>
        <v>0</v>
      </c>
      <c r="AX407" s="60">
        <f t="shared" si="89"/>
        <v>0</v>
      </c>
      <c r="AY407" s="64">
        <f t="shared" si="90"/>
        <v>0</v>
      </c>
      <c r="AZ407" s="65">
        <f t="shared" si="93"/>
        <v>0</v>
      </c>
      <c r="BA407" s="65">
        <f t="shared" si="92"/>
        <v>0</v>
      </c>
    </row>
    <row r="408" spans="3:53" s="17" customFormat="1" x14ac:dyDescent="0.25">
      <c r="C408" s="194"/>
      <c r="D408" s="195"/>
      <c r="E408" s="90"/>
      <c r="F408" s="198"/>
      <c r="G408" s="214"/>
      <c r="H408" s="199"/>
      <c r="I408" s="78"/>
      <c r="J408" s="79"/>
      <c r="K408" s="78"/>
      <c r="L408" s="80"/>
      <c r="M408" s="80"/>
      <c r="N408" s="78" t="s">
        <v>39</v>
      </c>
      <c r="O408" s="113"/>
      <c r="P408" s="155"/>
      <c r="Q408" s="114" t="str">
        <f>IFERROR(MIN(VLOOKUP(ROUNDDOWN(P408,0),'Aide calcul'!$B$2:$C$282,2,FALSE),O408+1),"")</f>
        <v/>
      </c>
      <c r="R408" s="115" t="str">
        <f t="shared" si="85"/>
        <v/>
      </c>
      <c r="S408" s="155"/>
      <c r="T408" s="155"/>
      <c r="U408" s="155"/>
      <c r="V408" s="155"/>
      <c r="W408" s="155"/>
      <c r="X408" s="155"/>
      <c r="Y408" s="155"/>
      <c r="Z408" s="78"/>
      <c r="AA408" s="78"/>
      <c r="AB408" s="116" t="str">
        <f>IF(C408="3111. Logements",ROUND(VLOOKUP(C408,'Informations générales'!$C$66:$D$70,2,FALSE)*(AK408/$AL$27)/12,0)*12,IF(C408="3112. Logements",ROUND(VLOOKUP(C408,'Informations générales'!$C$66:$D$70,2,FALSE)*(AK408/$AM$27)/12,0)*12,IF(C408="3113. Logements",ROUND(VLOOKUP(C408,'Informations générales'!$C$66:$D$70,2,FALSE)*(AK408/$AN$27)/12,0)*12,IF(C408="3114. Logements",ROUND(VLOOKUP(C408,'Informations générales'!$C$66:$D$70,2,FALSE)*(AK408/$AO$27)/12,0)*12,IF(C408="3115. Logements",ROUND(VLOOKUP(C408,'Informations générales'!$C$66:$D$70,2,FALSE)*(AK408/$AP$27)/12,0)*12,"")))))</f>
        <v/>
      </c>
      <c r="AC408" s="117"/>
      <c r="AD408" s="116">
        <f t="shared" si="86"/>
        <v>0</v>
      </c>
      <c r="AE408" s="117"/>
      <c r="AF408" s="116" t="str">
        <f>IF(C408="3111. Logements",ROUND(VLOOKUP(C408,'Informations générales'!$C$66:$G$70,5,FALSE)*(AK408/$AL$27)/12,0)*12,IF(C408="3112. Logements",ROUND(VLOOKUP(C408,'Informations générales'!$C$66:$G$70,5,FALSE)*(AK408/$AM$27)/12,0)*12,IF(C408="3113. Logements",ROUND(VLOOKUP(C408,'Informations générales'!$C$66:$G$70,5,FALSE)*(AK408/$AN$27)/12,0)*12,IF(C408="3114. Logements",ROUND(VLOOKUP(C408,'Informations générales'!$C$66:$G$70,5,FALSE)*(AK408/$AO$27)/12,0)*12,IF(C408="3115. Logements",ROUND(VLOOKUP(C408,'Informations générales'!$C$66:$G$70,5,FALSE)*(AK408/$AP$27)/12,0)*12,"")))))</f>
        <v/>
      </c>
      <c r="AG408" s="117"/>
      <c r="AH408" s="116" t="str">
        <f t="shared" si="87"/>
        <v/>
      </c>
      <c r="AI408" s="92"/>
      <c r="AJ408" s="78"/>
      <c r="AK408" s="60">
        <f t="shared" si="88"/>
        <v>0</v>
      </c>
      <c r="AL408" s="60"/>
      <c r="AM408" s="60"/>
      <c r="AN408" s="60"/>
      <c r="AO408" s="60"/>
      <c r="AP408" s="60"/>
      <c r="AQ408" s="60">
        <f t="shared" si="78"/>
        <v>0</v>
      </c>
      <c r="AR408" s="60">
        <f t="shared" si="79"/>
        <v>0</v>
      </c>
      <c r="AS408" s="60">
        <f t="shared" si="80"/>
        <v>0</v>
      </c>
      <c r="AT408" s="60">
        <f t="shared" si="81"/>
        <v>0</v>
      </c>
      <c r="AU408" s="60">
        <f t="shared" si="82"/>
        <v>0</v>
      </c>
      <c r="AV408" s="60">
        <f t="shared" si="83"/>
        <v>0</v>
      </c>
      <c r="AW408" s="60">
        <f t="shared" si="84"/>
        <v>0</v>
      </c>
      <c r="AX408" s="60">
        <f t="shared" si="89"/>
        <v>0</v>
      </c>
      <c r="AY408" s="64">
        <f t="shared" si="90"/>
        <v>0</v>
      </c>
      <c r="AZ408" s="65">
        <f t="shared" si="93"/>
        <v>0</v>
      </c>
      <c r="BA408" s="65">
        <f t="shared" si="92"/>
        <v>0</v>
      </c>
    </row>
    <row r="409" spans="3:53" s="17" customFormat="1" x14ac:dyDescent="0.25">
      <c r="C409" s="194"/>
      <c r="D409" s="195"/>
      <c r="E409" s="90"/>
      <c r="F409" s="198"/>
      <c r="G409" s="214"/>
      <c r="H409" s="199"/>
      <c r="I409" s="78"/>
      <c r="J409" s="79"/>
      <c r="K409" s="78"/>
      <c r="L409" s="80"/>
      <c r="M409" s="80"/>
      <c r="N409" s="78" t="s">
        <v>39</v>
      </c>
      <c r="O409" s="113"/>
      <c r="P409" s="155"/>
      <c r="Q409" s="114" t="str">
        <f>IFERROR(MIN(VLOOKUP(ROUNDDOWN(P409,0),'Aide calcul'!$B$2:$C$282,2,FALSE),O409+1),"")</f>
        <v/>
      </c>
      <c r="R409" s="115" t="str">
        <f t="shared" si="85"/>
        <v/>
      </c>
      <c r="S409" s="155"/>
      <c r="T409" s="155"/>
      <c r="U409" s="155"/>
      <c r="V409" s="155"/>
      <c r="W409" s="155"/>
      <c r="X409" s="155"/>
      <c r="Y409" s="155"/>
      <c r="Z409" s="78"/>
      <c r="AA409" s="78"/>
      <c r="AB409" s="116" t="str">
        <f>IF(C409="3111. Logements",ROUND(VLOOKUP(C409,'Informations générales'!$C$66:$D$70,2,FALSE)*(AK409/$AL$27)/12,0)*12,IF(C409="3112. Logements",ROUND(VLOOKUP(C409,'Informations générales'!$C$66:$D$70,2,FALSE)*(AK409/$AM$27)/12,0)*12,IF(C409="3113. Logements",ROUND(VLOOKUP(C409,'Informations générales'!$C$66:$D$70,2,FALSE)*(AK409/$AN$27)/12,0)*12,IF(C409="3114. Logements",ROUND(VLOOKUP(C409,'Informations générales'!$C$66:$D$70,2,FALSE)*(AK409/$AO$27)/12,0)*12,IF(C409="3115. Logements",ROUND(VLOOKUP(C409,'Informations générales'!$C$66:$D$70,2,FALSE)*(AK409/$AP$27)/12,0)*12,"")))))</f>
        <v/>
      </c>
      <c r="AC409" s="117"/>
      <c r="AD409" s="116">
        <f t="shared" si="86"/>
        <v>0</v>
      </c>
      <c r="AE409" s="117"/>
      <c r="AF409" s="116" t="str">
        <f>IF(C409="3111. Logements",ROUND(VLOOKUP(C409,'Informations générales'!$C$66:$G$70,5,FALSE)*(AK409/$AL$27)/12,0)*12,IF(C409="3112. Logements",ROUND(VLOOKUP(C409,'Informations générales'!$C$66:$G$70,5,FALSE)*(AK409/$AM$27)/12,0)*12,IF(C409="3113. Logements",ROUND(VLOOKUP(C409,'Informations générales'!$C$66:$G$70,5,FALSE)*(AK409/$AN$27)/12,0)*12,IF(C409="3114. Logements",ROUND(VLOOKUP(C409,'Informations générales'!$C$66:$G$70,5,FALSE)*(AK409/$AO$27)/12,0)*12,IF(C409="3115. Logements",ROUND(VLOOKUP(C409,'Informations générales'!$C$66:$G$70,5,FALSE)*(AK409/$AP$27)/12,0)*12,"")))))</f>
        <v/>
      </c>
      <c r="AG409" s="117"/>
      <c r="AH409" s="116" t="str">
        <f t="shared" si="87"/>
        <v/>
      </c>
      <c r="AI409" s="92"/>
      <c r="AJ409" s="78"/>
      <c r="AK409" s="60">
        <f t="shared" si="88"/>
        <v>0</v>
      </c>
      <c r="AL409" s="60"/>
      <c r="AM409" s="60"/>
      <c r="AN409" s="60"/>
      <c r="AO409" s="60"/>
      <c r="AP409" s="60"/>
      <c r="AQ409" s="60">
        <f t="shared" si="78"/>
        <v>0</v>
      </c>
      <c r="AR409" s="60">
        <f t="shared" si="79"/>
        <v>0</v>
      </c>
      <c r="AS409" s="60">
        <f t="shared" si="80"/>
        <v>0</v>
      </c>
      <c r="AT409" s="60">
        <f t="shared" si="81"/>
        <v>0</v>
      </c>
      <c r="AU409" s="60">
        <f t="shared" si="82"/>
        <v>0</v>
      </c>
      <c r="AV409" s="60">
        <f t="shared" si="83"/>
        <v>0</v>
      </c>
      <c r="AW409" s="60">
        <f t="shared" si="84"/>
        <v>0</v>
      </c>
      <c r="AX409" s="60">
        <f t="shared" si="89"/>
        <v>0</v>
      </c>
      <c r="AY409" s="64">
        <f t="shared" si="90"/>
        <v>0</v>
      </c>
      <c r="AZ409" s="65">
        <f t="shared" si="93"/>
        <v>0</v>
      </c>
      <c r="BA409" s="65">
        <f t="shared" si="92"/>
        <v>0</v>
      </c>
    </row>
    <row r="410" spans="3:53" s="17" customFormat="1" x14ac:dyDescent="0.25">
      <c r="C410" s="194"/>
      <c r="D410" s="195"/>
      <c r="E410" s="90"/>
      <c r="F410" s="198"/>
      <c r="G410" s="214"/>
      <c r="H410" s="199"/>
      <c r="I410" s="78"/>
      <c r="J410" s="79"/>
      <c r="K410" s="78"/>
      <c r="L410" s="80"/>
      <c r="M410" s="80"/>
      <c r="N410" s="78" t="s">
        <v>39</v>
      </c>
      <c r="O410" s="113"/>
      <c r="P410" s="155"/>
      <c r="Q410" s="114" t="str">
        <f>IFERROR(MIN(VLOOKUP(ROUNDDOWN(P410,0),'Aide calcul'!$B$2:$C$282,2,FALSE),O410+1),"")</f>
        <v/>
      </c>
      <c r="R410" s="115" t="str">
        <f t="shared" si="85"/>
        <v/>
      </c>
      <c r="S410" s="155"/>
      <c r="T410" s="155"/>
      <c r="U410" s="155"/>
      <c r="V410" s="155"/>
      <c r="W410" s="155"/>
      <c r="X410" s="155"/>
      <c r="Y410" s="155"/>
      <c r="Z410" s="78"/>
      <c r="AA410" s="78"/>
      <c r="AB410" s="116" t="str">
        <f>IF(C410="3111. Logements",ROUND(VLOOKUP(C410,'Informations générales'!$C$66:$D$70,2,FALSE)*(AK410/$AL$27)/12,0)*12,IF(C410="3112. Logements",ROUND(VLOOKUP(C410,'Informations générales'!$C$66:$D$70,2,FALSE)*(AK410/$AM$27)/12,0)*12,IF(C410="3113. Logements",ROUND(VLOOKUP(C410,'Informations générales'!$C$66:$D$70,2,FALSE)*(AK410/$AN$27)/12,0)*12,IF(C410="3114. Logements",ROUND(VLOOKUP(C410,'Informations générales'!$C$66:$D$70,2,FALSE)*(AK410/$AO$27)/12,0)*12,IF(C410="3115. Logements",ROUND(VLOOKUP(C410,'Informations générales'!$C$66:$D$70,2,FALSE)*(AK410/$AP$27)/12,0)*12,"")))))</f>
        <v/>
      </c>
      <c r="AC410" s="117"/>
      <c r="AD410" s="116">
        <f t="shared" si="86"/>
        <v>0</v>
      </c>
      <c r="AE410" s="117"/>
      <c r="AF410" s="116" t="str">
        <f>IF(C410="3111. Logements",ROUND(VLOOKUP(C410,'Informations générales'!$C$66:$G$70,5,FALSE)*(AK410/$AL$27)/12,0)*12,IF(C410="3112. Logements",ROUND(VLOOKUP(C410,'Informations générales'!$C$66:$G$70,5,FALSE)*(AK410/$AM$27)/12,0)*12,IF(C410="3113. Logements",ROUND(VLOOKUP(C410,'Informations générales'!$C$66:$G$70,5,FALSE)*(AK410/$AN$27)/12,0)*12,IF(C410="3114. Logements",ROUND(VLOOKUP(C410,'Informations générales'!$C$66:$G$70,5,FALSE)*(AK410/$AO$27)/12,0)*12,IF(C410="3115. Logements",ROUND(VLOOKUP(C410,'Informations générales'!$C$66:$G$70,5,FALSE)*(AK410/$AP$27)/12,0)*12,"")))))</f>
        <v/>
      </c>
      <c r="AG410" s="117"/>
      <c r="AH410" s="116" t="str">
        <f t="shared" si="87"/>
        <v/>
      </c>
      <c r="AI410" s="92"/>
      <c r="AJ410" s="78"/>
      <c r="AK410" s="60">
        <f t="shared" si="88"/>
        <v>0</v>
      </c>
      <c r="AL410" s="60"/>
      <c r="AM410" s="60"/>
      <c r="AN410" s="60"/>
      <c r="AO410" s="60"/>
      <c r="AP410" s="60"/>
      <c r="AQ410" s="60">
        <f t="shared" si="78"/>
        <v>0</v>
      </c>
      <c r="AR410" s="60">
        <f t="shared" si="79"/>
        <v>0</v>
      </c>
      <c r="AS410" s="60">
        <f t="shared" si="80"/>
        <v>0</v>
      </c>
      <c r="AT410" s="60">
        <f t="shared" si="81"/>
        <v>0</v>
      </c>
      <c r="AU410" s="60">
        <f t="shared" si="82"/>
        <v>0</v>
      </c>
      <c r="AV410" s="60">
        <f t="shared" si="83"/>
        <v>0</v>
      </c>
      <c r="AW410" s="60">
        <f t="shared" si="84"/>
        <v>0</v>
      </c>
      <c r="AX410" s="60">
        <f t="shared" si="89"/>
        <v>0</v>
      </c>
      <c r="AY410" s="64">
        <f t="shared" si="90"/>
        <v>0</v>
      </c>
      <c r="AZ410" s="65">
        <f t="shared" si="93"/>
        <v>0</v>
      </c>
      <c r="BA410" s="65">
        <f t="shared" si="92"/>
        <v>0</v>
      </c>
    </row>
    <row r="411" spans="3:53" s="17" customFormat="1" x14ac:dyDescent="0.25">
      <c r="C411" s="194"/>
      <c r="D411" s="195"/>
      <c r="E411" s="90"/>
      <c r="F411" s="198"/>
      <c r="G411" s="214"/>
      <c r="H411" s="199"/>
      <c r="I411" s="78"/>
      <c r="J411" s="79"/>
      <c r="K411" s="78"/>
      <c r="L411" s="80"/>
      <c r="M411" s="80"/>
      <c r="N411" s="78" t="s">
        <v>39</v>
      </c>
      <c r="O411" s="113"/>
      <c r="P411" s="155"/>
      <c r="Q411" s="114" t="str">
        <f>IFERROR(MIN(VLOOKUP(ROUNDDOWN(P411,0),'Aide calcul'!$B$2:$C$282,2,FALSE),O411+1),"")</f>
        <v/>
      </c>
      <c r="R411" s="115" t="str">
        <f t="shared" si="85"/>
        <v/>
      </c>
      <c r="S411" s="155"/>
      <c r="T411" s="155"/>
      <c r="U411" s="155"/>
      <c r="V411" s="155"/>
      <c r="W411" s="155"/>
      <c r="X411" s="155"/>
      <c r="Y411" s="155"/>
      <c r="Z411" s="78"/>
      <c r="AA411" s="78"/>
      <c r="AB411" s="116" t="str">
        <f>IF(C411="3111. Logements",ROUND(VLOOKUP(C411,'Informations générales'!$C$66:$D$70,2,FALSE)*(AK411/$AL$27)/12,0)*12,IF(C411="3112. Logements",ROUND(VLOOKUP(C411,'Informations générales'!$C$66:$D$70,2,FALSE)*(AK411/$AM$27)/12,0)*12,IF(C411="3113. Logements",ROUND(VLOOKUP(C411,'Informations générales'!$C$66:$D$70,2,FALSE)*(AK411/$AN$27)/12,0)*12,IF(C411="3114. Logements",ROUND(VLOOKUP(C411,'Informations générales'!$C$66:$D$70,2,FALSE)*(AK411/$AO$27)/12,0)*12,IF(C411="3115. Logements",ROUND(VLOOKUP(C411,'Informations générales'!$C$66:$D$70,2,FALSE)*(AK411/$AP$27)/12,0)*12,"")))))</f>
        <v/>
      </c>
      <c r="AC411" s="117"/>
      <c r="AD411" s="116">
        <f t="shared" si="86"/>
        <v>0</v>
      </c>
      <c r="AE411" s="117"/>
      <c r="AF411" s="116" t="str">
        <f>IF(C411="3111. Logements",ROUND(VLOOKUP(C411,'Informations générales'!$C$66:$G$70,5,FALSE)*(AK411/$AL$27)/12,0)*12,IF(C411="3112. Logements",ROUND(VLOOKUP(C411,'Informations générales'!$C$66:$G$70,5,FALSE)*(AK411/$AM$27)/12,0)*12,IF(C411="3113. Logements",ROUND(VLOOKUP(C411,'Informations générales'!$C$66:$G$70,5,FALSE)*(AK411/$AN$27)/12,0)*12,IF(C411="3114. Logements",ROUND(VLOOKUP(C411,'Informations générales'!$C$66:$G$70,5,FALSE)*(AK411/$AO$27)/12,0)*12,IF(C411="3115. Logements",ROUND(VLOOKUP(C411,'Informations générales'!$C$66:$G$70,5,FALSE)*(AK411/$AP$27)/12,0)*12,"")))))</f>
        <v/>
      </c>
      <c r="AG411" s="117"/>
      <c r="AH411" s="116" t="str">
        <f t="shared" si="87"/>
        <v/>
      </c>
      <c r="AI411" s="92"/>
      <c r="AJ411" s="78"/>
      <c r="AK411" s="60">
        <f t="shared" si="88"/>
        <v>0</v>
      </c>
      <c r="AL411" s="60"/>
      <c r="AM411" s="60"/>
      <c r="AN411" s="60"/>
      <c r="AO411" s="60"/>
      <c r="AP411" s="60"/>
      <c r="AQ411" s="60">
        <f t="shared" ref="AQ411:AQ474" si="94">S411*$E$13</f>
        <v>0</v>
      </c>
      <c r="AR411" s="60">
        <f t="shared" ref="AR411:AR474" si="95">T411*$E$14</f>
        <v>0</v>
      </c>
      <c r="AS411" s="60">
        <f t="shared" ref="AS411:AS474" si="96">U411*$E$15</f>
        <v>0</v>
      </c>
      <c r="AT411" s="60">
        <f t="shared" ref="AT411:AT474" si="97">V411*$E$16</f>
        <v>0</v>
      </c>
      <c r="AU411" s="60">
        <f t="shared" ref="AU411:AU474" si="98">W411*$E$17</f>
        <v>0</v>
      </c>
      <c r="AV411" s="60">
        <f t="shared" ref="AV411:AV474" si="99">X411*$E$18</f>
        <v>0</v>
      </c>
      <c r="AW411" s="60">
        <f t="shared" ref="AW411:AW474" si="100">Y411*$E$19</f>
        <v>0</v>
      </c>
      <c r="AX411" s="60">
        <f t="shared" si="89"/>
        <v>0</v>
      </c>
      <c r="AY411" s="64">
        <f t="shared" si="90"/>
        <v>0</v>
      </c>
      <c r="AZ411" s="65">
        <f t="shared" si="93"/>
        <v>0</v>
      </c>
      <c r="BA411" s="65">
        <f t="shared" si="92"/>
        <v>0</v>
      </c>
    </row>
    <row r="412" spans="3:53" s="17" customFormat="1" x14ac:dyDescent="0.25">
      <c r="C412" s="194"/>
      <c r="D412" s="195"/>
      <c r="E412" s="90"/>
      <c r="F412" s="198"/>
      <c r="G412" s="214"/>
      <c r="H412" s="199"/>
      <c r="I412" s="78"/>
      <c r="J412" s="79"/>
      <c r="K412" s="78"/>
      <c r="L412" s="80"/>
      <c r="M412" s="80"/>
      <c r="N412" s="78" t="s">
        <v>39</v>
      </c>
      <c r="O412" s="113"/>
      <c r="P412" s="155"/>
      <c r="Q412" s="114" t="str">
        <f>IFERROR(MIN(VLOOKUP(ROUNDDOWN(P412,0),'Aide calcul'!$B$2:$C$282,2,FALSE),O412+1),"")</f>
        <v/>
      </c>
      <c r="R412" s="115" t="str">
        <f t="shared" ref="R412:R475" si="101">IFERROR(TRUNC(Q412-0.5),"")</f>
        <v/>
      </c>
      <c r="S412" s="155"/>
      <c r="T412" s="155"/>
      <c r="U412" s="155"/>
      <c r="V412" s="155"/>
      <c r="W412" s="155"/>
      <c r="X412" s="155"/>
      <c r="Y412" s="155"/>
      <c r="Z412" s="78"/>
      <c r="AA412" s="78"/>
      <c r="AB412" s="116" t="str">
        <f>IF(C412="3111. Logements",ROUND(VLOOKUP(C412,'Informations générales'!$C$66:$D$70,2,FALSE)*(AK412/$AL$27)/12,0)*12,IF(C412="3112. Logements",ROUND(VLOOKUP(C412,'Informations générales'!$C$66:$D$70,2,FALSE)*(AK412/$AM$27)/12,0)*12,IF(C412="3113. Logements",ROUND(VLOOKUP(C412,'Informations générales'!$C$66:$D$70,2,FALSE)*(AK412/$AN$27)/12,0)*12,IF(C412="3114. Logements",ROUND(VLOOKUP(C412,'Informations générales'!$C$66:$D$70,2,FALSE)*(AK412/$AO$27)/12,0)*12,IF(C412="3115. Logements",ROUND(VLOOKUP(C412,'Informations générales'!$C$66:$D$70,2,FALSE)*(AK412/$AP$27)/12,0)*12,"")))))</f>
        <v/>
      </c>
      <c r="AC412" s="117"/>
      <c r="AD412" s="116">
        <f t="shared" ref="AD412:AD475" si="102">MIN(AB412,AC412)</f>
        <v>0</v>
      </c>
      <c r="AE412" s="117"/>
      <c r="AF412" s="116" t="str">
        <f>IF(C412="3111. Logements",ROUND(VLOOKUP(C412,'Informations générales'!$C$66:$G$70,5,FALSE)*(AK412/$AL$27)/12,0)*12,IF(C412="3112. Logements",ROUND(VLOOKUP(C412,'Informations générales'!$C$66:$G$70,5,FALSE)*(AK412/$AM$27)/12,0)*12,IF(C412="3113. Logements",ROUND(VLOOKUP(C412,'Informations générales'!$C$66:$G$70,5,FALSE)*(AK412/$AN$27)/12,0)*12,IF(C412="3114. Logements",ROUND(VLOOKUP(C412,'Informations générales'!$C$66:$G$70,5,FALSE)*(AK412/$AO$27)/12,0)*12,IF(C412="3115. Logements",ROUND(VLOOKUP(C412,'Informations générales'!$C$66:$G$70,5,FALSE)*(AK412/$AP$27)/12,0)*12,"")))))</f>
        <v/>
      </c>
      <c r="AG412" s="117"/>
      <c r="AH412" s="116" t="str">
        <f t="shared" ref="AH412:AH475" si="103">IFERROR(IF(AE412/S412&lt;&gt;0,AE412/S412,AB412/S412),"")</f>
        <v/>
      </c>
      <c r="AI412" s="92"/>
      <c r="AJ412" s="78"/>
      <c r="AK412" s="60">
        <f t="shared" ref="AK412:AK475" si="104">AX412*(SUM(1,AY412,AZ412,BA412))</f>
        <v>0</v>
      </c>
      <c r="AL412" s="60"/>
      <c r="AM412" s="60"/>
      <c r="AN412" s="60"/>
      <c r="AO412" s="60"/>
      <c r="AP412" s="60"/>
      <c r="AQ412" s="60">
        <f t="shared" si="94"/>
        <v>0</v>
      </c>
      <c r="AR412" s="60">
        <f t="shared" si="95"/>
        <v>0</v>
      </c>
      <c r="AS412" s="60">
        <f t="shared" si="96"/>
        <v>0</v>
      </c>
      <c r="AT412" s="60">
        <f t="shared" si="97"/>
        <v>0</v>
      </c>
      <c r="AU412" s="60">
        <f t="shared" si="98"/>
        <v>0</v>
      </c>
      <c r="AV412" s="60">
        <f t="shared" si="99"/>
        <v>0</v>
      </c>
      <c r="AW412" s="60">
        <f t="shared" si="100"/>
        <v>0</v>
      </c>
      <c r="AX412" s="60">
        <f t="shared" ref="AX412:AX475" si="105">SUM(AQ412:AW412)</f>
        <v>0</v>
      </c>
      <c r="AY412" s="64">
        <f t="shared" ref="AY412:AY475" si="106">IFERROR(I412*$E$12,0)</f>
        <v>0</v>
      </c>
      <c r="AZ412" s="65">
        <f t="shared" si="93"/>
        <v>0</v>
      </c>
      <c r="BA412" s="65">
        <f t="shared" ref="BA412:BA476" si="107">IFERROR(VLOOKUP(AA412,$L$12:$N$19,3,FALSE),0)</f>
        <v>0</v>
      </c>
    </row>
    <row r="413" spans="3:53" s="17" customFormat="1" x14ac:dyDescent="0.25">
      <c r="C413" s="194"/>
      <c r="D413" s="195"/>
      <c r="E413" s="90"/>
      <c r="F413" s="198"/>
      <c r="G413" s="214"/>
      <c r="H413" s="199"/>
      <c r="I413" s="78"/>
      <c r="J413" s="79"/>
      <c r="K413" s="78"/>
      <c r="L413" s="80"/>
      <c r="M413" s="80"/>
      <c r="N413" s="78" t="s">
        <v>39</v>
      </c>
      <c r="O413" s="113"/>
      <c r="P413" s="155"/>
      <c r="Q413" s="114" t="str">
        <f>IFERROR(MIN(VLOOKUP(ROUNDDOWN(P413,0),'Aide calcul'!$B$2:$C$282,2,FALSE),O413+1),"")</f>
        <v/>
      </c>
      <c r="R413" s="115" t="str">
        <f t="shared" si="101"/>
        <v/>
      </c>
      <c r="S413" s="155"/>
      <c r="T413" s="155"/>
      <c r="U413" s="155"/>
      <c r="V413" s="155"/>
      <c r="W413" s="155"/>
      <c r="X413" s="155"/>
      <c r="Y413" s="155"/>
      <c r="Z413" s="78"/>
      <c r="AA413" s="78"/>
      <c r="AB413" s="116" t="str">
        <f>IF(C413="3111. Logements",ROUND(VLOOKUP(C413,'Informations générales'!$C$66:$D$70,2,FALSE)*(AK413/$AL$27)/12,0)*12,IF(C413="3112. Logements",ROUND(VLOOKUP(C413,'Informations générales'!$C$66:$D$70,2,FALSE)*(AK413/$AM$27)/12,0)*12,IF(C413="3113. Logements",ROUND(VLOOKUP(C413,'Informations générales'!$C$66:$D$70,2,FALSE)*(AK413/$AN$27)/12,0)*12,IF(C413="3114. Logements",ROUND(VLOOKUP(C413,'Informations générales'!$C$66:$D$70,2,FALSE)*(AK413/$AO$27)/12,0)*12,IF(C413="3115. Logements",ROUND(VLOOKUP(C413,'Informations générales'!$C$66:$D$70,2,FALSE)*(AK413/$AP$27)/12,0)*12,"")))))</f>
        <v/>
      </c>
      <c r="AC413" s="117"/>
      <c r="AD413" s="116">
        <f t="shared" si="102"/>
        <v>0</v>
      </c>
      <c r="AE413" s="117"/>
      <c r="AF413" s="116" t="str">
        <f>IF(C413="3111. Logements",ROUND(VLOOKUP(C413,'Informations générales'!$C$66:$G$70,5,FALSE)*(AK413/$AL$27)/12,0)*12,IF(C413="3112. Logements",ROUND(VLOOKUP(C413,'Informations générales'!$C$66:$G$70,5,FALSE)*(AK413/$AM$27)/12,0)*12,IF(C413="3113. Logements",ROUND(VLOOKUP(C413,'Informations générales'!$C$66:$G$70,5,FALSE)*(AK413/$AN$27)/12,0)*12,IF(C413="3114. Logements",ROUND(VLOOKUP(C413,'Informations générales'!$C$66:$G$70,5,FALSE)*(AK413/$AO$27)/12,0)*12,IF(C413="3115. Logements",ROUND(VLOOKUP(C413,'Informations générales'!$C$66:$G$70,5,FALSE)*(AK413/$AP$27)/12,0)*12,"")))))</f>
        <v/>
      </c>
      <c r="AG413" s="117"/>
      <c r="AH413" s="116" t="str">
        <f t="shared" si="103"/>
        <v/>
      </c>
      <c r="AI413" s="92"/>
      <c r="AJ413" s="78"/>
      <c r="AK413" s="60">
        <f t="shared" si="104"/>
        <v>0</v>
      </c>
      <c r="AL413" s="60"/>
      <c r="AM413" s="60"/>
      <c r="AN413" s="60"/>
      <c r="AO413" s="60"/>
      <c r="AP413" s="60"/>
      <c r="AQ413" s="60">
        <f t="shared" si="94"/>
        <v>0</v>
      </c>
      <c r="AR413" s="60">
        <f t="shared" si="95"/>
        <v>0</v>
      </c>
      <c r="AS413" s="60">
        <f t="shared" si="96"/>
        <v>0</v>
      </c>
      <c r="AT413" s="60">
        <f t="shared" si="97"/>
        <v>0</v>
      </c>
      <c r="AU413" s="60">
        <f t="shared" si="98"/>
        <v>0</v>
      </c>
      <c r="AV413" s="60">
        <f t="shared" si="99"/>
        <v>0</v>
      </c>
      <c r="AW413" s="60">
        <f t="shared" si="100"/>
        <v>0</v>
      </c>
      <c r="AX413" s="60">
        <f t="shared" si="105"/>
        <v>0</v>
      </c>
      <c r="AY413" s="64">
        <f t="shared" si="106"/>
        <v>0</v>
      </c>
      <c r="AZ413" s="65">
        <f t="shared" si="93"/>
        <v>0</v>
      </c>
      <c r="BA413" s="65">
        <f t="shared" si="107"/>
        <v>0</v>
      </c>
    </row>
    <row r="414" spans="3:53" s="17" customFormat="1" x14ac:dyDescent="0.25">
      <c r="C414" s="194"/>
      <c r="D414" s="195"/>
      <c r="E414" s="90"/>
      <c r="F414" s="198"/>
      <c r="G414" s="214"/>
      <c r="H414" s="199"/>
      <c r="I414" s="78"/>
      <c r="J414" s="79"/>
      <c r="K414" s="78"/>
      <c r="L414" s="80"/>
      <c r="M414" s="80"/>
      <c r="N414" s="78" t="s">
        <v>39</v>
      </c>
      <c r="O414" s="113"/>
      <c r="P414" s="155"/>
      <c r="Q414" s="114" t="str">
        <f>IFERROR(MIN(VLOOKUP(ROUNDDOWN(P414,0),'Aide calcul'!$B$2:$C$282,2,FALSE),O414+1),"")</f>
        <v/>
      </c>
      <c r="R414" s="115" t="str">
        <f t="shared" si="101"/>
        <v/>
      </c>
      <c r="S414" s="155"/>
      <c r="T414" s="155"/>
      <c r="U414" s="155"/>
      <c r="V414" s="155"/>
      <c r="W414" s="155"/>
      <c r="X414" s="155"/>
      <c r="Y414" s="155"/>
      <c r="Z414" s="78"/>
      <c r="AA414" s="78"/>
      <c r="AB414" s="116" t="str">
        <f>IF(C414="3111. Logements",ROUND(VLOOKUP(C414,'Informations générales'!$C$66:$D$70,2,FALSE)*(AK414/$AL$27)/12,0)*12,IF(C414="3112. Logements",ROUND(VLOOKUP(C414,'Informations générales'!$C$66:$D$70,2,FALSE)*(AK414/$AM$27)/12,0)*12,IF(C414="3113. Logements",ROUND(VLOOKUP(C414,'Informations générales'!$C$66:$D$70,2,FALSE)*(AK414/$AN$27)/12,0)*12,IF(C414="3114. Logements",ROUND(VLOOKUP(C414,'Informations générales'!$C$66:$D$70,2,FALSE)*(AK414/$AO$27)/12,0)*12,IF(C414="3115. Logements",ROUND(VLOOKUP(C414,'Informations générales'!$C$66:$D$70,2,FALSE)*(AK414/$AP$27)/12,0)*12,"")))))</f>
        <v/>
      </c>
      <c r="AC414" s="117"/>
      <c r="AD414" s="116">
        <f t="shared" si="102"/>
        <v>0</v>
      </c>
      <c r="AE414" s="117"/>
      <c r="AF414" s="116" t="str">
        <f>IF(C414="3111. Logements",ROUND(VLOOKUP(C414,'Informations générales'!$C$66:$G$70,5,FALSE)*(AK414/$AL$27)/12,0)*12,IF(C414="3112. Logements",ROUND(VLOOKUP(C414,'Informations générales'!$C$66:$G$70,5,FALSE)*(AK414/$AM$27)/12,0)*12,IF(C414="3113. Logements",ROUND(VLOOKUP(C414,'Informations générales'!$C$66:$G$70,5,FALSE)*(AK414/$AN$27)/12,0)*12,IF(C414="3114. Logements",ROUND(VLOOKUP(C414,'Informations générales'!$C$66:$G$70,5,FALSE)*(AK414/$AO$27)/12,0)*12,IF(C414="3115. Logements",ROUND(VLOOKUP(C414,'Informations générales'!$C$66:$G$70,5,FALSE)*(AK414/$AP$27)/12,0)*12,"")))))</f>
        <v/>
      </c>
      <c r="AG414" s="117"/>
      <c r="AH414" s="116" t="str">
        <f t="shared" si="103"/>
        <v/>
      </c>
      <c r="AI414" s="92"/>
      <c r="AJ414" s="78"/>
      <c r="AK414" s="60">
        <f t="shared" si="104"/>
        <v>0</v>
      </c>
      <c r="AL414" s="60"/>
      <c r="AM414" s="60"/>
      <c r="AN414" s="60"/>
      <c r="AO414" s="60"/>
      <c r="AP414" s="60"/>
      <c r="AQ414" s="60">
        <f t="shared" si="94"/>
        <v>0</v>
      </c>
      <c r="AR414" s="60">
        <f t="shared" si="95"/>
        <v>0</v>
      </c>
      <c r="AS414" s="60">
        <f t="shared" si="96"/>
        <v>0</v>
      </c>
      <c r="AT414" s="60">
        <f t="shared" si="97"/>
        <v>0</v>
      </c>
      <c r="AU414" s="60">
        <f t="shared" si="98"/>
        <v>0</v>
      </c>
      <c r="AV414" s="60">
        <f t="shared" si="99"/>
        <v>0</v>
      </c>
      <c r="AW414" s="60">
        <f t="shared" si="100"/>
        <v>0</v>
      </c>
      <c r="AX414" s="60">
        <f t="shared" si="105"/>
        <v>0</v>
      </c>
      <c r="AY414" s="64">
        <f t="shared" si="106"/>
        <v>0</v>
      </c>
      <c r="AZ414" s="65">
        <f t="shared" si="93"/>
        <v>0</v>
      </c>
      <c r="BA414" s="65">
        <f t="shared" si="107"/>
        <v>0</v>
      </c>
    </row>
    <row r="415" spans="3:53" s="17" customFormat="1" x14ac:dyDescent="0.25">
      <c r="C415" s="194"/>
      <c r="D415" s="195"/>
      <c r="E415" s="90"/>
      <c r="F415" s="198"/>
      <c r="G415" s="214"/>
      <c r="H415" s="199"/>
      <c r="I415" s="78"/>
      <c r="J415" s="79"/>
      <c r="K415" s="78"/>
      <c r="L415" s="80"/>
      <c r="M415" s="80"/>
      <c r="N415" s="78" t="s">
        <v>39</v>
      </c>
      <c r="O415" s="113"/>
      <c r="P415" s="155"/>
      <c r="Q415" s="114" t="str">
        <f>IFERROR(MIN(VLOOKUP(ROUNDDOWN(P415,0),'Aide calcul'!$B$2:$C$282,2,FALSE),O415+1),"")</f>
        <v/>
      </c>
      <c r="R415" s="115" t="str">
        <f t="shared" si="101"/>
        <v/>
      </c>
      <c r="S415" s="155"/>
      <c r="T415" s="155"/>
      <c r="U415" s="155"/>
      <c r="V415" s="155"/>
      <c r="W415" s="155"/>
      <c r="X415" s="155"/>
      <c r="Y415" s="155"/>
      <c r="Z415" s="78"/>
      <c r="AA415" s="78"/>
      <c r="AB415" s="116" t="str">
        <f>IF(C415="3111. Logements",ROUND(VLOOKUP(C415,'Informations générales'!$C$66:$D$70,2,FALSE)*(AK415/$AL$27)/12,0)*12,IF(C415="3112. Logements",ROUND(VLOOKUP(C415,'Informations générales'!$C$66:$D$70,2,FALSE)*(AK415/$AM$27)/12,0)*12,IF(C415="3113. Logements",ROUND(VLOOKUP(C415,'Informations générales'!$C$66:$D$70,2,FALSE)*(AK415/$AN$27)/12,0)*12,IF(C415="3114. Logements",ROUND(VLOOKUP(C415,'Informations générales'!$C$66:$D$70,2,FALSE)*(AK415/$AO$27)/12,0)*12,IF(C415="3115. Logements",ROUND(VLOOKUP(C415,'Informations générales'!$C$66:$D$70,2,FALSE)*(AK415/$AP$27)/12,0)*12,"")))))</f>
        <v/>
      </c>
      <c r="AC415" s="117"/>
      <c r="AD415" s="116">
        <f t="shared" si="102"/>
        <v>0</v>
      </c>
      <c r="AE415" s="117"/>
      <c r="AF415" s="116" t="str">
        <f>IF(C415="3111. Logements",ROUND(VLOOKUP(C415,'Informations générales'!$C$66:$G$70,5,FALSE)*(AK415/$AL$27)/12,0)*12,IF(C415="3112. Logements",ROUND(VLOOKUP(C415,'Informations générales'!$C$66:$G$70,5,FALSE)*(AK415/$AM$27)/12,0)*12,IF(C415="3113. Logements",ROUND(VLOOKUP(C415,'Informations générales'!$C$66:$G$70,5,FALSE)*(AK415/$AN$27)/12,0)*12,IF(C415="3114. Logements",ROUND(VLOOKUP(C415,'Informations générales'!$C$66:$G$70,5,FALSE)*(AK415/$AO$27)/12,0)*12,IF(C415="3115. Logements",ROUND(VLOOKUP(C415,'Informations générales'!$C$66:$G$70,5,FALSE)*(AK415/$AP$27)/12,0)*12,"")))))</f>
        <v/>
      </c>
      <c r="AG415" s="117"/>
      <c r="AH415" s="116" t="str">
        <f t="shared" si="103"/>
        <v/>
      </c>
      <c r="AI415" s="92"/>
      <c r="AJ415" s="78"/>
      <c r="AK415" s="60">
        <f t="shared" si="104"/>
        <v>0</v>
      </c>
      <c r="AL415" s="60"/>
      <c r="AM415" s="60"/>
      <c r="AN415" s="60"/>
      <c r="AO415" s="60"/>
      <c r="AP415" s="60"/>
      <c r="AQ415" s="60">
        <f t="shared" si="94"/>
        <v>0</v>
      </c>
      <c r="AR415" s="60">
        <f t="shared" si="95"/>
        <v>0</v>
      </c>
      <c r="AS415" s="60">
        <f t="shared" si="96"/>
        <v>0</v>
      </c>
      <c r="AT415" s="60">
        <f t="shared" si="97"/>
        <v>0</v>
      </c>
      <c r="AU415" s="60">
        <f t="shared" si="98"/>
        <v>0</v>
      </c>
      <c r="AV415" s="60">
        <f t="shared" si="99"/>
        <v>0</v>
      </c>
      <c r="AW415" s="60">
        <f t="shared" si="100"/>
        <v>0</v>
      </c>
      <c r="AX415" s="60">
        <f t="shared" si="105"/>
        <v>0</v>
      </c>
      <c r="AY415" s="64">
        <f t="shared" si="106"/>
        <v>0</v>
      </c>
      <c r="AZ415" s="65">
        <f t="shared" si="93"/>
        <v>0</v>
      </c>
      <c r="BA415" s="65">
        <f t="shared" si="107"/>
        <v>0</v>
      </c>
    </row>
    <row r="416" spans="3:53" s="17" customFormat="1" x14ac:dyDescent="0.25">
      <c r="C416" s="194"/>
      <c r="D416" s="195"/>
      <c r="E416" s="90"/>
      <c r="F416" s="198"/>
      <c r="G416" s="214"/>
      <c r="H416" s="199"/>
      <c r="I416" s="78"/>
      <c r="J416" s="79"/>
      <c r="K416" s="78"/>
      <c r="L416" s="80"/>
      <c r="M416" s="80"/>
      <c r="N416" s="78" t="s">
        <v>39</v>
      </c>
      <c r="O416" s="113"/>
      <c r="P416" s="155"/>
      <c r="Q416" s="114" t="str">
        <f>IFERROR(MIN(VLOOKUP(ROUNDDOWN(P416,0),'Aide calcul'!$B$2:$C$282,2,FALSE),O416+1),"")</f>
        <v/>
      </c>
      <c r="R416" s="115" t="str">
        <f t="shared" si="101"/>
        <v/>
      </c>
      <c r="S416" s="155"/>
      <c r="T416" s="155"/>
      <c r="U416" s="155"/>
      <c r="V416" s="155"/>
      <c r="W416" s="155"/>
      <c r="X416" s="155"/>
      <c r="Y416" s="155"/>
      <c r="Z416" s="78"/>
      <c r="AA416" s="78"/>
      <c r="AB416" s="116" t="str">
        <f>IF(C416="3111. Logements",ROUND(VLOOKUP(C416,'Informations générales'!$C$66:$D$70,2,FALSE)*(AK416/$AL$27)/12,0)*12,IF(C416="3112. Logements",ROUND(VLOOKUP(C416,'Informations générales'!$C$66:$D$70,2,FALSE)*(AK416/$AM$27)/12,0)*12,IF(C416="3113. Logements",ROUND(VLOOKUP(C416,'Informations générales'!$C$66:$D$70,2,FALSE)*(AK416/$AN$27)/12,0)*12,IF(C416="3114. Logements",ROUND(VLOOKUP(C416,'Informations générales'!$C$66:$D$70,2,FALSE)*(AK416/$AO$27)/12,0)*12,IF(C416="3115. Logements",ROUND(VLOOKUP(C416,'Informations générales'!$C$66:$D$70,2,FALSE)*(AK416/$AP$27)/12,0)*12,"")))))</f>
        <v/>
      </c>
      <c r="AC416" s="117"/>
      <c r="AD416" s="116">
        <f t="shared" si="102"/>
        <v>0</v>
      </c>
      <c r="AE416" s="117"/>
      <c r="AF416" s="116" t="str">
        <f>IF(C416="3111. Logements",ROUND(VLOOKUP(C416,'Informations générales'!$C$66:$G$70,5,FALSE)*(AK416/$AL$27)/12,0)*12,IF(C416="3112. Logements",ROUND(VLOOKUP(C416,'Informations générales'!$C$66:$G$70,5,FALSE)*(AK416/$AM$27)/12,0)*12,IF(C416="3113. Logements",ROUND(VLOOKUP(C416,'Informations générales'!$C$66:$G$70,5,FALSE)*(AK416/$AN$27)/12,0)*12,IF(C416="3114. Logements",ROUND(VLOOKUP(C416,'Informations générales'!$C$66:$G$70,5,FALSE)*(AK416/$AO$27)/12,0)*12,IF(C416="3115. Logements",ROUND(VLOOKUP(C416,'Informations générales'!$C$66:$G$70,5,FALSE)*(AK416/$AP$27)/12,0)*12,"")))))</f>
        <v/>
      </c>
      <c r="AG416" s="117"/>
      <c r="AH416" s="116" t="str">
        <f t="shared" si="103"/>
        <v/>
      </c>
      <c r="AI416" s="92"/>
      <c r="AJ416" s="78"/>
      <c r="AK416" s="60">
        <f t="shared" si="104"/>
        <v>0</v>
      </c>
      <c r="AL416" s="60"/>
      <c r="AM416" s="60"/>
      <c r="AN416" s="60"/>
      <c r="AO416" s="60"/>
      <c r="AP416" s="60"/>
      <c r="AQ416" s="60">
        <f t="shared" si="94"/>
        <v>0</v>
      </c>
      <c r="AR416" s="60">
        <f t="shared" si="95"/>
        <v>0</v>
      </c>
      <c r="AS416" s="60">
        <f t="shared" si="96"/>
        <v>0</v>
      </c>
      <c r="AT416" s="60">
        <f t="shared" si="97"/>
        <v>0</v>
      </c>
      <c r="AU416" s="60">
        <f t="shared" si="98"/>
        <v>0</v>
      </c>
      <c r="AV416" s="60">
        <f t="shared" si="99"/>
        <v>0</v>
      </c>
      <c r="AW416" s="60">
        <f t="shared" si="100"/>
        <v>0</v>
      </c>
      <c r="AX416" s="60">
        <f t="shared" si="105"/>
        <v>0</v>
      </c>
      <c r="AY416" s="64">
        <f t="shared" si="106"/>
        <v>0</v>
      </c>
      <c r="AZ416" s="65">
        <f t="shared" si="93"/>
        <v>0</v>
      </c>
      <c r="BA416" s="65">
        <f t="shared" si="107"/>
        <v>0</v>
      </c>
    </row>
    <row r="417" spans="3:53" s="17" customFormat="1" x14ac:dyDescent="0.25">
      <c r="C417" s="194"/>
      <c r="D417" s="195"/>
      <c r="E417" s="90"/>
      <c r="F417" s="198"/>
      <c r="G417" s="214"/>
      <c r="H417" s="199"/>
      <c r="I417" s="78"/>
      <c r="J417" s="79"/>
      <c r="K417" s="78"/>
      <c r="L417" s="80"/>
      <c r="M417" s="80"/>
      <c r="N417" s="78" t="s">
        <v>39</v>
      </c>
      <c r="O417" s="113"/>
      <c r="P417" s="155"/>
      <c r="Q417" s="114" t="str">
        <f>IFERROR(MIN(VLOOKUP(ROUNDDOWN(P417,0),'Aide calcul'!$B$2:$C$282,2,FALSE),O417+1),"")</f>
        <v/>
      </c>
      <c r="R417" s="115" t="str">
        <f t="shared" si="101"/>
        <v/>
      </c>
      <c r="S417" s="155"/>
      <c r="T417" s="155"/>
      <c r="U417" s="155"/>
      <c r="V417" s="155"/>
      <c r="W417" s="155"/>
      <c r="X417" s="155"/>
      <c r="Y417" s="155"/>
      <c r="Z417" s="78"/>
      <c r="AA417" s="78"/>
      <c r="AB417" s="116" t="str">
        <f>IF(C417="3111. Logements",ROUND(VLOOKUP(C417,'Informations générales'!$C$66:$D$70,2,FALSE)*(AK417/$AL$27)/12,0)*12,IF(C417="3112. Logements",ROUND(VLOOKUP(C417,'Informations générales'!$C$66:$D$70,2,FALSE)*(AK417/$AM$27)/12,0)*12,IF(C417="3113. Logements",ROUND(VLOOKUP(C417,'Informations générales'!$C$66:$D$70,2,FALSE)*(AK417/$AN$27)/12,0)*12,IF(C417="3114. Logements",ROUND(VLOOKUP(C417,'Informations générales'!$C$66:$D$70,2,FALSE)*(AK417/$AO$27)/12,0)*12,IF(C417="3115. Logements",ROUND(VLOOKUP(C417,'Informations générales'!$C$66:$D$70,2,FALSE)*(AK417/$AP$27)/12,0)*12,"")))))</f>
        <v/>
      </c>
      <c r="AC417" s="117"/>
      <c r="AD417" s="116">
        <f t="shared" si="102"/>
        <v>0</v>
      </c>
      <c r="AE417" s="117"/>
      <c r="AF417" s="116" t="str">
        <f>IF(C417="3111. Logements",ROUND(VLOOKUP(C417,'Informations générales'!$C$66:$G$70,5,FALSE)*(AK417/$AL$27)/12,0)*12,IF(C417="3112. Logements",ROUND(VLOOKUP(C417,'Informations générales'!$C$66:$G$70,5,FALSE)*(AK417/$AM$27)/12,0)*12,IF(C417="3113. Logements",ROUND(VLOOKUP(C417,'Informations générales'!$C$66:$G$70,5,FALSE)*(AK417/$AN$27)/12,0)*12,IF(C417="3114. Logements",ROUND(VLOOKUP(C417,'Informations générales'!$C$66:$G$70,5,FALSE)*(AK417/$AO$27)/12,0)*12,IF(C417="3115. Logements",ROUND(VLOOKUP(C417,'Informations générales'!$C$66:$G$70,5,FALSE)*(AK417/$AP$27)/12,0)*12,"")))))</f>
        <v/>
      </c>
      <c r="AG417" s="117"/>
      <c r="AH417" s="116" t="str">
        <f t="shared" si="103"/>
        <v/>
      </c>
      <c r="AI417" s="92"/>
      <c r="AJ417" s="78"/>
      <c r="AK417" s="60">
        <f t="shared" si="104"/>
        <v>0</v>
      </c>
      <c r="AL417" s="60"/>
      <c r="AM417" s="60"/>
      <c r="AN417" s="60"/>
      <c r="AO417" s="60"/>
      <c r="AP417" s="60"/>
      <c r="AQ417" s="60">
        <f t="shared" si="94"/>
        <v>0</v>
      </c>
      <c r="AR417" s="60">
        <f t="shared" si="95"/>
        <v>0</v>
      </c>
      <c r="AS417" s="60">
        <f t="shared" si="96"/>
        <v>0</v>
      </c>
      <c r="AT417" s="60">
        <f t="shared" si="97"/>
        <v>0</v>
      </c>
      <c r="AU417" s="60">
        <f t="shared" si="98"/>
        <v>0</v>
      </c>
      <c r="AV417" s="60">
        <f t="shared" si="99"/>
        <v>0</v>
      </c>
      <c r="AW417" s="60">
        <f t="shared" si="100"/>
        <v>0</v>
      </c>
      <c r="AX417" s="60">
        <f t="shared" si="105"/>
        <v>0</v>
      </c>
      <c r="AY417" s="64">
        <f t="shared" si="106"/>
        <v>0</v>
      </c>
      <c r="AZ417" s="65">
        <f t="shared" si="93"/>
        <v>0</v>
      </c>
      <c r="BA417" s="65">
        <f t="shared" si="107"/>
        <v>0</v>
      </c>
    </row>
    <row r="418" spans="3:53" s="17" customFormat="1" x14ac:dyDescent="0.25">
      <c r="C418" s="194"/>
      <c r="D418" s="195"/>
      <c r="E418" s="90"/>
      <c r="F418" s="198"/>
      <c r="G418" s="214"/>
      <c r="H418" s="199"/>
      <c r="I418" s="78"/>
      <c r="J418" s="79"/>
      <c r="K418" s="78"/>
      <c r="L418" s="80"/>
      <c r="M418" s="80"/>
      <c r="N418" s="78" t="s">
        <v>39</v>
      </c>
      <c r="O418" s="113"/>
      <c r="P418" s="155"/>
      <c r="Q418" s="114" t="str">
        <f>IFERROR(MIN(VLOOKUP(ROUNDDOWN(P418,0),'Aide calcul'!$B$2:$C$282,2,FALSE),O418+1),"")</f>
        <v/>
      </c>
      <c r="R418" s="115" t="str">
        <f t="shared" si="101"/>
        <v/>
      </c>
      <c r="S418" s="155"/>
      <c r="T418" s="155"/>
      <c r="U418" s="155"/>
      <c r="V418" s="155"/>
      <c r="W418" s="155"/>
      <c r="X418" s="155"/>
      <c r="Y418" s="155"/>
      <c r="Z418" s="78"/>
      <c r="AA418" s="78"/>
      <c r="AB418" s="116" t="str">
        <f>IF(C418="3111. Logements",ROUND(VLOOKUP(C418,'Informations générales'!$C$66:$D$70,2,FALSE)*(AK418/$AL$27)/12,0)*12,IF(C418="3112. Logements",ROUND(VLOOKUP(C418,'Informations générales'!$C$66:$D$70,2,FALSE)*(AK418/$AM$27)/12,0)*12,IF(C418="3113. Logements",ROUND(VLOOKUP(C418,'Informations générales'!$C$66:$D$70,2,FALSE)*(AK418/$AN$27)/12,0)*12,IF(C418="3114. Logements",ROUND(VLOOKUP(C418,'Informations générales'!$C$66:$D$70,2,FALSE)*(AK418/$AO$27)/12,0)*12,IF(C418="3115. Logements",ROUND(VLOOKUP(C418,'Informations générales'!$C$66:$D$70,2,FALSE)*(AK418/$AP$27)/12,0)*12,"")))))</f>
        <v/>
      </c>
      <c r="AC418" s="117"/>
      <c r="AD418" s="116">
        <f t="shared" si="102"/>
        <v>0</v>
      </c>
      <c r="AE418" s="117"/>
      <c r="AF418" s="116" t="str">
        <f>IF(C418="3111. Logements",ROUND(VLOOKUP(C418,'Informations générales'!$C$66:$G$70,5,FALSE)*(AK418/$AL$27)/12,0)*12,IF(C418="3112. Logements",ROUND(VLOOKUP(C418,'Informations générales'!$C$66:$G$70,5,FALSE)*(AK418/$AM$27)/12,0)*12,IF(C418="3113. Logements",ROUND(VLOOKUP(C418,'Informations générales'!$C$66:$G$70,5,FALSE)*(AK418/$AN$27)/12,0)*12,IF(C418="3114. Logements",ROUND(VLOOKUP(C418,'Informations générales'!$C$66:$G$70,5,FALSE)*(AK418/$AO$27)/12,0)*12,IF(C418="3115. Logements",ROUND(VLOOKUP(C418,'Informations générales'!$C$66:$G$70,5,FALSE)*(AK418/$AP$27)/12,0)*12,"")))))</f>
        <v/>
      </c>
      <c r="AG418" s="117"/>
      <c r="AH418" s="116" t="str">
        <f t="shared" si="103"/>
        <v/>
      </c>
      <c r="AI418" s="92"/>
      <c r="AJ418" s="78"/>
      <c r="AK418" s="60">
        <f t="shared" si="104"/>
        <v>0</v>
      </c>
      <c r="AL418" s="60"/>
      <c r="AM418" s="60"/>
      <c r="AN418" s="60"/>
      <c r="AO418" s="60"/>
      <c r="AP418" s="60"/>
      <c r="AQ418" s="60">
        <f t="shared" si="94"/>
        <v>0</v>
      </c>
      <c r="AR418" s="60">
        <f t="shared" si="95"/>
        <v>0</v>
      </c>
      <c r="AS418" s="60">
        <f t="shared" si="96"/>
        <v>0</v>
      </c>
      <c r="AT418" s="60">
        <f t="shared" si="97"/>
        <v>0</v>
      </c>
      <c r="AU418" s="60">
        <f t="shared" si="98"/>
        <v>0</v>
      </c>
      <c r="AV418" s="60">
        <f t="shared" si="99"/>
        <v>0</v>
      </c>
      <c r="AW418" s="60">
        <f t="shared" si="100"/>
        <v>0</v>
      </c>
      <c r="AX418" s="60">
        <f t="shared" si="105"/>
        <v>0</v>
      </c>
      <c r="AY418" s="64">
        <f t="shared" si="106"/>
        <v>0</v>
      </c>
      <c r="AZ418" s="65">
        <f t="shared" si="93"/>
        <v>0</v>
      </c>
      <c r="BA418" s="65">
        <f t="shared" si="107"/>
        <v>0</v>
      </c>
    </row>
    <row r="419" spans="3:53" s="17" customFormat="1" x14ac:dyDescent="0.25">
      <c r="C419" s="194"/>
      <c r="D419" s="195"/>
      <c r="E419" s="90"/>
      <c r="F419" s="198"/>
      <c r="G419" s="214"/>
      <c r="H419" s="199"/>
      <c r="I419" s="78"/>
      <c r="J419" s="79"/>
      <c r="K419" s="78"/>
      <c r="L419" s="80"/>
      <c r="M419" s="80"/>
      <c r="N419" s="78" t="s">
        <v>39</v>
      </c>
      <c r="O419" s="113"/>
      <c r="P419" s="155"/>
      <c r="Q419" s="114" t="str">
        <f>IFERROR(MIN(VLOOKUP(ROUNDDOWN(P419,0),'Aide calcul'!$B$2:$C$282,2,FALSE),O419+1),"")</f>
        <v/>
      </c>
      <c r="R419" s="115" t="str">
        <f t="shared" si="101"/>
        <v/>
      </c>
      <c r="S419" s="155"/>
      <c r="T419" s="155"/>
      <c r="U419" s="155"/>
      <c r="V419" s="155"/>
      <c r="W419" s="155"/>
      <c r="X419" s="155"/>
      <c r="Y419" s="155"/>
      <c r="Z419" s="78"/>
      <c r="AA419" s="78"/>
      <c r="AB419" s="116" t="str">
        <f>IF(C419="3111. Logements",ROUND(VLOOKUP(C419,'Informations générales'!$C$66:$D$70,2,FALSE)*(AK419/$AL$27)/12,0)*12,IF(C419="3112. Logements",ROUND(VLOOKUP(C419,'Informations générales'!$C$66:$D$70,2,FALSE)*(AK419/$AM$27)/12,0)*12,IF(C419="3113. Logements",ROUND(VLOOKUP(C419,'Informations générales'!$C$66:$D$70,2,FALSE)*(AK419/$AN$27)/12,0)*12,IF(C419="3114. Logements",ROUND(VLOOKUP(C419,'Informations générales'!$C$66:$D$70,2,FALSE)*(AK419/$AO$27)/12,0)*12,IF(C419="3115. Logements",ROUND(VLOOKUP(C419,'Informations générales'!$C$66:$D$70,2,FALSE)*(AK419/$AP$27)/12,0)*12,"")))))</f>
        <v/>
      </c>
      <c r="AC419" s="117"/>
      <c r="AD419" s="116">
        <f t="shared" si="102"/>
        <v>0</v>
      </c>
      <c r="AE419" s="117"/>
      <c r="AF419" s="116" t="str">
        <f>IF(C419="3111. Logements",ROUND(VLOOKUP(C419,'Informations générales'!$C$66:$G$70,5,FALSE)*(AK419/$AL$27)/12,0)*12,IF(C419="3112. Logements",ROUND(VLOOKUP(C419,'Informations générales'!$C$66:$G$70,5,FALSE)*(AK419/$AM$27)/12,0)*12,IF(C419="3113. Logements",ROUND(VLOOKUP(C419,'Informations générales'!$C$66:$G$70,5,FALSE)*(AK419/$AN$27)/12,0)*12,IF(C419="3114. Logements",ROUND(VLOOKUP(C419,'Informations générales'!$C$66:$G$70,5,FALSE)*(AK419/$AO$27)/12,0)*12,IF(C419="3115. Logements",ROUND(VLOOKUP(C419,'Informations générales'!$C$66:$G$70,5,FALSE)*(AK419/$AP$27)/12,0)*12,"")))))</f>
        <v/>
      </c>
      <c r="AG419" s="117"/>
      <c r="AH419" s="116" t="str">
        <f t="shared" si="103"/>
        <v/>
      </c>
      <c r="AI419" s="92"/>
      <c r="AJ419" s="78"/>
      <c r="AK419" s="60">
        <f t="shared" si="104"/>
        <v>0</v>
      </c>
      <c r="AL419" s="60"/>
      <c r="AM419" s="60"/>
      <c r="AN419" s="60"/>
      <c r="AO419" s="60"/>
      <c r="AP419" s="60"/>
      <c r="AQ419" s="60">
        <f t="shared" si="94"/>
        <v>0</v>
      </c>
      <c r="AR419" s="60">
        <f t="shared" si="95"/>
        <v>0</v>
      </c>
      <c r="AS419" s="60">
        <f t="shared" si="96"/>
        <v>0</v>
      </c>
      <c r="AT419" s="60">
        <f t="shared" si="97"/>
        <v>0</v>
      </c>
      <c r="AU419" s="60">
        <f t="shared" si="98"/>
        <v>0</v>
      </c>
      <c r="AV419" s="60">
        <f t="shared" si="99"/>
        <v>0</v>
      </c>
      <c r="AW419" s="60">
        <f t="shared" si="100"/>
        <v>0</v>
      </c>
      <c r="AX419" s="60">
        <f t="shared" si="105"/>
        <v>0</v>
      </c>
      <c r="AY419" s="64">
        <f t="shared" si="106"/>
        <v>0</v>
      </c>
      <c r="AZ419" s="65">
        <f t="shared" si="93"/>
        <v>0</v>
      </c>
      <c r="BA419" s="65">
        <f t="shared" si="107"/>
        <v>0</v>
      </c>
    </row>
    <row r="420" spans="3:53" s="17" customFormat="1" x14ac:dyDescent="0.25">
      <c r="C420" s="194"/>
      <c r="D420" s="195"/>
      <c r="E420" s="90"/>
      <c r="F420" s="198"/>
      <c r="G420" s="214"/>
      <c r="H420" s="199"/>
      <c r="I420" s="78"/>
      <c r="J420" s="79"/>
      <c r="K420" s="78"/>
      <c r="L420" s="80"/>
      <c r="M420" s="80"/>
      <c r="N420" s="78" t="s">
        <v>39</v>
      </c>
      <c r="O420" s="113"/>
      <c r="P420" s="155"/>
      <c r="Q420" s="114" t="str">
        <f>IFERROR(MIN(VLOOKUP(ROUNDDOWN(P420,0),'Aide calcul'!$B$2:$C$282,2,FALSE),O420+1),"")</f>
        <v/>
      </c>
      <c r="R420" s="115" t="str">
        <f t="shared" si="101"/>
        <v/>
      </c>
      <c r="S420" s="155"/>
      <c r="T420" s="155"/>
      <c r="U420" s="155"/>
      <c r="V420" s="155"/>
      <c r="W420" s="155"/>
      <c r="X420" s="155"/>
      <c r="Y420" s="155"/>
      <c r="Z420" s="78"/>
      <c r="AA420" s="78"/>
      <c r="AB420" s="116" t="str">
        <f>IF(C420="3111. Logements",ROUND(VLOOKUP(C420,'Informations générales'!$C$66:$D$70,2,FALSE)*(AK420/$AL$27)/12,0)*12,IF(C420="3112. Logements",ROUND(VLOOKUP(C420,'Informations générales'!$C$66:$D$70,2,FALSE)*(AK420/$AM$27)/12,0)*12,IF(C420="3113. Logements",ROUND(VLOOKUP(C420,'Informations générales'!$C$66:$D$70,2,FALSE)*(AK420/$AN$27)/12,0)*12,IF(C420="3114. Logements",ROUND(VLOOKUP(C420,'Informations générales'!$C$66:$D$70,2,FALSE)*(AK420/$AO$27)/12,0)*12,IF(C420="3115. Logements",ROUND(VLOOKUP(C420,'Informations générales'!$C$66:$D$70,2,FALSE)*(AK420/$AP$27)/12,0)*12,"")))))</f>
        <v/>
      </c>
      <c r="AC420" s="117"/>
      <c r="AD420" s="116">
        <f t="shared" si="102"/>
        <v>0</v>
      </c>
      <c r="AE420" s="117"/>
      <c r="AF420" s="116" t="str">
        <f>IF(C420="3111. Logements",ROUND(VLOOKUP(C420,'Informations générales'!$C$66:$G$70,5,FALSE)*(AK420/$AL$27)/12,0)*12,IF(C420="3112. Logements",ROUND(VLOOKUP(C420,'Informations générales'!$C$66:$G$70,5,FALSE)*(AK420/$AM$27)/12,0)*12,IF(C420="3113. Logements",ROUND(VLOOKUP(C420,'Informations générales'!$C$66:$G$70,5,FALSE)*(AK420/$AN$27)/12,0)*12,IF(C420="3114. Logements",ROUND(VLOOKUP(C420,'Informations générales'!$C$66:$G$70,5,FALSE)*(AK420/$AO$27)/12,0)*12,IF(C420="3115. Logements",ROUND(VLOOKUP(C420,'Informations générales'!$C$66:$G$70,5,FALSE)*(AK420/$AP$27)/12,0)*12,"")))))</f>
        <v/>
      </c>
      <c r="AG420" s="117"/>
      <c r="AH420" s="116" t="str">
        <f t="shared" si="103"/>
        <v/>
      </c>
      <c r="AI420" s="92"/>
      <c r="AJ420" s="78"/>
      <c r="AK420" s="60">
        <f t="shared" si="104"/>
        <v>0</v>
      </c>
      <c r="AL420" s="60"/>
      <c r="AM420" s="60"/>
      <c r="AN420" s="60"/>
      <c r="AO420" s="60"/>
      <c r="AP420" s="60"/>
      <c r="AQ420" s="60">
        <f t="shared" si="94"/>
        <v>0</v>
      </c>
      <c r="AR420" s="60">
        <f t="shared" si="95"/>
        <v>0</v>
      </c>
      <c r="AS420" s="60">
        <f t="shared" si="96"/>
        <v>0</v>
      </c>
      <c r="AT420" s="60">
        <f t="shared" si="97"/>
        <v>0</v>
      </c>
      <c r="AU420" s="60">
        <f t="shared" si="98"/>
        <v>0</v>
      </c>
      <c r="AV420" s="60">
        <f t="shared" si="99"/>
        <v>0</v>
      </c>
      <c r="AW420" s="60">
        <f t="shared" si="100"/>
        <v>0</v>
      </c>
      <c r="AX420" s="60">
        <f t="shared" si="105"/>
        <v>0</v>
      </c>
      <c r="AY420" s="64">
        <f t="shared" si="106"/>
        <v>0</v>
      </c>
      <c r="AZ420" s="65">
        <f t="shared" si="93"/>
        <v>0</v>
      </c>
      <c r="BA420" s="65">
        <f t="shared" si="107"/>
        <v>0</v>
      </c>
    </row>
    <row r="421" spans="3:53" s="17" customFormat="1" x14ac:dyDescent="0.25">
      <c r="C421" s="194"/>
      <c r="D421" s="195"/>
      <c r="E421" s="90"/>
      <c r="F421" s="198"/>
      <c r="G421" s="214"/>
      <c r="H421" s="199"/>
      <c r="I421" s="78"/>
      <c r="J421" s="79"/>
      <c r="K421" s="78"/>
      <c r="L421" s="80"/>
      <c r="M421" s="80"/>
      <c r="N421" s="78" t="s">
        <v>39</v>
      </c>
      <c r="O421" s="113"/>
      <c r="P421" s="155"/>
      <c r="Q421" s="114" t="str">
        <f>IFERROR(MIN(VLOOKUP(ROUNDDOWN(P421,0),'Aide calcul'!$B$2:$C$282,2,FALSE),O421+1),"")</f>
        <v/>
      </c>
      <c r="R421" s="115" t="str">
        <f t="shared" si="101"/>
        <v/>
      </c>
      <c r="S421" s="155"/>
      <c r="T421" s="155"/>
      <c r="U421" s="155"/>
      <c r="V421" s="155"/>
      <c r="W421" s="155"/>
      <c r="X421" s="155"/>
      <c r="Y421" s="155"/>
      <c r="Z421" s="78"/>
      <c r="AA421" s="78"/>
      <c r="AB421" s="116" t="str">
        <f>IF(C421="3111. Logements",ROUND(VLOOKUP(C421,'Informations générales'!$C$66:$D$70,2,FALSE)*(AK421/$AL$27)/12,0)*12,IF(C421="3112. Logements",ROUND(VLOOKUP(C421,'Informations générales'!$C$66:$D$70,2,FALSE)*(AK421/$AM$27)/12,0)*12,IF(C421="3113. Logements",ROUND(VLOOKUP(C421,'Informations générales'!$C$66:$D$70,2,FALSE)*(AK421/$AN$27)/12,0)*12,IF(C421="3114. Logements",ROUND(VLOOKUP(C421,'Informations générales'!$C$66:$D$70,2,FALSE)*(AK421/$AO$27)/12,0)*12,IF(C421="3115. Logements",ROUND(VLOOKUP(C421,'Informations générales'!$C$66:$D$70,2,FALSE)*(AK421/$AP$27)/12,0)*12,"")))))</f>
        <v/>
      </c>
      <c r="AC421" s="117"/>
      <c r="AD421" s="116">
        <f t="shared" si="102"/>
        <v>0</v>
      </c>
      <c r="AE421" s="117"/>
      <c r="AF421" s="116" t="str">
        <f>IF(C421="3111. Logements",ROUND(VLOOKUP(C421,'Informations générales'!$C$66:$G$70,5,FALSE)*(AK421/$AL$27)/12,0)*12,IF(C421="3112. Logements",ROUND(VLOOKUP(C421,'Informations générales'!$C$66:$G$70,5,FALSE)*(AK421/$AM$27)/12,0)*12,IF(C421="3113. Logements",ROUND(VLOOKUP(C421,'Informations générales'!$C$66:$G$70,5,FALSE)*(AK421/$AN$27)/12,0)*12,IF(C421="3114. Logements",ROUND(VLOOKUP(C421,'Informations générales'!$C$66:$G$70,5,FALSE)*(AK421/$AO$27)/12,0)*12,IF(C421="3115. Logements",ROUND(VLOOKUP(C421,'Informations générales'!$C$66:$G$70,5,FALSE)*(AK421/$AP$27)/12,0)*12,"")))))</f>
        <v/>
      </c>
      <c r="AG421" s="117"/>
      <c r="AH421" s="116" t="str">
        <f t="shared" si="103"/>
        <v/>
      </c>
      <c r="AI421" s="92"/>
      <c r="AJ421" s="78"/>
      <c r="AK421" s="60">
        <f t="shared" si="104"/>
        <v>0</v>
      </c>
      <c r="AL421" s="60"/>
      <c r="AM421" s="60"/>
      <c r="AN421" s="60"/>
      <c r="AO421" s="60"/>
      <c r="AP421" s="60"/>
      <c r="AQ421" s="60">
        <f t="shared" si="94"/>
        <v>0</v>
      </c>
      <c r="AR421" s="60">
        <f t="shared" si="95"/>
        <v>0</v>
      </c>
      <c r="AS421" s="60">
        <f t="shared" si="96"/>
        <v>0</v>
      </c>
      <c r="AT421" s="60">
        <f t="shared" si="97"/>
        <v>0</v>
      </c>
      <c r="AU421" s="60">
        <f t="shared" si="98"/>
        <v>0</v>
      </c>
      <c r="AV421" s="60">
        <f t="shared" si="99"/>
        <v>0</v>
      </c>
      <c r="AW421" s="60">
        <f t="shared" si="100"/>
        <v>0</v>
      </c>
      <c r="AX421" s="60">
        <f t="shared" si="105"/>
        <v>0</v>
      </c>
      <c r="AY421" s="64">
        <f t="shared" si="106"/>
        <v>0</v>
      </c>
      <c r="AZ421" s="65">
        <f t="shared" si="93"/>
        <v>0</v>
      </c>
      <c r="BA421" s="65">
        <f t="shared" si="107"/>
        <v>0</v>
      </c>
    </row>
    <row r="422" spans="3:53" s="17" customFormat="1" x14ac:dyDescent="0.25">
      <c r="C422" s="194"/>
      <c r="D422" s="195"/>
      <c r="E422" s="90"/>
      <c r="F422" s="198"/>
      <c r="G422" s="214"/>
      <c r="H422" s="199"/>
      <c r="I422" s="78"/>
      <c r="J422" s="79"/>
      <c r="K422" s="78"/>
      <c r="L422" s="80"/>
      <c r="M422" s="80"/>
      <c r="N422" s="78" t="s">
        <v>39</v>
      </c>
      <c r="O422" s="113"/>
      <c r="P422" s="155"/>
      <c r="Q422" s="114" t="str">
        <f>IFERROR(MIN(VLOOKUP(ROUNDDOWN(P422,0),'Aide calcul'!$B$2:$C$282,2,FALSE),O422+1),"")</f>
        <v/>
      </c>
      <c r="R422" s="115" t="str">
        <f t="shared" si="101"/>
        <v/>
      </c>
      <c r="S422" s="155"/>
      <c r="T422" s="155"/>
      <c r="U422" s="155"/>
      <c r="V422" s="155"/>
      <c r="W422" s="155"/>
      <c r="X422" s="155"/>
      <c r="Y422" s="155"/>
      <c r="Z422" s="78"/>
      <c r="AA422" s="78"/>
      <c r="AB422" s="116" t="str">
        <f>IF(C422="3111. Logements",ROUND(VLOOKUP(C422,'Informations générales'!$C$66:$D$70,2,FALSE)*(AK422/$AL$27)/12,0)*12,IF(C422="3112. Logements",ROUND(VLOOKUP(C422,'Informations générales'!$C$66:$D$70,2,FALSE)*(AK422/$AM$27)/12,0)*12,IF(C422="3113. Logements",ROUND(VLOOKUP(C422,'Informations générales'!$C$66:$D$70,2,FALSE)*(AK422/$AN$27)/12,0)*12,IF(C422="3114. Logements",ROUND(VLOOKUP(C422,'Informations générales'!$C$66:$D$70,2,FALSE)*(AK422/$AO$27)/12,0)*12,IF(C422="3115. Logements",ROUND(VLOOKUP(C422,'Informations générales'!$C$66:$D$70,2,FALSE)*(AK422/$AP$27)/12,0)*12,"")))))</f>
        <v/>
      </c>
      <c r="AC422" s="117"/>
      <c r="AD422" s="116">
        <f t="shared" si="102"/>
        <v>0</v>
      </c>
      <c r="AE422" s="117"/>
      <c r="AF422" s="116" t="str">
        <f>IF(C422="3111. Logements",ROUND(VLOOKUP(C422,'Informations générales'!$C$66:$G$70,5,FALSE)*(AK422/$AL$27)/12,0)*12,IF(C422="3112. Logements",ROUND(VLOOKUP(C422,'Informations générales'!$C$66:$G$70,5,FALSE)*(AK422/$AM$27)/12,0)*12,IF(C422="3113. Logements",ROUND(VLOOKUP(C422,'Informations générales'!$C$66:$G$70,5,FALSE)*(AK422/$AN$27)/12,0)*12,IF(C422="3114. Logements",ROUND(VLOOKUP(C422,'Informations générales'!$C$66:$G$70,5,FALSE)*(AK422/$AO$27)/12,0)*12,IF(C422="3115. Logements",ROUND(VLOOKUP(C422,'Informations générales'!$C$66:$G$70,5,FALSE)*(AK422/$AP$27)/12,0)*12,"")))))</f>
        <v/>
      </c>
      <c r="AG422" s="117"/>
      <c r="AH422" s="116" t="str">
        <f t="shared" si="103"/>
        <v/>
      </c>
      <c r="AI422" s="92"/>
      <c r="AJ422" s="78"/>
      <c r="AK422" s="60">
        <f t="shared" si="104"/>
        <v>0</v>
      </c>
      <c r="AL422" s="60"/>
      <c r="AM422" s="60"/>
      <c r="AN422" s="60"/>
      <c r="AO422" s="60"/>
      <c r="AP422" s="60"/>
      <c r="AQ422" s="60">
        <f t="shared" si="94"/>
        <v>0</v>
      </c>
      <c r="AR422" s="60">
        <f t="shared" si="95"/>
        <v>0</v>
      </c>
      <c r="AS422" s="60">
        <f t="shared" si="96"/>
        <v>0</v>
      </c>
      <c r="AT422" s="60">
        <f t="shared" si="97"/>
        <v>0</v>
      </c>
      <c r="AU422" s="60">
        <f t="shared" si="98"/>
        <v>0</v>
      </c>
      <c r="AV422" s="60">
        <f t="shared" si="99"/>
        <v>0</v>
      </c>
      <c r="AW422" s="60">
        <f t="shared" si="100"/>
        <v>0</v>
      </c>
      <c r="AX422" s="60">
        <f t="shared" si="105"/>
        <v>0</v>
      </c>
      <c r="AY422" s="64">
        <f t="shared" si="106"/>
        <v>0</v>
      </c>
      <c r="AZ422" s="65">
        <f t="shared" si="93"/>
        <v>0</v>
      </c>
      <c r="BA422" s="65">
        <f t="shared" si="107"/>
        <v>0</v>
      </c>
    </row>
    <row r="423" spans="3:53" s="17" customFormat="1" x14ac:dyDescent="0.25">
      <c r="C423" s="194"/>
      <c r="D423" s="195"/>
      <c r="E423" s="90"/>
      <c r="F423" s="198"/>
      <c r="G423" s="214"/>
      <c r="H423" s="199"/>
      <c r="I423" s="78"/>
      <c r="J423" s="79"/>
      <c r="K423" s="78"/>
      <c r="L423" s="80"/>
      <c r="M423" s="80"/>
      <c r="N423" s="78" t="s">
        <v>39</v>
      </c>
      <c r="O423" s="113"/>
      <c r="P423" s="155"/>
      <c r="Q423" s="114" t="str">
        <f>IFERROR(MIN(VLOOKUP(ROUNDDOWN(P423,0),'Aide calcul'!$B$2:$C$282,2,FALSE),O423+1),"")</f>
        <v/>
      </c>
      <c r="R423" s="115" t="str">
        <f t="shared" si="101"/>
        <v/>
      </c>
      <c r="S423" s="155"/>
      <c r="T423" s="155"/>
      <c r="U423" s="155"/>
      <c r="V423" s="155"/>
      <c r="W423" s="155"/>
      <c r="X423" s="155"/>
      <c r="Y423" s="155"/>
      <c r="Z423" s="78"/>
      <c r="AA423" s="78"/>
      <c r="AB423" s="116" t="str">
        <f>IF(C423="3111. Logements",ROUND(VLOOKUP(C423,'Informations générales'!$C$66:$D$70,2,FALSE)*(AK423/$AL$27)/12,0)*12,IF(C423="3112. Logements",ROUND(VLOOKUP(C423,'Informations générales'!$C$66:$D$70,2,FALSE)*(AK423/$AM$27)/12,0)*12,IF(C423="3113. Logements",ROUND(VLOOKUP(C423,'Informations générales'!$C$66:$D$70,2,FALSE)*(AK423/$AN$27)/12,0)*12,IF(C423="3114. Logements",ROUND(VLOOKUP(C423,'Informations générales'!$C$66:$D$70,2,FALSE)*(AK423/$AO$27)/12,0)*12,IF(C423="3115. Logements",ROUND(VLOOKUP(C423,'Informations générales'!$C$66:$D$70,2,FALSE)*(AK423/$AP$27)/12,0)*12,"")))))</f>
        <v/>
      </c>
      <c r="AC423" s="117"/>
      <c r="AD423" s="116">
        <f t="shared" si="102"/>
        <v>0</v>
      </c>
      <c r="AE423" s="117"/>
      <c r="AF423" s="116" t="str">
        <f>IF(C423="3111. Logements",ROUND(VLOOKUP(C423,'Informations générales'!$C$66:$G$70,5,FALSE)*(AK423/$AL$27)/12,0)*12,IF(C423="3112. Logements",ROUND(VLOOKUP(C423,'Informations générales'!$C$66:$G$70,5,FALSE)*(AK423/$AM$27)/12,0)*12,IF(C423="3113. Logements",ROUND(VLOOKUP(C423,'Informations générales'!$C$66:$G$70,5,FALSE)*(AK423/$AN$27)/12,0)*12,IF(C423="3114. Logements",ROUND(VLOOKUP(C423,'Informations générales'!$C$66:$G$70,5,FALSE)*(AK423/$AO$27)/12,0)*12,IF(C423="3115. Logements",ROUND(VLOOKUP(C423,'Informations générales'!$C$66:$G$70,5,FALSE)*(AK423/$AP$27)/12,0)*12,"")))))</f>
        <v/>
      </c>
      <c r="AG423" s="117"/>
      <c r="AH423" s="116" t="str">
        <f t="shared" si="103"/>
        <v/>
      </c>
      <c r="AI423" s="92"/>
      <c r="AJ423" s="78"/>
      <c r="AK423" s="60">
        <f t="shared" si="104"/>
        <v>0</v>
      </c>
      <c r="AL423" s="60"/>
      <c r="AM423" s="60"/>
      <c r="AN423" s="60"/>
      <c r="AO423" s="60"/>
      <c r="AP423" s="60"/>
      <c r="AQ423" s="60">
        <f t="shared" si="94"/>
        <v>0</v>
      </c>
      <c r="AR423" s="60">
        <f t="shared" si="95"/>
        <v>0</v>
      </c>
      <c r="AS423" s="60">
        <f t="shared" si="96"/>
        <v>0</v>
      </c>
      <c r="AT423" s="60">
        <f t="shared" si="97"/>
        <v>0</v>
      </c>
      <c r="AU423" s="60">
        <f t="shared" si="98"/>
        <v>0</v>
      </c>
      <c r="AV423" s="60">
        <f t="shared" si="99"/>
        <v>0</v>
      </c>
      <c r="AW423" s="60">
        <f t="shared" si="100"/>
        <v>0</v>
      </c>
      <c r="AX423" s="60">
        <f t="shared" si="105"/>
        <v>0</v>
      </c>
      <c r="AY423" s="64">
        <f t="shared" si="106"/>
        <v>0</v>
      </c>
      <c r="AZ423" s="65">
        <f t="shared" si="93"/>
        <v>0</v>
      </c>
      <c r="BA423" s="65">
        <f t="shared" si="107"/>
        <v>0</v>
      </c>
    </row>
    <row r="424" spans="3:53" s="17" customFormat="1" x14ac:dyDescent="0.25">
      <c r="C424" s="194"/>
      <c r="D424" s="195"/>
      <c r="E424" s="90"/>
      <c r="F424" s="198"/>
      <c r="G424" s="214"/>
      <c r="H424" s="199"/>
      <c r="I424" s="78"/>
      <c r="J424" s="79"/>
      <c r="K424" s="78"/>
      <c r="L424" s="80"/>
      <c r="M424" s="80"/>
      <c r="N424" s="78" t="s">
        <v>39</v>
      </c>
      <c r="O424" s="113"/>
      <c r="P424" s="155"/>
      <c r="Q424" s="114" t="str">
        <f>IFERROR(MIN(VLOOKUP(ROUNDDOWN(P424,0),'Aide calcul'!$B$2:$C$282,2,FALSE),O424+1),"")</f>
        <v/>
      </c>
      <c r="R424" s="115" t="str">
        <f t="shared" si="101"/>
        <v/>
      </c>
      <c r="S424" s="155"/>
      <c r="T424" s="155"/>
      <c r="U424" s="155"/>
      <c r="V424" s="155"/>
      <c r="W424" s="155"/>
      <c r="X424" s="155"/>
      <c r="Y424" s="155"/>
      <c r="Z424" s="78"/>
      <c r="AA424" s="78"/>
      <c r="AB424" s="116" t="str">
        <f>IF(C424="3111. Logements",ROUND(VLOOKUP(C424,'Informations générales'!$C$66:$D$70,2,FALSE)*(AK424/$AL$27)/12,0)*12,IF(C424="3112. Logements",ROUND(VLOOKUP(C424,'Informations générales'!$C$66:$D$70,2,FALSE)*(AK424/$AM$27)/12,0)*12,IF(C424="3113. Logements",ROUND(VLOOKUP(C424,'Informations générales'!$C$66:$D$70,2,FALSE)*(AK424/$AN$27)/12,0)*12,IF(C424="3114. Logements",ROUND(VLOOKUP(C424,'Informations générales'!$C$66:$D$70,2,FALSE)*(AK424/$AO$27)/12,0)*12,IF(C424="3115. Logements",ROUND(VLOOKUP(C424,'Informations générales'!$C$66:$D$70,2,FALSE)*(AK424/$AP$27)/12,0)*12,"")))))</f>
        <v/>
      </c>
      <c r="AC424" s="117"/>
      <c r="AD424" s="116">
        <f t="shared" si="102"/>
        <v>0</v>
      </c>
      <c r="AE424" s="117"/>
      <c r="AF424" s="116" t="str">
        <f>IF(C424="3111. Logements",ROUND(VLOOKUP(C424,'Informations générales'!$C$66:$G$70,5,FALSE)*(AK424/$AL$27)/12,0)*12,IF(C424="3112. Logements",ROUND(VLOOKUP(C424,'Informations générales'!$C$66:$G$70,5,FALSE)*(AK424/$AM$27)/12,0)*12,IF(C424="3113. Logements",ROUND(VLOOKUP(C424,'Informations générales'!$C$66:$G$70,5,FALSE)*(AK424/$AN$27)/12,0)*12,IF(C424="3114. Logements",ROUND(VLOOKUP(C424,'Informations générales'!$C$66:$G$70,5,FALSE)*(AK424/$AO$27)/12,0)*12,IF(C424="3115. Logements",ROUND(VLOOKUP(C424,'Informations générales'!$C$66:$G$70,5,FALSE)*(AK424/$AP$27)/12,0)*12,"")))))</f>
        <v/>
      </c>
      <c r="AG424" s="117"/>
      <c r="AH424" s="116" t="str">
        <f t="shared" si="103"/>
        <v/>
      </c>
      <c r="AI424" s="92"/>
      <c r="AJ424" s="78"/>
      <c r="AK424" s="60">
        <f t="shared" si="104"/>
        <v>0</v>
      </c>
      <c r="AL424" s="60"/>
      <c r="AM424" s="60"/>
      <c r="AN424" s="60"/>
      <c r="AO424" s="60"/>
      <c r="AP424" s="60"/>
      <c r="AQ424" s="60">
        <f t="shared" si="94"/>
        <v>0</v>
      </c>
      <c r="AR424" s="60">
        <f t="shared" si="95"/>
        <v>0</v>
      </c>
      <c r="AS424" s="60">
        <f t="shared" si="96"/>
        <v>0</v>
      </c>
      <c r="AT424" s="60">
        <f t="shared" si="97"/>
        <v>0</v>
      </c>
      <c r="AU424" s="60">
        <f t="shared" si="98"/>
        <v>0</v>
      </c>
      <c r="AV424" s="60">
        <f t="shared" si="99"/>
        <v>0</v>
      </c>
      <c r="AW424" s="60">
        <f t="shared" si="100"/>
        <v>0</v>
      </c>
      <c r="AX424" s="60">
        <f t="shared" si="105"/>
        <v>0</v>
      </c>
      <c r="AY424" s="64">
        <f t="shared" si="106"/>
        <v>0</v>
      </c>
      <c r="AZ424" s="65">
        <f t="shared" si="93"/>
        <v>0</v>
      </c>
      <c r="BA424" s="65">
        <f t="shared" si="107"/>
        <v>0</v>
      </c>
    </row>
    <row r="425" spans="3:53" s="17" customFormat="1" x14ac:dyDescent="0.25">
      <c r="C425" s="194"/>
      <c r="D425" s="195"/>
      <c r="E425" s="90"/>
      <c r="F425" s="198"/>
      <c r="G425" s="214"/>
      <c r="H425" s="199"/>
      <c r="I425" s="78"/>
      <c r="J425" s="79"/>
      <c r="K425" s="78"/>
      <c r="L425" s="80"/>
      <c r="M425" s="80"/>
      <c r="N425" s="78" t="s">
        <v>39</v>
      </c>
      <c r="O425" s="113"/>
      <c r="P425" s="155"/>
      <c r="Q425" s="114" t="str">
        <f>IFERROR(MIN(VLOOKUP(ROUNDDOWN(P425,0),'Aide calcul'!$B$2:$C$282,2,FALSE),O425+1),"")</f>
        <v/>
      </c>
      <c r="R425" s="115" t="str">
        <f t="shared" si="101"/>
        <v/>
      </c>
      <c r="S425" s="155"/>
      <c r="T425" s="155"/>
      <c r="U425" s="155"/>
      <c r="V425" s="155"/>
      <c r="W425" s="155"/>
      <c r="X425" s="155"/>
      <c r="Y425" s="155"/>
      <c r="Z425" s="78"/>
      <c r="AA425" s="78"/>
      <c r="AB425" s="116" t="str">
        <f>IF(C425="3111. Logements",ROUND(VLOOKUP(C425,'Informations générales'!$C$66:$D$70,2,FALSE)*(AK425/$AL$27)/12,0)*12,IF(C425="3112. Logements",ROUND(VLOOKUP(C425,'Informations générales'!$C$66:$D$70,2,FALSE)*(AK425/$AM$27)/12,0)*12,IF(C425="3113. Logements",ROUND(VLOOKUP(C425,'Informations générales'!$C$66:$D$70,2,FALSE)*(AK425/$AN$27)/12,0)*12,IF(C425="3114. Logements",ROUND(VLOOKUP(C425,'Informations générales'!$C$66:$D$70,2,FALSE)*(AK425/$AO$27)/12,0)*12,IF(C425="3115. Logements",ROUND(VLOOKUP(C425,'Informations générales'!$C$66:$D$70,2,FALSE)*(AK425/$AP$27)/12,0)*12,"")))))</f>
        <v/>
      </c>
      <c r="AC425" s="117"/>
      <c r="AD425" s="116">
        <f t="shared" si="102"/>
        <v>0</v>
      </c>
      <c r="AE425" s="117"/>
      <c r="AF425" s="116" t="str">
        <f>IF(C425="3111. Logements",ROUND(VLOOKUP(C425,'Informations générales'!$C$66:$G$70,5,FALSE)*(AK425/$AL$27)/12,0)*12,IF(C425="3112. Logements",ROUND(VLOOKUP(C425,'Informations générales'!$C$66:$G$70,5,FALSE)*(AK425/$AM$27)/12,0)*12,IF(C425="3113. Logements",ROUND(VLOOKUP(C425,'Informations générales'!$C$66:$G$70,5,FALSE)*(AK425/$AN$27)/12,0)*12,IF(C425="3114. Logements",ROUND(VLOOKUP(C425,'Informations générales'!$C$66:$G$70,5,FALSE)*(AK425/$AO$27)/12,0)*12,IF(C425="3115. Logements",ROUND(VLOOKUP(C425,'Informations générales'!$C$66:$G$70,5,FALSE)*(AK425/$AP$27)/12,0)*12,"")))))</f>
        <v/>
      </c>
      <c r="AG425" s="117"/>
      <c r="AH425" s="116" t="str">
        <f t="shared" si="103"/>
        <v/>
      </c>
      <c r="AI425" s="92"/>
      <c r="AJ425" s="78"/>
      <c r="AK425" s="60">
        <f t="shared" si="104"/>
        <v>0</v>
      </c>
      <c r="AL425" s="60"/>
      <c r="AM425" s="60"/>
      <c r="AN425" s="60"/>
      <c r="AO425" s="60"/>
      <c r="AP425" s="60"/>
      <c r="AQ425" s="60">
        <f t="shared" si="94"/>
        <v>0</v>
      </c>
      <c r="AR425" s="60">
        <f t="shared" si="95"/>
        <v>0</v>
      </c>
      <c r="AS425" s="60">
        <f t="shared" si="96"/>
        <v>0</v>
      </c>
      <c r="AT425" s="60">
        <f t="shared" si="97"/>
        <v>0</v>
      </c>
      <c r="AU425" s="60">
        <f t="shared" si="98"/>
        <v>0</v>
      </c>
      <c r="AV425" s="60">
        <f t="shared" si="99"/>
        <v>0</v>
      </c>
      <c r="AW425" s="60">
        <f t="shared" si="100"/>
        <v>0</v>
      </c>
      <c r="AX425" s="60">
        <f t="shared" si="105"/>
        <v>0</v>
      </c>
      <c r="AY425" s="64">
        <f t="shared" si="106"/>
        <v>0</v>
      </c>
      <c r="AZ425" s="65">
        <f t="shared" si="93"/>
        <v>0</v>
      </c>
      <c r="BA425" s="65">
        <f t="shared" si="107"/>
        <v>0</v>
      </c>
    </row>
    <row r="426" spans="3:53" s="17" customFormat="1" x14ac:dyDescent="0.25">
      <c r="C426" s="194"/>
      <c r="D426" s="195"/>
      <c r="E426" s="90"/>
      <c r="F426" s="198"/>
      <c r="G426" s="214"/>
      <c r="H426" s="199"/>
      <c r="I426" s="78"/>
      <c r="J426" s="79"/>
      <c r="K426" s="78"/>
      <c r="L426" s="80"/>
      <c r="M426" s="80"/>
      <c r="N426" s="78" t="s">
        <v>39</v>
      </c>
      <c r="O426" s="113"/>
      <c r="P426" s="155"/>
      <c r="Q426" s="114" t="str">
        <f>IFERROR(MIN(VLOOKUP(ROUNDDOWN(P426,0),'Aide calcul'!$B$2:$C$282,2,FALSE),O426+1),"")</f>
        <v/>
      </c>
      <c r="R426" s="115" t="str">
        <f t="shared" si="101"/>
        <v/>
      </c>
      <c r="S426" s="155"/>
      <c r="T426" s="155"/>
      <c r="U426" s="155"/>
      <c r="V426" s="155"/>
      <c r="W426" s="155"/>
      <c r="X426" s="155"/>
      <c r="Y426" s="155"/>
      <c r="Z426" s="78"/>
      <c r="AA426" s="78"/>
      <c r="AB426" s="116" t="str">
        <f>IF(C426="3111. Logements",ROUND(VLOOKUP(C426,'Informations générales'!$C$66:$D$70,2,FALSE)*(AK426/$AL$27)/12,0)*12,IF(C426="3112. Logements",ROUND(VLOOKUP(C426,'Informations générales'!$C$66:$D$70,2,FALSE)*(AK426/$AM$27)/12,0)*12,IF(C426="3113. Logements",ROUND(VLOOKUP(C426,'Informations générales'!$C$66:$D$70,2,FALSE)*(AK426/$AN$27)/12,0)*12,IF(C426="3114. Logements",ROUND(VLOOKUP(C426,'Informations générales'!$C$66:$D$70,2,FALSE)*(AK426/$AO$27)/12,0)*12,IF(C426="3115. Logements",ROUND(VLOOKUP(C426,'Informations générales'!$C$66:$D$70,2,FALSE)*(AK426/$AP$27)/12,0)*12,"")))))</f>
        <v/>
      </c>
      <c r="AC426" s="117"/>
      <c r="AD426" s="116">
        <f t="shared" si="102"/>
        <v>0</v>
      </c>
      <c r="AE426" s="117"/>
      <c r="AF426" s="116" t="str">
        <f>IF(C426="3111. Logements",ROUND(VLOOKUP(C426,'Informations générales'!$C$66:$G$70,5,FALSE)*(AK426/$AL$27)/12,0)*12,IF(C426="3112. Logements",ROUND(VLOOKUP(C426,'Informations générales'!$C$66:$G$70,5,FALSE)*(AK426/$AM$27)/12,0)*12,IF(C426="3113. Logements",ROUND(VLOOKUP(C426,'Informations générales'!$C$66:$G$70,5,FALSE)*(AK426/$AN$27)/12,0)*12,IF(C426="3114. Logements",ROUND(VLOOKUP(C426,'Informations générales'!$C$66:$G$70,5,FALSE)*(AK426/$AO$27)/12,0)*12,IF(C426="3115. Logements",ROUND(VLOOKUP(C426,'Informations générales'!$C$66:$G$70,5,FALSE)*(AK426/$AP$27)/12,0)*12,"")))))</f>
        <v/>
      </c>
      <c r="AG426" s="117"/>
      <c r="AH426" s="116" t="str">
        <f t="shared" si="103"/>
        <v/>
      </c>
      <c r="AI426" s="92"/>
      <c r="AJ426" s="78"/>
      <c r="AK426" s="60">
        <f t="shared" si="104"/>
        <v>0</v>
      </c>
      <c r="AL426" s="60"/>
      <c r="AM426" s="60"/>
      <c r="AN426" s="60"/>
      <c r="AO426" s="60"/>
      <c r="AP426" s="60"/>
      <c r="AQ426" s="60">
        <f t="shared" si="94"/>
        <v>0</v>
      </c>
      <c r="AR426" s="60">
        <f t="shared" si="95"/>
        <v>0</v>
      </c>
      <c r="AS426" s="60">
        <f t="shared" si="96"/>
        <v>0</v>
      </c>
      <c r="AT426" s="60">
        <f t="shared" si="97"/>
        <v>0</v>
      </c>
      <c r="AU426" s="60">
        <f t="shared" si="98"/>
        <v>0</v>
      </c>
      <c r="AV426" s="60">
        <f t="shared" si="99"/>
        <v>0</v>
      </c>
      <c r="AW426" s="60">
        <f t="shared" si="100"/>
        <v>0</v>
      </c>
      <c r="AX426" s="60">
        <f t="shared" si="105"/>
        <v>0</v>
      </c>
      <c r="AY426" s="64">
        <f t="shared" si="106"/>
        <v>0</v>
      </c>
      <c r="AZ426" s="65">
        <f t="shared" si="93"/>
        <v>0</v>
      </c>
      <c r="BA426" s="65">
        <f t="shared" si="107"/>
        <v>0</v>
      </c>
    </row>
    <row r="427" spans="3:53" s="17" customFormat="1" x14ac:dyDescent="0.25">
      <c r="C427" s="194"/>
      <c r="D427" s="195"/>
      <c r="E427" s="90"/>
      <c r="F427" s="198"/>
      <c r="G427" s="214"/>
      <c r="H427" s="199"/>
      <c r="I427" s="78"/>
      <c r="J427" s="79"/>
      <c r="K427" s="78"/>
      <c r="L427" s="80"/>
      <c r="M427" s="80"/>
      <c r="N427" s="78" t="s">
        <v>39</v>
      </c>
      <c r="O427" s="113"/>
      <c r="P427" s="155"/>
      <c r="Q427" s="114" t="str">
        <f>IFERROR(MIN(VLOOKUP(ROUNDDOWN(P427,0),'Aide calcul'!$B$2:$C$282,2,FALSE),O427+1),"")</f>
        <v/>
      </c>
      <c r="R427" s="115" t="str">
        <f t="shared" si="101"/>
        <v/>
      </c>
      <c r="S427" s="155"/>
      <c r="T427" s="155"/>
      <c r="U427" s="155"/>
      <c r="V427" s="155"/>
      <c r="W427" s="155"/>
      <c r="X427" s="155"/>
      <c r="Y427" s="155"/>
      <c r="Z427" s="78"/>
      <c r="AA427" s="78"/>
      <c r="AB427" s="116" t="str">
        <f>IF(C427="3111. Logements",ROUND(VLOOKUP(C427,'Informations générales'!$C$66:$D$70,2,FALSE)*(AK427/$AL$27)/12,0)*12,IF(C427="3112. Logements",ROUND(VLOOKUP(C427,'Informations générales'!$C$66:$D$70,2,FALSE)*(AK427/$AM$27)/12,0)*12,IF(C427="3113. Logements",ROUND(VLOOKUP(C427,'Informations générales'!$C$66:$D$70,2,FALSE)*(AK427/$AN$27)/12,0)*12,IF(C427="3114. Logements",ROUND(VLOOKUP(C427,'Informations générales'!$C$66:$D$70,2,FALSE)*(AK427/$AO$27)/12,0)*12,IF(C427="3115. Logements",ROUND(VLOOKUP(C427,'Informations générales'!$C$66:$D$70,2,FALSE)*(AK427/$AP$27)/12,0)*12,"")))))</f>
        <v/>
      </c>
      <c r="AC427" s="117"/>
      <c r="AD427" s="116">
        <f t="shared" si="102"/>
        <v>0</v>
      </c>
      <c r="AE427" s="117"/>
      <c r="AF427" s="116" t="str">
        <f>IF(C427="3111. Logements",ROUND(VLOOKUP(C427,'Informations générales'!$C$66:$G$70,5,FALSE)*(AK427/$AL$27)/12,0)*12,IF(C427="3112. Logements",ROUND(VLOOKUP(C427,'Informations générales'!$C$66:$G$70,5,FALSE)*(AK427/$AM$27)/12,0)*12,IF(C427="3113. Logements",ROUND(VLOOKUP(C427,'Informations générales'!$C$66:$G$70,5,FALSE)*(AK427/$AN$27)/12,0)*12,IF(C427="3114. Logements",ROUND(VLOOKUP(C427,'Informations générales'!$C$66:$G$70,5,FALSE)*(AK427/$AO$27)/12,0)*12,IF(C427="3115. Logements",ROUND(VLOOKUP(C427,'Informations générales'!$C$66:$G$70,5,FALSE)*(AK427/$AP$27)/12,0)*12,"")))))</f>
        <v/>
      </c>
      <c r="AG427" s="117"/>
      <c r="AH427" s="116" t="str">
        <f t="shared" si="103"/>
        <v/>
      </c>
      <c r="AI427" s="92"/>
      <c r="AJ427" s="78"/>
      <c r="AK427" s="60">
        <f t="shared" si="104"/>
        <v>0</v>
      </c>
      <c r="AL427" s="60"/>
      <c r="AM427" s="60"/>
      <c r="AN427" s="60"/>
      <c r="AO427" s="60"/>
      <c r="AP427" s="60"/>
      <c r="AQ427" s="60">
        <f t="shared" si="94"/>
        <v>0</v>
      </c>
      <c r="AR427" s="60">
        <f t="shared" si="95"/>
        <v>0</v>
      </c>
      <c r="AS427" s="60">
        <f t="shared" si="96"/>
        <v>0</v>
      </c>
      <c r="AT427" s="60">
        <f t="shared" si="97"/>
        <v>0</v>
      </c>
      <c r="AU427" s="60">
        <f t="shared" si="98"/>
        <v>0</v>
      </c>
      <c r="AV427" s="60">
        <f t="shared" si="99"/>
        <v>0</v>
      </c>
      <c r="AW427" s="60">
        <f t="shared" si="100"/>
        <v>0</v>
      </c>
      <c r="AX427" s="60">
        <f t="shared" si="105"/>
        <v>0</v>
      </c>
      <c r="AY427" s="64">
        <f t="shared" si="106"/>
        <v>0</v>
      </c>
      <c r="AZ427" s="65">
        <f t="shared" si="93"/>
        <v>0</v>
      </c>
      <c r="BA427" s="65">
        <f t="shared" si="107"/>
        <v>0</v>
      </c>
    </row>
    <row r="428" spans="3:53" s="17" customFormat="1" x14ac:dyDescent="0.25">
      <c r="C428" s="194"/>
      <c r="D428" s="195"/>
      <c r="E428" s="90"/>
      <c r="F428" s="198"/>
      <c r="G428" s="214"/>
      <c r="H428" s="199"/>
      <c r="I428" s="78"/>
      <c r="J428" s="79"/>
      <c r="K428" s="78"/>
      <c r="L428" s="80"/>
      <c r="M428" s="80"/>
      <c r="N428" s="78" t="s">
        <v>39</v>
      </c>
      <c r="O428" s="113"/>
      <c r="P428" s="155"/>
      <c r="Q428" s="114" t="str">
        <f>IFERROR(MIN(VLOOKUP(ROUNDDOWN(P428,0),'Aide calcul'!$B$2:$C$282,2,FALSE),O428+1),"")</f>
        <v/>
      </c>
      <c r="R428" s="115" t="str">
        <f t="shared" si="101"/>
        <v/>
      </c>
      <c r="S428" s="155"/>
      <c r="T428" s="155"/>
      <c r="U428" s="155"/>
      <c r="V428" s="155"/>
      <c r="W428" s="155"/>
      <c r="X428" s="155"/>
      <c r="Y428" s="155"/>
      <c r="Z428" s="78"/>
      <c r="AA428" s="78"/>
      <c r="AB428" s="116" t="str">
        <f>IF(C428="3111. Logements",ROUND(VLOOKUP(C428,'Informations générales'!$C$66:$D$70,2,FALSE)*(AK428/$AL$27)/12,0)*12,IF(C428="3112. Logements",ROUND(VLOOKUP(C428,'Informations générales'!$C$66:$D$70,2,FALSE)*(AK428/$AM$27)/12,0)*12,IF(C428="3113. Logements",ROUND(VLOOKUP(C428,'Informations générales'!$C$66:$D$70,2,FALSE)*(AK428/$AN$27)/12,0)*12,IF(C428="3114. Logements",ROUND(VLOOKUP(C428,'Informations générales'!$C$66:$D$70,2,FALSE)*(AK428/$AO$27)/12,0)*12,IF(C428="3115. Logements",ROUND(VLOOKUP(C428,'Informations générales'!$C$66:$D$70,2,FALSE)*(AK428/$AP$27)/12,0)*12,"")))))</f>
        <v/>
      </c>
      <c r="AC428" s="117"/>
      <c r="AD428" s="116">
        <f t="shared" si="102"/>
        <v>0</v>
      </c>
      <c r="AE428" s="117"/>
      <c r="AF428" s="116" t="str">
        <f>IF(C428="3111. Logements",ROUND(VLOOKUP(C428,'Informations générales'!$C$66:$G$70,5,FALSE)*(AK428/$AL$27)/12,0)*12,IF(C428="3112. Logements",ROUND(VLOOKUP(C428,'Informations générales'!$C$66:$G$70,5,FALSE)*(AK428/$AM$27)/12,0)*12,IF(C428="3113. Logements",ROUND(VLOOKUP(C428,'Informations générales'!$C$66:$G$70,5,FALSE)*(AK428/$AN$27)/12,0)*12,IF(C428="3114. Logements",ROUND(VLOOKUP(C428,'Informations générales'!$C$66:$G$70,5,FALSE)*(AK428/$AO$27)/12,0)*12,IF(C428="3115. Logements",ROUND(VLOOKUP(C428,'Informations générales'!$C$66:$G$70,5,FALSE)*(AK428/$AP$27)/12,0)*12,"")))))</f>
        <v/>
      </c>
      <c r="AG428" s="117"/>
      <c r="AH428" s="116" t="str">
        <f t="shared" si="103"/>
        <v/>
      </c>
      <c r="AI428" s="92"/>
      <c r="AJ428" s="78"/>
      <c r="AK428" s="60">
        <f t="shared" si="104"/>
        <v>0</v>
      </c>
      <c r="AL428" s="60"/>
      <c r="AM428" s="60"/>
      <c r="AN428" s="60"/>
      <c r="AO428" s="60"/>
      <c r="AP428" s="60"/>
      <c r="AQ428" s="60">
        <f t="shared" si="94"/>
        <v>0</v>
      </c>
      <c r="AR428" s="60">
        <f t="shared" si="95"/>
        <v>0</v>
      </c>
      <c r="AS428" s="60">
        <f t="shared" si="96"/>
        <v>0</v>
      </c>
      <c r="AT428" s="60">
        <f t="shared" si="97"/>
        <v>0</v>
      </c>
      <c r="AU428" s="60">
        <f t="shared" si="98"/>
        <v>0</v>
      </c>
      <c r="AV428" s="60">
        <f t="shared" si="99"/>
        <v>0</v>
      </c>
      <c r="AW428" s="60">
        <f t="shared" si="100"/>
        <v>0</v>
      </c>
      <c r="AX428" s="60">
        <f t="shared" si="105"/>
        <v>0</v>
      </c>
      <c r="AY428" s="64">
        <f t="shared" si="106"/>
        <v>0</v>
      </c>
      <c r="AZ428" s="65">
        <f t="shared" ref="AZ428:AZ483" si="108">IFERROR(VLOOKUP(Z428,$H$12:$I$22,2,FALSE),0)</f>
        <v>0</v>
      </c>
      <c r="BA428" s="65">
        <f t="shared" si="107"/>
        <v>0</v>
      </c>
    </row>
    <row r="429" spans="3:53" s="17" customFormat="1" x14ac:dyDescent="0.25">
      <c r="C429" s="194"/>
      <c r="D429" s="195"/>
      <c r="E429" s="90"/>
      <c r="F429" s="198"/>
      <c r="G429" s="214"/>
      <c r="H429" s="199"/>
      <c r="I429" s="78"/>
      <c r="J429" s="79"/>
      <c r="K429" s="78"/>
      <c r="L429" s="80"/>
      <c r="M429" s="80"/>
      <c r="N429" s="78" t="s">
        <v>39</v>
      </c>
      <c r="O429" s="113"/>
      <c r="P429" s="155"/>
      <c r="Q429" s="114" t="str">
        <f>IFERROR(MIN(VLOOKUP(ROUNDDOWN(P429,0),'Aide calcul'!$B$2:$C$282,2,FALSE),O429+1),"")</f>
        <v/>
      </c>
      <c r="R429" s="115" t="str">
        <f t="shared" si="101"/>
        <v/>
      </c>
      <c r="S429" s="155"/>
      <c r="T429" s="155"/>
      <c r="U429" s="155"/>
      <c r="V429" s="155"/>
      <c r="W429" s="155"/>
      <c r="X429" s="155"/>
      <c r="Y429" s="155"/>
      <c r="Z429" s="78"/>
      <c r="AA429" s="78"/>
      <c r="AB429" s="116" t="str">
        <f>IF(C429="3111. Logements",ROUND(VLOOKUP(C429,'Informations générales'!$C$66:$D$70,2,FALSE)*(AK429/$AL$27)/12,0)*12,IF(C429="3112. Logements",ROUND(VLOOKUP(C429,'Informations générales'!$C$66:$D$70,2,FALSE)*(AK429/$AM$27)/12,0)*12,IF(C429="3113. Logements",ROUND(VLOOKUP(C429,'Informations générales'!$C$66:$D$70,2,FALSE)*(AK429/$AN$27)/12,0)*12,IF(C429="3114. Logements",ROUND(VLOOKUP(C429,'Informations générales'!$C$66:$D$70,2,FALSE)*(AK429/$AO$27)/12,0)*12,IF(C429="3115. Logements",ROUND(VLOOKUP(C429,'Informations générales'!$C$66:$D$70,2,FALSE)*(AK429/$AP$27)/12,0)*12,"")))))</f>
        <v/>
      </c>
      <c r="AC429" s="117"/>
      <c r="AD429" s="116">
        <f t="shared" si="102"/>
        <v>0</v>
      </c>
      <c r="AE429" s="117"/>
      <c r="AF429" s="116" t="str">
        <f>IF(C429="3111. Logements",ROUND(VLOOKUP(C429,'Informations générales'!$C$66:$G$70,5,FALSE)*(AK429/$AL$27)/12,0)*12,IF(C429="3112. Logements",ROUND(VLOOKUP(C429,'Informations générales'!$C$66:$G$70,5,FALSE)*(AK429/$AM$27)/12,0)*12,IF(C429="3113. Logements",ROUND(VLOOKUP(C429,'Informations générales'!$C$66:$G$70,5,FALSE)*(AK429/$AN$27)/12,0)*12,IF(C429="3114. Logements",ROUND(VLOOKUP(C429,'Informations générales'!$C$66:$G$70,5,FALSE)*(AK429/$AO$27)/12,0)*12,IF(C429="3115. Logements",ROUND(VLOOKUP(C429,'Informations générales'!$C$66:$G$70,5,FALSE)*(AK429/$AP$27)/12,0)*12,"")))))</f>
        <v/>
      </c>
      <c r="AG429" s="117"/>
      <c r="AH429" s="116" t="str">
        <f t="shared" si="103"/>
        <v/>
      </c>
      <c r="AI429" s="92"/>
      <c r="AJ429" s="78"/>
      <c r="AK429" s="60">
        <f t="shared" si="104"/>
        <v>0</v>
      </c>
      <c r="AL429" s="60"/>
      <c r="AM429" s="60"/>
      <c r="AN429" s="60"/>
      <c r="AO429" s="60"/>
      <c r="AP429" s="60"/>
      <c r="AQ429" s="60">
        <f t="shared" si="94"/>
        <v>0</v>
      </c>
      <c r="AR429" s="60">
        <f t="shared" si="95"/>
        <v>0</v>
      </c>
      <c r="AS429" s="60">
        <f t="shared" si="96"/>
        <v>0</v>
      </c>
      <c r="AT429" s="60">
        <f t="shared" si="97"/>
        <v>0</v>
      </c>
      <c r="AU429" s="60">
        <f t="shared" si="98"/>
        <v>0</v>
      </c>
      <c r="AV429" s="60">
        <f t="shared" si="99"/>
        <v>0</v>
      </c>
      <c r="AW429" s="60">
        <f t="shared" si="100"/>
        <v>0</v>
      </c>
      <c r="AX429" s="60">
        <f t="shared" si="105"/>
        <v>0</v>
      </c>
      <c r="AY429" s="64">
        <f t="shared" si="106"/>
        <v>0</v>
      </c>
      <c r="AZ429" s="65">
        <f t="shared" si="108"/>
        <v>0</v>
      </c>
      <c r="BA429" s="65">
        <f t="shared" si="107"/>
        <v>0</v>
      </c>
    </row>
    <row r="430" spans="3:53" s="17" customFormat="1" x14ac:dyDescent="0.25">
      <c r="C430" s="194"/>
      <c r="D430" s="195"/>
      <c r="E430" s="90"/>
      <c r="F430" s="198"/>
      <c r="G430" s="214"/>
      <c r="H430" s="199"/>
      <c r="I430" s="78"/>
      <c r="J430" s="79"/>
      <c r="K430" s="78"/>
      <c r="L430" s="80"/>
      <c r="M430" s="80"/>
      <c r="N430" s="78" t="s">
        <v>39</v>
      </c>
      <c r="O430" s="113"/>
      <c r="P430" s="155"/>
      <c r="Q430" s="114" t="str">
        <f>IFERROR(MIN(VLOOKUP(ROUNDDOWN(P430,0),'Aide calcul'!$B$2:$C$282,2,FALSE),O430+1),"")</f>
        <v/>
      </c>
      <c r="R430" s="115" t="str">
        <f t="shared" si="101"/>
        <v/>
      </c>
      <c r="S430" s="155"/>
      <c r="T430" s="155"/>
      <c r="U430" s="155"/>
      <c r="V430" s="155"/>
      <c r="W430" s="155"/>
      <c r="X430" s="155"/>
      <c r="Y430" s="155"/>
      <c r="Z430" s="78"/>
      <c r="AA430" s="78"/>
      <c r="AB430" s="116" t="str">
        <f>IF(C430="3111. Logements",ROUND(VLOOKUP(C430,'Informations générales'!$C$66:$D$70,2,FALSE)*(AK430/$AL$27)/12,0)*12,IF(C430="3112. Logements",ROUND(VLOOKUP(C430,'Informations générales'!$C$66:$D$70,2,FALSE)*(AK430/$AM$27)/12,0)*12,IF(C430="3113. Logements",ROUND(VLOOKUP(C430,'Informations générales'!$C$66:$D$70,2,FALSE)*(AK430/$AN$27)/12,0)*12,IF(C430="3114. Logements",ROUND(VLOOKUP(C430,'Informations générales'!$C$66:$D$70,2,FALSE)*(AK430/$AO$27)/12,0)*12,IF(C430="3115. Logements",ROUND(VLOOKUP(C430,'Informations générales'!$C$66:$D$70,2,FALSE)*(AK430/$AP$27)/12,0)*12,"")))))</f>
        <v/>
      </c>
      <c r="AC430" s="117"/>
      <c r="AD430" s="116">
        <f t="shared" si="102"/>
        <v>0</v>
      </c>
      <c r="AE430" s="117"/>
      <c r="AF430" s="116" t="str">
        <f>IF(C430="3111. Logements",ROUND(VLOOKUP(C430,'Informations générales'!$C$66:$G$70,5,FALSE)*(AK430/$AL$27)/12,0)*12,IF(C430="3112. Logements",ROUND(VLOOKUP(C430,'Informations générales'!$C$66:$G$70,5,FALSE)*(AK430/$AM$27)/12,0)*12,IF(C430="3113. Logements",ROUND(VLOOKUP(C430,'Informations générales'!$C$66:$G$70,5,FALSE)*(AK430/$AN$27)/12,0)*12,IF(C430="3114. Logements",ROUND(VLOOKUP(C430,'Informations générales'!$C$66:$G$70,5,FALSE)*(AK430/$AO$27)/12,0)*12,IF(C430="3115. Logements",ROUND(VLOOKUP(C430,'Informations générales'!$C$66:$G$70,5,FALSE)*(AK430/$AP$27)/12,0)*12,"")))))</f>
        <v/>
      </c>
      <c r="AG430" s="117"/>
      <c r="AH430" s="116" t="str">
        <f t="shared" si="103"/>
        <v/>
      </c>
      <c r="AI430" s="92"/>
      <c r="AJ430" s="78"/>
      <c r="AK430" s="60">
        <f t="shared" si="104"/>
        <v>0</v>
      </c>
      <c r="AL430" s="60"/>
      <c r="AM430" s="60"/>
      <c r="AN430" s="60"/>
      <c r="AO430" s="60"/>
      <c r="AP430" s="60"/>
      <c r="AQ430" s="60">
        <f t="shared" si="94"/>
        <v>0</v>
      </c>
      <c r="AR430" s="60">
        <f t="shared" si="95"/>
        <v>0</v>
      </c>
      <c r="AS430" s="60">
        <f t="shared" si="96"/>
        <v>0</v>
      </c>
      <c r="AT430" s="60">
        <f t="shared" si="97"/>
        <v>0</v>
      </c>
      <c r="AU430" s="60">
        <f t="shared" si="98"/>
        <v>0</v>
      </c>
      <c r="AV430" s="60">
        <f t="shared" si="99"/>
        <v>0</v>
      </c>
      <c r="AW430" s="60">
        <f t="shared" si="100"/>
        <v>0</v>
      </c>
      <c r="AX430" s="60">
        <f t="shared" si="105"/>
        <v>0</v>
      </c>
      <c r="AY430" s="64">
        <f t="shared" si="106"/>
        <v>0</v>
      </c>
      <c r="AZ430" s="65">
        <f t="shared" si="108"/>
        <v>0</v>
      </c>
      <c r="BA430" s="65">
        <f t="shared" si="107"/>
        <v>0</v>
      </c>
    </row>
    <row r="431" spans="3:53" s="17" customFormat="1" x14ac:dyDescent="0.25">
      <c r="C431" s="194"/>
      <c r="D431" s="195"/>
      <c r="E431" s="90"/>
      <c r="F431" s="198"/>
      <c r="G431" s="214"/>
      <c r="H431" s="199"/>
      <c r="I431" s="78"/>
      <c r="J431" s="79"/>
      <c r="K431" s="78"/>
      <c r="L431" s="80"/>
      <c r="M431" s="80"/>
      <c r="N431" s="78" t="s">
        <v>39</v>
      </c>
      <c r="O431" s="113"/>
      <c r="P431" s="155"/>
      <c r="Q431" s="114" t="str">
        <f>IFERROR(MIN(VLOOKUP(ROUNDDOWN(P431,0),'Aide calcul'!$B$2:$C$282,2,FALSE),O431+1),"")</f>
        <v/>
      </c>
      <c r="R431" s="115" t="str">
        <f t="shared" si="101"/>
        <v/>
      </c>
      <c r="S431" s="155"/>
      <c r="T431" s="155"/>
      <c r="U431" s="155"/>
      <c r="V431" s="155"/>
      <c r="W431" s="155"/>
      <c r="X431" s="155"/>
      <c r="Y431" s="155"/>
      <c r="Z431" s="78"/>
      <c r="AA431" s="78"/>
      <c r="AB431" s="116" t="str">
        <f>IF(C431="3111. Logements",ROUND(VLOOKUP(C431,'Informations générales'!$C$66:$D$70,2,FALSE)*(AK431/$AL$27)/12,0)*12,IF(C431="3112. Logements",ROUND(VLOOKUP(C431,'Informations générales'!$C$66:$D$70,2,FALSE)*(AK431/$AM$27)/12,0)*12,IF(C431="3113. Logements",ROUND(VLOOKUP(C431,'Informations générales'!$C$66:$D$70,2,FALSE)*(AK431/$AN$27)/12,0)*12,IF(C431="3114. Logements",ROUND(VLOOKUP(C431,'Informations générales'!$C$66:$D$70,2,FALSE)*(AK431/$AO$27)/12,0)*12,IF(C431="3115. Logements",ROUND(VLOOKUP(C431,'Informations générales'!$C$66:$D$70,2,FALSE)*(AK431/$AP$27)/12,0)*12,"")))))</f>
        <v/>
      </c>
      <c r="AC431" s="117"/>
      <c r="AD431" s="116">
        <f t="shared" si="102"/>
        <v>0</v>
      </c>
      <c r="AE431" s="117"/>
      <c r="AF431" s="116" t="str">
        <f>IF(C431="3111. Logements",ROUND(VLOOKUP(C431,'Informations générales'!$C$66:$G$70,5,FALSE)*(AK431/$AL$27)/12,0)*12,IF(C431="3112. Logements",ROUND(VLOOKUP(C431,'Informations générales'!$C$66:$G$70,5,FALSE)*(AK431/$AM$27)/12,0)*12,IF(C431="3113. Logements",ROUND(VLOOKUP(C431,'Informations générales'!$C$66:$G$70,5,FALSE)*(AK431/$AN$27)/12,0)*12,IF(C431="3114. Logements",ROUND(VLOOKUP(C431,'Informations générales'!$C$66:$G$70,5,FALSE)*(AK431/$AO$27)/12,0)*12,IF(C431="3115. Logements",ROUND(VLOOKUP(C431,'Informations générales'!$C$66:$G$70,5,FALSE)*(AK431/$AP$27)/12,0)*12,"")))))</f>
        <v/>
      </c>
      <c r="AG431" s="117"/>
      <c r="AH431" s="116" t="str">
        <f t="shared" si="103"/>
        <v/>
      </c>
      <c r="AI431" s="92"/>
      <c r="AJ431" s="78"/>
      <c r="AK431" s="60">
        <f t="shared" si="104"/>
        <v>0</v>
      </c>
      <c r="AL431" s="60"/>
      <c r="AM431" s="60"/>
      <c r="AN431" s="60"/>
      <c r="AO431" s="60"/>
      <c r="AP431" s="60"/>
      <c r="AQ431" s="60">
        <f t="shared" si="94"/>
        <v>0</v>
      </c>
      <c r="AR431" s="60">
        <f t="shared" si="95"/>
        <v>0</v>
      </c>
      <c r="AS431" s="60">
        <f t="shared" si="96"/>
        <v>0</v>
      </c>
      <c r="AT431" s="60">
        <f t="shared" si="97"/>
        <v>0</v>
      </c>
      <c r="AU431" s="60">
        <f t="shared" si="98"/>
        <v>0</v>
      </c>
      <c r="AV431" s="60">
        <f t="shared" si="99"/>
        <v>0</v>
      </c>
      <c r="AW431" s="60">
        <f t="shared" si="100"/>
        <v>0</v>
      </c>
      <c r="AX431" s="60">
        <f t="shared" si="105"/>
        <v>0</v>
      </c>
      <c r="AY431" s="64">
        <f t="shared" si="106"/>
        <v>0</v>
      </c>
      <c r="AZ431" s="65">
        <f t="shared" si="108"/>
        <v>0</v>
      </c>
      <c r="BA431" s="65">
        <f t="shared" si="107"/>
        <v>0</v>
      </c>
    </row>
    <row r="432" spans="3:53" s="17" customFormat="1" x14ac:dyDescent="0.25">
      <c r="C432" s="194"/>
      <c r="D432" s="195"/>
      <c r="E432" s="90"/>
      <c r="F432" s="198"/>
      <c r="G432" s="214"/>
      <c r="H432" s="199"/>
      <c r="I432" s="78"/>
      <c r="J432" s="79"/>
      <c r="K432" s="78"/>
      <c r="L432" s="80"/>
      <c r="M432" s="80"/>
      <c r="N432" s="78" t="s">
        <v>39</v>
      </c>
      <c r="O432" s="113"/>
      <c r="P432" s="155"/>
      <c r="Q432" s="114" t="str">
        <f>IFERROR(MIN(VLOOKUP(ROUNDDOWN(P432,0),'Aide calcul'!$B$2:$C$282,2,FALSE),O432+1),"")</f>
        <v/>
      </c>
      <c r="R432" s="115" t="str">
        <f t="shared" si="101"/>
        <v/>
      </c>
      <c r="S432" s="155"/>
      <c r="T432" s="155"/>
      <c r="U432" s="155"/>
      <c r="V432" s="155"/>
      <c r="W432" s="155"/>
      <c r="X432" s="155"/>
      <c r="Y432" s="155"/>
      <c r="Z432" s="78"/>
      <c r="AA432" s="78"/>
      <c r="AB432" s="116" t="str">
        <f>IF(C432="3111. Logements",ROUND(VLOOKUP(C432,'Informations générales'!$C$66:$D$70,2,FALSE)*(AK432/$AL$27)/12,0)*12,IF(C432="3112. Logements",ROUND(VLOOKUP(C432,'Informations générales'!$C$66:$D$70,2,FALSE)*(AK432/$AM$27)/12,0)*12,IF(C432="3113. Logements",ROUND(VLOOKUP(C432,'Informations générales'!$C$66:$D$70,2,FALSE)*(AK432/$AN$27)/12,0)*12,IF(C432="3114. Logements",ROUND(VLOOKUP(C432,'Informations générales'!$C$66:$D$70,2,FALSE)*(AK432/$AO$27)/12,0)*12,IF(C432="3115. Logements",ROUND(VLOOKUP(C432,'Informations générales'!$C$66:$D$70,2,FALSE)*(AK432/$AP$27)/12,0)*12,"")))))</f>
        <v/>
      </c>
      <c r="AC432" s="117"/>
      <c r="AD432" s="116">
        <f t="shared" si="102"/>
        <v>0</v>
      </c>
      <c r="AE432" s="117"/>
      <c r="AF432" s="116" t="str">
        <f>IF(C432="3111. Logements",ROUND(VLOOKUP(C432,'Informations générales'!$C$66:$G$70,5,FALSE)*(AK432/$AL$27)/12,0)*12,IF(C432="3112. Logements",ROUND(VLOOKUP(C432,'Informations générales'!$C$66:$G$70,5,FALSE)*(AK432/$AM$27)/12,0)*12,IF(C432="3113. Logements",ROUND(VLOOKUP(C432,'Informations générales'!$C$66:$G$70,5,FALSE)*(AK432/$AN$27)/12,0)*12,IF(C432="3114. Logements",ROUND(VLOOKUP(C432,'Informations générales'!$C$66:$G$70,5,FALSE)*(AK432/$AO$27)/12,0)*12,IF(C432="3115. Logements",ROUND(VLOOKUP(C432,'Informations générales'!$C$66:$G$70,5,FALSE)*(AK432/$AP$27)/12,0)*12,"")))))</f>
        <v/>
      </c>
      <c r="AG432" s="117"/>
      <c r="AH432" s="116" t="str">
        <f t="shared" si="103"/>
        <v/>
      </c>
      <c r="AI432" s="92"/>
      <c r="AJ432" s="78"/>
      <c r="AK432" s="60">
        <f t="shared" si="104"/>
        <v>0</v>
      </c>
      <c r="AL432" s="60"/>
      <c r="AM432" s="60"/>
      <c r="AN432" s="60"/>
      <c r="AO432" s="60"/>
      <c r="AP432" s="60"/>
      <c r="AQ432" s="60">
        <f t="shared" si="94"/>
        <v>0</v>
      </c>
      <c r="AR432" s="60">
        <f t="shared" si="95"/>
        <v>0</v>
      </c>
      <c r="AS432" s="60">
        <f t="shared" si="96"/>
        <v>0</v>
      </c>
      <c r="AT432" s="60">
        <f t="shared" si="97"/>
        <v>0</v>
      </c>
      <c r="AU432" s="60">
        <f t="shared" si="98"/>
        <v>0</v>
      </c>
      <c r="AV432" s="60">
        <f t="shared" si="99"/>
        <v>0</v>
      </c>
      <c r="AW432" s="60">
        <f t="shared" si="100"/>
        <v>0</v>
      </c>
      <c r="AX432" s="60">
        <f t="shared" si="105"/>
        <v>0</v>
      </c>
      <c r="AY432" s="64">
        <f t="shared" si="106"/>
        <v>0</v>
      </c>
      <c r="AZ432" s="65">
        <f t="shared" si="108"/>
        <v>0</v>
      </c>
      <c r="BA432" s="65">
        <f t="shared" si="107"/>
        <v>0</v>
      </c>
    </row>
    <row r="433" spans="3:53" s="17" customFormat="1" x14ac:dyDescent="0.25">
      <c r="C433" s="194"/>
      <c r="D433" s="195"/>
      <c r="E433" s="90"/>
      <c r="F433" s="198"/>
      <c r="G433" s="214"/>
      <c r="H433" s="199"/>
      <c r="I433" s="78"/>
      <c r="J433" s="79"/>
      <c r="K433" s="78"/>
      <c r="L433" s="80"/>
      <c r="M433" s="80"/>
      <c r="N433" s="78" t="s">
        <v>39</v>
      </c>
      <c r="O433" s="113"/>
      <c r="P433" s="155"/>
      <c r="Q433" s="114" t="str">
        <f>IFERROR(MIN(VLOOKUP(ROUNDDOWN(P433,0),'Aide calcul'!$B$2:$C$282,2,FALSE),O433+1),"")</f>
        <v/>
      </c>
      <c r="R433" s="115" t="str">
        <f t="shared" si="101"/>
        <v/>
      </c>
      <c r="S433" s="155"/>
      <c r="T433" s="155"/>
      <c r="U433" s="155"/>
      <c r="V433" s="155"/>
      <c r="W433" s="155"/>
      <c r="X433" s="155"/>
      <c r="Y433" s="155"/>
      <c r="Z433" s="78"/>
      <c r="AA433" s="78"/>
      <c r="AB433" s="116" t="str">
        <f>IF(C433="3111. Logements",ROUND(VLOOKUP(C433,'Informations générales'!$C$66:$D$70,2,FALSE)*(AK433/$AL$27)/12,0)*12,IF(C433="3112. Logements",ROUND(VLOOKUP(C433,'Informations générales'!$C$66:$D$70,2,FALSE)*(AK433/$AM$27)/12,0)*12,IF(C433="3113. Logements",ROUND(VLOOKUP(C433,'Informations générales'!$C$66:$D$70,2,FALSE)*(AK433/$AN$27)/12,0)*12,IF(C433="3114. Logements",ROUND(VLOOKUP(C433,'Informations générales'!$C$66:$D$70,2,FALSE)*(AK433/$AO$27)/12,0)*12,IF(C433="3115. Logements",ROUND(VLOOKUP(C433,'Informations générales'!$C$66:$D$70,2,FALSE)*(AK433/$AP$27)/12,0)*12,"")))))</f>
        <v/>
      </c>
      <c r="AC433" s="117"/>
      <c r="AD433" s="116">
        <f t="shared" si="102"/>
        <v>0</v>
      </c>
      <c r="AE433" s="117"/>
      <c r="AF433" s="116" t="str">
        <f>IF(C433="3111. Logements",ROUND(VLOOKUP(C433,'Informations générales'!$C$66:$G$70,5,FALSE)*(AK433/$AL$27)/12,0)*12,IF(C433="3112. Logements",ROUND(VLOOKUP(C433,'Informations générales'!$C$66:$G$70,5,FALSE)*(AK433/$AM$27)/12,0)*12,IF(C433="3113. Logements",ROUND(VLOOKUP(C433,'Informations générales'!$C$66:$G$70,5,FALSE)*(AK433/$AN$27)/12,0)*12,IF(C433="3114. Logements",ROUND(VLOOKUP(C433,'Informations générales'!$C$66:$G$70,5,FALSE)*(AK433/$AO$27)/12,0)*12,IF(C433="3115. Logements",ROUND(VLOOKUP(C433,'Informations générales'!$C$66:$G$70,5,FALSE)*(AK433/$AP$27)/12,0)*12,"")))))</f>
        <v/>
      </c>
      <c r="AG433" s="117"/>
      <c r="AH433" s="116" t="str">
        <f t="shared" si="103"/>
        <v/>
      </c>
      <c r="AI433" s="92"/>
      <c r="AJ433" s="78"/>
      <c r="AK433" s="60">
        <f t="shared" si="104"/>
        <v>0</v>
      </c>
      <c r="AL433" s="60"/>
      <c r="AM433" s="60"/>
      <c r="AN433" s="60"/>
      <c r="AO433" s="60"/>
      <c r="AP433" s="60"/>
      <c r="AQ433" s="60">
        <f t="shared" si="94"/>
        <v>0</v>
      </c>
      <c r="AR433" s="60">
        <f t="shared" si="95"/>
        <v>0</v>
      </c>
      <c r="AS433" s="60">
        <f t="shared" si="96"/>
        <v>0</v>
      </c>
      <c r="AT433" s="60">
        <f t="shared" si="97"/>
        <v>0</v>
      </c>
      <c r="AU433" s="60">
        <f t="shared" si="98"/>
        <v>0</v>
      </c>
      <c r="AV433" s="60">
        <f t="shared" si="99"/>
        <v>0</v>
      </c>
      <c r="AW433" s="60">
        <f t="shared" si="100"/>
        <v>0</v>
      </c>
      <c r="AX433" s="60">
        <f t="shared" si="105"/>
        <v>0</v>
      </c>
      <c r="AY433" s="64">
        <f t="shared" si="106"/>
        <v>0</v>
      </c>
      <c r="AZ433" s="65">
        <f t="shared" si="108"/>
        <v>0</v>
      </c>
      <c r="BA433" s="65">
        <f t="shared" si="107"/>
        <v>0</v>
      </c>
    </row>
    <row r="434" spans="3:53" s="17" customFormat="1" x14ac:dyDescent="0.25">
      <c r="C434" s="194"/>
      <c r="D434" s="195"/>
      <c r="E434" s="90"/>
      <c r="F434" s="198"/>
      <c r="G434" s="214"/>
      <c r="H434" s="199"/>
      <c r="I434" s="78"/>
      <c r="J434" s="79"/>
      <c r="K434" s="78"/>
      <c r="L434" s="80"/>
      <c r="M434" s="80"/>
      <c r="N434" s="78" t="s">
        <v>39</v>
      </c>
      <c r="O434" s="113"/>
      <c r="P434" s="155"/>
      <c r="Q434" s="114" t="str">
        <f>IFERROR(MIN(VLOOKUP(ROUNDDOWN(P434,0),'Aide calcul'!$B$2:$C$282,2,FALSE),O434+1),"")</f>
        <v/>
      </c>
      <c r="R434" s="115" t="str">
        <f t="shared" si="101"/>
        <v/>
      </c>
      <c r="S434" s="155"/>
      <c r="T434" s="155"/>
      <c r="U434" s="155"/>
      <c r="V434" s="155"/>
      <c r="W434" s="155"/>
      <c r="X434" s="155"/>
      <c r="Y434" s="155"/>
      <c r="Z434" s="78"/>
      <c r="AA434" s="78"/>
      <c r="AB434" s="116" t="str">
        <f>IF(C434="3111. Logements",ROUND(VLOOKUP(C434,'Informations générales'!$C$66:$D$70,2,FALSE)*(AK434/$AL$27)/12,0)*12,IF(C434="3112. Logements",ROUND(VLOOKUP(C434,'Informations générales'!$C$66:$D$70,2,FALSE)*(AK434/$AM$27)/12,0)*12,IF(C434="3113. Logements",ROUND(VLOOKUP(C434,'Informations générales'!$C$66:$D$70,2,FALSE)*(AK434/$AN$27)/12,0)*12,IF(C434="3114. Logements",ROUND(VLOOKUP(C434,'Informations générales'!$C$66:$D$70,2,FALSE)*(AK434/$AO$27)/12,0)*12,IF(C434="3115. Logements",ROUND(VLOOKUP(C434,'Informations générales'!$C$66:$D$70,2,FALSE)*(AK434/$AP$27)/12,0)*12,"")))))</f>
        <v/>
      </c>
      <c r="AC434" s="117"/>
      <c r="AD434" s="116">
        <f t="shared" si="102"/>
        <v>0</v>
      </c>
      <c r="AE434" s="117"/>
      <c r="AF434" s="116" t="str">
        <f>IF(C434="3111. Logements",ROUND(VLOOKUP(C434,'Informations générales'!$C$66:$G$70,5,FALSE)*(AK434/$AL$27)/12,0)*12,IF(C434="3112. Logements",ROUND(VLOOKUP(C434,'Informations générales'!$C$66:$G$70,5,FALSE)*(AK434/$AM$27)/12,0)*12,IF(C434="3113. Logements",ROUND(VLOOKUP(C434,'Informations générales'!$C$66:$G$70,5,FALSE)*(AK434/$AN$27)/12,0)*12,IF(C434="3114. Logements",ROUND(VLOOKUP(C434,'Informations générales'!$C$66:$G$70,5,FALSE)*(AK434/$AO$27)/12,0)*12,IF(C434="3115. Logements",ROUND(VLOOKUP(C434,'Informations générales'!$C$66:$G$70,5,FALSE)*(AK434/$AP$27)/12,0)*12,"")))))</f>
        <v/>
      </c>
      <c r="AG434" s="117"/>
      <c r="AH434" s="116" t="str">
        <f t="shared" si="103"/>
        <v/>
      </c>
      <c r="AI434" s="92"/>
      <c r="AJ434" s="78"/>
      <c r="AK434" s="60">
        <f t="shared" si="104"/>
        <v>0</v>
      </c>
      <c r="AL434" s="60"/>
      <c r="AM434" s="60"/>
      <c r="AN434" s="60"/>
      <c r="AO434" s="60"/>
      <c r="AP434" s="60"/>
      <c r="AQ434" s="60">
        <f t="shared" si="94"/>
        <v>0</v>
      </c>
      <c r="AR434" s="60">
        <f t="shared" si="95"/>
        <v>0</v>
      </c>
      <c r="AS434" s="60">
        <f t="shared" si="96"/>
        <v>0</v>
      </c>
      <c r="AT434" s="60">
        <f t="shared" si="97"/>
        <v>0</v>
      </c>
      <c r="AU434" s="60">
        <f t="shared" si="98"/>
        <v>0</v>
      </c>
      <c r="AV434" s="60">
        <f t="shared" si="99"/>
        <v>0</v>
      </c>
      <c r="AW434" s="60">
        <f t="shared" si="100"/>
        <v>0</v>
      </c>
      <c r="AX434" s="60">
        <f t="shared" si="105"/>
        <v>0</v>
      </c>
      <c r="AY434" s="64">
        <f t="shared" si="106"/>
        <v>0</v>
      </c>
      <c r="AZ434" s="65">
        <f t="shared" si="108"/>
        <v>0</v>
      </c>
      <c r="BA434" s="65">
        <f t="shared" si="107"/>
        <v>0</v>
      </c>
    </row>
    <row r="435" spans="3:53" s="17" customFormat="1" x14ac:dyDescent="0.25">
      <c r="C435" s="194"/>
      <c r="D435" s="195"/>
      <c r="E435" s="90"/>
      <c r="F435" s="198"/>
      <c r="G435" s="214"/>
      <c r="H435" s="199"/>
      <c r="I435" s="78"/>
      <c r="J435" s="79"/>
      <c r="K435" s="78"/>
      <c r="L435" s="80"/>
      <c r="M435" s="80"/>
      <c r="N435" s="78" t="s">
        <v>39</v>
      </c>
      <c r="O435" s="113"/>
      <c r="P435" s="155"/>
      <c r="Q435" s="114" t="str">
        <f>IFERROR(MIN(VLOOKUP(ROUNDDOWN(P435,0),'Aide calcul'!$B$2:$C$282,2,FALSE),O435+1),"")</f>
        <v/>
      </c>
      <c r="R435" s="115" t="str">
        <f t="shared" si="101"/>
        <v/>
      </c>
      <c r="S435" s="155"/>
      <c r="T435" s="155"/>
      <c r="U435" s="155"/>
      <c r="V435" s="155"/>
      <c r="W435" s="155"/>
      <c r="X435" s="155"/>
      <c r="Y435" s="155"/>
      <c r="Z435" s="78"/>
      <c r="AA435" s="78"/>
      <c r="AB435" s="116" t="str">
        <f>IF(C435="3111. Logements",ROUND(VLOOKUP(C435,'Informations générales'!$C$66:$D$70,2,FALSE)*(AK435/$AL$27)/12,0)*12,IF(C435="3112. Logements",ROUND(VLOOKUP(C435,'Informations générales'!$C$66:$D$70,2,FALSE)*(AK435/$AM$27)/12,0)*12,IF(C435="3113. Logements",ROUND(VLOOKUP(C435,'Informations générales'!$C$66:$D$70,2,FALSE)*(AK435/$AN$27)/12,0)*12,IF(C435="3114. Logements",ROUND(VLOOKUP(C435,'Informations générales'!$C$66:$D$70,2,FALSE)*(AK435/$AO$27)/12,0)*12,IF(C435="3115. Logements",ROUND(VLOOKUP(C435,'Informations générales'!$C$66:$D$70,2,FALSE)*(AK435/$AP$27)/12,0)*12,"")))))</f>
        <v/>
      </c>
      <c r="AC435" s="117"/>
      <c r="AD435" s="116">
        <f t="shared" si="102"/>
        <v>0</v>
      </c>
      <c r="AE435" s="117"/>
      <c r="AF435" s="116" t="str">
        <f>IF(C435="3111. Logements",ROUND(VLOOKUP(C435,'Informations générales'!$C$66:$G$70,5,FALSE)*(AK435/$AL$27)/12,0)*12,IF(C435="3112. Logements",ROUND(VLOOKUP(C435,'Informations générales'!$C$66:$G$70,5,FALSE)*(AK435/$AM$27)/12,0)*12,IF(C435="3113. Logements",ROUND(VLOOKUP(C435,'Informations générales'!$C$66:$G$70,5,FALSE)*(AK435/$AN$27)/12,0)*12,IF(C435="3114. Logements",ROUND(VLOOKUP(C435,'Informations générales'!$C$66:$G$70,5,FALSE)*(AK435/$AO$27)/12,0)*12,IF(C435="3115. Logements",ROUND(VLOOKUP(C435,'Informations générales'!$C$66:$G$70,5,FALSE)*(AK435/$AP$27)/12,0)*12,"")))))</f>
        <v/>
      </c>
      <c r="AG435" s="117"/>
      <c r="AH435" s="116" t="str">
        <f t="shared" si="103"/>
        <v/>
      </c>
      <c r="AI435" s="92"/>
      <c r="AJ435" s="78"/>
      <c r="AK435" s="60">
        <f t="shared" si="104"/>
        <v>0</v>
      </c>
      <c r="AL435" s="60"/>
      <c r="AM435" s="60"/>
      <c r="AN435" s="60"/>
      <c r="AO435" s="60"/>
      <c r="AP435" s="60"/>
      <c r="AQ435" s="60">
        <f t="shared" si="94"/>
        <v>0</v>
      </c>
      <c r="AR435" s="60">
        <f t="shared" si="95"/>
        <v>0</v>
      </c>
      <c r="AS435" s="60">
        <f t="shared" si="96"/>
        <v>0</v>
      </c>
      <c r="AT435" s="60">
        <f t="shared" si="97"/>
        <v>0</v>
      </c>
      <c r="AU435" s="60">
        <f t="shared" si="98"/>
        <v>0</v>
      </c>
      <c r="AV435" s="60">
        <f t="shared" si="99"/>
        <v>0</v>
      </c>
      <c r="AW435" s="60">
        <f t="shared" si="100"/>
        <v>0</v>
      </c>
      <c r="AX435" s="60">
        <f t="shared" si="105"/>
        <v>0</v>
      </c>
      <c r="AY435" s="64">
        <f t="shared" si="106"/>
        <v>0</v>
      </c>
      <c r="AZ435" s="65">
        <f t="shared" si="108"/>
        <v>0</v>
      </c>
      <c r="BA435" s="65">
        <f t="shared" si="107"/>
        <v>0</v>
      </c>
    </row>
    <row r="436" spans="3:53" s="17" customFormat="1" x14ac:dyDescent="0.25">
      <c r="C436" s="194"/>
      <c r="D436" s="195"/>
      <c r="E436" s="90"/>
      <c r="F436" s="198"/>
      <c r="G436" s="214"/>
      <c r="H436" s="199"/>
      <c r="I436" s="78"/>
      <c r="J436" s="79"/>
      <c r="K436" s="78"/>
      <c r="L436" s="80"/>
      <c r="M436" s="80"/>
      <c r="N436" s="78" t="s">
        <v>39</v>
      </c>
      <c r="O436" s="113"/>
      <c r="P436" s="155"/>
      <c r="Q436" s="114" t="str">
        <f>IFERROR(MIN(VLOOKUP(ROUNDDOWN(P436,0),'Aide calcul'!$B$2:$C$282,2,FALSE),O436+1),"")</f>
        <v/>
      </c>
      <c r="R436" s="115" t="str">
        <f t="shared" si="101"/>
        <v/>
      </c>
      <c r="S436" s="155"/>
      <c r="T436" s="155"/>
      <c r="U436" s="155"/>
      <c r="V436" s="155"/>
      <c r="W436" s="155"/>
      <c r="X436" s="155"/>
      <c r="Y436" s="155"/>
      <c r="Z436" s="78"/>
      <c r="AA436" s="78"/>
      <c r="AB436" s="116" t="str">
        <f>IF(C436="3111. Logements",ROUND(VLOOKUP(C436,'Informations générales'!$C$66:$D$70,2,FALSE)*(AK436/$AL$27)/12,0)*12,IF(C436="3112. Logements",ROUND(VLOOKUP(C436,'Informations générales'!$C$66:$D$70,2,FALSE)*(AK436/$AM$27)/12,0)*12,IF(C436="3113. Logements",ROUND(VLOOKUP(C436,'Informations générales'!$C$66:$D$70,2,FALSE)*(AK436/$AN$27)/12,0)*12,IF(C436="3114. Logements",ROUND(VLOOKUP(C436,'Informations générales'!$C$66:$D$70,2,FALSE)*(AK436/$AO$27)/12,0)*12,IF(C436="3115. Logements",ROUND(VLOOKUP(C436,'Informations générales'!$C$66:$D$70,2,FALSE)*(AK436/$AP$27)/12,0)*12,"")))))</f>
        <v/>
      </c>
      <c r="AC436" s="117"/>
      <c r="AD436" s="116">
        <f t="shared" si="102"/>
        <v>0</v>
      </c>
      <c r="AE436" s="117"/>
      <c r="AF436" s="116" t="str">
        <f>IF(C436="3111. Logements",ROUND(VLOOKUP(C436,'Informations générales'!$C$66:$G$70,5,FALSE)*(AK436/$AL$27)/12,0)*12,IF(C436="3112. Logements",ROUND(VLOOKUP(C436,'Informations générales'!$C$66:$G$70,5,FALSE)*(AK436/$AM$27)/12,0)*12,IF(C436="3113. Logements",ROUND(VLOOKUP(C436,'Informations générales'!$C$66:$G$70,5,FALSE)*(AK436/$AN$27)/12,0)*12,IF(C436="3114. Logements",ROUND(VLOOKUP(C436,'Informations générales'!$C$66:$G$70,5,FALSE)*(AK436/$AO$27)/12,0)*12,IF(C436="3115. Logements",ROUND(VLOOKUP(C436,'Informations générales'!$C$66:$G$70,5,FALSE)*(AK436/$AP$27)/12,0)*12,"")))))</f>
        <v/>
      </c>
      <c r="AG436" s="117"/>
      <c r="AH436" s="116" t="str">
        <f t="shared" si="103"/>
        <v/>
      </c>
      <c r="AI436" s="92"/>
      <c r="AJ436" s="78"/>
      <c r="AK436" s="60">
        <f t="shared" si="104"/>
        <v>0</v>
      </c>
      <c r="AL436" s="60"/>
      <c r="AM436" s="60"/>
      <c r="AN436" s="60"/>
      <c r="AO436" s="60"/>
      <c r="AP436" s="60"/>
      <c r="AQ436" s="60">
        <f t="shared" si="94"/>
        <v>0</v>
      </c>
      <c r="AR436" s="60">
        <f t="shared" si="95"/>
        <v>0</v>
      </c>
      <c r="AS436" s="60">
        <f t="shared" si="96"/>
        <v>0</v>
      </c>
      <c r="AT436" s="60">
        <f t="shared" si="97"/>
        <v>0</v>
      </c>
      <c r="AU436" s="60">
        <f t="shared" si="98"/>
        <v>0</v>
      </c>
      <c r="AV436" s="60">
        <f t="shared" si="99"/>
        <v>0</v>
      </c>
      <c r="AW436" s="60">
        <f t="shared" si="100"/>
        <v>0</v>
      </c>
      <c r="AX436" s="60">
        <f t="shared" si="105"/>
        <v>0</v>
      </c>
      <c r="AY436" s="64">
        <f t="shared" si="106"/>
        <v>0</v>
      </c>
      <c r="AZ436" s="65">
        <f t="shared" si="108"/>
        <v>0</v>
      </c>
      <c r="BA436" s="65">
        <f t="shared" si="107"/>
        <v>0</v>
      </c>
    </row>
    <row r="437" spans="3:53" s="17" customFormat="1" x14ac:dyDescent="0.25">
      <c r="C437" s="194"/>
      <c r="D437" s="195"/>
      <c r="E437" s="90"/>
      <c r="F437" s="198"/>
      <c r="G437" s="214"/>
      <c r="H437" s="199"/>
      <c r="I437" s="78"/>
      <c r="J437" s="79"/>
      <c r="K437" s="78"/>
      <c r="L437" s="80"/>
      <c r="M437" s="80"/>
      <c r="N437" s="78" t="s">
        <v>39</v>
      </c>
      <c r="O437" s="113"/>
      <c r="P437" s="155"/>
      <c r="Q437" s="114" t="str">
        <f>IFERROR(MIN(VLOOKUP(ROUNDDOWN(P437,0),'Aide calcul'!$B$2:$C$282,2,FALSE),O437+1),"")</f>
        <v/>
      </c>
      <c r="R437" s="115" t="str">
        <f t="shared" si="101"/>
        <v/>
      </c>
      <c r="S437" s="155"/>
      <c r="T437" s="155"/>
      <c r="U437" s="155"/>
      <c r="V437" s="155"/>
      <c r="W437" s="155"/>
      <c r="X437" s="155"/>
      <c r="Y437" s="155"/>
      <c r="Z437" s="78"/>
      <c r="AA437" s="78"/>
      <c r="AB437" s="116" t="str">
        <f>IF(C437="3111. Logements",ROUND(VLOOKUP(C437,'Informations générales'!$C$66:$D$70,2,FALSE)*(AK437/$AL$27)/12,0)*12,IF(C437="3112. Logements",ROUND(VLOOKUP(C437,'Informations générales'!$C$66:$D$70,2,FALSE)*(AK437/$AM$27)/12,0)*12,IF(C437="3113. Logements",ROUND(VLOOKUP(C437,'Informations générales'!$C$66:$D$70,2,FALSE)*(AK437/$AN$27)/12,0)*12,IF(C437="3114. Logements",ROUND(VLOOKUP(C437,'Informations générales'!$C$66:$D$70,2,FALSE)*(AK437/$AO$27)/12,0)*12,IF(C437="3115. Logements",ROUND(VLOOKUP(C437,'Informations générales'!$C$66:$D$70,2,FALSE)*(AK437/$AP$27)/12,0)*12,"")))))</f>
        <v/>
      </c>
      <c r="AC437" s="117"/>
      <c r="AD437" s="116">
        <f t="shared" si="102"/>
        <v>0</v>
      </c>
      <c r="AE437" s="117"/>
      <c r="AF437" s="116" t="str">
        <f>IF(C437="3111. Logements",ROUND(VLOOKUP(C437,'Informations générales'!$C$66:$G$70,5,FALSE)*(AK437/$AL$27)/12,0)*12,IF(C437="3112. Logements",ROUND(VLOOKUP(C437,'Informations générales'!$C$66:$G$70,5,FALSE)*(AK437/$AM$27)/12,0)*12,IF(C437="3113. Logements",ROUND(VLOOKUP(C437,'Informations générales'!$C$66:$G$70,5,FALSE)*(AK437/$AN$27)/12,0)*12,IF(C437="3114. Logements",ROUND(VLOOKUP(C437,'Informations générales'!$C$66:$G$70,5,FALSE)*(AK437/$AO$27)/12,0)*12,IF(C437="3115. Logements",ROUND(VLOOKUP(C437,'Informations générales'!$C$66:$G$70,5,FALSE)*(AK437/$AP$27)/12,0)*12,"")))))</f>
        <v/>
      </c>
      <c r="AG437" s="117"/>
      <c r="AH437" s="116" t="str">
        <f t="shared" si="103"/>
        <v/>
      </c>
      <c r="AI437" s="92"/>
      <c r="AJ437" s="78"/>
      <c r="AK437" s="60">
        <f t="shared" si="104"/>
        <v>0</v>
      </c>
      <c r="AL437" s="60"/>
      <c r="AM437" s="60"/>
      <c r="AN437" s="60"/>
      <c r="AO437" s="60"/>
      <c r="AP437" s="60"/>
      <c r="AQ437" s="60">
        <f t="shared" si="94"/>
        <v>0</v>
      </c>
      <c r="AR437" s="60">
        <f t="shared" si="95"/>
        <v>0</v>
      </c>
      <c r="AS437" s="60">
        <f t="shared" si="96"/>
        <v>0</v>
      </c>
      <c r="AT437" s="60">
        <f t="shared" si="97"/>
        <v>0</v>
      </c>
      <c r="AU437" s="60">
        <f t="shared" si="98"/>
        <v>0</v>
      </c>
      <c r="AV437" s="60">
        <f t="shared" si="99"/>
        <v>0</v>
      </c>
      <c r="AW437" s="60">
        <f t="shared" si="100"/>
        <v>0</v>
      </c>
      <c r="AX437" s="60">
        <f t="shared" si="105"/>
        <v>0</v>
      </c>
      <c r="AY437" s="64">
        <f t="shared" si="106"/>
        <v>0</v>
      </c>
      <c r="AZ437" s="65">
        <f t="shared" si="108"/>
        <v>0</v>
      </c>
      <c r="BA437" s="65">
        <f t="shared" si="107"/>
        <v>0</v>
      </c>
    </row>
    <row r="438" spans="3:53" s="17" customFormat="1" x14ac:dyDescent="0.25">
      <c r="C438" s="194"/>
      <c r="D438" s="195"/>
      <c r="E438" s="90"/>
      <c r="F438" s="198"/>
      <c r="G438" s="214"/>
      <c r="H438" s="199"/>
      <c r="I438" s="78"/>
      <c r="J438" s="79"/>
      <c r="K438" s="78"/>
      <c r="L438" s="80"/>
      <c r="M438" s="80"/>
      <c r="N438" s="78" t="s">
        <v>39</v>
      </c>
      <c r="O438" s="113"/>
      <c r="P438" s="155"/>
      <c r="Q438" s="114" t="str">
        <f>IFERROR(MIN(VLOOKUP(ROUNDDOWN(P438,0),'Aide calcul'!$B$2:$C$282,2,FALSE),O438+1),"")</f>
        <v/>
      </c>
      <c r="R438" s="115" t="str">
        <f t="shared" si="101"/>
        <v/>
      </c>
      <c r="S438" s="155"/>
      <c r="T438" s="155"/>
      <c r="U438" s="155"/>
      <c r="V438" s="155"/>
      <c r="W438" s="155"/>
      <c r="X438" s="155"/>
      <c r="Y438" s="155"/>
      <c r="Z438" s="78"/>
      <c r="AA438" s="78"/>
      <c r="AB438" s="116" t="str">
        <f>IF(C438="3111. Logements",ROUND(VLOOKUP(C438,'Informations générales'!$C$66:$D$70,2,FALSE)*(AK438/$AL$27)/12,0)*12,IF(C438="3112. Logements",ROUND(VLOOKUP(C438,'Informations générales'!$C$66:$D$70,2,FALSE)*(AK438/$AM$27)/12,0)*12,IF(C438="3113. Logements",ROUND(VLOOKUP(C438,'Informations générales'!$C$66:$D$70,2,FALSE)*(AK438/$AN$27)/12,0)*12,IF(C438="3114. Logements",ROUND(VLOOKUP(C438,'Informations générales'!$C$66:$D$70,2,FALSE)*(AK438/$AO$27)/12,0)*12,IF(C438="3115. Logements",ROUND(VLOOKUP(C438,'Informations générales'!$C$66:$D$70,2,FALSE)*(AK438/$AP$27)/12,0)*12,"")))))</f>
        <v/>
      </c>
      <c r="AC438" s="117"/>
      <c r="AD438" s="116">
        <f t="shared" si="102"/>
        <v>0</v>
      </c>
      <c r="AE438" s="117"/>
      <c r="AF438" s="116" t="str">
        <f>IF(C438="3111. Logements",ROUND(VLOOKUP(C438,'Informations générales'!$C$66:$G$70,5,FALSE)*(AK438/$AL$27)/12,0)*12,IF(C438="3112. Logements",ROUND(VLOOKUP(C438,'Informations générales'!$C$66:$G$70,5,FALSE)*(AK438/$AM$27)/12,0)*12,IF(C438="3113. Logements",ROUND(VLOOKUP(C438,'Informations générales'!$C$66:$G$70,5,FALSE)*(AK438/$AN$27)/12,0)*12,IF(C438="3114. Logements",ROUND(VLOOKUP(C438,'Informations générales'!$C$66:$G$70,5,FALSE)*(AK438/$AO$27)/12,0)*12,IF(C438="3115. Logements",ROUND(VLOOKUP(C438,'Informations générales'!$C$66:$G$70,5,FALSE)*(AK438/$AP$27)/12,0)*12,"")))))</f>
        <v/>
      </c>
      <c r="AG438" s="117"/>
      <c r="AH438" s="116" t="str">
        <f t="shared" si="103"/>
        <v/>
      </c>
      <c r="AI438" s="92"/>
      <c r="AJ438" s="78"/>
      <c r="AK438" s="60">
        <f t="shared" si="104"/>
        <v>0</v>
      </c>
      <c r="AL438" s="60"/>
      <c r="AM438" s="60"/>
      <c r="AN438" s="60"/>
      <c r="AO438" s="60"/>
      <c r="AP438" s="60"/>
      <c r="AQ438" s="60">
        <f t="shared" si="94"/>
        <v>0</v>
      </c>
      <c r="AR438" s="60">
        <f t="shared" si="95"/>
        <v>0</v>
      </c>
      <c r="AS438" s="60">
        <f t="shared" si="96"/>
        <v>0</v>
      </c>
      <c r="AT438" s="60">
        <f t="shared" si="97"/>
        <v>0</v>
      </c>
      <c r="AU438" s="60">
        <f t="shared" si="98"/>
        <v>0</v>
      </c>
      <c r="AV438" s="60">
        <f t="shared" si="99"/>
        <v>0</v>
      </c>
      <c r="AW438" s="60">
        <f t="shared" si="100"/>
        <v>0</v>
      </c>
      <c r="AX438" s="60">
        <f t="shared" si="105"/>
        <v>0</v>
      </c>
      <c r="AY438" s="64">
        <f t="shared" si="106"/>
        <v>0</v>
      </c>
      <c r="AZ438" s="65">
        <f t="shared" si="108"/>
        <v>0</v>
      </c>
      <c r="BA438" s="65">
        <f t="shared" si="107"/>
        <v>0</v>
      </c>
    </row>
    <row r="439" spans="3:53" s="17" customFormat="1" x14ac:dyDescent="0.25">
      <c r="C439" s="194"/>
      <c r="D439" s="195"/>
      <c r="E439" s="90"/>
      <c r="F439" s="198"/>
      <c r="G439" s="214"/>
      <c r="H439" s="199"/>
      <c r="I439" s="78"/>
      <c r="J439" s="79"/>
      <c r="K439" s="78"/>
      <c r="L439" s="80"/>
      <c r="M439" s="80"/>
      <c r="N439" s="78" t="s">
        <v>39</v>
      </c>
      <c r="O439" s="113"/>
      <c r="P439" s="155"/>
      <c r="Q439" s="114" t="str">
        <f>IFERROR(MIN(VLOOKUP(ROUNDDOWN(P439,0),'Aide calcul'!$B$2:$C$282,2,FALSE),O439+1),"")</f>
        <v/>
      </c>
      <c r="R439" s="115" t="str">
        <f t="shared" si="101"/>
        <v/>
      </c>
      <c r="S439" s="155"/>
      <c r="T439" s="155"/>
      <c r="U439" s="155"/>
      <c r="V439" s="155"/>
      <c r="W439" s="155"/>
      <c r="X439" s="155"/>
      <c r="Y439" s="155"/>
      <c r="Z439" s="78"/>
      <c r="AA439" s="78"/>
      <c r="AB439" s="116" t="str">
        <f>IF(C439="3111. Logements",ROUND(VLOOKUP(C439,'Informations générales'!$C$66:$D$70,2,FALSE)*(AK439/$AL$27)/12,0)*12,IF(C439="3112. Logements",ROUND(VLOOKUP(C439,'Informations générales'!$C$66:$D$70,2,FALSE)*(AK439/$AM$27)/12,0)*12,IF(C439="3113. Logements",ROUND(VLOOKUP(C439,'Informations générales'!$C$66:$D$70,2,FALSE)*(AK439/$AN$27)/12,0)*12,IF(C439="3114. Logements",ROUND(VLOOKUP(C439,'Informations générales'!$C$66:$D$70,2,FALSE)*(AK439/$AO$27)/12,0)*12,IF(C439="3115. Logements",ROUND(VLOOKUP(C439,'Informations générales'!$C$66:$D$70,2,FALSE)*(AK439/$AP$27)/12,0)*12,"")))))</f>
        <v/>
      </c>
      <c r="AC439" s="117"/>
      <c r="AD439" s="116">
        <f t="shared" si="102"/>
        <v>0</v>
      </c>
      <c r="AE439" s="117"/>
      <c r="AF439" s="116" t="str">
        <f>IF(C439="3111. Logements",ROUND(VLOOKUP(C439,'Informations générales'!$C$66:$G$70,5,FALSE)*(AK439/$AL$27)/12,0)*12,IF(C439="3112. Logements",ROUND(VLOOKUP(C439,'Informations générales'!$C$66:$G$70,5,FALSE)*(AK439/$AM$27)/12,0)*12,IF(C439="3113. Logements",ROUND(VLOOKUP(C439,'Informations générales'!$C$66:$G$70,5,FALSE)*(AK439/$AN$27)/12,0)*12,IF(C439="3114. Logements",ROUND(VLOOKUP(C439,'Informations générales'!$C$66:$G$70,5,FALSE)*(AK439/$AO$27)/12,0)*12,IF(C439="3115. Logements",ROUND(VLOOKUP(C439,'Informations générales'!$C$66:$G$70,5,FALSE)*(AK439/$AP$27)/12,0)*12,"")))))</f>
        <v/>
      </c>
      <c r="AG439" s="117"/>
      <c r="AH439" s="116" t="str">
        <f t="shared" si="103"/>
        <v/>
      </c>
      <c r="AI439" s="92"/>
      <c r="AJ439" s="78"/>
      <c r="AK439" s="60">
        <f t="shared" si="104"/>
        <v>0</v>
      </c>
      <c r="AL439" s="60"/>
      <c r="AM439" s="60"/>
      <c r="AN439" s="60"/>
      <c r="AO439" s="60"/>
      <c r="AP439" s="60"/>
      <c r="AQ439" s="60">
        <f t="shared" si="94"/>
        <v>0</v>
      </c>
      <c r="AR439" s="60">
        <f t="shared" si="95"/>
        <v>0</v>
      </c>
      <c r="AS439" s="60">
        <f t="shared" si="96"/>
        <v>0</v>
      </c>
      <c r="AT439" s="60">
        <f t="shared" si="97"/>
        <v>0</v>
      </c>
      <c r="AU439" s="60">
        <f t="shared" si="98"/>
        <v>0</v>
      </c>
      <c r="AV439" s="60">
        <f t="shared" si="99"/>
        <v>0</v>
      </c>
      <c r="AW439" s="60">
        <f t="shared" si="100"/>
        <v>0</v>
      </c>
      <c r="AX439" s="60">
        <f t="shared" si="105"/>
        <v>0</v>
      </c>
      <c r="AY439" s="64">
        <f t="shared" si="106"/>
        <v>0</v>
      </c>
      <c r="AZ439" s="65">
        <f t="shared" si="108"/>
        <v>0</v>
      </c>
      <c r="BA439" s="65">
        <f t="shared" si="107"/>
        <v>0</v>
      </c>
    </row>
    <row r="440" spans="3:53" s="17" customFormat="1" x14ac:dyDescent="0.25">
      <c r="C440" s="194"/>
      <c r="D440" s="195"/>
      <c r="E440" s="90"/>
      <c r="F440" s="198"/>
      <c r="G440" s="214"/>
      <c r="H440" s="199"/>
      <c r="I440" s="78"/>
      <c r="J440" s="79"/>
      <c r="K440" s="78"/>
      <c r="L440" s="80"/>
      <c r="M440" s="80"/>
      <c r="N440" s="78" t="s">
        <v>39</v>
      </c>
      <c r="O440" s="113"/>
      <c r="P440" s="155"/>
      <c r="Q440" s="114" t="str">
        <f>IFERROR(MIN(VLOOKUP(ROUNDDOWN(P440,0),'Aide calcul'!$B$2:$C$282,2,FALSE),O440+1),"")</f>
        <v/>
      </c>
      <c r="R440" s="115" t="str">
        <f t="shared" si="101"/>
        <v/>
      </c>
      <c r="S440" s="155"/>
      <c r="T440" s="155"/>
      <c r="U440" s="155"/>
      <c r="V440" s="155"/>
      <c r="W440" s="155"/>
      <c r="X440" s="155"/>
      <c r="Y440" s="155"/>
      <c r="Z440" s="78"/>
      <c r="AA440" s="78"/>
      <c r="AB440" s="116" t="str">
        <f>IF(C440="3111. Logements",ROUND(VLOOKUP(C440,'Informations générales'!$C$66:$D$70,2,FALSE)*(AK440/$AL$27)/12,0)*12,IF(C440="3112. Logements",ROUND(VLOOKUP(C440,'Informations générales'!$C$66:$D$70,2,FALSE)*(AK440/$AM$27)/12,0)*12,IF(C440="3113. Logements",ROUND(VLOOKUP(C440,'Informations générales'!$C$66:$D$70,2,FALSE)*(AK440/$AN$27)/12,0)*12,IF(C440="3114. Logements",ROUND(VLOOKUP(C440,'Informations générales'!$C$66:$D$70,2,FALSE)*(AK440/$AO$27)/12,0)*12,IF(C440="3115. Logements",ROUND(VLOOKUP(C440,'Informations générales'!$C$66:$D$70,2,FALSE)*(AK440/$AP$27)/12,0)*12,"")))))</f>
        <v/>
      </c>
      <c r="AC440" s="117"/>
      <c r="AD440" s="116">
        <f t="shared" si="102"/>
        <v>0</v>
      </c>
      <c r="AE440" s="117"/>
      <c r="AF440" s="116" t="str">
        <f>IF(C440="3111. Logements",ROUND(VLOOKUP(C440,'Informations générales'!$C$66:$G$70,5,FALSE)*(AK440/$AL$27)/12,0)*12,IF(C440="3112. Logements",ROUND(VLOOKUP(C440,'Informations générales'!$C$66:$G$70,5,FALSE)*(AK440/$AM$27)/12,0)*12,IF(C440="3113. Logements",ROUND(VLOOKUP(C440,'Informations générales'!$C$66:$G$70,5,FALSE)*(AK440/$AN$27)/12,0)*12,IF(C440="3114. Logements",ROUND(VLOOKUP(C440,'Informations générales'!$C$66:$G$70,5,FALSE)*(AK440/$AO$27)/12,0)*12,IF(C440="3115. Logements",ROUND(VLOOKUP(C440,'Informations générales'!$C$66:$G$70,5,FALSE)*(AK440/$AP$27)/12,0)*12,"")))))</f>
        <v/>
      </c>
      <c r="AG440" s="117"/>
      <c r="AH440" s="116" t="str">
        <f t="shared" si="103"/>
        <v/>
      </c>
      <c r="AI440" s="92"/>
      <c r="AJ440" s="78"/>
      <c r="AK440" s="60">
        <f t="shared" si="104"/>
        <v>0</v>
      </c>
      <c r="AL440" s="60"/>
      <c r="AM440" s="60"/>
      <c r="AN440" s="60"/>
      <c r="AO440" s="60"/>
      <c r="AP440" s="60"/>
      <c r="AQ440" s="60">
        <f t="shared" si="94"/>
        <v>0</v>
      </c>
      <c r="AR440" s="60">
        <f t="shared" si="95"/>
        <v>0</v>
      </c>
      <c r="AS440" s="60">
        <f t="shared" si="96"/>
        <v>0</v>
      </c>
      <c r="AT440" s="60">
        <f t="shared" si="97"/>
        <v>0</v>
      </c>
      <c r="AU440" s="60">
        <f t="shared" si="98"/>
        <v>0</v>
      </c>
      <c r="AV440" s="60">
        <f t="shared" si="99"/>
        <v>0</v>
      </c>
      <c r="AW440" s="60">
        <f t="shared" si="100"/>
        <v>0</v>
      </c>
      <c r="AX440" s="60">
        <f t="shared" si="105"/>
        <v>0</v>
      </c>
      <c r="AY440" s="64">
        <f t="shared" si="106"/>
        <v>0</v>
      </c>
      <c r="AZ440" s="65">
        <f t="shared" si="108"/>
        <v>0</v>
      </c>
      <c r="BA440" s="65">
        <f t="shared" si="107"/>
        <v>0</v>
      </c>
    </row>
    <row r="441" spans="3:53" s="17" customFormat="1" x14ac:dyDescent="0.25">
      <c r="C441" s="194"/>
      <c r="D441" s="195"/>
      <c r="E441" s="90"/>
      <c r="F441" s="198"/>
      <c r="G441" s="214"/>
      <c r="H441" s="199"/>
      <c r="I441" s="78"/>
      <c r="J441" s="79"/>
      <c r="K441" s="78"/>
      <c r="L441" s="80"/>
      <c r="M441" s="80"/>
      <c r="N441" s="78" t="s">
        <v>39</v>
      </c>
      <c r="O441" s="113"/>
      <c r="P441" s="155"/>
      <c r="Q441" s="114" t="str">
        <f>IFERROR(MIN(VLOOKUP(ROUNDDOWN(P441,0),'Aide calcul'!$B$2:$C$282,2,FALSE),O441+1),"")</f>
        <v/>
      </c>
      <c r="R441" s="115" t="str">
        <f t="shared" si="101"/>
        <v/>
      </c>
      <c r="S441" s="155"/>
      <c r="T441" s="155"/>
      <c r="U441" s="155"/>
      <c r="V441" s="155"/>
      <c r="W441" s="155"/>
      <c r="X441" s="155"/>
      <c r="Y441" s="155"/>
      <c r="Z441" s="78"/>
      <c r="AA441" s="78"/>
      <c r="AB441" s="116" t="str">
        <f>IF(C441="3111. Logements",ROUND(VLOOKUP(C441,'Informations générales'!$C$66:$D$70,2,FALSE)*(AK441/$AL$27)/12,0)*12,IF(C441="3112. Logements",ROUND(VLOOKUP(C441,'Informations générales'!$C$66:$D$70,2,FALSE)*(AK441/$AM$27)/12,0)*12,IF(C441="3113. Logements",ROUND(VLOOKUP(C441,'Informations générales'!$C$66:$D$70,2,FALSE)*(AK441/$AN$27)/12,0)*12,IF(C441="3114. Logements",ROUND(VLOOKUP(C441,'Informations générales'!$C$66:$D$70,2,FALSE)*(AK441/$AO$27)/12,0)*12,IF(C441="3115. Logements",ROUND(VLOOKUP(C441,'Informations générales'!$C$66:$D$70,2,FALSE)*(AK441/$AP$27)/12,0)*12,"")))))</f>
        <v/>
      </c>
      <c r="AC441" s="117"/>
      <c r="AD441" s="116">
        <f t="shared" si="102"/>
        <v>0</v>
      </c>
      <c r="AE441" s="117"/>
      <c r="AF441" s="116" t="str">
        <f>IF(C441="3111. Logements",ROUND(VLOOKUP(C441,'Informations générales'!$C$66:$G$70,5,FALSE)*(AK441/$AL$27)/12,0)*12,IF(C441="3112. Logements",ROUND(VLOOKUP(C441,'Informations générales'!$C$66:$G$70,5,FALSE)*(AK441/$AM$27)/12,0)*12,IF(C441="3113. Logements",ROUND(VLOOKUP(C441,'Informations générales'!$C$66:$G$70,5,FALSE)*(AK441/$AN$27)/12,0)*12,IF(C441="3114. Logements",ROUND(VLOOKUP(C441,'Informations générales'!$C$66:$G$70,5,FALSE)*(AK441/$AO$27)/12,0)*12,IF(C441="3115. Logements",ROUND(VLOOKUP(C441,'Informations générales'!$C$66:$G$70,5,FALSE)*(AK441/$AP$27)/12,0)*12,"")))))</f>
        <v/>
      </c>
      <c r="AG441" s="117"/>
      <c r="AH441" s="116" t="str">
        <f t="shared" si="103"/>
        <v/>
      </c>
      <c r="AI441" s="92"/>
      <c r="AJ441" s="78"/>
      <c r="AK441" s="60">
        <f t="shared" si="104"/>
        <v>0</v>
      </c>
      <c r="AL441" s="60"/>
      <c r="AM441" s="60"/>
      <c r="AN441" s="60"/>
      <c r="AO441" s="60"/>
      <c r="AP441" s="60"/>
      <c r="AQ441" s="60">
        <f t="shared" si="94"/>
        <v>0</v>
      </c>
      <c r="AR441" s="60">
        <f t="shared" si="95"/>
        <v>0</v>
      </c>
      <c r="AS441" s="60">
        <f t="shared" si="96"/>
        <v>0</v>
      </c>
      <c r="AT441" s="60">
        <f t="shared" si="97"/>
        <v>0</v>
      </c>
      <c r="AU441" s="60">
        <f t="shared" si="98"/>
        <v>0</v>
      </c>
      <c r="AV441" s="60">
        <f t="shared" si="99"/>
        <v>0</v>
      </c>
      <c r="AW441" s="60">
        <f t="shared" si="100"/>
        <v>0</v>
      </c>
      <c r="AX441" s="60">
        <f t="shared" si="105"/>
        <v>0</v>
      </c>
      <c r="AY441" s="64">
        <f t="shared" si="106"/>
        <v>0</v>
      </c>
      <c r="AZ441" s="65">
        <f t="shared" si="108"/>
        <v>0</v>
      </c>
      <c r="BA441" s="65">
        <f t="shared" si="107"/>
        <v>0</v>
      </c>
    </row>
    <row r="442" spans="3:53" s="17" customFormat="1" x14ac:dyDescent="0.25">
      <c r="C442" s="194"/>
      <c r="D442" s="195"/>
      <c r="E442" s="90"/>
      <c r="F442" s="198"/>
      <c r="G442" s="214"/>
      <c r="H442" s="199"/>
      <c r="I442" s="78"/>
      <c r="J442" s="79"/>
      <c r="K442" s="78"/>
      <c r="L442" s="80"/>
      <c r="M442" s="80"/>
      <c r="N442" s="78" t="s">
        <v>39</v>
      </c>
      <c r="O442" s="113"/>
      <c r="P442" s="155"/>
      <c r="Q442" s="114" t="str">
        <f>IFERROR(MIN(VLOOKUP(ROUNDDOWN(P442,0),'Aide calcul'!$B$2:$C$282,2,FALSE),O442+1),"")</f>
        <v/>
      </c>
      <c r="R442" s="115" t="str">
        <f t="shared" si="101"/>
        <v/>
      </c>
      <c r="S442" s="155"/>
      <c r="T442" s="155"/>
      <c r="U442" s="155"/>
      <c r="V442" s="155"/>
      <c r="W442" s="155"/>
      <c r="X442" s="155"/>
      <c r="Y442" s="155"/>
      <c r="Z442" s="78"/>
      <c r="AA442" s="78"/>
      <c r="AB442" s="116" t="str">
        <f>IF(C442="3111. Logements",ROUND(VLOOKUP(C442,'Informations générales'!$C$66:$D$70,2,FALSE)*(AK442/$AL$27)/12,0)*12,IF(C442="3112. Logements",ROUND(VLOOKUP(C442,'Informations générales'!$C$66:$D$70,2,FALSE)*(AK442/$AM$27)/12,0)*12,IF(C442="3113. Logements",ROUND(VLOOKUP(C442,'Informations générales'!$C$66:$D$70,2,FALSE)*(AK442/$AN$27)/12,0)*12,IF(C442="3114. Logements",ROUND(VLOOKUP(C442,'Informations générales'!$C$66:$D$70,2,FALSE)*(AK442/$AO$27)/12,0)*12,IF(C442="3115. Logements",ROUND(VLOOKUP(C442,'Informations générales'!$C$66:$D$70,2,FALSE)*(AK442/$AP$27)/12,0)*12,"")))))</f>
        <v/>
      </c>
      <c r="AC442" s="117"/>
      <c r="AD442" s="116">
        <f t="shared" si="102"/>
        <v>0</v>
      </c>
      <c r="AE442" s="117"/>
      <c r="AF442" s="116" t="str">
        <f>IF(C442="3111. Logements",ROUND(VLOOKUP(C442,'Informations générales'!$C$66:$G$70,5,FALSE)*(AK442/$AL$27)/12,0)*12,IF(C442="3112. Logements",ROUND(VLOOKUP(C442,'Informations générales'!$C$66:$G$70,5,FALSE)*(AK442/$AM$27)/12,0)*12,IF(C442="3113. Logements",ROUND(VLOOKUP(C442,'Informations générales'!$C$66:$G$70,5,FALSE)*(AK442/$AN$27)/12,0)*12,IF(C442="3114. Logements",ROUND(VLOOKUP(C442,'Informations générales'!$C$66:$G$70,5,FALSE)*(AK442/$AO$27)/12,0)*12,IF(C442="3115. Logements",ROUND(VLOOKUP(C442,'Informations générales'!$C$66:$G$70,5,FALSE)*(AK442/$AP$27)/12,0)*12,"")))))</f>
        <v/>
      </c>
      <c r="AG442" s="117"/>
      <c r="AH442" s="116" t="str">
        <f t="shared" si="103"/>
        <v/>
      </c>
      <c r="AI442" s="92"/>
      <c r="AJ442" s="78"/>
      <c r="AK442" s="60">
        <f t="shared" si="104"/>
        <v>0</v>
      </c>
      <c r="AL442" s="60"/>
      <c r="AM442" s="60"/>
      <c r="AN442" s="60"/>
      <c r="AO442" s="60"/>
      <c r="AP442" s="60"/>
      <c r="AQ442" s="60">
        <f t="shared" si="94"/>
        <v>0</v>
      </c>
      <c r="AR442" s="60">
        <f t="shared" si="95"/>
        <v>0</v>
      </c>
      <c r="AS442" s="60">
        <f t="shared" si="96"/>
        <v>0</v>
      </c>
      <c r="AT442" s="60">
        <f t="shared" si="97"/>
        <v>0</v>
      </c>
      <c r="AU442" s="60">
        <f t="shared" si="98"/>
        <v>0</v>
      </c>
      <c r="AV442" s="60">
        <f t="shared" si="99"/>
        <v>0</v>
      </c>
      <c r="AW442" s="60">
        <f t="shared" si="100"/>
        <v>0</v>
      </c>
      <c r="AX442" s="60">
        <f t="shared" si="105"/>
        <v>0</v>
      </c>
      <c r="AY442" s="64">
        <f t="shared" si="106"/>
        <v>0</v>
      </c>
      <c r="AZ442" s="65">
        <f t="shared" si="108"/>
        <v>0</v>
      </c>
      <c r="BA442" s="65">
        <f t="shared" si="107"/>
        <v>0</v>
      </c>
    </row>
    <row r="443" spans="3:53" s="17" customFormat="1" x14ac:dyDescent="0.25">
      <c r="C443" s="194"/>
      <c r="D443" s="195"/>
      <c r="E443" s="90"/>
      <c r="F443" s="198"/>
      <c r="G443" s="214"/>
      <c r="H443" s="199"/>
      <c r="I443" s="78"/>
      <c r="J443" s="79"/>
      <c r="K443" s="78"/>
      <c r="L443" s="80"/>
      <c r="M443" s="80"/>
      <c r="N443" s="78" t="s">
        <v>39</v>
      </c>
      <c r="O443" s="113"/>
      <c r="P443" s="155"/>
      <c r="Q443" s="114" t="str">
        <f>IFERROR(MIN(VLOOKUP(ROUNDDOWN(P443,0),'Aide calcul'!$B$2:$C$282,2,FALSE),O443+1),"")</f>
        <v/>
      </c>
      <c r="R443" s="115" t="str">
        <f t="shared" si="101"/>
        <v/>
      </c>
      <c r="S443" s="155"/>
      <c r="T443" s="155"/>
      <c r="U443" s="155"/>
      <c r="V443" s="155"/>
      <c r="W443" s="155"/>
      <c r="X443" s="155"/>
      <c r="Y443" s="155"/>
      <c r="Z443" s="78"/>
      <c r="AA443" s="78"/>
      <c r="AB443" s="116" t="str">
        <f>IF(C443="3111. Logements",ROUND(VLOOKUP(C443,'Informations générales'!$C$66:$D$70,2,FALSE)*(AK443/$AL$27)/12,0)*12,IF(C443="3112. Logements",ROUND(VLOOKUP(C443,'Informations générales'!$C$66:$D$70,2,FALSE)*(AK443/$AM$27)/12,0)*12,IF(C443="3113. Logements",ROUND(VLOOKUP(C443,'Informations générales'!$C$66:$D$70,2,FALSE)*(AK443/$AN$27)/12,0)*12,IF(C443="3114. Logements",ROUND(VLOOKUP(C443,'Informations générales'!$C$66:$D$70,2,FALSE)*(AK443/$AO$27)/12,0)*12,IF(C443="3115. Logements",ROUND(VLOOKUP(C443,'Informations générales'!$C$66:$D$70,2,FALSE)*(AK443/$AP$27)/12,0)*12,"")))))</f>
        <v/>
      </c>
      <c r="AC443" s="117"/>
      <c r="AD443" s="116">
        <f t="shared" si="102"/>
        <v>0</v>
      </c>
      <c r="AE443" s="117"/>
      <c r="AF443" s="116" t="str">
        <f>IF(C443="3111. Logements",ROUND(VLOOKUP(C443,'Informations générales'!$C$66:$G$70,5,FALSE)*(AK443/$AL$27)/12,0)*12,IF(C443="3112. Logements",ROUND(VLOOKUP(C443,'Informations générales'!$C$66:$G$70,5,FALSE)*(AK443/$AM$27)/12,0)*12,IF(C443="3113. Logements",ROUND(VLOOKUP(C443,'Informations générales'!$C$66:$G$70,5,FALSE)*(AK443/$AN$27)/12,0)*12,IF(C443="3114. Logements",ROUND(VLOOKUP(C443,'Informations générales'!$C$66:$G$70,5,FALSE)*(AK443/$AO$27)/12,0)*12,IF(C443="3115. Logements",ROUND(VLOOKUP(C443,'Informations générales'!$C$66:$G$70,5,FALSE)*(AK443/$AP$27)/12,0)*12,"")))))</f>
        <v/>
      </c>
      <c r="AG443" s="117"/>
      <c r="AH443" s="116" t="str">
        <f t="shared" si="103"/>
        <v/>
      </c>
      <c r="AI443" s="92"/>
      <c r="AJ443" s="78"/>
      <c r="AK443" s="60">
        <f t="shared" si="104"/>
        <v>0</v>
      </c>
      <c r="AL443" s="60"/>
      <c r="AM443" s="60"/>
      <c r="AN443" s="60"/>
      <c r="AO443" s="60"/>
      <c r="AP443" s="60"/>
      <c r="AQ443" s="60">
        <f t="shared" si="94"/>
        <v>0</v>
      </c>
      <c r="AR443" s="60">
        <f t="shared" si="95"/>
        <v>0</v>
      </c>
      <c r="AS443" s="60">
        <f t="shared" si="96"/>
        <v>0</v>
      </c>
      <c r="AT443" s="60">
        <f t="shared" si="97"/>
        <v>0</v>
      </c>
      <c r="AU443" s="60">
        <f t="shared" si="98"/>
        <v>0</v>
      </c>
      <c r="AV443" s="60">
        <f t="shared" si="99"/>
        <v>0</v>
      </c>
      <c r="AW443" s="60">
        <f t="shared" si="100"/>
        <v>0</v>
      </c>
      <c r="AX443" s="60">
        <f t="shared" si="105"/>
        <v>0</v>
      </c>
      <c r="AY443" s="64">
        <f t="shared" si="106"/>
        <v>0</v>
      </c>
      <c r="AZ443" s="65">
        <f t="shared" si="108"/>
        <v>0</v>
      </c>
      <c r="BA443" s="65">
        <f t="shared" si="107"/>
        <v>0</v>
      </c>
    </row>
    <row r="444" spans="3:53" s="17" customFormat="1" x14ac:dyDescent="0.25">
      <c r="C444" s="194"/>
      <c r="D444" s="195"/>
      <c r="E444" s="90"/>
      <c r="F444" s="198"/>
      <c r="G444" s="214"/>
      <c r="H444" s="199"/>
      <c r="I444" s="78"/>
      <c r="J444" s="79"/>
      <c r="K444" s="78"/>
      <c r="L444" s="80"/>
      <c r="M444" s="80"/>
      <c r="N444" s="78" t="s">
        <v>39</v>
      </c>
      <c r="O444" s="113"/>
      <c r="P444" s="155"/>
      <c r="Q444" s="114" t="str">
        <f>IFERROR(MIN(VLOOKUP(ROUNDDOWN(P444,0),'Aide calcul'!$B$2:$C$282,2,FALSE),O444+1),"")</f>
        <v/>
      </c>
      <c r="R444" s="115" t="str">
        <f t="shared" si="101"/>
        <v/>
      </c>
      <c r="S444" s="155"/>
      <c r="T444" s="155"/>
      <c r="U444" s="155"/>
      <c r="V444" s="155"/>
      <c r="W444" s="155"/>
      <c r="X444" s="155"/>
      <c r="Y444" s="155"/>
      <c r="Z444" s="78"/>
      <c r="AA444" s="78"/>
      <c r="AB444" s="116" t="str">
        <f>IF(C444="3111. Logements",ROUND(VLOOKUP(C444,'Informations générales'!$C$66:$D$70,2,FALSE)*(AK444/$AL$27)/12,0)*12,IF(C444="3112. Logements",ROUND(VLOOKUP(C444,'Informations générales'!$C$66:$D$70,2,FALSE)*(AK444/$AM$27)/12,0)*12,IF(C444="3113. Logements",ROUND(VLOOKUP(C444,'Informations générales'!$C$66:$D$70,2,FALSE)*(AK444/$AN$27)/12,0)*12,IF(C444="3114. Logements",ROUND(VLOOKUP(C444,'Informations générales'!$C$66:$D$70,2,FALSE)*(AK444/$AO$27)/12,0)*12,IF(C444="3115. Logements",ROUND(VLOOKUP(C444,'Informations générales'!$C$66:$D$70,2,FALSE)*(AK444/$AP$27)/12,0)*12,"")))))</f>
        <v/>
      </c>
      <c r="AC444" s="117"/>
      <c r="AD444" s="116">
        <f t="shared" si="102"/>
        <v>0</v>
      </c>
      <c r="AE444" s="117"/>
      <c r="AF444" s="116" t="str">
        <f>IF(C444="3111. Logements",ROUND(VLOOKUP(C444,'Informations générales'!$C$66:$G$70,5,FALSE)*(AK444/$AL$27)/12,0)*12,IF(C444="3112. Logements",ROUND(VLOOKUP(C444,'Informations générales'!$C$66:$G$70,5,FALSE)*(AK444/$AM$27)/12,0)*12,IF(C444="3113. Logements",ROUND(VLOOKUP(C444,'Informations générales'!$C$66:$G$70,5,FALSE)*(AK444/$AN$27)/12,0)*12,IF(C444="3114. Logements",ROUND(VLOOKUP(C444,'Informations générales'!$C$66:$G$70,5,FALSE)*(AK444/$AO$27)/12,0)*12,IF(C444="3115. Logements",ROUND(VLOOKUP(C444,'Informations générales'!$C$66:$G$70,5,FALSE)*(AK444/$AP$27)/12,0)*12,"")))))</f>
        <v/>
      </c>
      <c r="AG444" s="117"/>
      <c r="AH444" s="116" t="str">
        <f t="shared" si="103"/>
        <v/>
      </c>
      <c r="AI444" s="92"/>
      <c r="AJ444" s="78"/>
      <c r="AK444" s="60">
        <f t="shared" si="104"/>
        <v>0</v>
      </c>
      <c r="AL444" s="60"/>
      <c r="AM444" s="60"/>
      <c r="AN444" s="60"/>
      <c r="AO444" s="60"/>
      <c r="AP444" s="60"/>
      <c r="AQ444" s="60">
        <f t="shared" si="94"/>
        <v>0</v>
      </c>
      <c r="AR444" s="60">
        <f t="shared" si="95"/>
        <v>0</v>
      </c>
      <c r="AS444" s="60">
        <f t="shared" si="96"/>
        <v>0</v>
      </c>
      <c r="AT444" s="60">
        <f t="shared" si="97"/>
        <v>0</v>
      </c>
      <c r="AU444" s="60">
        <f t="shared" si="98"/>
        <v>0</v>
      </c>
      <c r="AV444" s="60">
        <f t="shared" si="99"/>
        <v>0</v>
      </c>
      <c r="AW444" s="60">
        <f t="shared" si="100"/>
        <v>0</v>
      </c>
      <c r="AX444" s="60">
        <f t="shared" si="105"/>
        <v>0</v>
      </c>
      <c r="AY444" s="64">
        <f t="shared" si="106"/>
        <v>0</v>
      </c>
      <c r="AZ444" s="65">
        <f t="shared" si="108"/>
        <v>0</v>
      </c>
      <c r="BA444" s="65">
        <f t="shared" si="107"/>
        <v>0</v>
      </c>
    </row>
    <row r="445" spans="3:53" s="17" customFormat="1" x14ac:dyDescent="0.25">
      <c r="C445" s="194"/>
      <c r="D445" s="195"/>
      <c r="E445" s="90"/>
      <c r="F445" s="198"/>
      <c r="G445" s="214"/>
      <c r="H445" s="199"/>
      <c r="I445" s="78"/>
      <c r="J445" s="79"/>
      <c r="K445" s="78"/>
      <c r="L445" s="80"/>
      <c r="M445" s="80"/>
      <c r="N445" s="78" t="s">
        <v>39</v>
      </c>
      <c r="O445" s="113"/>
      <c r="P445" s="155"/>
      <c r="Q445" s="114" t="str">
        <f>IFERROR(MIN(VLOOKUP(ROUNDDOWN(P445,0),'Aide calcul'!$B$2:$C$282,2,FALSE),O445+1),"")</f>
        <v/>
      </c>
      <c r="R445" s="115" t="str">
        <f t="shared" si="101"/>
        <v/>
      </c>
      <c r="S445" s="155"/>
      <c r="T445" s="155"/>
      <c r="U445" s="155"/>
      <c r="V445" s="155"/>
      <c r="W445" s="155"/>
      <c r="X445" s="155"/>
      <c r="Y445" s="155"/>
      <c r="Z445" s="78"/>
      <c r="AA445" s="78"/>
      <c r="AB445" s="116" t="str">
        <f>IF(C445="3111. Logements",ROUND(VLOOKUP(C445,'Informations générales'!$C$66:$D$70,2,FALSE)*(AK445/$AL$27)/12,0)*12,IF(C445="3112. Logements",ROUND(VLOOKUP(C445,'Informations générales'!$C$66:$D$70,2,FALSE)*(AK445/$AM$27)/12,0)*12,IF(C445="3113. Logements",ROUND(VLOOKUP(C445,'Informations générales'!$C$66:$D$70,2,FALSE)*(AK445/$AN$27)/12,0)*12,IF(C445="3114. Logements",ROUND(VLOOKUP(C445,'Informations générales'!$C$66:$D$70,2,FALSE)*(AK445/$AO$27)/12,0)*12,IF(C445="3115. Logements",ROUND(VLOOKUP(C445,'Informations générales'!$C$66:$D$70,2,FALSE)*(AK445/$AP$27)/12,0)*12,"")))))</f>
        <v/>
      </c>
      <c r="AC445" s="117"/>
      <c r="AD445" s="116">
        <f t="shared" si="102"/>
        <v>0</v>
      </c>
      <c r="AE445" s="117"/>
      <c r="AF445" s="116" t="str">
        <f>IF(C445="3111. Logements",ROUND(VLOOKUP(C445,'Informations générales'!$C$66:$G$70,5,FALSE)*(AK445/$AL$27)/12,0)*12,IF(C445="3112. Logements",ROUND(VLOOKUP(C445,'Informations générales'!$C$66:$G$70,5,FALSE)*(AK445/$AM$27)/12,0)*12,IF(C445="3113. Logements",ROUND(VLOOKUP(C445,'Informations générales'!$C$66:$G$70,5,FALSE)*(AK445/$AN$27)/12,0)*12,IF(C445="3114. Logements",ROUND(VLOOKUP(C445,'Informations générales'!$C$66:$G$70,5,FALSE)*(AK445/$AO$27)/12,0)*12,IF(C445="3115. Logements",ROUND(VLOOKUP(C445,'Informations générales'!$C$66:$G$70,5,FALSE)*(AK445/$AP$27)/12,0)*12,"")))))</f>
        <v/>
      </c>
      <c r="AG445" s="117"/>
      <c r="AH445" s="116" t="str">
        <f t="shared" si="103"/>
        <v/>
      </c>
      <c r="AI445" s="92"/>
      <c r="AJ445" s="78"/>
      <c r="AK445" s="60">
        <f t="shared" si="104"/>
        <v>0</v>
      </c>
      <c r="AL445" s="60"/>
      <c r="AM445" s="60"/>
      <c r="AN445" s="60"/>
      <c r="AO445" s="60"/>
      <c r="AP445" s="60"/>
      <c r="AQ445" s="60">
        <f t="shared" si="94"/>
        <v>0</v>
      </c>
      <c r="AR445" s="60">
        <f t="shared" si="95"/>
        <v>0</v>
      </c>
      <c r="AS445" s="60">
        <f t="shared" si="96"/>
        <v>0</v>
      </c>
      <c r="AT445" s="60">
        <f t="shared" si="97"/>
        <v>0</v>
      </c>
      <c r="AU445" s="60">
        <f t="shared" si="98"/>
        <v>0</v>
      </c>
      <c r="AV445" s="60">
        <f t="shared" si="99"/>
        <v>0</v>
      </c>
      <c r="AW445" s="60">
        <f t="shared" si="100"/>
        <v>0</v>
      </c>
      <c r="AX445" s="60">
        <f t="shared" si="105"/>
        <v>0</v>
      </c>
      <c r="AY445" s="64">
        <f t="shared" si="106"/>
        <v>0</v>
      </c>
      <c r="AZ445" s="65">
        <f t="shared" si="108"/>
        <v>0</v>
      </c>
      <c r="BA445" s="65">
        <f t="shared" si="107"/>
        <v>0</v>
      </c>
    </row>
    <row r="446" spans="3:53" s="17" customFormat="1" x14ac:dyDescent="0.25">
      <c r="C446" s="194"/>
      <c r="D446" s="195"/>
      <c r="E446" s="90"/>
      <c r="F446" s="198"/>
      <c r="G446" s="214"/>
      <c r="H446" s="199"/>
      <c r="I446" s="78"/>
      <c r="J446" s="79"/>
      <c r="K446" s="78"/>
      <c r="L446" s="80"/>
      <c r="M446" s="80"/>
      <c r="N446" s="78" t="s">
        <v>39</v>
      </c>
      <c r="O446" s="113"/>
      <c r="P446" s="155"/>
      <c r="Q446" s="114" t="str">
        <f>IFERROR(MIN(VLOOKUP(ROUNDDOWN(P446,0),'Aide calcul'!$B$2:$C$282,2,FALSE),O446+1),"")</f>
        <v/>
      </c>
      <c r="R446" s="115" t="str">
        <f t="shared" si="101"/>
        <v/>
      </c>
      <c r="S446" s="155"/>
      <c r="T446" s="155"/>
      <c r="U446" s="155"/>
      <c r="V446" s="155"/>
      <c r="W446" s="155"/>
      <c r="X446" s="155"/>
      <c r="Y446" s="155"/>
      <c r="Z446" s="78"/>
      <c r="AA446" s="78"/>
      <c r="AB446" s="116" t="str">
        <f>IF(C446="3111. Logements",ROUND(VLOOKUP(C446,'Informations générales'!$C$66:$D$70,2,FALSE)*(AK446/$AL$27)/12,0)*12,IF(C446="3112. Logements",ROUND(VLOOKUP(C446,'Informations générales'!$C$66:$D$70,2,FALSE)*(AK446/$AM$27)/12,0)*12,IF(C446="3113. Logements",ROUND(VLOOKUP(C446,'Informations générales'!$C$66:$D$70,2,FALSE)*(AK446/$AN$27)/12,0)*12,IF(C446="3114. Logements",ROUND(VLOOKUP(C446,'Informations générales'!$C$66:$D$70,2,FALSE)*(AK446/$AO$27)/12,0)*12,IF(C446="3115. Logements",ROUND(VLOOKUP(C446,'Informations générales'!$C$66:$D$70,2,FALSE)*(AK446/$AP$27)/12,0)*12,"")))))</f>
        <v/>
      </c>
      <c r="AC446" s="117"/>
      <c r="AD446" s="116">
        <f t="shared" si="102"/>
        <v>0</v>
      </c>
      <c r="AE446" s="117"/>
      <c r="AF446" s="116" t="str">
        <f>IF(C446="3111. Logements",ROUND(VLOOKUP(C446,'Informations générales'!$C$66:$G$70,5,FALSE)*(AK446/$AL$27)/12,0)*12,IF(C446="3112. Logements",ROUND(VLOOKUP(C446,'Informations générales'!$C$66:$G$70,5,FALSE)*(AK446/$AM$27)/12,0)*12,IF(C446="3113. Logements",ROUND(VLOOKUP(C446,'Informations générales'!$C$66:$G$70,5,FALSE)*(AK446/$AN$27)/12,0)*12,IF(C446="3114. Logements",ROUND(VLOOKUP(C446,'Informations générales'!$C$66:$G$70,5,FALSE)*(AK446/$AO$27)/12,0)*12,IF(C446="3115. Logements",ROUND(VLOOKUP(C446,'Informations générales'!$C$66:$G$70,5,FALSE)*(AK446/$AP$27)/12,0)*12,"")))))</f>
        <v/>
      </c>
      <c r="AG446" s="117"/>
      <c r="AH446" s="116" t="str">
        <f t="shared" si="103"/>
        <v/>
      </c>
      <c r="AI446" s="92"/>
      <c r="AJ446" s="78"/>
      <c r="AK446" s="60">
        <f t="shared" si="104"/>
        <v>0</v>
      </c>
      <c r="AL446" s="60"/>
      <c r="AM446" s="60"/>
      <c r="AN446" s="60"/>
      <c r="AO446" s="60"/>
      <c r="AP446" s="60"/>
      <c r="AQ446" s="60">
        <f t="shared" si="94"/>
        <v>0</v>
      </c>
      <c r="AR446" s="60">
        <f t="shared" si="95"/>
        <v>0</v>
      </c>
      <c r="AS446" s="60">
        <f t="shared" si="96"/>
        <v>0</v>
      </c>
      <c r="AT446" s="60">
        <f t="shared" si="97"/>
        <v>0</v>
      </c>
      <c r="AU446" s="60">
        <f t="shared" si="98"/>
        <v>0</v>
      </c>
      <c r="AV446" s="60">
        <f t="shared" si="99"/>
        <v>0</v>
      </c>
      <c r="AW446" s="60">
        <f t="shared" si="100"/>
        <v>0</v>
      </c>
      <c r="AX446" s="60">
        <f t="shared" si="105"/>
        <v>0</v>
      </c>
      <c r="AY446" s="64">
        <f t="shared" si="106"/>
        <v>0</v>
      </c>
      <c r="AZ446" s="65">
        <f t="shared" si="108"/>
        <v>0</v>
      </c>
      <c r="BA446" s="65">
        <f t="shared" si="107"/>
        <v>0</v>
      </c>
    </row>
    <row r="447" spans="3:53" s="17" customFormat="1" x14ac:dyDescent="0.25">
      <c r="C447" s="194"/>
      <c r="D447" s="195"/>
      <c r="E447" s="90"/>
      <c r="F447" s="198"/>
      <c r="G447" s="214"/>
      <c r="H447" s="199"/>
      <c r="I447" s="78"/>
      <c r="J447" s="79"/>
      <c r="K447" s="78"/>
      <c r="L447" s="80"/>
      <c r="M447" s="80"/>
      <c r="N447" s="78" t="s">
        <v>39</v>
      </c>
      <c r="O447" s="113"/>
      <c r="P447" s="155"/>
      <c r="Q447" s="114" t="str">
        <f>IFERROR(MIN(VLOOKUP(ROUNDDOWN(P447,0),'Aide calcul'!$B$2:$C$282,2,FALSE),O447+1),"")</f>
        <v/>
      </c>
      <c r="R447" s="115" t="str">
        <f t="shared" si="101"/>
        <v/>
      </c>
      <c r="S447" s="155"/>
      <c r="T447" s="155"/>
      <c r="U447" s="155"/>
      <c r="V447" s="155"/>
      <c r="W447" s="155"/>
      <c r="X447" s="155"/>
      <c r="Y447" s="155"/>
      <c r="Z447" s="78"/>
      <c r="AA447" s="78"/>
      <c r="AB447" s="116" t="str">
        <f>IF(C447="3111. Logements",ROUND(VLOOKUP(C447,'Informations générales'!$C$66:$D$70,2,FALSE)*(AK447/$AL$27)/12,0)*12,IF(C447="3112. Logements",ROUND(VLOOKUP(C447,'Informations générales'!$C$66:$D$70,2,FALSE)*(AK447/$AM$27)/12,0)*12,IF(C447="3113. Logements",ROUND(VLOOKUP(C447,'Informations générales'!$C$66:$D$70,2,FALSE)*(AK447/$AN$27)/12,0)*12,IF(C447="3114. Logements",ROUND(VLOOKUP(C447,'Informations générales'!$C$66:$D$70,2,FALSE)*(AK447/$AO$27)/12,0)*12,IF(C447="3115. Logements",ROUND(VLOOKUP(C447,'Informations générales'!$C$66:$D$70,2,FALSE)*(AK447/$AP$27)/12,0)*12,"")))))</f>
        <v/>
      </c>
      <c r="AC447" s="117"/>
      <c r="AD447" s="116">
        <f t="shared" si="102"/>
        <v>0</v>
      </c>
      <c r="AE447" s="117"/>
      <c r="AF447" s="116" t="str">
        <f>IF(C447="3111. Logements",ROUND(VLOOKUP(C447,'Informations générales'!$C$66:$G$70,5,FALSE)*(AK447/$AL$27)/12,0)*12,IF(C447="3112. Logements",ROUND(VLOOKUP(C447,'Informations générales'!$C$66:$G$70,5,FALSE)*(AK447/$AM$27)/12,0)*12,IF(C447="3113. Logements",ROUND(VLOOKUP(C447,'Informations générales'!$C$66:$G$70,5,FALSE)*(AK447/$AN$27)/12,0)*12,IF(C447="3114. Logements",ROUND(VLOOKUP(C447,'Informations générales'!$C$66:$G$70,5,FALSE)*(AK447/$AO$27)/12,0)*12,IF(C447="3115. Logements",ROUND(VLOOKUP(C447,'Informations générales'!$C$66:$G$70,5,FALSE)*(AK447/$AP$27)/12,0)*12,"")))))</f>
        <v/>
      </c>
      <c r="AG447" s="117"/>
      <c r="AH447" s="116" t="str">
        <f t="shared" si="103"/>
        <v/>
      </c>
      <c r="AI447" s="92"/>
      <c r="AJ447" s="78"/>
      <c r="AK447" s="60">
        <f t="shared" si="104"/>
        <v>0</v>
      </c>
      <c r="AL447" s="60"/>
      <c r="AM447" s="60"/>
      <c r="AN447" s="60"/>
      <c r="AO447" s="60"/>
      <c r="AP447" s="60"/>
      <c r="AQ447" s="60">
        <f t="shared" si="94"/>
        <v>0</v>
      </c>
      <c r="AR447" s="60">
        <f t="shared" si="95"/>
        <v>0</v>
      </c>
      <c r="AS447" s="60">
        <f t="shared" si="96"/>
        <v>0</v>
      </c>
      <c r="AT447" s="60">
        <f t="shared" si="97"/>
        <v>0</v>
      </c>
      <c r="AU447" s="60">
        <f t="shared" si="98"/>
        <v>0</v>
      </c>
      <c r="AV447" s="60">
        <f t="shared" si="99"/>
        <v>0</v>
      </c>
      <c r="AW447" s="60">
        <f t="shared" si="100"/>
        <v>0</v>
      </c>
      <c r="AX447" s="60">
        <f t="shared" si="105"/>
        <v>0</v>
      </c>
      <c r="AY447" s="64">
        <f t="shared" si="106"/>
        <v>0</v>
      </c>
      <c r="AZ447" s="65">
        <f t="shared" si="108"/>
        <v>0</v>
      </c>
      <c r="BA447" s="65">
        <f t="shared" si="107"/>
        <v>0</v>
      </c>
    </row>
    <row r="448" spans="3:53" s="17" customFormat="1" x14ac:dyDescent="0.25">
      <c r="C448" s="194"/>
      <c r="D448" s="195"/>
      <c r="E448" s="90"/>
      <c r="F448" s="198"/>
      <c r="G448" s="214"/>
      <c r="H448" s="199"/>
      <c r="I448" s="78"/>
      <c r="J448" s="79"/>
      <c r="K448" s="78"/>
      <c r="L448" s="80"/>
      <c r="M448" s="80"/>
      <c r="N448" s="78" t="s">
        <v>39</v>
      </c>
      <c r="O448" s="113"/>
      <c r="P448" s="155"/>
      <c r="Q448" s="114" t="str">
        <f>IFERROR(MIN(VLOOKUP(ROUNDDOWN(P448,0),'Aide calcul'!$B$2:$C$282,2,FALSE),O448+1),"")</f>
        <v/>
      </c>
      <c r="R448" s="115" t="str">
        <f t="shared" si="101"/>
        <v/>
      </c>
      <c r="S448" s="155"/>
      <c r="T448" s="155"/>
      <c r="U448" s="155"/>
      <c r="V448" s="155"/>
      <c r="W448" s="155"/>
      <c r="X448" s="155"/>
      <c r="Y448" s="155"/>
      <c r="Z448" s="78"/>
      <c r="AA448" s="78"/>
      <c r="AB448" s="116" t="str">
        <f>IF(C448="3111. Logements",ROUND(VLOOKUP(C448,'Informations générales'!$C$66:$D$70,2,FALSE)*(AK448/$AL$27)/12,0)*12,IF(C448="3112. Logements",ROUND(VLOOKUP(C448,'Informations générales'!$C$66:$D$70,2,FALSE)*(AK448/$AM$27)/12,0)*12,IF(C448="3113. Logements",ROUND(VLOOKUP(C448,'Informations générales'!$C$66:$D$70,2,FALSE)*(AK448/$AN$27)/12,0)*12,IF(C448="3114. Logements",ROUND(VLOOKUP(C448,'Informations générales'!$C$66:$D$70,2,FALSE)*(AK448/$AO$27)/12,0)*12,IF(C448="3115. Logements",ROUND(VLOOKUP(C448,'Informations générales'!$C$66:$D$70,2,FALSE)*(AK448/$AP$27)/12,0)*12,"")))))</f>
        <v/>
      </c>
      <c r="AC448" s="117"/>
      <c r="AD448" s="116">
        <f t="shared" si="102"/>
        <v>0</v>
      </c>
      <c r="AE448" s="117"/>
      <c r="AF448" s="116" t="str">
        <f>IF(C448="3111. Logements",ROUND(VLOOKUP(C448,'Informations générales'!$C$66:$G$70,5,FALSE)*(AK448/$AL$27)/12,0)*12,IF(C448="3112. Logements",ROUND(VLOOKUP(C448,'Informations générales'!$C$66:$G$70,5,FALSE)*(AK448/$AM$27)/12,0)*12,IF(C448="3113. Logements",ROUND(VLOOKUP(C448,'Informations générales'!$C$66:$G$70,5,FALSE)*(AK448/$AN$27)/12,0)*12,IF(C448="3114. Logements",ROUND(VLOOKUP(C448,'Informations générales'!$C$66:$G$70,5,FALSE)*(AK448/$AO$27)/12,0)*12,IF(C448="3115. Logements",ROUND(VLOOKUP(C448,'Informations générales'!$C$66:$G$70,5,FALSE)*(AK448/$AP$27)/12,0)*12,"")))))</f>
        <v/>
      </c>
      <c r="AG448" s="117"/>
      <c r="AH448" s="116" t="str">
        <f t="shared" si="103"/>
        <v/>
      </c>
      <c r="AI448" s="92"/>
      <c r="AJ448" s="78"/>
      <c r="AK448" s="60">
        <f t="shared" si="104"/>
        <v>0</v>
      </c>
      <c r="AL448" s="60"/>
      <c r="AM448" s="60"/>
      <c r="AN448" s="60"/>
      <c r="AO448" s="60"/>
      <c r="AP448" s="60"/>
      <c r="AQ448" s="60">
        <f t="shared" si="94"/>
        <v>0</v>
      </c>
      <c r="AR448" s="60">
        <f t="shared" si="95"/>
        <v>0</v>
      </c>
      <c r="AS448" s="60">
        <f t="shared" si="96"/>
        <v>0</v>
      </c>
      <c r="AT448" s="60">
        <f t="shared" si="97"/>
        <v>0</v>
      </c>
      <c r="AU448" s="60">
        <f t="shared" si="98"/>
        <v>0</v>
      </c>
      <c r="AV448" s="60">
        <f t="shared" si="99"/>
        <v>0</v>
      </c>
      <c r="AW448" s="60">
        <f t="shared" si="100"/>
        <v>0</v>
      </c>
      <c r="AX448" s="60">
        <f t="shared" si="105"/>
        <v>0</v>
      </c>
      <c r="AY448" s="64">
        <f t="shared" si="106"/>
        <v>0</v>
      </c>
      <c r="AZ448" s="65">
        <f t="shared" si="108"/>
        <v>0</v>
      </c>
      <c r="BA448" s="65">
        <f t="shared" si="107"/>
        <v>0</v>
      </c>
    </row>
    <row r="449" spans="3:53" s="17" customFormat="1" x14ac:dyDescent="0.25">
      <c r="C449" s="194"/>
      <c r="D449" s="195"/>
      <c r="E449" s="90"/>
      <c r="F449" s="198"/>
      <c r="G449" s="214"/>
      <c r="H449" s="199"/>
      <c r="I449" s="78"/>
      <c r="J449" s="79"/>
      <c r="K449" s="78"/>
      <c r="L449" s="80"/>
      <c r="M449" s="80"/>
      <c r="N449" s="78" t="s">
        <v>39</v>
      </c>
      <c r="O449" s="113"/>
      <c r="P449" s="155"/>
      <c r="Q449" s="114" t="str">
        <f>IFERROR(MIN(VLOOKUP(ROUNDDOWN(P449,0),'Aide calcul'!$B$2:$C$282,2,FALSE),O449+1),"")</f>
        <v/>
      </c>
      <c r="R449" s="115" t="str">
        <f t="shared" si="101"/>
        <v/>
      </c>
      <c r="S449" s="155"/>
      <c r="T449" s="155"/>
      <c r="U449" s="155"/>
      <c r="V449" s="155"/>
      <c r="W449" s="155"/>
      <c r="X449" s="155"/>
      <c r="Y449" s="155"/>
      <c r="Z449" s="78"/>
      <c r="AA449" s="78"/>
      <c r="AB449" s="116" t="str">
        <f>IF(C449="3111. Logements",ROUND(VLOOKUP(C449,'Informations générales'!$C$66:$D$70,2,FALSE)*(AK449/$AL$27)/12,0)*12,IF(C449="3112. Logements",ROUND(VLOOKUP(C449,'Informations générales'!$C$66:$D$70,2,FALSE)*(AK449/$AM$27)/12,0)*12,IF(C449="3113. Logements",ROUND(VLOOKUP(C449,'Informations générales'!$C$66:$D$70,2,FALSE)*(AK449/$AN$27)/12,0)*12,IF(C449="3114. Logements",ROUND(VLOOKUP(C449,'Informations générales'!$C$66:$D$70,2,FALSE)*(AK449/$AO$27)/12,0)*12,IF(C449="3115. Logements",ROUND(VLOOKUP(C449,'Informations générales'!$C$66:$D$70,2,FALSE)*(AK449/$AP$27)/12,0)*12,"")))))</f>
        <v/>
      </c>
      <c r="AC449" s="117"/>
      <c r="AD449" s="116">
        <f t="shared" si="102"/>
        <v>0</v>
      </c>
      <c r="AE449" s="117"/>
      <c r="AF449" s="116" t="str">
        <f>IF(C449="3111. Logements",ROUND(VLOOKUP(C449,'Informations générales'!$C$66:$G$70,5,FALSE)*(AK449/$AL$27)/12,0)*12,IF(C449="3112. Logements",ROUND(VLOOKUP(C449,'Informations générales'!$C$66:$G$70,5,FALSE)*(AK449/$AM$27)/12,0)*12,IF(C449="3113. Logements",ROUND(VLOOKUP(C449,'Informations générales'!$C$66:$G$70,5,FALSE)*(AK449/$AN$27)/12,0)*12,IF(C449="3114. Logements",ROUND(VLOOKUP(C449,'Informations générales'!$C$66:$G$70,5,FALSE)*(AK449/$AO$27)/12,0)*12,IF(C449="3115. Logements",ROUND(VLOOKUP(C449,'Informations générales'!$C$66:$G$70,5,FALSE)*(AK449/$AP$27)/12,0)*12,"")))))</f>
        <v/>
      </c>
      <c r="AG449" s="117"/>
      <c r="AH449" s="116" t="str">
        <f t="shared" si="103"/>
        <v/>
      </c>
      <c r="AI449" s="92"/>
      <c r="AJ449" s="78"/>
      <c r="AK449" s="60">
        <f t="shared" si="104"/>
        <v>0</v>
      </c>
      <c r="AL449" s="60"/>
      <c r="AM449" s="60"/>
      <c r="AN449" s="60"/>
      <c r="AO449" s="60"/>
      <c r="AP449" s="60"/>
      <c r="AQ449" s="60">
        <f t="shared" si="94"/>
        <v>0</v>
      </c>
      <c r="AR449" s="60">
        <f t="shared" si="95"/>
        <v>0</v>
      </c>
      <c r="AS449" s="60">
        <f t="shared" si="96"/>
        <v>0</v>
      </c>
      <c r="AT449" s="60">
        <f t="shared" si="97"/>
        <v>0</v>
      </c>
      <c r="AU449" s="60">
        <f t="shared" si="98"/>
        <v>0</v>
      </c>
      <c r="AV449" s="60">
        <f t="shared" si="99"/>
        <v>0</v>
      </c>
      <c r="AW449" s="60">
        <f t="shared" si="100"/>
        <v>0</v>
      </c>
      <c r="AX449" s="60">
        <f t="shared" si="105"/>
        <v>0</v>
      </c>
      <c r="AY449" s="64">
        <f t="shared" si="106"/>
        <v>0</v>
      </c>
      <c r="AZ449" s="65">
        <f t="shared" si="108"/>
        <v>0</v>
      </c>
      <c r="BA449" s="65">
        <f t="shared" si="107"/>
        <v>0</v>
      </c>
    </row>
    <row r="450" spans="3:53" s="17" customFormat="1" x14ac:dyDescent="0.25">
      <c r="C450" s="194"/>
      <c r="D450" s="195"/>
      <c r="E450" s="90"/>
      <c r="F450" s="198"/>
      <c r="G450" s="214"/>
      <c r="H450" s="199"/>
      <c r="I450" s="78"/>
      <c r="J450" s="79"/>
      <c r="K450" s="78"/>
      <c r="L450" s="80"/>
      <c r="M450" s="80"/>
      <c r="N450" s="78" t="s">
        <v>39</v>
      </c>
      <c r="O450" s="113"/>
      <c r="P450" s="155"/>
      <c r="Q450" s="114" t="str">
        <f>IFERROR(MIN(VLOOKUP(ROUNDDOWN(P450,0),'Aide calcul'!$B$2:$C$282,2,FALSE),O450+1),"")</f>
        <v/>
      </c>
      <c r="R450" s="115" t="str">
        <f t="shared" si="101"/>
        <v/>
      </c>
      <c r="S450" s="155"/>
      <c r="T450" s="155"/>
      <c r="U450" s="155"/>
      <c r="V450" s="155"/>
      <c r="W450" s="155"/>
      <c r="X450" s="155"/>
      <c r="Y450" s="155"/>
      <c r="Z450" s="78"/>
      <c r="AA450" s="78"/>
      <c r="AB450" s="116" t="str">
        <f>IF(C450="3111. Logements",ROUND(VLOOKUP(C450,'Informations générales'!$C$66:$D$70,2,FALSE)*(AK450/$AL$27)/12,0)*12,IF(C450="3112. Logements",ROUND(VLOOKUP(C450,'Informations générales'!$C$66:$D$70,2,FALSE)*(AK450/$AM$27)/12,0)*12,IF(C450="3113. Logements",ROUND(VLOOKUP(C450,'Informations générales'!$C$66:$D$70,2,FALSE)*(AK450/$AN$27)/12,0)*12,IF(C450="3114. Logements",ROUND(VLOOKUP(C450,'Informations générales'!$C$66:$D$70,2,FALSE)*(AK450/$AO$27)/12,0)*12,IF(C450="3115. Logements",ROUND(VLOOKUP(C450,'Informations générales'!$C$66:$D$70,2,FALSE)*(AK450/$AP$27)/12,0)*12,"")))))</f>
        <v/>
      </c>
      <c r="AC450" s="117"/>
      <c r="AD450" s="116">
        <f t="shared" si="102"/>
        <v>0</v>
      </c>
      <c r="AE450" s="117"/>
      <c r="AF450" s="116" t="str">
        <f>IF(C450="3111. Logements",ROUND(VLOOKUP(C450,'Informations générales'!$C$66:$G$70,5,FALSE)*(AK450/$AL$27)/12,0)*12,IF(C450="3112. Logements",ROUND(VLOOKUP(C450,'Informations générales'!$C$66:$G$70,5,FALSE)*(AK450/$AM$27)/12,0)*12,IF(C450="3113. Logements",ROUND(VLOOKUP(C450,'Informations générales'!$C$66:$G$70,5,FALSE)*(AK450/$AN$27)/12,0)*12,IF(C450="3114. Logements",ROUND(VLOOKUP(C450,'Informations générales'!$C$66:$G$70,5,FALSE)*(AK450/$AO$27)/12,0)*12,IF(C450="3115. Logements",ROUND(VLOOKUP(C450,'Informations générales'!$C$66:$G$70,5,FALSE)*(AK450/$AP$27)/12,0)*12,"")))))</f>
        <v/>
      </c>
      <c r="AG450" s="117"/>
      <c r="AH450" s="116" t="str">
        <f t="shared" si="103"/>
        <v/>
      </c>
      <c r="AI450" s="92"/>
      <c r="AJ450" s="78"/>
      <c r="AK450" s="60">
        <f t="shared" si="104"/>
        <v>0</v>
      </c>
      <c r="AL450" s="60"/>
      <c r="AM450" s="60"/>
      <c r="AN450" s="60"/>
      <c r="AO450" s="60"/>
      <c r="AP450" s="60"/>
      <c r="AQ450" s="60">
        <f t="shared" si="94"/>
        <v>0</v>
      </c>
      <c r="AR450" s="60">
        <f t="shared" si="95"/>
        <v>0</v>
      </c>
      <c r="AS450" s="60">
        <f t="shared" si="96"/>
        <v>0</v>
      </c>
      <c r="AT450" s="60">
        <f t="shared" si="97"/>
        <v>0</v>
      </c>
      <c r="AU450" s="60">
        <f t="shared" si="98"/>
        <v>0</v>
      </c>
      <c r="AV450" s="60">
        <f t="shared" si="99"/>
        <v>0</v>
      </c>
      <c r="AW450" s="60">
        <f t="shared" si="100"/>
        <v>0</v>
      </c>
      <c r="AX450" s="60">
        <f t="shared" si="105"/>
        <v>0</v>
      </c>
      <c r="AY450" s="64">
        <f t="shared" si="106"/>
        <v>0</v>
      </c>
      <c r="AZ450" s="65">
        <f t="shared" si="108"/>
        <v>0</v>
      </c>
      <c r="BA450" s="65">
        <f t="shared" si="107"/>
        <v>0</v>
      </c>
    </row>
    <row r="451" spans="3:53" s="17" customFormat="1" x14ac:dyDescent="0.25">
      <c r="C451" s="194"/>
      <c r="D451" s="195"/>
      <c r="E451" s="90"/>
      <c r="F451" s="198"/>
      <c r="G451" s="214"/>
      <c r="H451" s="199"/>
      <c r="I451" s="78"/>
      <c r="J451" s="79"/>
      <c r="K451" s="78"/>
      <c r="L451" s="80"/>
      <c r="M451" s="80"/>
      <c r="N451" s="78" t="s">
        <v>39</v>
      </c>
      <c r="O451" s="113"/>
      <c r="P451" s="155"/>
      <c r="Q451" s="114" t="str">
        <f>IFERROR(MIN(VLOOKUP(ROUNDDOWN(P451,0),'Aide calcul'!$B$2:$C$282,2,FALSE),O451+1),"")</f>
        <v/>
      </c>
      <c r="R451" s="115" t="str">
        <f t="shared" si="101"/>
        <v/>
      </c>
      <c r="S451" s="155"/>
      <c r="T451" s="155"/>
      <c r="U451" s="155"/>
      <c r="V451" s="155"/>
      <c r="W451" s="155"/>
      <c r="X451" s="155"/>
      <c r="Y451" s="155"/>
      <c r="Z451" s="78"/>
      <c r="AA451" s="78"/>
      <c r="AB451" s="116" t="str">
        <f>IF(C451="3111. Logements",ROUND(VLOOKUP(C451,'Informations générales'!$C$66:$D$70,2,FALSE)*(AK451/$AL$27)/12,0)*12,IF(C451="3112. Logements",ROUND(VLOOKUP(C451,'Informations générales'!$C$66:$D$70,2,FALSE)*(AK451/$AM$27)/12,0)*12,IF(C451="3113. Logements",ROUND(VLOOKUP(C451,'Informations générales'!$C$66:$D$70,2,FALSE)*(AK451/$AN$27)/12,0)*12,IF(C451="3114. Logements",ROUND(VLOOKUP(C451,'Informations générales'!$C$66:$D$70,2,FALSE)*(AK451/$AO$27)/12,0)*12,IF(C451="3115. Logements",ROUND(VLOOKUP(C451,'Informations générales'!$C$66:$D$70,2,FALSE)*(AK451/$AP$27)/12,0)*12,"")))))</f>
        <v/>
      </c>
      <c r="AC451" s="117"/>
      <c r="AD451" s="116">
        <f t="shared" si="102"/>
        <v>0</v>
      </c>
      <c r="AE451" s="117"/>
      <c r="AF451" s="116" t="str">
        <f>IF(C451="3111. Logements",ROUND(VLOOKUP(C451,'Informations générales'!$C$66:$G$70,5,FALSE)*(AK451/$AL$27)/12,0)*12,IF(C451="3112. Logements",ROUND(VLOOKUP(C451,'Informations générales'!$C$66:$G$70,5,FALSE)*(AK451/$AM$27)/12,0)*12,IF(C451="3113. Logements",ROUND(VLOOKUP(C451,'Informations générales'!$C$66:$G$70,5,FALSE)*(AK451/$AN$27)/12,0)*12,IF(C451="3114. Logements",ROUND(VLOOKUP(C451,'Informations générales'!$C$66:$G$70,5,FALSE)*(AK451/$AO$27)/12,0)*12,IF(C451="3115. Logements",ROUND(VLOOKUP(C451,'Informations générales'!$C$66:$G$70,5,FALSE)*(AK451/$AP$27)/12,0)*12,"")))))</f>
        <v/>
      </c>
      <c r="AG451" s="117"/>
      <c r="AH451" s="116" t="str">
        <f t="shared" si="103"/>
        <v/>
      </c>
      <c r="AI451" s="92"/>
      <c r="AJ451" s="78"/>
      <c r="AK451" s="60">
        <f t="shared" si="104"/>
        <v>0</v>
      </c>
      <c r="AL451" s="60"/>
      <c r="AM451" s="60"/>
      <c r="AN451" s="60"/>
      <c r="AO451" s="60"/>
      <c r="AP451" s="60"/>
      <c r="AQ451" s="60">
        <f t="shared" si="94"/>
        <v>0</v>
      </c>
      <c r="AR451" s="60">
        <f t="shared" si="95"/>
        <v>0</v>
      </c>
      <c r="AS451" s="60">
        <f t="shared" si="96"/>
        <v>0</v>
      </c>
      <c r="AT451" s="60">
        <f t="shared" si="97"/>
        <v>0</v>
      </c>
      <c r="AU451" s="60">
        <f t="shared" si="98"/>
        <v>0</v>
      </c>
      <c r="AV451" s="60">
        <f t="shared" si="99"/>
        <v>0</v>
      </c>
      <c r="AW451" s="60">
        <f t="shared" si="100"/>
        <v>0</v>
      </c>
      <c r="AX451" s="60">
        <f t="shared" si="105"/>
        <v>0</v>
      </c>
      <c r="AY451" s="64">
        <f t="shared" si="106"/>
        <v>0</v>
      </c>
      <c r="AZ451" s="65">
        <f t="shared" si="108"/>
        <v>0</v>
      </c>
      <c r="BA451" s="65">
        <f t="shared" si="107"/>
        <v>0</v>
      </c>
    </row>
    <row r="452" spans="3:53" s="17" customFormat="1" x14ac:dyDescent="0.25">
      <c r="C452" s="194"/>
      <c r="D452" s="195"/>
      <c r="E452" s="90"/>
      <c r="F452" s="198"/>
      <c r="G452" s="214"/>
      <c r="H452" s="199"/>
      <c r="I452" s="78"/>
      <c r="J452" s="79"/>
      <c r="K452" s="78"/>
      <c r="L452" s="80"/>
      <c r="M452" s="80"/>
      <c r="N452" s="78" t="s">
        <v>39</v>
      </c>
      <c r="O452" s="113"/>
      <c r="P452" s="155"/>
      <c r="Q452" s="114" t="str">
        <f>IFERROR(MIN(VLOOKUP(ROUNDDOWN(P452,0),'Aide calcul'!$B$2:$C$282,2,FALSE),O452+1),"")</f>
        <v/>
      </c>
      <c r="R452" s="115" t="str">
        <f t="shared" si="101"/>
        <v/>
      </c>
      <c r="S452" s="155"/>
      <c r="T452" s="155"/>
      <c r="U452" s="155"/>
      <c r="V452" s="155"/>
      <c r="W452" s="155"/>
      <c r="X452" s="155"/>
      <c r="Y452" s="155"/>
      <c r="Z452" s="78"/>
      <c r="AA452" s="78"/>
      <c r="AB452" s="116" t="str">
        <f>IF(C452="3111. Logements",ROUND(VLOOKUP(C452,'Informations générales'!$C$66:$D$70,2,FALSE)*(AK452/$AL$27)/12,0)*12,IF(C452="3112. Logements",ROUND(VLOOKUP(C452,'Informations générales'!$C$66:$D$70,2,FALSE)*(AK452/$AM$27)/12,0)*12,IF(C452="3113. Logements",ROUND(VLOOKUP(C452,'Informations générales'!$C$66:$D$70,2,FALSE)*(AK452/$AN$27)/12,0)*12,IF(C452="3114. Logements",ROUND(VLOOKUP(C452,'Informations générales'!$C$66:$D$70,2,FALSE)*(AK452/$AO$27)/12,0)*12,IF(C452="3115. Logements",ROUND(VLOOKUP(C452,'Informations générales'!$C$66:$D$70,2,FALSE)*(AK452/$AP$27)/12,0)*12,"")))))</f>
        <v/>
      </c>
      <c r="AC452" s="117"/>
      <c r="AD452" s="116">
        <f t="shared" si="102"/>
        <v>0</v>
      </c>
      <c r="AE452" s="117"/>
      <c r="AF452" s="116" t="str">
        <f>IF(C452="3111. Logements",ROUND(VLOOKUP(C452,'Informations générales'!$C$66:$G$70,5,FALSE)*(AK452/$AL$27)/12,0)*12,IF(C452="3112. Logements",ROUND(VLOOKUP(C452,'Informations générales'!$C$66:$G$70,5,FALSE)*(AK452/$AM$27)/12,0)*12,IF(C452="3113. Logements",ROUND(VLOOKUP(C452,'Informations générales'!$C$66:$G$70,5,FALSE)*(AK452/$AN$27)/12,0)*12,IF(C452="3114. Logements",ROUND(VLOOKUP(C452,'Informations générales'!$C$66:$G$70,5,FALSE)*(AK452/$AO$27)/12,0)*12,IF(C452="3115. Logements",ROUND(VLOOKUP(C452,'Informations générales'!$C$66:$G$70,5,FALSE)*(AK452/$AP$27)/12,0)*12,"")))))</f>
        <v/>
      </c>
      <c r="AG452" s="117"/>
      <c r="AH452" s="116" t="str">
        <f t="shared" si="103"/>
        <v/>
      </c>
      <c r="AI452" s="92"/>
      <c r="AJ452" s="78"/>
      <c r="AK452" s="60">
        <f t="shared" si="104"/>
        <v>0</v>
      </c>
      <c r="AL452" s="60"/>
      <c r="AM452" s="60"/>
      <c r="AN452" s="60"/>
      <c r="AO452" s="60"/>
      <c r="AP452" s="60"/>
      <c r="AQ452" s="60">
        <f t="shared" si="94"/>
        <v>0</v>
      </c>
      <c r="AR452" s="60">
        <f t="shared" si="95"/>
        <v>0</v>
      </c>
      <c r="AS452" s="60">
        <f t="shared" si="96"/>
        <v>0</v>
      </c>
      <c r="AT452" s="60">
        <f t="shared" si="97"/>
        <v>0</v>
      </c>
      <c r="AU452" s="60">
        <f t="shared" si="98"/>
        <v>0</v>
      </c>
      <c r="AV452" s="60">
        <f t="shared" si="99"/>
        <v>0</v>
      </c>
      <c r="AW452" s="60">
        <f t="shared" si="100"/>
        <v>0</v>
      </c>
      <c r="AX452" s="60">
        <f t="shared" si="105"/>
        <v>0</v>
      </c>
      <c r="AY452" s="64">
        <f t="shared" si="106"/>
        <v>0</v>
      </c>
      <c r="AZ452" s="65">
        <f t="shared" si="108"/>
        <v>0</v>
      </c>
      <c r="BA452" s="65">
        <f t="shared" si="107"/>
        <v>0</v>
      </c>
    </row>
    <row r="453" spans="3:53" s="17" customFormat="1" x14ac:dyDescent="0.25">
      <c r="C453" s="194"/>
      <c r="D453" s="195"/>
      <c r="E453" s="90"/>
      <c r="F453" s="198"/>
      <c r="G453" s="214"/>
      <c r="H453" s="199"/>
      <c r="I453" s="78"/>
      <c r="J453" s="79"/>
      <c r="K453" s="78"/>
      <c r="L453" s="80"/>
      <c r="M453" s="80"/>
      <c r="N453" s="78" t="s">
        <v>39</v>
      </c>
      <c r="O453" s="113"/>
      <c r="P453" s="155"/>
      <c r="Q453" s="114" t="str">
        <f>IFERROR(MIN(VLOOKUP(ROUNDDOWN(P453,0),'Aide calcul'!$B$2:$C$282,2,FALSE),O453+1),"")</f>
        <v/>
      </c>
      <c r="R453" s="115" t="str">
        <f t="shared" si="101"/>
        <v/>
      </c>
      <c r="S453" s="155"/>
      <c r="T453" s="155"/>
      <c r="U453" s="155"/>
      <c r="V453" s="155"/>
      <c r="W453" s="155"/>
      <c r="X453" s="155"/>
      <c r="Y453" s="155"/>
      <c r="Z453" s="78"/>
      <c r="AA453" s="78"/>
      <c r="AB453" s="116" t="str">
        <f>IF(C453="3111. Logements",ROUND(VLOOKUP(C453,'Informations générales'!$C$66:$D$70,2,FALSE)*(AK453/$AL$27)/12,0)*12,IF(C453="3112. Logements",ROUND(VLOOKUP(C453,'Informations générales'!$C$66:$D$70,2,FALSE)*(AK453/$AM$27)/12,0)*12,IF(C453="3113. Logements",ROUND(VLOOKUP(C453,'Informations générales'!$C$66:$D$70,2,FALSE)*(AK453/$AN$27)/12,0)*12,IF(C453="3114. Logements",ROUND(VLOOKUP(C453,'Informations générales'!$C$66:$D$70,2,FALSE)*(AK453/$AO$27)/12,0)*12,IF(C453="3115. Logements",ROUND(VLOOKUP(C453,'Informations générales'!$C$66:$D$70,2,FALSE)*(AK453/$AP$27)/12,0)*12,"")))))</f>
        <v/>
      </c>
      <c r="AC453" s="117"/>
      <c r="AD453" s="116">
        <f t="shared" si="102"/>
        <v>0</v>
      </c>
      <c r="AE453" s="117"/>
      <c r="AF453" s="116" t="str">
        <f>IF(C453="3111. Logements",ROUND(VLOOKUP(C453,'Informations générales'!$C$66:$G$70,5,FALSE)*(AK453/$AL$27)/12,0)*12,IF(C453="3112. Logements",ROUND(VLOOKUP(C453,'Informations générales'!$C$66:$G$70,5,FALSE)*(AK453/$AM$27)/12,0)*12,IF(C453="3113. Logements",ROUND(VLOOKUP(C453,'Informations générales'!$C$66:$G$70,5,FALSE)*(AK453/$AN$27)/12,0)*12,IF(C453="3114. Logements",ROUND(VLOOKUP(C453,'Informations générales'!$C$66:$G$70,5,FALSE)*(AK453/$AO$27)/12,0)*12,IF(C453="3115. Logements",ROUND(VLOOKUP(C453,'Informations générales'!$C$66:$G$70,5,FALSE)*(AK453/$AP$27)/12,0)*12,"")))))</f>
        <v/>
      </c>
      <c r="AG453" s="117"/>
      <c r="AH453" s="116" t="str">
        <f t="shared" si="103"/>
        <v/>
      </c>
      <c r="AI453" s="92"/>
      <c r="AJ453" s="78"/>
      <c r="AK453" s="60">
        <f t="shared" si="104"/>
        <v>0</v>
      </c>
      <c r="AL453" s="60"/>
      <c r="AM453" s="60"/>
      <c r="AN453" s="60"/>
      <c r="AO453" s="60"/>
      <c r="AP453" s="60"/>
      <c r="AQ453" s="60">
        <f t="shared" si="94"/>
        <v>0</v>
      </c>
      <c r="AR453" s="60">
        <f t="shared" si="95"/>
        <v>0</v>
      </c>
      <c r="AS453" s="60">
        <f t="shared" si="96"/>
        <v>0</v>
      </c>
      <c r="AT453" s="60">
        <f t="shared" si="97"/>
        <v>0</v>
      </c>
      <c r="AU453" s="60">
        <f t="shared" si="98"/>
        <v>0</v>
      </c>
      <c r="AV453" s="60">
        <f t="shared" si="99"/>
        <v>0</v>
      </c>
      <c r="AW453" s="60">
        <f t="shared" si="100"/>
        <v>0</v>
      </c>
      <c r="AX453" s="60">
        <f t="shared" si="105"/>
        <v>0</v>
      </c>
      <c r="AY453" s="64">
        <f t="shared" si="106"/>
        <v>0</v>
      </c>
      <c r="AZ453" s="65">
        <f t="shared" si="108"/>
        <v>0</v>
      </c>
      <c r="BA453" s="65">
        <f t="shared" si="107"/>
        <v>0</v>
      </c>
    </row>
    <row r="454" spans="3:53" s="17" customFormat="1" x14ac:dyDescent="0.25">
      <c r="C454" s="194"/>
      <c r="D454" s="195"/>
      <c r="E454" s="90"/>
      <c r="F454" s="198"/>
      <c r="G454" s="214"/>
      <c r="H454" s="199"/>
      <c r="I454" s="78"/>
      <c r="J454" s="79"/>
      <c r="K454" s="78"/>
      <c r="L454" s="80"/>
      <c r="M454" s="80"/>
      <c r="N454" s="78" t="s">
        <v>39</v>
      </c>
      <c r="O454" s="113"/>
      <c r="P454" s="155"/>
      <c r="Q454" s="114" t="str">
        <f>IFERROR(MIN(VLOOKUP(ROUNDDOWN(P454,0),'Aide calcul'!$B$2:$C$282,2,FALSE),O454+1),"")</f>
        <v/>
      </c>
      <c r="R454" s="115" t="str">
        <f t="shared" si="101"/>
        <v/>
      </c>
      <c r="S454" s="155"/>
      <c r="T454" s="155"/>
      <c r="U454" s="155"/>
      <c r="V454" s="155"/>
      <c r="W454" s="155"/>
      <c r="X454" s="155"/>
      <c r="Y454" s="155"/>
      <c r="Z454" s="78"/>
      <c r="AA454" s="78"/>
      <c r="AB454" s="116" t="str">
        <f>IF(C454="3111. Logements",ROUND(VLOOKUP(C454,'Informations générales'!$C$66:$D$70,2,FALSE)*(AK454/$AL$27)/12,0)*12,IF(C454="3112. Logements",ROUND(VLOOKUP(C454,'Informations générales'!$C$66:$D$70,2,FALSE)*(AK454/$AM$27)/12,0)*12,IF(C454="3113. Logements",ROUND(VLOOKUP(C454,'Informations générales'!$C$66:$D$70,2,FALSE)*(AK454/$AN$27)/12,0)*12,IF(C454="3114. Logements",ROUND(VLOOKUP(C454,'Informations générales'!$C$66:$D$70,2,FALSE)*(AK454/$AO$27)/12,0)*12,IF(C454="3115. Logements",ROUND(VLOOKUP(C454,'Informations générales'!$C$66:$D$70,2,FALSE)*(AK454/$AP$27)/12,0)*12,"")))))</f>
        <v/>
      </c>
      <c r="AC454" s="117"/>
      <c r="AD454" s="116">
        <f t="shared" si="102"/>
        <v>0</v>
      </c>
      <c r="AE454" s="117"/>
      <c r="AF454" s="116" t="str">
        <f>IF(C454="3111. Logements",ROUND(VLOOKUP(C454,'Informations générales'!$C$66:$G$70,5,FALSE)*(AK454/$AL$27)/12,0)*12,IF(C454="3112. Logements",ROUND(VLOOKUP(C454,'Informations générales'!$C$66:$G$70,5,FALSE)*(AK454/$AM$27)/12,0)*12,IF(C454="3113. Logements",ROUND(VLOOKUP(C454,'Informations générales'!$C$66:$G$70,5,FALSE)*(AK454/$AN$27)/12,0)*12,IF(C454="3114. Logements",ROUND(VLOOKUP(C454,'Informations générales'!$C$66:$G$70,5,FALSE)*(AK454/$AO$27)/12,0)*12,IF(C454="3115. Logements",ROUND(VLOOKUP(C454,'Informations générales'!$C$66:$G$70,5,FALSE)*(AK454/$AP$27)/12,0)*12,"")))))</f>
        <v/>
      </c>
      <c r="AG454" s="117"/>
      <c r="AH454" s="116" t="str">
        <f t="shared" si="103"/>
        <v/>
      </c>
      <c r="AI454" s="92"/>
      <c r="AJ454" s="78"/>
      <c r="AK454" s="60">
        <f t="shared" si="104"/>
        <v>0</v>
      </c>
      <c r="AL454" s="60"/>
      <c r="AM454" s="60"/>
      <c r="AN454" s="60"/>
      <c r="AO454" s="60"/>
      <c r="AP454" s="60"/>
      <c r="AQ454" s="60">
        <f t="shared" si="94"/>
        <v>0</v>
      </c>
      <c r="AR454" s="60">
        <f t="shared" si="95"/>
        <v>0</v>
      </c>
      <c r="AS454" s="60">
        <f t="shared" si="96"/>
        <v>0</v>
      </c>
      <c r="AT454" s="60">
        <f t="shared" si="97"/>
        <v>0</v>
      </c>
      <c r="AU454" s="60">
        <f t="shared" si="98"/>
        <v>0</v>
      </c>
      <c r="AV454" s="60">
        <f t="shared" si="99"/>
        <v>0</v>
      </c>
      <c r="AW454" s="60">
        <f t="shared" si="100"/>
        <v>0</v>
      </c>
      <c r="AX454" s="60">
        <f t="shared" si="105"/>
        <v>0</v>
      </c>
      <c r="AY454" s="64">
        <f t="shared" si="106"/>
        <v>0</v>
      </c>
      <c r="AZ454" s="65">
        <f t="shared" si="108"/>
        <v>0</v>
      </c>
      <c r="BA454" s="65">
        <f t="shared" si="107"/>
        <v>0</v>
      </c>
    </row>
    <row r="455" spans="3:53" s="17" customFormat="1" x14ac:dyDescent="0.25">
      <c r="C455" s="194"/>
      <c r="D455" s="195"/>
      <c r="E455" s="90"/>
      <c r="F455" s="198"/>
      <c r="G455" s="214"/>
      <c r="H455" s="199"/>
      <c r="I455" s="78"/>
      <c r="J455" s="79"/>
      <c r="K455" s="78"/>
      <c r="L455" s="80"/>
      <c r="M455" s="80"/>
      <c r="N455" s="78" t="s">
        <v>39</v>
      </c>
      <c r="O455" s="113"/>
      <c r="P455" s="155"/>
      <c r="Q455" s="114" t="str">
        <f>IFERROR(MIN(VLOOKUP(ROUNDDOWN(P455,0),'Aide calcul'!$B$2:$C$282,2,FALSE),O455+1),"")</f>
        <v/>
      </c>
      <c r="R455" s="115" t="str">
        <f t="shared" si="101"/>
        <v/>
      </c>
      <c r="S455" s="155"/>
      <c r="T455" s="155"/>
      <c r="U455" s="155"/>
      <c r="V455" s="155"/>
      <c r="W455" s="155"/>
      <c r="X455" s="155"/>
      <c r="Y455" s="155"/>
      <c r="Z455" s="78"/>
      <c r="AA455" s="78"/>
      <c r="AB455" s="116" t="str">
        <f>IF(C455="3111. Logements",ROUND(VLOOKUP(C455,'Informations générales'!$C$66:$D$70,2,FALSE)*(AK455/$AL$27)/12,0)*12,IF(C455="3112. Logements",ROUND(VLOOKUP(C455,'Informations générales'!$C$66:$D$70,2,FALSE)*(AK455/$AM$27)/12,0)*12,IF(C455="3113. Logements",ROUND(VLOOKUP(C455,'Informations générales'!$C$66:$D$70,2,FALSE)*(AK455/$AN$27)/12,0)*12,IF(C455="3114. Logements",ROUND(VLOOKUP(C455,'Informations générales'!$C$66:$D$70,2,FALSE)*(AK455/$AO$27)/12,0)*12,IF(C455="3115. Logements",ROUND(VLOOKUP(C455,'Informations générales'!$C$66:$D$70,2,FALSE)*(AK455/$AP$27)/12,0)*12,"")))))</f>
        <v/>
      </c>
      <c r="AC455" s="117"/>
      <c r="AD455" s="116">
        <f t="shared" si="102"/>
        <v>0</v>
      </c>
      <c r="AE455" s="117"/>
      <c r="AF455" s="116" t="str">
        <f>IF(C455="3111. Logements",ROUND(VLOOKUP(C455,'Informations générales'!$C$66:$G$70,5,FALSE)*(AK455/$AL$27)/12,0)*12,IF(C455="3112. Logements",ROUND(VLOOKUP(C455,'Informations générales'!$C$66:$G$70,5,FALSE)*(AK455/$AM$27)/12,0)*12,IF(C455="3113. Logements",ROUND(VLOOKUP(C455,'Informations générales'!$C$66:$G$70,5,FALSE)*(AK455/$AN$27)/12,0)*12,IF(C455="3114. Logements",ROUND(VLOOKUP(C455,'Informations générales'!$C$66:$G$70,5,FALSE)*(AK455/$AO$27)/12,0)*12,IF(C455="3115. Logements",ROUND(VLOOKUP(C455,'Informations générales'!$C$66:$G$70,5,FALSE)*(AK455/$AP$27)/12,0)*12,"")))))</f>
        <v/>
      </c>
      <c r="AG455" s="117"/>
      <c r="AH455" s="116" t="str">
        <f t="shared" si="103"/>
        <v/>
      </c>
      <c r="AI455" s="92"/>
      <c r="AJ455" s="78"/>
      <c r="AK455" s="60">
        <f t="shared" si="104"/>
        <v>0</v>
      </c>
      <c r="AL455" s="60"/>
      <c r="AM455" s="60"/>
      <c r="AN455" s="60"/>
      <c r="AO455" s="60"/>
      <c r="AP455" s="60"/>
      <c r="AQ455" s="60">
        <f t="shared" si="94"/>
        <v>0</v>
      </c>
      <c r="AR455" s="60">
        <f t="shared" si="95"/>
        <v>0</v>
      </c>
      <c r="AS455" s="60">
        <f t="shared" si="96"/>
        <v>0</v>
      </c>
      <c r="AT455" s="60">
        <f t="shared" si="97"/>
        <v>0</v>
      </c>
      <c r="AU455" s="60">
        <f t="shared" si="98"/>
        <v>0</v>
      </c>
      <c r="AV455" s="60">
        <f t="shared" si="99"/>
        <v>0</v>
      </c>
      <c r="AW455" s="60">
        <f t="shared" si="100"/>
        <v>0</v>
      </c>
      <c r="AX455" s="60">
        <f t="shared" si="105"/>
        <v>0</v>
      </c>
      <c r="AY455" s="64">
        <f t="shared" si="106"/>
        <v>0</v>
      </c>
      <c r="AZ455" s="65">
        <f t="shared" si="108"/>
        <v>0</v>
      </c>
      <c r="BA455" s="65">
        <f t="shared" si="107"/>
        <v>0</v>
      </c>
    </row>
    <row r="456" spans="3:53" s="17" customFormat="1" x14ac:dyDescent="0.25">
      <c r="C456" s="194"/>
      <c r="D456" s="195"/>
      <c r="E456" s="90"/>
      <c r="F456" s="198"/>
      <c r="G456" s="214"/>
      <c r="H456" s="199"/>
      <c r="I456" s="78"/>
      <c r="J456" s="79"/>
      <c r="K456" s="78"/>
      <c r="L456" s="80"/>
      <c r="M456" s="80"/>
      <c r="N456" s="78" t="s">
        <v>39</v>
      </c>
      <c r="O456" s="113"/>
      <c r="P456" s="155"/>
      <c r="Q456" s="114" t="str">
        <f>IFERROR(MIN(VLOOKUP(ROUNDDOWN(P456,0),'Aide calcul'!$B$2:$C$282,2,FALSE),O456+1),"")</f>
        <v/>
      </c>
      <c r="R456" s="115" t="str">
        <f t="shared" si="101"/>
        <v/>
      </c>
      <c r="S456" s="155"/>
      <c r="T456" s="155"/>
      <c r="U456" s="155"/>
      <c r="V456" s="155"/>
      <c r="W456" s="155"/>
      <c r="X456" s="155"/>
      <c r="Y456" s="155"/>
      <c r="Z456" s="78"/>
      <c r="AA456" s="78"/>
      <c r="AB456" s="116" t="str">
        <f>IF(C456="3111. Logements",ROUND(VLOOKUP(C456,'Informations générales'!$C$66:$D$70,2,FALSE)*(AK456/$AL$27)/12,0)*12,IF(C456="3112. Logements",ROUND(VLOOKUP(C456,'Informations générales'!$C$66:$D$70,2,FALSE)*(AK456/$AM$27)/12,0)*12,IF(C456="3113. Logements",ROUND(VLOOKUP(C456,'Informations générales'!$C$66:$D$70,2,FALSE)*(AK456/$AN$27)/12,0)*12,IF(C456="3114. Logements",ROUND(VLOOKUP(C456,'Informations générales'!$C$66:$D$70,2,FALSE)*(AK456/$AO$27)/12,0)*12,IF(C456="3115. Logements",ROUND(VLOOKUP(C456,'Informations générales'!$C$66:$D$70,2,FALSE)*(AK456/$AP$27)/12,0)*12,"")))))</f>
        <v/>
      </c>
      <c r="AC456" s="117"/>
      <c r="AD456" s="116">
        <f t="shared" si="102"/>
        <v>0</v>
      </c>
      <c r="AE456" s="117"/>
      <c r="AF456" s="116" t="str">
        <f>IF(C456="3111. Logements",ROUND(VLOOKUP(C456,'Informations générales'!$C$66:$G$70,5,FALSE)*(AK456/$AL$27)/12,0)*12,IF(C456="3112. Logements",ROUND(VLOOKUP(C456,'Informations générales'!$C$66:$G$70,5,FALSE)*(AK456/$AM$27)/12,0)*12,IF(C456="3113. Logements",ROUND(VLOOKUP(C456,'Informations générales'!$C$66:$G$70,5,FALSE)*(AK456/$AN$27)/12,0)*12,IF(C456="3114. Logements",ROUND(VLOOKUP(C456,'Informations générales'!$C$66:$G$70,5,FALSE)*(AK456/$AO$27)/12,0)*12,IF(C456="3115. Logements",ROUND(VLOOKUP(C456,'Informations générales'!$C$66:$G$70,5,FALSE)*(AK456/$AP$27)/12,0)*12,"")))))</f>
        <v/>
      </c>
      <c r="AG456" s="117"/>
      <c r="AH456" s="116" t="str">
        <f t="shared" si="103"/>
        <v/>
      </c>
      <c r="AI456" s="92"/>
      <c r="AJ456" s="78"/>
      <c r="AK456" s="60">
        <f t="shared" si="104"/>
        <v>0</v>
      </c>
      <c r="AL456" s="60"/>
      <c r="AM456" s="60"/>
      <c r="AN456" s="60"/>
      <c r="AO456" s="60"/>
      <c r="AP456" s="60"/>
      <c r="AQ456" s="60">
        <f t="shared" si="94"/>
        <v>0</v>
      </c>
      <c r="AR456" s="60">
        <f t="shared" si="95"/>
        <v>0</v>
      </c>
      <c r="AS456" s="60">
        <f t="shared" si="96"/>
        <v>0</v>
      </c>
      <c r="AT456" s="60">
        <f t="shared" si="97"/>
        <v>0</v>
      </c>
      <c r="AU456" s="60">
        <f t="shared" si="98"/>
        <v>0</v>
      </c>
      <c r="AV456" s="60">
        <f t="shared" si="99"/>
        <v>0</v>
      </c>
      <c r="AW456" s="60">
        <f t="shared" si="100"/>
        <v>0</v>
      </c>
      <c r="AX456" s="60">
        <f t="shared" si="105"/>
        <v>0</v>
      </c>
      <c r="AY456" s="64">
        <f t="shared" si="106"/>
        <v>0</v>
      </c>
      <c r="AZ456" s="65">
        <f t="shared" si="108"/>
        <v>0</v>
      </c>
      <c r="BA456" s="65">
        <f t="shared" si="107"/>
        <v>0</v>
      </c>
    </row>
    <row r="457" spans="3:53" s="17" customFormat="1" x14ac:dyDescent="0.25">
      <c r="C457" s="194"/>
      <c r="D457" s="195"/>
      <c r="E457" s="90"/>
      <c r="F457" s="198"/>
      <c r="G457" s="214"/>
      <c r="H457" s="199"/>
      <c r="I457" s="78"/>
      <c r="J457" s="79"/>
      <c r="K457" s="78"/>
      <c r="L457" s="80"/>
      <c r="M457" s="80"/>
      <c r="N457" s="78" t="s">
        <v>39</v>
      </c>
      <c r="O457" s="113"/>
      <c r="P457" s="155"/>
      <c r="Q457" s="114" t="str">
        <f>IFERROR(MIN(VLOOKUP(ROUNDDOWN(P457,0),'Aide calcul'!$B$2:$C$282,2,FALSE),O457+1),"")</f>
        <v/>
      </c>
      <c r="R457" s="115" t="str">
        <f t="shared" si="101"/>
        <v/>
      </c>
      <c r="S457" s="155"/>
      <c r="T457" s="155"/>
      <c r="U457" s="155"/>
      <c r="V457" s="155"/>
      <c r="W457" s="155"/>
      <c r="X457" s="155"/>
      <c r="Y457" s="155"/>
      <c r="Z457" s="78"/>
      <c r="AA457" s="78"/>
      <c r="AB457" s="116" t="str">
        <f>IF(C457="3111. Logements",ROUND(VLOOKUP(C457,'Informations générales'!$C$66:$D$70,2,FALSE)*(AK457/$AL$27)/12,0)*12,IF(C457="3112. Logements",ROUND(VLOOKUP(C457,'Informations générales'!$C$66:$D$70,2,FALSE)*(AK457/$AM$27)/12,0)*12,IF(C457="3113. Logements",ROUND(VLOOKUP(C457,'Informations générales'!$C$66:$D$70,2,FALSE)*(AK457/$AN$27)/12,0)*12,IF(C457="3114. Logements",ROUND(VLOOKUP(C457,'Informations générales'!$C$66:$D$70,2,FALSE)*(AK457/$AO$27)/12,0)*12,IF(C457="3115. Logements",ROUND(VLOOKUP(C457,'Informations générales'!$C$66:$D$70,2,FALSE)*(AK457/$AP$27)/12,0)*12,"")))))</f>
        <v/>
      </c>
      <c r="AC457" s="117"/>
      <c r="AD457" s="116">
        <f t="shared" si="102"/>
        <v>0</v>
      </c>
      <c r="AE457" s="117"/>
      <c r="AF457" s="116" t="str">
        <f>IF(C457="3111. Logements",ROUND(VLOOKUP(C457,'Informations générales'!$C$66:$G$70,5,FALSE)*(AK457/$AL$27)/12,0)*12,IF(C457="3112. Logements",ROUND(VLOOKUP(C457,'Informations générales'!$C$66:$G$70,5,FALSE)*(AK457/$AM$27)/12,0)*12,IF(C457="3113. Logements",ROUND(VLOOKUP(C457,'Informations générales'!$C$66:$G$70,5,FALSE)*(AK457/$AN$27)/12,0)*12,IF(C457="3114. Logements",ROUND(VLOOKUP(C457,'Informations générales'!$C$66:$G$70,5,FALSE)*(AK457/$AO$27)/12,0)*12,IF(C457="3115. Logements",ROUND(VLOOKUP(C457,'Informations générales'!$C$66:$G$70,5,FALSE)*(AK457/$AP$27)/12,0)*12,"")))))</f>
        <v/>
      </c>
      <c r="AG457" s="117"/>
      <c r="AH457" s="116" t="str">
        <f t="shared" si="103"/>
        <v/>
      </c>
      <c r="AI457" s="92"/>
      <c r="AJ457" s="78"/>
      <c r="AK457" s="60">
        <f t="shared" si="104"/>
        <v>0</v>
      </c>
      <c r="AL457" s="60"/>
      <c r="AM457" s="60"/>
      <c r="AN457" s="60"/>
      <c r="AO457" s="60"/>
      <c r="AP457" s="60"/>
      <c r="AQ457" s="60">
        <f t="shared" si="94"/>
        <v>0</v>
      </c>
      <c r="AR457" s="60">
        <f t="shared" si="95"/>
        <v>0</v>
      </c>
      <c r="AS457" s="60">
        <f t="shared" si="96"/>
        <v>0</v>
      </c>
      <c r="AT457" s="60">
        <f t="shared" si="97"/>
        <v>0</v>
      </c>
      <c r="AU457" s="60">
        <f t="shared" si="98"/>
        <v>0</v>
      </c>
      <c r="AV457" s="60">
        <f t="shared" si="99"/>
        <v>0</v>
      </c>
      <c r="AW457" s="60">
        <f t="shared" si="100"/>
        <v>0</v>
      </c>
      <c r="AX457" s="60">
        <f t="shared" si="105"/>
        <v>0</v>
      </c>
      <c r="AY457" s="64">
        <f t="shared" si="106"/>
        <v>0</v>
      </c>
      <c r="AZ457" s="65">
        <f t="shared" si="108"/>
        <v>0</v>
      </c>
      <c r="BA457" s="65">
        <f t="shared" si="107"/>
        <v>0</v>
      </c>
    </row>
    <row r="458" spans="3:53" s="17" customFormat="1" x14ac:dyDescent="0.25">
      <c r="C458" s="194"/>
      <c r="D458" s="195"/>
      <c r="E458" s="90"/>
      <c r="F458" s="198"/>
      <c r="G458" s="214"/>
      <c r="H458" s="199"/>
      <c r="I458" s="78"/>
      <c r="J458" s="79"/>
      <c r="K458" s="78"/>
      <c r="L458" s="80"/>
      <c r="M458" s="80"/>
      <c r="N458" s="78" t="s">
        <v>39</v>
      </c>
      <c r="O458" s="113"/>
      <c r="P458" s="155"/>
      <c r="Q458" s="114" t="str">
        <f>IFERROR(MIN(VLOOKUP(ROUNDDOWN(P458,0),'Aide calcul'!$B$2:$C$282,2,FALSE),O458+1),"")</f>
        <v/>
      </c>
      <c r="R458" s="115" t="str">
        <f t="shared" si="101"/>
        <v/>
      </c>
      <c r="S458" s="155"/>
      <c r="T458" s="155"/>
      <c r="U458" s="155"/>
      <c r="V458" s="155"/>
      <c r="W458" s="155"/>
      <c r="X458" s="155"/>
      <c r="Y458" s="155"/>
      <c r="Z458" s="78"/>
      <c r="AA458" s="78"/>
      <c r="AB458" s="116" t="str">
        <f>IF(C458="3111. Logements",ROUND(VLOOKUP(C458,'Informations générales'!$C$66:$D$70,2,FALSE)*(AK458/$AL$27)/12,0)*12,IF(C458="3112. Logements",ROUND(VLOOKUP(C458,'Informations générales'!$C$66:$D$70,2,FALSE)*(AK458/$AM$27)/12,0)*12,IF(C458="3113. Logements",ROUND(VLOOKUP(C458,'Informations générales'!$C$66:$D$70,2,FALSE)*(AK458/$AN$27)/12,0)*12,IF(C458="3114. Logements",ROUND(VLOOKUP(C458,'Informations générales'!$C$66:$D$70,2,FALSE)*(AK458/$AO$27)/12,0)*12,IF(C458="3115. Logements",ROUND(VLOOKUP(C458,'Informations générales'!$C$66:$D$70,2,FALSE)*(AK458/$AP$27)/12,0)*12,"")))))</f>
        <v/>
      </c>
      <c r="AC458" s="117"/>
      <c r="AD458" s="116">
        <f t="shared" si="102"/>
        <v>0</v>
      </c>
      <c r="AE458" s="117"/>
      <c r="AF458" s="116" t="str">
        <f>IF(C458="3111. Logements",ROUND(VLOOKUP(C458,'Informations générales'!$C$66:$G$70,5,FALSE)*(AK458/$AL$27)/12,0)*12,IF(C458="3112. Logements",ROUND(VLOOKUP(C458,'Informations générales'!$C$66:$G$70,5,FALSE)*(AK458/$AM$27)/12,0)*12,IF(C458="3113. Logements",ROUND(VLOOKUP(C458,'Informations générales'!$C$66:$G$70,5,FALSE)*(AK458/$AN$27)/12,0)*12,IF(C458="3114. Logements",ROUND(VLOOKUP(C458,'Informations générales'!$C$66:$G$70,5,FALSE)*(AK458/$AO$27)/12,0)*12,IF(C458="3115. Logements",ROUND(VLOOKUP(C458,'Informations générales'!$C$66:$G$70,5,FALSE)*(AK458/$AP$27)/12,0)*12,"")))))</f>
        <v/>
      </c>
      <c r="AG458" s="117"/>
      <c r="AH458" s="116" t="str">
        <f t="shared" si="103"/>
        <v/>
      </c>
      <c r="AI458" s="92"/>
      <c r="AJ458" s="78"/>
      <c r="AK458" s="60">
        <f t="shared" si="104"/>
        <v>0</v>
      </c>
      <c r="AL458" s="60"/>
      <c r="AM458" s="60"/>
      <c r="AN458" s="60"/>
      <c r="AO458" s="60"/>
      <c r="AP458" s="60"/>
      <c r="AQ458" s="60">
        <f t="shared" si="94"/>
        <v>0</v>
      </c>
      <c r="AR458" s="60">
        <f t="shared" si="95"/>
        <v>0</v>
      </c>
      <c r="AS458" s="60">
        <f t="shared" si="96"/>
        <v>0</v>
      </c>
      <c r="AT458" s="60">
        <f t="shared" si="97"/>
        <v>0</v>
      </c>
      <c r="AU458" s="60">
        <f t="shared" si="98"/>
        <v>0</v>
      </c>
      <c r="AV458" s="60">
        <f t="shared" si="99"/>
        <v>0</v>
      </c>
      <c r="AW458" s="60">
        <f t="shared" si="100"/>
        <v>0</v>
      </c>
      <c r="AX458" s="60">
        <f t="shared" si="105"/>
        <v>0</v>
      </c>
      <c r="AY458" s="64">
        <f t="shared" si="106"/>
        <v>0</v>
      </c>
      <c r="AZ458" s="65">
        <f t="shared" si="108"/>
        <v>0</v>
      </c>
      <c r="BA458" s="65">
        <f t="shared" si="107"/>
        <v>0</v>
      </c>
    </row>
    <row r="459" spans="3:53" s="17" customFormat="1" x14ac:dyDescent="0.25">
      <c r="C459" s="194"/>
      <c r="D459" s="195"/>
      <c r="E459" s="90"/>
      <c r="F459" s="198"/>
      <c r="G459" s="214"/>
      <c r="H459" s="199"/>
      <c r="I459" s="78"/>
      <c r="J459" s="79"/>
      <c r="K459" s="78"/>
      <c r="L459" s="80"/>
      <c r="M459" s="80"/>
      <c r="N459" s="78" t="s">
        <v>39</v>
      </c>
      <c r="O459" s="113"/>
      <c r="P459" s="155"/>
      <c r="Q459" s="114" t="str">
        <f>IFERROR(MIN(VLOOKUP(ROUNDDOWN(P459,0),'Aide calcul'!$B$2:$C$282,2,FALSE),O459+1),"")</f>
        <v/>
      </c>
      <c r="R459" s="115" t="str">
        <f t="shared" si="101"/>
        <v/>
      </c>
      <c r="S459" s="155"/>
      <c r="T459" s="155"/>
      <c r="U459" s="155"/>
      <c r="V459" s="155"/>
      <c r="W459" s="155"/>
      <c r="X459" s="155"/>
      <c r="Y459" s="155"/>
      <c r="Z459" s="78"/>
      <c r="AA459" s="78"/>
      <c r="AB459" s="116" t="str">
        <f>IF(C459="3111. Logements",ROUND(VLOOKUP(C459,'Informations générales'!$C$66:$D$70,2,FALSE)*(AK459/$AL$27)/12,0)*12,IF(C459="3112. Logements",ROUND(VLOOKUP(C459,'Informations générales'!$C$66:$D$70,2,FALSE)*(AK459/$AM$27)/12,0)*12,IF(C459="3113. Logements",ROUND(VLOOKUP(C459,'Informations générales'!$C$66:$D$70,2,FALSE)*(AK459/$AN$27)/12,0)*12,IF(C459="3114. Logements",ROUND(VLOOKUP(C459,'Informations générales'!$C$66:$D$70,2,FALSE)*(AK459/$AO$27)/12,0)*12,IF(C459="3115. Logements",ROUND(VLOOKUP(C459,'Informations générales'!$C$66:$D$70,2,FALSE)*(AK459/$AP$27)/12,0)*12,"")))))</f>
        <v/>
      </c>
      <c r="AC459" s="117"/>
      <c r="AD459" s="116">
        <f t="shared" si="102"/>
        <v>0</v>
      </c>
      <c r="AE459" s="117"/>
      <c r="AF459" s="116" t="str">
        <f>IF(C459="3111. Logements",ROUND(VLOOKUP(C459,'Informations générales'!$C$66:$G$70,5,FALSE)*(AK459/$AL$27)/12,0)*12,IF(C459="3112. Logements",ROUND(VLOOKUP(C459,'Informations générales'!$C$66:$G$70,5,FALSE)*(AK459/$AM$27)/12,0)*12,IF(C459="3113. Logements",ROUND(VLOOKUP(C459,'Informations générales'!$C$66:$G$70,5,FALSE)*(AK459/$AN$27)/12,0)*12,IF(C459="3114. Logements",ROUND(VLOOKUP(C459,'Informations générales'!$C$66:$G$70,5,FALSE)*(AK459/$AO$27)/12,0)*12,IF(C459="3115. Logements",ROUND(VLOOKUP(C459,'Informations générales'!$C$66:$G$70,5,FALSE)*(AK459/$AP$27)/12,0)*12,"")))))</f>
        <v/>
      </c>
      <c r="AG459" s="117"/>
      <c r="AH459" s="116" t="str">
        <f t="shared" si="103"/>
        <v/>
      </c>
      <c r="AI459" s="92"/>
      <c r="AJ459" s="78"/>
      <c r="AK459" s="60">
        <f t="shared" si="104"/>
        <v>0</v>
      </c>
      <c r="AL459" s="60"/>
      <c r="AM459" s="60"/>
      <c r="AN459" s="60"/>
      <c r="AO459" s="60"/>
      <c r="AP459" s="60"/>
      <c r="AQ459" s="60">
        <f t="shared" si="94"/>
        <v>0</v>
      </c>
      <c r="AR459" s="60">
        <f t="shared" si="95"/>
        <v>0</v>
      </c>
      <c r="AS459" s="60">
        <f t="shared" si="96"/>
        <v>0</v>
      </c>
      <c r="AT459" s="60">
        <f t="shared" si="97"/>
        <v>0</v>
      </c>
      <c r="AU459" s="60">
        <f t="shared" si="98"/>
        <v>0</v>
      </c>
      <c r="AV459" s="60">
        <f t="shared" si="99"/>
        <v>0</v>
      </c>
      <c r="AW459" s="60">
        <f t="shared" si="100"/>
        <v>0</v>
      </c>
      <c r="AX459" s="60">
        <f t="shared" si="105"/>
        <v>0</v>
      </c>
      <c r="AY459" s="64">
        <f t="shared" si="106"/>
        <v>0</v>
      </c>
      <c r="AZ459" s="65">
        <f t="shared" si="108"/>
        <v>0</v>
      </c>
      <c r="BA459" s="65">
        <f t="shared" si="107"/>
        <v>0</v>
      </c>
    </row>
    <row r="460" spans="3:53" s="17" customFormat="1" x14ac:dyDescent="0.25">
      <c r="C460" s="194"/>
      <c r="D460" s="195"/>
      <c r="E460" s="90"/>
      <c r="F460" s="198"/>
      <c r="G460" s="214"/>
      <c r="H460" s="199"/>
      <c r="I460" s="78"/>
      <c r="J460" s="79"/>
      <c r="K460" s="78"/>
      <c r="L460" s="80"/>
      <c r="M460" s="80"/>
      <c r="N460" s="78" t="s">
        <v>39</v>
      </c>
      <c r="O460" s="113"/>
      <c r="P460" s="155"/>
      <c r="Q460" s="114" t="str">
        <f>IFERROR(MIN(VLOOKUP(ROUNDDOWN(P460,0),'Aide calcul'!$B$2:$C$282,2,FALSE),O460+1),"")</f>
        <v/>
      </c>
      <c r="R460" s="115" t="str">
        <f t="shared" si="101"/>
        <v/>
      </c>
      <c r="S460" s="155"/>
      <c r="T460" s="155"/>
      <c r="U460" s="155"/>
      <c r="V460" s="155"/>
      <c r="W460" s="155"/>
      <c r="X460" s="155"/>
      <c r="Y460" s="155"/>
      <c r="Z460" s="78"/>
      <c r="AA460" s="78"/>
      <c r="AB460" s="116" t="str">
        <f>IF(C460="3111. Logements",ROUND(VLOOKUP(C460,'Informations générales'!$C$66:$D$70,2,FALSE)*(AK460/$AL$27)/12,0)*12,IF(C460="3112. Logements",ROUND(VLOOKUP(C460,'Informations générales'!$C$66:$D$70,2,FALSE)*(AK460/$AM$27)/12,0)*12,IF(C460="3113. Logements",ROUND(VLOOKUP(C460,'Informations générales'!$C$66:$D$70,2,FALSE)*(AK460/$AN$27)/12,0)*12,IF(C460="3114. Logements",ROUND(VLOOKUP(C460,'Informations générales'!$C$66:$D$70,2,FALSE)*(AK460/$AO$27)/12,0)*12,IF(C460="3115. Logements",ROUND(VLOOKUP(C460,'Informations générales'!$C$66:$D$70,2,FALSE)*(AK460/$AP$27)/12,0)*12,"")))))</f>
        <v/>
      </c>
      <c r="AC460" s="117"/>
      <c r="AD460" s="116">
        <f t="shared" si="102"/>
        <v>0</v>
      </c>
      <c r="AE460" s="117"/>
      <c r="AF460" s="116" t="str">
        <f>IF(C460="3111. Logements",ROUND(VLOOKUP(C460,'Informations générales'!$C$66:$G$70,5,FALSE)*(AK460/$AL$27)/12,0)*12,IF(C460="3112. Logements",ROUND(VLOOKUP(C460,'Informations générales'!$C$66:$G$70,5,FALSE)*(AK460/$AM$27)/12,0)*12,IF(C460="3113. Logements",ROUND(VLOOKUP(C460,'Informations générales'!$C$66:$G$70,5,FALSE)*(AK460/$AN$27)/12,0)*12,IF(C460="3114. Logements",ROUND(VLOOKUP(C460,'Informations générales'!$C$66:$G$70,5,FALSE)*(AK460/$AO$27)/12,0)*12,IF(C460="3115. Logements",ROUND(VLOOKUP(C460,'Informations générales'!$C$66:$G$70,5,FALSE)*(AK460/$AP$27)/12,0)*12,"")))))</f>
        <v/>
      </c>
      <c r="AG460" s="117"/>
      <c r="AH460" s="116" t="str">
        <f t="shared" si="103"/>
        <v/>
      </c>
      <c r="AI460" s="92"/>
      <c r="AJ460" s="78"/>
      <c r="AK460" s="60">
        <f t="shared" si="104"/>
        <v>0</v>
      </c>
      <c r="AL460" s="60"/>
      <c r="AM460" s="60"/>
      <c r="AN460" s="60"/>
      <c r="AO460" s="60"/>
      <c r="AP460" s="60"/>
      <c r="AQ460" s="60">
        <f t="shared" si="94"/>
        <v>0</v>
      </c>
      <c r="AR460" s="60">
        <f t="shared" si="95"/>
        <v>0</v>
      </c>
      <c r="AS460" s="60">
        <f t="shared" si="96"/>
        <v>0</v>
      </c>
      <c r="AT460" s="60">
        <f t="shared" si="97"/>
        <v>0</v>
      </c>
      <c r="AU460" s="60">
        <f t="shared" si="98"/>
        <v>0</v>
      </c>
      <c r="AV460" s="60">
        <f t="shared" si="99"/>
        <v>0</v>
      </c>
      <c r="AW460" s="60">
        <f t="shared" si="100"/>
        <v>0</v>
      </c>
      <c r="AX460" s="60">
        <f t="shared" si="105"/>
        <v>0</v>
      </c>
      <c r="AY460" s="64">
        <f t="shared" si="106"/>
        <v>0</v>
      </c>
      <c r="AZ460" s="65">
        <f t="shared" si="108"/>
        <v>0</v>
      </c>
      <c r="BA460" s="65">
        <f t="shared" si="107"/>
        <v>0</v>
      </c>
    </row>
    <row r="461" spans="3:53" s="17" customFormat="1" x14ac:dyDescent="0.25">
      <c r="C461" s="194"/>
      <c r="D461" s="195"/>
      <c r="E461" s="90"/>
      <c r="F461" s="198"/>
      <c r="G461" s="214"/>
      <c r="H461" s="199"/>
      <c r="I461" s="78"/>
      <c r="J461" s="79"/>
      <c r="K461" s="78"/>
      <c r="L461" s="80"/>
      <c r="M461" s="80"/>
      <c r="N461" s="78" t="s">
        <v>39</v>
      </c>
      <c r="O461" s="113"/>
      <c r="P461" s="155"/>
      <c r="Q461" s="114" t="str">
        <f>IFERROR(MIN(VLOOKUP(ROUNDDOWN(P461,0),'Aide calcul'!$B$2:$C$282,2,FALSE),O461+1),"")</f>
        <v/>
      </c>
      <c r="R461" s="115" t="str">
        <f t="shared" si="101"/>
        <v/>
      </c>
      <c r="S461" s="155"/>
      <c r="T461" s="155"/>
      <c r="U461" s="155"/>
      <c r="V461" s="155"/>
      <c r="W461" s="155"/>
      <c r="X461" s="155"/>
      <c r="Y461" s="155"/>
      <c r="Z461" s="78"/>
      <c r="AA461" s="78"/>
      <c r="AB461" s="116" t="str">
        <f>IF(C461="3111. Logements",ROUND(VLOOKUP(C461,'Informations générales'!$C$66:$D$70,2,FALSE)*(AK461/$AL$27)/12,0)*12,IF(C461="3112. Logements",ROUND(VLOOKUP(C461,'Informations générales'!$C$66:$D$70,2,FALSE)*(AK461/$AM$27)/12,0)*12,IF(C461="3113. Logements",ROUND(VLOOKUP(C461,'Informations générales'!$C$66:$D$70,2,FALSE)*(AK461/$AN$27)/12,0)*12,IF(C461="3114. Logements",ROUND(VLOOKUP(C461,'Informations générales'!$C$66:$D$70,2,FALSE)*(AK461/$AO$27)/12,0)*12,IF(C461="3115. Logements",ROUND(VLOOKUP(C461,'Informations générales'!$C$66:$D$70,2,FALSE)*(AK461/$AP$27)/12,0)*12,"")))))</f>
        <v/>
      </c>
      <c r="AC461" s="117"/>
      <c r="AD461" s="116">
        <f t="shared" si="102"/>
        <v>0</v>
      </c>
      <c r="AE461" s="117"/>
      <c r="AF461" s="116" t="str">
        <f>IF(C461="3111. Logements",ROUND(VLOOKUP(C461,'Informations générales'!$C$66:$G$70,5,FALSE)*(AK461/$AL$27)/12,0)*12,IF(C461="3112. Logements",ROUND(VLOOKUP(C461,'Informations générales'!$C$66:$G$70,5,FALSE)*(AK461/$AM$27)/12,0)*12,IF(C461="3113. Logements",ROUND(VLOOKUP(C461,'Informations générales'!$C$66:$G$70,5,FALSE)*(AK461/$AN$27)/12,0)*12,IF(C461="3114. Logements",ROUND(VLOOKUP(C461,'Informations générales'!$C$66:$G$70,5,FALSE)*(AK461/$AO$27)/12,0)*12,IF(C461="3115. Logements",ROUND(VLOOKUP(C461,'Informations générales'!$C$66:$G$70,5,FALSE)*(AK461/$AP$27)/12,0)*12,"")))))</f>
        <v/>
      </c>
      <c r="AG461" s="117"/>
      <c r="AH461" s="116" t="str">
        <f t="shared" si="103"/>
        <v/>
      </c>
      <c r="AI461" s="92"/>
      <c r="AJ461" s="78"/>
      <c r="AK461" s="60">
        <f t="shared" si="104"/>
        <v>0</v>
      </c>
      <c r="AL461" s="60"/>
      <c r="AM461" s="60"/>
      <c r="AN461" s="60"/>
      <c r="AO461" s="60"/>
      <c r="AP461" s="60"/>
      <c r="AQ461" s="60">
        <f t="shared" si="94"/>
        <v>0</v>
      </c>
      <c r="AR461" s="60">
        <f t="shared" si="95"/>
        <v>0</v>
      </c>
      <c r="AS461" s="60">
        <f t="shared" si="96"/>
        <v>0</v>
      </c>
      <c r="AT461" s="60">
        <f t="shared" si="97"/>
        <v>0</v>
      </c>
      <c r="AU461" s="60">
        <f t="shared" si="98"/>
        <v>0</v>
      </c>
      <c r="AV461" s="60">
        <f t="shared" si="99"/>
        <v>0</v>
      </c>
      <c r="AW461" s="60">
        <f t="shared" si="100"/>
        <v>0</v>
      </c>
      <c r="AX461" s="60">
        <f t="shared" si="105"/>
        <v>0</v>
      </c>
      <c r="AY461" s="64">
        <f t="shared" si="106"/>
        <v>0</v>
      </c>
      <c r="AZ461" s="65">
        <f t="shared" si="108"/>
        <v>0</v>
      </c>
      <c r="BA461" s="65">
        <f t="shared" si="107"/>
        <v>0</v>
      </c>
    </row>
    <row r="462" spans="3:53" s="17" customFormat="1" x14ac:dyDescent="0.25">
      <c r="C462" s="194"/>
      <c r="D462" s="195"/>
      <c r="E462" s="90"/>
      <c r="F462" s="198"/>
      <c r="G462" s="214"/>
      <c r="H462" s="199"/>
      <c r="I462" s="78"/>
      <c r="J462" s="79"/>
      <c r="K462" s="78"/>
      <c r="L462" s="80"/>
      <c r="M462" s="80"/>
      <c r="N462" s="78" t="s">
        <v>39</v>
      </c>
      <c r="O462" s="113"/>
      <c r="P462" s="155"/>
      <c r="Q462" s="114" t="str">
        <f>IFERROR(MIN(VLOOKUP(ROUNDDOWN(P462,0),'Aide calcul'!$B$2:$C$282,2,FALSE),O462+1),"")</f>
        <v/>
      </c>
      <c r="R462" s="115" t="str">
        <f t="shared" si="101"/>
        <v/>
      </c>
      <c r="S462" s="155"/>
      <c r="T462" s="155"/>
      <c r="U462" s="155"/>
      <c r="V462" s="155"/>
      <c r="W462" s="155"/>
      <c r="X462" s="155"/>
      <c r="Y462" s="155"/>
      <c r="Z462" s="78"/>
      <c r="AA462" s="78"/>
      <c r="AB462" s="116" t="str">
        <f>IF(C462="3111. Logements",ROUND(VLOOKUP(C462,'Informations générales'!$C$66:$D$70,2,FALSE)*(AK462/$AL$27)/12,0)*12,IF(C462="3112. Logements",ROUND(VLOOKUP(C462,'Informations générales'!$C$66:$D$70,2,FALSE)*(AK462/$AM$27)/12,0)*12,IF(C462="3113. Logements",ROUND(VLOOKUP(C462,'Informations générales'!$C$66:$D$70,2,FALSE)*(AK462/$AN$27)/12,0)*12,IF(C462="3114. Logements",ROUND(VLOOKUP(C462,'Informations générales'!$C$66:$D$70,2,FALSE)*(AK462/$AO$27)/12,0)*12,IF(C462="3115. Logements",ROUND(VLOOKUP(C462,'Informations générales'!$C$66:$D$70,2,FALSE)*(AK462/$AP$27)/12,0)*12,"")))))</f>
        <v/>
      </c>
      <c r="AC462" s="117"/>
      <c r="AD462" s="116">
        <f t="shared" si="102"/>
        <v>0</v>
      </c>
      <c r="AE462" s="117"/>
      <c r="AF462" s="116" t="str">
        <f>IF(C462="3111. Logements",ROUND(VLOOKUP(C462,'Informations générales'!$C$66:$G$70,5,FALSE)*(AK462/$AL$27)/12,0)*12,IF(C462="3112. Logements",ROUND(VLOOKUP(C462,'Informations générales'!$C$66:$G$70,5,FALSE)*(AK462/$AM$27)/12,0)*12,IF(C462="3113. Logements",ROUND(VLOOKUP(C462,'Informations générales'!$C$66:$G$70,5,FALSE)*(AK462/$AN$27)/12,0)*12,IF(C462="3114. Logements",ROUND(VLOOKUP(C462,'Informations générales'!$C$66:$G$70,5,FALSE)*(AK462/$AO$27)/12,0)*12,IF(C462="3115. Logements",ROUND(VLOOKUP(C462,'Informations générales'!$C$66:$G$70,5,FALSE)*(AK462/$AP$27)/12,0)*12,"")))))</f>
        <v/>
      </c>
      <c r="AG462" s="117"/>
      <c r="AH462" s="116" t="str">
        <f t="shared" si="103"/>
        <v/>
      </c>
      <c r="AI462" s="92"/>
      <c r="AJ462" s="78"/>
      <c r="AK462" s="60">
        <f t="shared" si="104"/>
        <v>0</v>
      </c>
      <c r="AL462" s="60"/>
      <c r="AM462" s="60"/>
      <c r="AN462" s="60"/>
      <c r="AO462" s="60"/>
      <c r="AP462" s="60"/>
      <c r="AQ462" s="60">
        <f t="shared" si="94"/>
        <v>0</v>
      </c>
      <c r="AR462" s="60">
        <f t="shared" si="95"/>
        <v>0</v>
      </c>
      <c r="AS462" s="60">
        <f t="shared" si="96"/>
        <v>0</v>
      </c>
      <c r="AT462" s="60">
        <f t="shared" si="97"/>
        <v>0</v>
      </c>
      <c r="AU462" s="60">
        <f t="shared" si="98"/>
        <v>0</v>
      </c>
      <c r="AV462" s="60">
        <f t="shared" si="99"/>
        <v>0</v>
      </c>
      <c r="AW462" s="60">
        <f t="shared" si="100"/>
        <v>0</v>
      </c>
      <c r="AX462" s="60">
        <f t="shared" si="105"/>
        <v>0</v>
      </c>
      <c r="AY462" s="64">
        <f t="shared" si="106"/>
        <v>0</v>
      </c>
      <c r="AZ462" s="65">
        <f t="shared" si="108"/>
        <v>0</v>
      </c>
      <c r="BA462" s="65">
        <f t="shared" si="107"/>
        <v>0</v>
      </c>
    </row>
    <row r="463" spans="3:53" s="17" customFormat="1" x14ac:dyDescent="0.25">
      <c r="C463" s="194"/>
      <c r="D463" s="195"/>
      <c r="E463" s="90"/>
      <c r="F463" s="198"/>
      <c r="G463" s="214"/>
      <c r="H463" s="199"/>
      <c r="I463" s="78"/>
      <c r="J463" s="79"/>
      <c r="K463" s="78"/>
      <c r="L463" s="80"/>
      <c r="M463" s="80"/>
      <c r="N463" s="78" t="s">
        <v>39</v>
      </c>
      <c r="O463" s="113"/>
      <c r="P463" s="155"/>
      <c r="Q463" s="114" t="str">
        <f>IFERROR(MIN(VLOOKUP(ROUNDDOWN(P463,0),'Aide calcul'!$B$2:$C$282,2,FALSE),O463+1),"")</f>
        <v/>
      </c>
      <c r="R463" s="115" t="str">
        <f t="shared" si="101"/>
        <v/>
      </c>
      <c r="S463" s="155"/>
      <c r="T463" s="155"/>
      <c r="U463" s="155"/>
      <c r="V463" s="155"/>
      <c r="W463" s="155"/>
      <c r="X463" s="155"/>
      <c r="Y463" s="155"/>
      <c r="Z463" s="78"/>
      <c r="AA463" s="78"/>
      <c r="AB463" s="116" t="str">
        <f>IF(C463="3111. Logements",ROUND(VLOOKUP(C463,'Informations générales'!$C$66:$D$70,2,FALSE)*(AK463/$AL$27)/12,0)*12,IF(C463="3112. Logements",ROUND(VLOOKUP(C463,'Informations générales'!$C$66:$D$70,2,FALSE)*(AK463/$AM$27)/12,0)*12,IF(C463="3113. Logements",ROUND(VLOOKUP(C463,'Informations générales'!$C$66:$D$70,2,FALSE)*(AK463/$AN$27)/12,0)*12,IF(C463="3114. Logements",ROUND(VLOOKUP(C463,'Informations générales'!$C$66:$D$70,2,FALSE)*(AK463/$AO$27)/12,0)*12,IF(C463="3115. Logements",ROUND(VLOOKUP(C463,'Informations générales'!$C$66:$D$70,2,FALSE)*(AK463/$AP$27)/12,0)*12,"")))))</f>
        <v/>
      </c>
      <c r="AC463" s="117"/>
      <c r="AD463" s="116">
        <f t="shared" si="102"/>
        <v>0</v>
      </c>
      <c r="AE463" s="117"/>
      <c r="AF463" s="116" t="str">
        <f>IF(C463="3111. Logements",ROUND(VLOOKUP(C463,'Informations générales'!$C$66:$G$70,5,FALSE)*(AK463/$AL$27)/12,0)*12,IF(C463="3112. Logements",ROUND(VLOOKUP(C463,'Informations générales'!$C$66:$G$70,5,FALSE)*(AK463/$AM$27)/12,0)*12,IF(C463="3113. Logements",ROUND(VLOOKUP(C463,'Informations générales'!$C$66:$G$70,5,FALSE)*(AK463/$AN$27)/12,0)*12,IF(C463="3114. Logements",ROUND(VLOOKUP(C463,'Informations générales'!$C$66:$G$70,5,FALSE)*(AK463/$AO$27)/12,0)*12,IF(C463="3115. Logements",ROUND(VLOOKUP(C463,'Informations générales'!$C$66:$G$70,5,FALSE)*(AK463/$AP$27)/12,0)*12,"")))))</f>
        <v/>
      </c>
      <c r="AG463" s="117"/>
      <c r="AH463" s="116" t="str">
        <f t="shared" si="103"/>
        <v/>
      </c>
      <c r="AI463" s="92"/>
      <c r="AJ463" s="78"/>
      <c r="AK463" s="60">
        <f t="shared" si="104"/>
        <v>0</v>
      </c>
      <c r="AL463" s="60"/>
      <c r="AM463" s="60"/>
      <c r="AN463" s="60"/>
      <c r="AO463" s="60"/>
      <c r="AP463" s="60"/>
      <c r="AQ463" s="60">
        <f t="shared" si="94"/>
        <v>0</v>
      </c>
      <c r="AR463" s="60">
        <f t="shared" si="95"/>
        <v>0</v>
      </c>
      <c r="AS463" s="60">
        <f t="shared" si="96"/>
        <v>0</v>
      </c>
      <c r="AT463" s="60">
        <f t="shared" si="97"/>
        <v>0</v>
      </c>
      <c r="AU463" s="60">
        <f t="shared" si="98"/>
        <v>0</v>
      </c>
      <c r="AV463" s="60">
        <f t="shared" si="99"/>
        <v>0</v>
      </c>
      <c r="AW463" s="60">
        <f t="shared" si="100"/>
        <v>0</v>
      </c>
      <c r="AX463" s="60">
        <f t="shared" si="105"/>
        <v>0</v>
      </c>
      <c r="AY463" s="64">
        <f t="shared" si="106"/>
        <v>0</v>
      </c>
      <c r="AZ463" s="65">
        <f t="shared" si="108"/>
        <v>0</v>
      </c>
      <c r="BA463" s="65">
        <f t="shared" si="107"/>
        <v>0</v>
      </c>
    </row>
    <row r="464" spans="3:53" s="17" customFormat="1" x14ac:dyDescent="0.25">
      <c r="C464" s="194"/>
      <c r="D464" s="195"/>
      <c r="E464" s="90"/>
      <c r="F464" s="198"/>
      <c r="G464" s="214"/>
      <c r="H464" s="199"/>
      <c r="I464" s="78"/>
      <c r="J464" s="79"/>
      <c r="K464" s="78"/>
      <c r="L464" s="80"/>
      <c r="M464" s="80"/>
      <c r="N464" s="78" t="s">
        <v>39</v>
      </c>
      <c r="O464" s="113"/>
      <c r="P464" s="155"/>
      <c r="Q464" s="114" t="str">
        <f>IFERROR(MIN(VLOOKUP(ROUNDDOWN(P464,0),'Aide calcul'!$B$2:$C$282,2,FALSE),O464+1),"")</f>
        <v/>
      </c>
      <c r="R464" s="115" t="str">
        <f t="shared" si="101"/>
        <v/>
      </c>
      <c r="S464" s="155"/>
      <c r="T464" s="155"/>
      <c r="U464" s="155"/>
      <c r="V464" s="155"/>
      <c r="W464" s="155"/>
      <c r="X464" s="155"/>
      <c r="Y464" s="155"/>
      <c r="Z464" s="78"/>
      <c r="AA464" s="78"/>
      <c r="AB464" s="116" t="str">
        <f>IF(C464="3111. Logements",ROUND(VLOOKUP(C464,'Informations générales'!$C$66:$D$70,2,FALSE)*(AK464/$AL$27)/12,0)*12,IF(C464="3112. Logements",ROUND(VLOOKUP(C464,'Informations générales'!$C$66:$D$70,2,FALSE)*(AK464/$AM$27)/12,0)*12,IF(C464="3113. Logements",ROUND(VLOOKUP(C464,'Informations générales'!$C$66:$D$70,2,FALSE)*(AK464/$AN$27)/12,0)*12,IF(C464="3114. Logements",ROUND(VLOOKUP(C464,'Informations générales'!$C$66:$D$70,2,FALSE)*(AK464/$AO$27)/12,0)*12,IF(C464="3115. Logements",ROUND(VLOOKUP(C464,'Informations générales'!$C$66:$D$70,2,FALSE)*(AK464/$AP$27)/12,0)*12,"")))))</f>
        <v/>
      </c>
      <c r="AC464" s="117"/>
      <c r="AD464" s="116">
        <f t="shared" si="102"/>
        <v>0</v>
      </c>
      <c r="AE464" s="117"/>
      <c r="AF464" s="116" t="str">
        <f>IF(C464="3111. Logements",ROUND(VLOOKUP(C464,'Informations générales'!$C$66:$G$70,5,FALSE)*(AK464/$AL$27)/12,0)*12,IF(C464="3112. Logements",ROUND(VLOOKUP(C464,'Informations générales'!$C$66:$G$70,5,FALSE)*(AK464/$AM$27)/12,0)*12,IF(C464="3113. Logements",ROUND(VLOOKUP(C464,'Informations générales'!$C$66:$G$70,5,FALSE)*(AK464/$AN$27)/12,0)*12,IF(C464="3114. Logements",ROUND(VLOOKUP(C464,'Informations générales'!$C$66:$G$70,5,FALSE)*(AK464/$AO$27)/12,0)*12,IF(C464="3115. Logements",ROUND(VLOOKUP(C464,'Informations générales'!$C$66:$G$70,5,FALSE)*(AK464/$AP$27)/12,0)*12,"")))))</f>
        <v/>
      </c>
      <c r="AG464" s="117"/>
      <c r="AH464" s="116" t="str">
        <f t="shared" si="103"/>
        <v/>
      </c>
      <c r="AI464" s="92"/>
      <c r="AJ464" s="78"/>
      <c r="AK464" s="60">
        <f t="shared" si="104"/>
        <v>0</v>
      </c>
      <c r="AL464" s="60"/>
      <c r="AM464" s="60"/>
      <c r="AN464" s="60"/>
      <c r="AO464" s="60"/>
      <c r="AP464" s="60"/>
      <c r="AQ464" s="60">
        <f t="shared" si="94"/>
        <v>0</v>
      </c>
      <c r="AR464" s="60">
        <f t="shared" si="95"/>
        <v>0</v>
      </c>
      <c r="AS464" s="60">
        <f t="shared" si="96"/>
        <v>0</v>
      </c>
      <c r="AT464" s="60">
        <f t="shared" si="97"/>
        <v>0</v>
      </c>
      <c r="AU464" s="60">
        <f t="shared" si="98"/>
        <v>0</v>
      </c>
      <c r="AV464" s="60">
        <f t="shared" si="99"/>
        <v>0</v>
      </c>
      <c r="AW464" s="60">
        <f t="shared" si="100"/>
        <v>0</v>
      </c>
      <c r="AX464" s="60">
        <f t="shared" si="105"/>
        <v>0</v>
      </c>
      <c r="AY464" s="64">
        <f t="shared" si="106"/>
        <v>0</v>
      </c>
      <c r="AZ464" s="65">
        <f t="shared" si="108"/>
        <v>0</v>
      </c>
      <c r="BA464" s="65">
        <f t="shared" si="107"/>
        <v>0</v>
      </c>
    </row>
    <row r="465" spans="3:53" s="17" customFormat="1" x14ac:dyDescent="0.25">
      <c r="C465" s="194"/>
      <c r="D465" s="195"/>
      <c r="E465" s="90"/>
      <c r="F465" s="198"/>
      <c r="G465" s="214"/>
      <c r="H465" s="199"/>
      <c r="I465" s="78"/>
      <c r="J465" s="79"/>
      <c r="K465" s="78"/>
      <c r="L465" s="80"/>
      <c r="M465" s="80"/>
      <c r="N465" s="78" t="s">
        <v>39</v>
      </c>
      <c r="O465" s="113"/>
      <c r="P465" s="155"/>
      <c r="Q465" s="114" t="str">
        <f>IFERROR(MIN(VLOOKUP(ROUNDDOWN(P465,0),'Aide calcul'!$B$2:$C$282,2,FALSE),O465+1),"")</f>
        <v/>
      </c>
      <c r="R465" s="115" t="str">
        <f t="shared" si="101"/>
        <v/>
      </c>
      <c r="S465" s="155"/>
      <c r="T465" s="155"/>
      <c r="U465" s="155"/>
      <c r="V465" s="155"/>
      <c r="W465" s="155"/>
      <c r="X465" s="155"/>
      <c r="Y465" s="155"/>
      <c r="Z465" s="78"/>
      <c r="AA465" s="78"/>
      <c r="AB465" s="116" t="str">
        <f>IF(C465="3111. Logements",ROUND(VLOOKUP(C465,'Informations générales'!$C$66:$D$70,2,FALSE)*(AK465/$AL$27)/12,0)*12,IF(C465="3112. Logements",ROUND(VLOOKUP(C465,'Informations générales'!$C$66:$D$70,2,FALSE)*(AK465/$AM$27)/12,0)*12,IF(C465="3113. Logements",ROUND(VLOOKUP(C465,'Informations générales'!$C$66:$D$70,2,FALSE)*(AK465/$AN$27)/12,0)*12,IF(C465="3114. Logements",ROUND(VLOOKUP(C465,'Informations générales'!$C$66:$D$70,2,FALSE)*(AK465/$AO$27)/12,0)*12,IF(C465="3115. Logements",ROUND(VLOOKUP(C465,'Informations générales'!$C$66:$D$70,2,FALSE)*(AK465/$AP$27)/12,0)*12,"")))))</f>
        <v/>
      </c>
      <c r="AC465" s="117"/>
      <c r="AD465" s="116">
        <f t="shared" si="102"/>
        <v>0</v>
      </c>
      <c r="AE465" s="117"/>
      <c r="AF465" s="116" t="str">
        <f>IF(C465="3111. Logements",ROUND(VLOOKUP(C465,'Informations générales'!$C$66:$G$70,5,FALSE)*(AK465/$AL$27)/12,0)*12,IF(C465="3112. Logements",ROUND(VLOOKUP(C465,'Informations générales'!$C$66:$G$70,5,FALSE)*(AK465/$AM$27)/12,0)*12,IF(C465="3113. Logements",ROUND(VLOOKUP(C465,'Informations générales'!$C$66:$G$70,5,FALSE)*(AK465/$AN$27)/12,0)*12,IF(C465="3114. Logements",ROUND(VLOOKUP(C465,'Informations générales'!$C$66:$G$70,5,FALSE)*(AK465/$AO$27)/12,0)*12,IF(C465="3115. Logements",ROUND(VLOOKUP(C465,'Informations générales'!$C$66:$G$70,5,FALSE)*(AK465/$AP$27)/12,0)*12,"")))))</f>
        <v/>
      </c>
      <c r="AG465" s="117"/>
      <c r="AH465" s="116" t="str">
        <f t="shared" si="103"/>
        <v/>
      </c>
      <c r="AI465" s="92"/>
      <c r="AJ465" s="78"/>
      <c r="AK465" s="60">
        <f t="shared" si="104"/>
        <v>0</v>
      </c>
      <c r="AL465" s="60"/>
      <c r="AM465" s="60"/>
      <c r="AN465" s="60"/>
      <c r="AO465" s="60"/>
      <c r="AP465" s="60"/>
      <c r="AQ465" s="60">
        <f t="shared" si="94"/>
        <v>0</v>
      </c>
      <c r="AR465" s="60">
        <f t="shared" si="95"/>
        <v>0</v>
      </c>
      <c r="AS465" s="60">
        <f t="shared" si="96"/>
        <v>0</v>
      </c>
      <c r="AT465" s="60">
        <f t="shared" si="97"/>
        <v>0</v>
      </c>
      <c r="AU465" s="60">
        <f t="shared" si="98"/>
        <v>0</v>
      </c>
      <c r="AV465" s="60">
        <f t="shared" si="99"/>
        <v>0</v>
      </c>
      <c r="AW465" s="60">
        <f t="shared" si="100"/>
        <v>0</v>
      </c>
      <c r="AX465" s="60">
        <f t="shared" si="105"/>
        <v>0</v>
      </c>
      <c r="AY465" s="64">
        <f t="shared" si="106"/>
        <v>0</v>
      </c>
      <c r="AZ465" s="65">
        <f t="shared" si="108"/>
        <v>0</v>
      </c>
      <c r="BA465" s="65">
        <f t="shared" si="107"/>
        <v>0</v>
      </c>
    </row>
    <row r="466" spans="3:53" s="17" customFormat="1" x14ac:dyDescent="0.25">
      <c r="C466" s="194"/>
      <c r="D466" s="195"/>
      <c r="E466" s="90"/>
      <c r="F466" s="198"/>
      <c r="G466" s="214"/>
      <c r="H466" s="199"/>
      <c r="I466" s="78"/>
      <c r="J466" s="79"/>
      <c r="K466" s="78"/>
      <c r="L466" s="80"/>
      <c r="M466" s="80"/>
      <c r="N466" s="78" t="s">
        <v>39</v>
      </c>
      <c r="O466" s="113"/>
      <c r="P466" s="155"/>
      <c r="Q466" s="114" t="str">
        <f>IFERROR(MIN(VLOOKUP(ROUNDDOWN(P466,0),'Aide calcul'!$B$2:$C$282,2,FALSE),O466+1),"")</f>
        <v/>
      </c>
      <c r="R466" s="115" t="str">
        <f t="shared" si="101"/>
        <v/>
      </c>
      <c r="S466" s="155"/>
      <c r="T466" s="155"/>
      <c r="U466" s="155"/>
      <c r="V466" s="155"/>
      <c r="W466" s="155"/>
      <c r="X466" s="155"/>
      <c r="Y466" s="155"/>
      <c r="Z466" s="78"/>
      <c r="AA466" s="78"/>
      <c r="AB466" s="116" t="str">
        <f>IF(C466="3111. Logements",ROUND(VLOOKUP(C466,'Informations générales'!$C$66:$D$70,2,FALSE)*(AK466/$AL$27)/12,0)*12,IF(C466="3112. Logements",ROUND(VLOOKUP(C466,'Informations générales'!$C$66:$D$70,2,FALSE)*(AK466/$AM$27)/12,0)*12,IF(C466="3113. Logements",ROUND(VLOOKUP(C466,'Informations générales'!$C$66:$D$70,2,FALSE)*(AK466/$AN$27)/12,0)*12,IF(C466="3114. Logements",ROUND(VLOOKUP(C466,'Informations générales'!$C$66:$D$70,2,FALSE)*(AK466/$AO$27)/12,0)*12,IF(C466="3115. Logements",ROUND(VLOOKUP(C466,'Informations générales'!$C$66:$D$70,2,FALSE)*(AK466/$AP$27)/12,0)*12,"")))))</f>
        <v/>
      </c>
      <c r="AC466" s="117"/>
      <c r="AD466" s="116">
        <f t="shared" si="102"/>
        <v>0</v>
      </c>
      <c r="AE466" s="117"/>
      <c r="AF466" s="116" t="str">
        <f>IF(C466="3111. Logements",ROUND(VLOOKUP(C466,'Informations générales'!$C$66:$G$70,5,FALSE)*(AK466/$AL$27)/12,0)*12,IF(C466="3112. Logements",ROUND(VLOOKUP(C466,'Informations générales'!$C$66:$G$70,5,FALSE)*(AK466/$AM$27)/12,0)*12,IF(C466="3113. Logements",ROUND(VLOOKUP(C466,'Informations générales'!$C$66:$G$70,5,FALSE)*(AK466/$AN$27)/12,0)*12,IF(C466="3114. Logements",ROUND(VLOOKUP(C466,'Informations générales'!$C$66:$G$70,5,FALSE)*(AK466/$AO$27)/12,0)*12,IF(C466="3115. Logements",ROUND(VLOOKUP(C466,'Informations générales'!$C$66:$G$70,5,FALSE)*(AK466/$AP$27)/12,0)*12,"")))))</f>
        <v/>
      </c>
      <c r="AG466" s="117"/>
      <c r="AH466" s="116" t="str">
        <f t="shared" si="103"/>
        <v/>
      </c>
      <c r="AI466" s="92"/>
      <c r="AJ466" s="78"/>
      <c r="AK466" s="60">
        <f t="shared" si="104"/>
        <v>0</v>
      </c>
      <c r="AL466" s="60"/>
      <c r="AM466" s="60"/>
      <c r="AN466" s="60"/>
      <c r="AO466" s="60"/>
      <c r="AP466" s="60"/>
      <c r="AQ466" s="60">
        <f t="shared" si="94"/>
        <v>0</v>
      </c>
      <c r="AR466" s="60">
        <f t="shared" si="95"/>
        <v>0</v>
      </c>
      <c r="AS466" s="60">
        <f t="shared" si="96"/>
        <v>0</v>
      </c>
      <c r="AT466" s="60">
        <f t="shared" si="97"/>
        <v>0</v>
      </c>
      <c r="AU466" s="60">
        <f t="shared" si="98"/>
        <v>0</v>
      </c>
      <c r="AV466" s="60">
        <f t="shared" si="99"/>
        <v>0</v>
      </c>
      <c r="AW466" s="60">
        <f t="shared" si="100"/>
        <v>0</v>
      </c>
      <c r="AX466" s="60">
        <f t="shared" si="105"/>
        <v>0</v>
      </c>
      <c r="AY466" s="64">
        <f t="shared" si="106"/>
        <v>0</v>
      </c>
      <c r="AZ466" s="65">
        <f t="shared" si="108"/>
        <v>0</v>
      </c>
      <c r="BA466" s="65">
        <f t="shared" si="107"/>
        <v>0</v>
      </c>
    </row>
    <row r="467" spans="3:53" s="17" customFormat="1" x14ac:dyDescent="0.25">
      <c r="C467" s="194"/>
      <c r="D467" s="195"/>
      <c r="E467" s="90"/>
      <c r="F467" s="198"/>
      <c r="G467" s="214"/>
      <c r="H467" s="199"/>
      <c r="I467" s="78"/>
      <c r="J467" s="79"/>
      <c r="K467" s="78"/>
      <c r="L467" s="80"/>
      <c r="M467" s="80"/>
      <c r="N467" s="78" t="s">
        <v>39</v>
      </c>
      <c r="O467" s="113"/>
      <c r="P467" s="155"/>
      <c r="Q467" s="114" t="str">
        <f>IFERROR(MIN(VLOOKUP(ROUNDDOWN(P467,0),'Aide calcul'!$B$2:$C$282,2,FALSE),O467+1),"")</f>
        <v/>
      </c>
      <c r="R467" s="115" t="str">
        <f t="shared" si="101"/>
        <v/>
      </c>
      <c r="S467" s="155"/>
      <c r="T467" s="155"/>
      <c r="U467" s="155"/>
      <c r="V467" s="155"/>
      <c r="W467" s="155"/>
      <c r="X467" s="155"/>
      <c r="Y467" s="155"/>
      <c r="Z467" s="78"/>
      <c r="AA467" s="78"/>
      <c r="AB467" s="116" t="str">
        <f>IF(C467="3111. Logements",ROUND(VLOOKUP(C467,'Informations générales'!$C$66:$D$70,2,FALSE)*(AK467/$AL$27)/12,0)*12,IF(C467="3112. Logements",ROUND(VLOOKUP(C467,'Informations générales'!$C$66:$D$70,2,FALSE)*(AK467/$AM$27)/12,0)*12,IF(C467="3113. Logements",ROUND(VLOOKUP(C467,'Informations générales'!$C$66:$D$70,2,FALSE)*(AK467/$AN$27)/12,0)*12,IF(C467="3114. Logements",ROUND(VLOOKUP(C467,'Informations générales'!$C$66:$D$70,2,FALSE)*(AK467/$AO$27)/12,0)*12,IF(C467="3115. Logements",ROUND(VLOOKUP(C467,'Informations générales'!$C$66:$D$70,2,FALSE)*(AK467/$AP$27)/12,0)*12,"")))))</f>
        <v/>
      </c>
      <c r="AC467" s="117"/>
      <c r="AD467" s="116">
        <f t="shared" si="102"/>
        <v>0</v>
      </c>
      <c r="AE467" s="117"/>
      <c r="AF467" s="116" t="str">
        <f>IF(C467="3111. Logements",ROUND(VLOOKUP(C467,'Informations générales'!$C$66:$G$70,5,FALSE)*(AK467/$AL$27)/12,0)*12,IF(C467="3112. Logements",ROUND(VLOOKUP(C467,'Informations générales'!$C$66:$G$70,5,FALSE)*(AK467/$AM$27)/12,0)*12,IF(C467="3113. Logements",ROUND(VLOOKUP(C467,'Informations générales'!$C$66:$G$70,5,FALSE)*(AK467/$AN$27)/12,0)*12,IF(C467="3114. Logements",ROUND(VLOOKUP(C467,'Informations générales'!$C$66:$G$70,5,FALSE)*(AK467/$AO$27)/12,0)*12,IF(C467="3115. Logements",ROUND(VLOOKUP(C467,'Informations générales'!$C$66:$G$70,5,FALSE)*(AK467/$AP$27)/12,0)*12,"")))))</f>
        <v/>
      </c>
      <c r="AG467" s="117"/>
      <c r="AH467" s="116" t="str">
        <f t="shared" si="103"/>
        <v/>
      </c>
      <c r="AI467" s="92"/>
      <c r="AJ467" s="78"/>
      <c r="AK467" s="60">
        <f t="shared" si="104"/>
        <v>0</v>
      </c>
      <c r="AL467" s="60"/>
      <c r="AM467" s="60"/>
      <c r="AN467" s="60"/>
      <c r="AO467" s="60"/>
      <c r="AP467" s="60"/>
      <c r="AQ467" s="60">
        <f t="shared" si="94"/>
        <v>0</v>
      </c>
      <c r="AR467" s="60">
        <f t="shared" si="95"/>
        <v>0</v>
      </c>
      <c r="AS467" s="60">
        <f t="shared" si="96"/>
        <v>0</v>
      </c>
      <c r="AT467" s="60">
        <f t="shared" si="97"/>
        <v>0</v>
      </c>
      <c r="AU467" s="60">
        <f t="shared" si="98"/>
        <v>0</v>
      </c>
      <c r="AV467" s="60">
        <f t="shared" si="99"/>
        <v>0</v>
      </c>
      <c r="AW467" s="60">
        <f t="shared" si="100"/>
        <v>0</v>
      </c>
      <c r="AX467" s="60">
        <f t="shared" si="105"/>
        <v>0</v>
      </c>
      <c r="AY467" s="64">
        <f t="shared" si="106"/>
        <v>0</v>
      </c>
      <c r="AZ467" s="65">
        <f t="shared" si="108"/>
        <v>0</v>
      </c>
      <c r="BA467" s="65">
        <f t="shared" si="107"/>
        <v>0</v>
      </c>
    </row>
    <row r="468" spans="3:53" s="17" customFormat="1" x14ac:dyDescent="0.25">
      <c r="C468" s="194"/>
      <c r="D468" s="195"/>
      <c r="E468" s="90"/>
      <c r="F468" s="198"/>
      <c r="G468" s="214"/>
      <c r="H468" s="199"/>
      <c r="I468" s="78"/>
      <c r="J468" s="79"/>
      <c r="K468" s="78"/>
      <c r="L468" s="80"/>
      <c r="M468" s="80"/>
      <c r="N468" s="78" t="s">
        <v>39</v>
      </c>
      <c r="O468" s="113"/>
      <c r="P468" s="155"/>
      <c r="Q468" s="114" t="str">
        <f>IFERROR(MIN(VLOOKUP(ROUNDDOWN(P468,0),'Aide calcul'!$B$2:$C$282,2,FALSE),O468+1),"")</f>
        <v/>
      </c>
      <c r="R468" s="115" t="str">
        <f t="shared" si="101"/>
        <v/>
      </c>
      <c r="S468" s="155"/>
      <c r="T468" s="155"/>
      <c r="U468" s="155"/>
      <c r="V468" s="155"/>
      <c r="W468" s="155"/>
      <c r="X468" s="155"/>
      <c r="Y468" s="155"/>
      <c r="Z468" s="78"/>
      <c r="AA468" s="78"/>
      <c r="AB468" s="116" t="str">
        <f>IF(C468="3111. Logements",ROUND(VLOOKUP(C468,'Informations générales'!$C$66:$D$70,2,FALSE)*(AK468/$AL$27)/12,0)*12,IF(C468="3112. Logements",ROUND(VLOOKUP(C468,'Informations générales'!$C$66:$D$70,2,FALSE)*(AK468/$AM$27)/12,0)*12,IF(C468="3113. Logements",ROUND(VLOOKUP(C468,'Informations générales'!$C$66:$D$70,2,FALSE)*(AK468/$AN$27)/12,0)*12,IF(C468="3114. Logements",ROUND(VLOOKUP(C468,'Informations générales'!$C$66:$D$70,2,FALSE)*(AK468/$AO$27)/12,0)*12,IF(C468="3115. Logements",ROUND(VLOOKUP(C468,'Informations générales'!$C$66:$D$70,2,FALSE)*(AK468/$AP$27)/12,0)*12,"")))))</f>
        <v/>
      </c>
      <c r="AC468" s="117"/>
      <c r="AD468" s="116">
        <f t="shared" si="102"/>
        <v>0</v>
      </c>
      <c r="AE468" s="117"/>
      <c r="AF468" s="116" t="str">
        <f>IF(C468="3111. Logements",ROUND(VLOOKUP(C468,'Informations générales'!$C$66:$G$70,5,FALSE)*(AK468/$AL$27)/12,0)*12,IF(C468="3112. Logements",ROUND(VLOOKUP(C468,'Informations générales'!$C$66:$G$70,5,FALSE)*(AK468/$AM$27)/12,0)*12,IF(C468="3113. Logements",ROUND(VLOOKUP(C468,'Informations générales'!$C$66:$G$70,5,FALSE)*(AK468/$AN$27)/12,0)*12,IF(C468="3114. Logements",ROUND(VLOOKUP(C468,'Informations générales'!$C$66:$G$70,5,FALSE)*(AK468/$AO$27)/12,0)*12,IF(C468="3115. Logements",ROUND(VLOOKUP(C468,'Informations générales'!$C$66:$G$70,5,FALSE)*(AK468/$AP$27)/12,0)*12,"")))))</f>
        <v/>
      </c>
      <c r="AG468" s="117"/>
      <c r="AH468" s="116" t="str">
        <f t="shared" si="103"/>
        <v/>
      </c>
      <c r="AI468" s="92"/>
      <c r="AJ468" s="78"/>
      <c r="AK468" s="60">
        <f t="shared" si="104"/>
        <v>0</v>
      </c>
      <c r="AL468" s="60"/>
      <c r="AM468" s="60"/>
      <c r="AN468" s="60"/>
      <c r="AO468" s="60"/>
      <c r="AP468" s="60"/>
      <c r="AQ468" s="60">
        <f t="shared" si="94"/>
        <v>0</v>
      </c>
      <c r="AR468" s="60">
        <f t="shared" si="95"/>
        <v>0</v>
      </c>
      <c r="AS468" s="60">
        <f t="shared" si="96"/>
        <v>0</v>
      </c>
      <c r="AT468" s="60">
        <f t="shared" si="97"/>
        <v>0</v>
      </c>
      <c r="AU468" s="60">
        <f t="shared" si="98"/>
        <v>0</v>
      </c>
      <c r="AV468" s="60">
        <f t="shared" si="99"/>
        <v>0</v>
      </c>
      <c r="AW468" s="60">
        <f t="shared" si="100"/>
        <v>0</v>
      </c>
      <c r="AX468" s="60">
        <f t="shared" si="105"/>
        <v>0</v>
      </c>
      <c r="AY468" s="64">
        <f t="shared" si="106"/>
        <v>0</v>
      </c>
      <c r="AZ468" s="65">
        <f t="shared" si="108"/>
        <v>0</v>
      </c>
      <c r="BA468" s="65">
        <f t="shared" si="107"/>
        <v>0</v>
      </c>
    </row>
    <row r="469" spans="3:53" s="17" customFormat="1" x14ac:dyDescent="0.25">
      <c r="C469" s="194"/>
      <c r="D469" s="195"/>
      <c r="E469" s="90"/>
      <c r="F469" s="198"/>
      <c r="G469" s="214"/>
      <c r="H469" s="199"/>
      <c r="I469" s="78"/>
      <c r="J469" s="79"/>
      <c r="K469" s="78"/>
      <c r="L469" s="80"/>
      <c r="M469" s="80"/>
      <c r="N469" s="78" t="s">
        <v>39</v>
      </c>
      <c r="O469" s="113"/>
      <c r="P469" s="155"/>
      <c r="Q469" s="114" t="str">
        <f>IFERROR(MIN(VLOOKUP(ROUNDDOWN(P469,0),'Aide calcul'!$B$2:$C$282,2,FALSE),O469+1),"")</f>
        <v/>
      </c>
      <c r="R469" s="115" t="str">
        <f t="shared" si="101"/>
        <v/>
      </c>
      <c r="S469" s="155"/>
      <c r="T469" s="155"/>
      <c r="U469" s="155"/>
      <c r="V469" s="155"/>
      <c r="W469" s="155"/>
      <c r="X469" s="155"/>
      <c r="Y469" s="155"/>
      <c r="Z469" s="78"/>
      <c r="AA469" s="78"/>
      <c r="AB469" s="116" t="str">
        <f>IF(C469="3111. Logements",ROUND(VLOOKUP(C469,'Informations générales'!$C$66:$D$70,2,FALSE)*(AK469/$AL$27)/12,0)*12,IF(C469="3112. Logements",ROUND(VLOOKUP(C469,'Informations générales'!$C$66:$D$70,2,FALSE)*(AK469/$AM$27)/12,0)*12,IF(C469="3113. Logements",ROUND(VLOOKUP(C469,'Informations générales'!$C$66:$D$70,2,FALSE)*(AK469/$AN$27)/12,0)*12,IF(C469="3114. Logements",ROUND(VLOOKUP(C469,'Informations générales'!$C$66:$D$70,2,FALSE)*(AK469/$AO$27)/12,0)*12,IF(C469="3115. Logements",ROUND(VLOOKUP(C469,'Informations générales'!$C$66:$D$70,2,FALSE)*(AK469/$AP$27)/12,0)*12,"")))))</f>
        <v/>
      </c>
      <c r="AC469" s="117"/>
      <c r="AD469" s="116">
        <f t="shared" si="102"/>
        <v>0</v>
      </c>
      <c r="AE469" s="117"/>
      <c r="AF469" s="116" t="str">
        <f>IF(C469="3111. Logements",ROUND(VLOOKUP(C469,'Informations générales'!$C$66:$G$70,5,FALSE)*(AK469/$AL$27)/12,0)*12,IF(C469="3112. Logements",ROUND(VLOOKUP(C469,'Informations générales'!$C$66:$G$70,5,FALSE)*(AK469/$AM$27)/12,0)*12,IF(C469="3113. Logements",ROUND(VLOOKUP(C469,'Informations générales'!$C$66:$G$70,5,FALSE)*(AK469/$AN$27)/12,0)*12,IF(C469="3114. Logements",ROUND(VLOOKUP(C469,'Informations générales'!$C$66:$G$70,5,FALSE)*(AK469/$AO$27)/12,0)*12,IF(C469="3115. Logements",ROUND(VLOOKUP(C469,'Informations générales'!$C$66:$G$70,5,FALSE)*(AK469/$AP$27)/12,0)*12,"")))))</f>
        <v/>
      </c>
      <c r="AG469" s="117"/>
      <c r="AH469" s="116" t="str">
        <f t="shared" si="103"/>
        <v/>
      </c>
      <c r="AI469" s="92"/>
      <c r="AJ469" s="78"/>
      <c r="AK469" s="60">
        <f t="shared" si="104"/>
        <v>0</v>
      </c>
      <c r="AL469" s="60"/>
      <c r="AM469" s="60"/>
      <c r="AN469" s="60"/>
      <c r="AO469" s="60"/>
      <c r="AP469" s="60"/>
      <c r="AQ469" s="60">
        <f t="shared" si="94"/>
        <v>0</v>
      </c>
      <c r="AR469" s="60">
        <f t="shared" si="95"/>
        <v>0</v>
      </c>
      <c r="AS469" s="60">
        <f t="shared" si="96"/>
        <v>0</v>
      </c>
      <c r="AT469" s="60">
        <f t="shared" si="97"/>
        <v>0</v>
      </c>
      <c r="AU469" s="60">
        <f t="shared" si="98"/>
        <v>0</v>
      </c>
      <c r="AV469" s="60">
        <f t="shared" si="99"/>
        <v>0</v>
      </c>
      <c r="AW469" s="60">
        <f t="shared" si="100"/>
        <v>0</v>
      </c>
      <c r="AX469" s="60">
        <f t="shared" si="105"/>
        <v>0</v>
      </c>
      <c r="AY469" s="64">
        <f t="shared" si="106"/>
        <v>0</v>
      </c>
      <c r="AZ469" s="65">
        <f t="shared" si="108"/>
        <v>0</v>
      </c>
      <c r="BA469" s="65">
        <f t="shared" si="107"/>
        <v>0</v>
      </c>
    </row>
    <row r="470" spans="3:53" s="17" customFormat="1" x14ac:dyDescent="0.25">
      <c r="C470" s="194"/>
      <c r="D470" s="195"/>
      <c r="E470" s="90"/>
      <c r="F470" s="198"/>
      <c r="G470" s="214"/>
      <c r="H470" s="199"/>
      <c r="I470" s="78"/>
      <c r="J470" s="79"/>
      <c r="K470" s="78"/>
      <c r="L470" s="80"/>
      <c r="M470" s="80"/>
      <c r="N470" s="78" t="s">
        <v>39</v>
      </c>
      <c r="O470" s="113"/>
      <c r="P470" s="155"/>
      <c r="Q470" s="114" t="str">
        <f>IFERROR(MIN(VLOOKUP(ROUNDDOWN(P470,0),'Aide calcul'!$B$2:$C$282,2,FALSE),O470+1),"")</f>
        <v/>
      </c>
      <c r="R470" s="115" t="str">
        <f t="shared" si="101"/>
        <v/>
      </c>
      <c r="S470" s="155"/>
      <c r="T470" s="155"/>
      <c r="U470" s="155"/>
      <c r="V470" s="155"/>
      <c r="W470" s="155"/>
      <c r="X470" s="155"/>
      <c r="Y470" s="155"/>
      <c r="Z470" s="78"/>
      <c r="AA470" s="78"/>
      <c r="AB470" s="116" t="str">
        <f>IF(C470="3111. Logements",ROUND(VLOOKUP(C470,'Informations générales'!$C$66:$D$70,2,FALSE)*(AK470/$AL$27)/12,0)*12,IF(C470="3112. Logements",ROUND(VLOOKUP(C470,'Informations générales'!$C$66:$D$70,2,FALSE)*(AK470/$AM$27)/12,0)*12,IF(C470="3113. Logements",ROUND(VLOOKUP(C470,'Informations générales'!$C$66:$D$70,2,FALSE)*(AK470/$AN$27)/12,0)*12,IF(C470="3114. Logements",ROUND(VLOOKUP(C470,'Informations générales'!$C$66:$D$70,2,FALSE)*(AK470/$AO$27)/12,0)*12,IF(C470="3115. Logements",ROUND(VLOOKUP(C470,'Informations générales'!$C$66:$D$70,2,FALSE)*(AK470/$AP$27)/12,0)*12,"")))))</f>
        <v/>
      </c>
      <c r="AC470" s="117"/>
      <c r="AD470" s="116">
        <f t="shared" si="102"/>
        <v>0</v>
      </c>
      <c r="AE470" s="117"/>
      <c r="AF470" s="116" t="str">
        <f>IF(C470="3111. Logements",ROUND(VLOOKUP(C470,'Informations générales'!$C$66:$G$70,5,FALSE)*(AK470/$AL$27)/12,0)*12,IF(C470="3112. Logements",ROUND(VLOOKUP(C470,'Informations générales'!$C$66:$G$70,5,FALSE)*(AK470/$AM$27)/12,0)*12,IF(C470="3113. Logements",ROUND(VLOOKUP(C470,'Informations générales'!$C$66:$G$70,5,FALSE)*(AK470/$AN$27)/12,0)*12,IF(C470="3114. Logements",ROUND(VLOOKUP(C470,'Informations générales'!$C$66:$G$70,5,FALSE)*(AK470/$AO$27)/12,0)*12,IF(C470="3115. Logements",ROUND(VLOOKUP(C470,'Informations générales'!$C$66:$G$70,5,FALSE)*(AK470/$AP$27)/12,0)*12,"")))))</f>
        <v/>
      </c>
      <c r="AG470" s="117"/>
      <c r="AH470" s="116" t="str">
        <f t="shared" si="103"/>
        <v/>
      </c>
      <c r="AI470" s="92"/>
      <c r="AJ470" s="78"/>
      <c r="AK470" s="60">
        <f t="shared" si="104"/>
        <v>0</v>
      </c>
      <c r="AL470" s="60"/>
      <c r="AM470" s="60"/>
      <c r="AN470" s="60"/>
      <c r="AO470" s="60"/>
      <c r="AP470" s="60"/>
      <c r="AQ470" s="60">
        <f t="shared" si="94"/>
        <v>0</v>
      </c>
      <c r="AR470" s="60">
        <f t="shared" si="95"/>
        <v>0</v>
      </c>
      <c r="AS470" s="60">
        <f t="shared" si="96"/>
        <v>0</v>
      </c>
      <c r="AT470" s="60">
        <f t="shared" si="97"/>
        <v>0</v>
      </c>
      <c r="AU470" s="60">
        <f t="shared" si="98"/>
        <v>0</v>
      </c>
      <c r="AV470" s="60">
        <f t="shared" si="99"/>
        <v>0</v>
      </c>
      <c r="AW470" s="60">
        <f t="shared" si="100"/>
        <v>0</v>
      </c>
      <c r="AX470" s="60">
        <f t="shared" si="105"/>
        <v>0</v>
      </c>
      <c r="AY470" s="64">
        <f t="shared" si="106"/>
        <v>0</v>
      </c>
      <c r="AZ470" s="65">
        <f t="shared" si="108"/>
        <v>0</v>
      </c>
      <c r="BA470" s="65">
        <f t="shared" si="107"/>
        <v>0</v>
      </c>
    </row>
    <row r="471" spans="3:53" s="17" customFormat="1" x14ac:dyDescent="0.25">
      <c r="C471" s="194"/>
      <c r="D471" s="195"/>
      <c r="E471" s="90"/>
      <c r="F471" s="198"/>
      <c r="G471" s="214"/>
      <c r="H471" s="199"/>
      <c r="I471" s="78"/>
      <c r="J471" s="79"/>
      <c r="K471" s="78"/>
      <c r="L471" s="80"/>
      <c r="M471" s="80"/>
      <c r="N471" s="78" t="s">
        <v>39</v>
      </c>
      <c r="O471" s="113"/>
      <c r="P471" s="155"/>
      <c r="Q471" s="114" t="str">
        <f>IFERROR(MIN(VLOOKUP(ROUNDDOWN(P471,0),'Aide calcul'!$B$2:$C$282,2,FALSE),O471+1),"")</f>
        <v/>
      </c>
      <c r="R471" s="115" t="str">
        <f t="shared" si="101"/>
        <v/>
      </c>
      <c r="S471" s="155"/>
      <c r="T471" s="155"/>
      <c r="U471" s="155"/>
      <c r="V471" s="155"/>
      <c r="W471" s="155"/>
      <c r="X471" s="155"/>
      <c r="Y471" s="155"/>
      <c r="Z471" s="78"/>
      <c r="AA471" s="78"/>
      <c r="AB471" s="116" t="str">
        <f>IF(C471="3111. Logements",ROUND(VLOOKUP(C471,'Informations générales'!$C$66:$D$70,2,FALSE)*(AK471/$AL$27)/12,0)*12,IF(C471="3112. Logements",ROUND(VLOOKUP(C471,'Informations générales'!$C$66:$D$70,2,FALSE)*(AK471/$AM$27)/12,0)*12,IF(C471="3113. Logements",ROUND(VLOOKUP(C471,'Informations générales'!$C$66:$D$70,2,FALSE)*(AK471/$AN$27)/12,0)*12,IF(C471="3114. Logements",ROUND(VLOOKUP(C471,'Informations générales'!$C$66:$D$70,2,FALSE)*(AK471/$AO$27)/12,0)*12,IF(C471="3115. Logements",ROUND(VLOOKUP(C471,'Informations générales'!$C$66:$D$70,2,FALSE)*(AK471/$AP$27)/12,0)*12,"")))))</f>
        <v/>
      </c>
      <c r="AC471" s="117"/>
      <c r="AD471" s="116">
        <f t="shared" si="102"/>
        <v>0</v>
      </c>
      <c r="AE471" s="117"/>
      <c r="AF471" s="116" t="str">
        <f>IF(C471="3111. Logements",ROUND(VLOOKUP(C471,'Informations générales'!$C$66:$G$70,5,FALSE)*(AK471/$AL$27)/12,0)*12,IF(C471="3112. Logements",ROUND(VLOOKUP(C471,'Informations générales'!$C$66:$G$70,5,FALSE)*(AK471/$AM$27)/12,0)*12,IF(C471="3113. Logements",ROUND(VLOOKUP(C471,'Informations générales'!$C$66:$G$70,5,FALSE)*(AK471/$AN$27)/12,0)*12,IF(C471="3114. Logements",ROUND(VLOOKUP(C471,'Informations générales'!$C$66:$G$70,5,FALSE)*(AK471/$AO$27)/12,0)*12,IF(C471="3115. Logements",ROUND(VLOOKUP(C471,'Informations générales'!$C$66:$G$70,5,FALSE)*(AK471/$AP$27)/12,0)*12,"")))))</f>
        <v/>
      </c>
      <c r="AG471" s="117"/>
      <c r="AH471" s="116" t="str">
        <f t="shared" si="103"/>
        <v/>
      </c>
      <c r="AI471" s="92"/>
      <c r="AJ471" s="78"/>
      <c r="AK471" s="60">
        <f t="shared" si="104"/>
        <v>0</v>
      </c>
      <c r="AL471" s="60"/>
      <c r="AM471" s="60"/>
      <c r="AN471" s="60"/>
      <c r="AO471" s="60"/>
      <c r="AP471" s="60"/>
      <c r="AQ471" s="60">
        <f t="shared" si="94"/>
        <v>0</v>
      </c>
      <c r="AR471" s="60">
        <f t="shared" si="95"/>
        <v>0</v>
      </c>
      <c r="AS471" s="60">
        <f t="shared" si="96"/>
        <v>0</v>
      </c>
      <c r="AT471" s="60">
        <f t="shared" si="97"/>
        <v>0</v>
      </c>
      <c r="AU471" s="60">
        <f t="shared" si="98"/>
        <v>0</v>
      </c>
      <c r="AV471" s="60">
        <f t="shared" si="99"/>
        <v>0</v>
      </c>
      <c r="AW471" s="60">
        <f t="shared" si="100"/>
        <v>0</v>
      </c>
      <c r="AX471" s="60">
        <f t="shared" si="105"/>
        <v>0</v>
      </c>
      <c r="AY471" s="64">
        <f t="shared" si="106"/>
        <v>0</v>
      </c>
      <c r="AZ471" s="65">
        <f t="shared" si="108"/>
        <v>0</v>
      </c>
      <c r="BA471" s="65">
        <f t="shared" si="107"/>
        <v>0</v>
      </c>
    </row>
    <row r="472" spans="3:53" s="17" customFormat="1" x14ac:dyDescent="0.25">
      <c r="C472" s="194"/>
      <c r="D472" s="195"/>
      <c r="E472" s="90"/>
      <c r="F472" s="198"/>
      <c r="G472" s="214"/>
      <c r="H472" s="199"/>
      <c r="I472" s="78"/>
      <c r="J472" s="79"/>
      <c r="K472" s="78"/>
      <c r="L472" s="80"/>
      <c r="M472" s="80"/>
      <c r="N472" s="78" t="s">
        <v>39</v>
      </c>
      <c r="O472" s="113"/>
      <c r="P472" s="155"/>
      <c r="Q472" s="114" t="str">
        <f>IFERROR(MIN(VLOOKUP(ROUNDDOWN(P472,0),'Aide calcul'!$B$2:$C$282,2,FALSE),O472+1),"")</f>
        <v/>
      </c>
      <c r="R472" s="115" t="str">
        <f t="shared" si="101"/>
        <v/>
      </c>
      <c r="S472" s="155"/>
      <c r="T472" s="155"/>
      <c r="U472" s="155"/>
      <c r="V472" s="155"/>
      <c r="W472" s="155"/>
      <c r="X472" s="155"/>
      <c r="Y472" s="155"/>
      <c r="Z472" s="78"/>
      <c r="AA472" s="78"/>
      <c r="AB472" s="116" t="str">
        <f>IF(C472="3111. Logements",ROUND(VLOOKUP(C472,'Informations générales'!$C$66:$D$70,2,FALSE)*(AK472/$AL$27)/12,0)*12,IF(C472="3112. Logements",ROUND(VLOOKUP(C472,'Informations générales'!$C$66:$D$70,2,FALSE)*(AK472/$AM$27)/12,0)*12,IF(C472="3113. Logements",ROUND(VLOOKUP(C472,'Informations générales'!$C$66:$D$70,2,FALSE)*(AK472/$AN$27)/12,0)*12,IF(C472="3114. Logements",ROUND(VLOOKUP(C472,'Informations générales'!$C$66:$D$70,2,FALSE)*(AK472/$AO$27)/12,0)*12,IF(C472="3115. Logements",ROUND(VLOOKUP(C472,'Informations générales'!$C$66:$D$70,2,FALSE)*(AK472/$AP$27)/12,0)*12,"")))))</f>
        <v/>
      </c>
      <c r="AC472" s="117"/>
      <c r="AD472" s="116">
        <f t="shared" si="102"/>
        <v>0</v>
      </c>
      <c r="AE472" s="117"/>
      <c r="AF472" s="116" t="str">
        <f>IF(C472="3111. Logements",ROUND(VLOOKUP(C472,'Informations générales'!$C$66:$G$70,5,FALSE)*(AK472/$AL$27)/12,0)*12,IF(C472="3112. Logements",ROUND(VLOOKUP(C472,'Informations générales'!$C$66:$G$70,5,FALSE)*(AK472/$AM$27)/12,0)*12,IF(C472="3113. Logements",ROUND(VLOOKUP(C472,'Informations générales'!$C$66:$G$70,5,FALSE)*(AK472/$AN$27)/12,0)*12,IF(C472="3114. Logements",ROUND(VLOOKUP(C472,'Informations générales'!$C$66:$G$70,5,FALSE)*(AK472/$AO$27)/12,0)*12,IF(C472="3115. Logements",ROUND(VLOOKUP(C472,'Informations générales'!$C$66:$G$70,5,FALSE)*(AK472/$AP$27)/12,0)*12,"")))))</f>
        <v/>
      </c>
      <c r="AG472" s="117"/>
      <c r="AH472" s="116" t="str">
        <f t="shared" si="103"/>
        <v/>
      </c>
      <c r="AI472" s="92"/>
      <c r="AJ472" s="78"/>
      <c r="AK472" s="60">
        <f t="shared" si="104"/>
        <v>0</v>
      </c>
      <c r="AL472" s="60"/>
      <c r="AM472" s="60"/>
      <c r="AN472" s="60"/>
      <c r="AO472" s="60"/>
      <c r="AP472" s="60"/>
      <c r="AQ472" s="60">
        <f t="shared" si="94"/>
        <v>0</v>
      </c>
      <c r="AR472" s="60">
        <f t="shared" si="95"/>
        <v>0</v>
      </c>
      <c r="AS472" s="60">
        <f t="shared" si="96"/>
        <v>0</v>
      </c>
      <c r="AT472" s="60">
        <f t="shared" si="97"/>
        <v>0</v>
      </c>
      <c r="AU472" s="60">
        <f t="shared" si="98"/>
        <v>0</v>
      </c>
      <c r="AV472" s="60">
        <f t="shared" si="99"/>
        <v>0</v>
      </c>
      <c r="AW472" s="60">
        <f t="shared" si="100"/>
        <v>0</v>
      </c>
      <c r="AX472" s="60">
        <f t="shared" si="105"/>
        <v>0</v>
      </c>
      <c r="AY472" s="64">
        <f t="shared" si="106"/>
        <v>0</v>
      </c>
      <c r="AZ472" s="65">
        <f t="shared" si="108"/>
        <v>0</v>
      </c>
      <c r="BA472" s="65">
        <f t="shared" si="107"/>
        <v>0</v>
      </c>
    </row>
    <row r="473" spans="3:53" s="17" customFormat="1" x14ac:dyDescent="0.25">
      <c r="C473" s="194"/>
      <c r="D473" s="195"/>
      <c r="E473" s="90"/>
      <c r="F473" s="198"/>
      <c r="G473" s="214"/>
      <c r="H473" s="199"/>
      <c r="I473" s="78"/>
      <c r="J473" s="79"/>
      <c r="K473" s="78"/>
      <c r="L473" s="80"/>
      <c r="M473" s="80"/>
      <c r="N473" s="78" t="s">
        <v>39</v>
      </c>
      <c r="O473" s="113"/>
      <c r="P473" s="155"/>
      <c r="Q473" s="114" t="str">
        <f>IFERROR(MIN(VLOOKUP(ROUNDDOWN(P473,0),'Aide calcul'!$B$2:$C$282,2,FALSE),O473+1),"")</f>
        <v/>
      </c>
      <c r="R473" s="115" t="str">
        <f t="shared" si="101"/>
        <v/>
      </c>
      <c r="S473" s="155"/>
      <c r="T473" s="155"/>
      <c r="U473" s="155"/>
      <c r="V473" s="155"/>
      <c r="W473" s="155"/>
      <c r="X473" s="155"/>
      <c r="Y473" s="155"/>
      <c r="Z473" s="78"/>
      <c r="AA473" s="78"/>
      <c r="AB473" s="116" t="str">
        <f>IF(C473="3111. Logements",ROUND(VLOOKUP(C473,'Informations générales'!$C$66:$D$70,2,FALSE)*(AK473/$AL$27)/12,0)*12,IF(C473="3112. Logements",ROUND(VLOOKUP(C473,'Informations générales'!$C$66:$D$70,2,FALSE)*(AK473/$AM$27)/12,0)*12,IF(C473="3113. Logements",ROUND(VLOOKUP(C473,'Informations générales'!$C$66:$D$70,2,FALSE)*(AK473/$AN$27)/12,0)*12,IF(C473="3114. Logements",ROUND(VLOOKUP(C473,'Informations générales'!$C$66:$D$70,2,FALSE)*(AK473/$AO$27)/12,0)*12,IF(C473="3115. Logements",ROUND(VLOOKUP(C473,'Informations générales'!$C$66:$D$70,2,FALSE)*(AK473/$AP$27)/12,0)*12,"")))))</f>
        <v/>
      </c>
      <c r="AC473" s="117"/>
      <c r="AD473" s="116">
        <f t="shared" si="102"/>
        <v>0</v>
      </c>
      <c r="AE473" s="117"/>
      <c r="AF473" s="116" t="str">
        <f>IF(C473="3111. Logements",ROUND(VLOOKUP(C473,'Informations générales'!$C$66:$G$70,5,FALSE)*(AK473/$AL$27)/12,0)*12,IF(C473="3112. Logements",ROUND(VLOOKUP(C473,'Informations générales'!$C$66:$G$70,5,FALSE)*(AK473/$AM$27)/12,0)*12,IF(C473="3113. Logements",ROUND(VLOOKUP(C473,'Informations générales'!$C$66:$G$70,5,FALSE)*(AK473/$AN$27)/12,0)*12,IF(C473="3114. Logements",ROUND(VLOOKUP(C473,'Informations générales'!$C$66:$G$70,5,FALSE)*(AK473/$AO$27)/12,0)*12,IF(C473="3115. Logements",ROUND(VLOOKUP(C473,'Informations générales'!$C$66:$G$70,5,FALSE)*(AK473/$AP$27)/12,0)*12,"")))))</f>
        <v/>
      </c>
      <c r="AG473" s="117"/>
      <c r="AH473" s="116" t="str">
        <f t="shared" si="103"/>
        <v/>
      </c>
      <c r="AI473" s="92"/>
      <c r="AJ473" s="78"/>
      <c r="AK473" s="60">
        <f t="shared" si="104"/>
        <v>0</v>
      </c>
      <c r="AL473" s="60"/>
      <c r="AM473" s="60"/>
      <c r="AN473" s="60"/>
      <c r="AO473" s="60"/>
      <c r="AP473" s="60"/>
      <c r="AQ473" s="60">
        <f t="shared" si="94"/>
        <v>0</v>
      </c>
      <c r="AR473" s="60">
        <f t="shared" si="95"/>
        <v>0</v>
      </c>
      <c r="AS473" s="60">
        <f t="shared" si="96"/>
        <v>0</v>
      </c>
      <c r="AT473" s="60">
        <f t="shared" si="97"/>
        <v>0</v>
      </c>
      <c r="AU473" s="60">
        <f t="shared" si="98"/>
        <v>0</v>
      </c>
      <c r="AV473" s="60">
        <f t="shared" si="99"/>
        <v>0</v>
      </c>
      <c r="AW473" s="60">
        <f t="shared" si="100"/>
        <v>0</v>
      </c>
      <c r="AX473" s="60">
        <f t="shared" si="105"/>
        <v>0</v>
      </c>
      <c r="AY473" s="64">
        <f t="shared" si="106"/>
        <v>0</v>
      </c>
      <c r="AZ473" s="65">
        <f t="shared" si="108"/>
        <v>0</v>
      </c>
      <c r="BA473" s="65">
        <f t="shared" si="107"/>
        <v>0</v>
      </c>
    </row>
    <row r="474" spans="3:53" s="17" customFormat="1" x14ac:dyDescent="0.25">
      <c r="C474" s="194"/>
      <c r="D474" s="195"/>
      <c r="E474" s="90"/>
      <c r="F474" s="198"/>
      <c r="G474" s="214"/>
      <c r="H474" s="199"/>
      <c r="I474" s="78"/>
      <c r="J474" s="79"/>
      <c r="K474" s="78"/>
      <c r="L474" s="80"/>
      <c r="M474" s="80"/>
      <c r="N474" s="78" t="s">
        <v>39</v>
      </c>
      <c r="O474" s="113"/>
      <c r="P474" s="155"/>
      <c r="Q474" s="114" t="str">
        <f>IFERROR(MIN(VLOOKUP(ROUNDDOWN(P474,0),'Aide calcul'!$B$2:$C$282,2,FALSE),O474+1),"")</f>
        <v/>
      </c>
      <c r="R474" s="115" t="str">
        <f t="shared" si="101"/>
        <v/>
      </c>
      <c r="S474" s="155"/>
      <c r="T474" s="155"/>
      <c r="U474" s="155"/>
      <c r="V474" s="155"/>
      <c r="W474" s="155"/>
      <c r="X474" s="155"/>
      <c r="Y474" s="155"/>
      <c r="Z474" s="78"/>
      <c r="AA474" s="78"/>
      <c r="AB474" s="116" t="str">
        <f>IF(C474="3111. Logements",ROUND(VLOOKUP(C474,'Informations générales'!$C$66:$D$70,2,FALSE)*(AK474/$AL$27)/12,0)*12,IF(C474="3112. Logements",ROUND(VLOOKUP(C474,'Informations générales'!$C$66:$D$70,2,FALSE)*(AK474/$AM$27)/12,0)*12,IF(C474="3113. Logements",ROUND(VLOOKUP(C474,'Informations générales'!$C$66:$D$70,2,FALSE)*(AK474/$AN$27)/12,0)*12,IF(C474="3114. Logements",ROUND(VLOOKUP(C474,'Informations générales'!$C$66:$D$70,2,FALSE)*(AK474/$AO$27)/12,0)*12,IF(C474="3115. Logements",ROUND(VLOOKUP(C474,'Informations générales'!$C$66:$D$70,2,FALSE)*(AK474/$AP$27)/12,0)*12,"")))))</f>
        <v/>
      </c>
      <c r="AC474" s="117"/>
      <c r="AD474" s="116">
        <f t="shared" si="102"/>
        <v>0</v>
      </c>
      <c r="AE474" s="117"/>
      <c r="AF474" s="116" t="str">
        <f>IF(C474="3111. Logements",ROUND(VLOOKUP(C474,'Informations générales'!$C$66:$G$70,5,FALSE)*(AK474/$AL$27)/12,0)*12,IF(C474="3112. Logements",ROUND(VLOOKUP(C474,'Informations générales'!$C$66:$G$70,5,FALSE)*(AK474/$AM$27)/12,0)*12,IF(C474="3113. Logements",ROUND(VLOOKUP(C474,'Informations générales'!$C$66:$G$70,5,FALSE)*(AK474/$AN$27)/12,0)*12,IF(C474="3114. Logements",ROUND(VLOOKUP(C474,'Informations générales'!$C$66:$G$70,5,FALSE)*(AK474/$AO$27)/12,0)*12,IF(C474="3115. Logements",ROUND(VLOOKUP(C474,'Informations générales'!$C$66:$G$70,5,FALSE)*(AK474/$AP$27)/12,0)*12,"")))))</f>
        <v/>
      </c>
      <c r="AG474" s="117"/>
      <c r="AH474" s="116" t="str">
        <f t="shared" si="103"/>
        <v/>
      </c>
      <c r="AI474" s="92"/>
      <c r="AJ474" s="78"/>
      <c r="AK474" s="60">
        <f t="shared" si="104"/>
        <v>0</v>
      </c>
      <c r="AL474" s="60"/>
      <c r="AM474" s="60"/>
      <c r="AN474" s="60"/>
      <c r="AO474" s="60"/>
      <c r="AP474" s="60"/>
      <c r="AQ474" s="60">
        <f t="shared" si="94"/>
        <v>0</v>
      </c>
      <c r="AR474" s="60">
        <f t="shared" si="95"/>
        <v>0</v>
      </c>
      <c r="AS474" s="60">
        <f t="shared" si="96"/>
        <v>0</v>
      </c>
      <c r="AT474" s="60">
        <f t="shared" si="97"/>
        <v>0</v>
      </c>
      <c r="AU474" s="60">
        <f t="shared" si="98"/>
        <v>0</v>
      </c>
      <c r="AV474" s="60">
        <f t="shared" si="99"/>
        <v>0</v>
      </c>
      <c r="AW474" s="60">
        <f t="shared" si="100"/>
        <v>0</v>
      </c>
      <c r="AX474" s="60">
        <f t="shared" si="105"/>
        <v>0</v>
      </c>
      <c r="AY474" s="64">
        <f t="shared" si="106"/>
        <v>0</v>
      </c>
      <c r="AZ474" s="65">
        <f t="shared" si="108"/>
        <v>0</v>
      </c>
      <c r="BA474" s="65">
        <f t="shared" si="107"/>
        <v>0</v>
      </c>
    </row>
    <row r="475" spans="3:53" s="17" customFormat="1" x14ac:dyDescent="0.25">
      <c r="C475" s="194"/>
      <c r="D475" s="195"/>
      <c r="E475" s="90"/>
      <c r="F475" s="198"/>
      <c r="G475" s="214"/>
      <c r="H475" s="199"/>
      <c r="I475" s="78"/>
      <c r="J475" s="79"/>
      <c r="K475" s="78"/>
      <c r="L475" s="80"/>
      <c r="M475" s="80"/>
      <c r="N475" s="78" t="s">
        <v>39</v>
      </c>
      <c r="O475" s="113"/>
      <c r="P475" s="155"/>
      <c r="Q475" s="114" t="str">
        <f>IFERROR(MIN(VLOOKUP(ROUNDDOWN(P475,0),'Aide calcul'!$B$2:$C$282,2,FALSE),O475+1),"")</f>
        <v/>
      </c>
      <c r="R475" s="115" t="str">
        <f t="shared" si="101"/>
        <v/>
      </c>
      <c r="S475" s="155"/>
      <c r="T475" s="155"/>
      <c r="U475" s="155"/>
      <c r="V475" s="155"/>
      <c r="W475" s="155"/>
      <c r="X475" s="155"/>
      <c r="Y475" s="155"/>
      <c r="Z475" s="78"/>
      <c r="AA475" s="78"/>
      <c r="AB475" s="116" t="str">
        <f>IF(C475="3111. Logements",ROUND(VLOOKUP(C475,'Informations générales'!$C$66:$D$70,2,FALSE)*(AK475/$AL$27)/12,0)*12,IF(C475="3112. Logements",ROUND(VLOOKUP(C475,'Informations générales'!$C$66:$D$70,2,FALSE)*(AK475/$AM$27)/12,0)*12,IF(C475="3113. Logements",ROUND(VLOOKUP(C475,'Informations générales'!$C$66:$D$70,2,FALSE)*(AK475/$AN$27)/12,0)*12,IF(C475="3114. Logements",ROUND(VLOOKUP(C475,'Informations générales'!$C$66:$D$70,2,FALSE)*(AK475/$AO$27)/12,0)*12,IF(C475="3115. Logements",ROUND(VLOOKUP(C475,'Informations générales'!$C$66:$D$70,2,FALSE)*(AK475/$AP$27)/12,0)*12,"")))))</f>
        <v/>
      </c>
      <c r="AC475" s="117"/>
      <c r="AD475" s="116">
        <f t="shared" si="102"/>
        <v>0</v>
      </c>
      <c r="AE475" s="117"/>
      <c r="AF475" s="116" t="str">
        <f>IF(C475="3111. Logements",ROUND(VLOOKUP(C475,'Informations générales'!$C$66:$G$70,5,FALSE)*(AK475/$AL$27)/12,0)*12,IF(C475="3112. Logements",ROUND(VLOOKUP(C475,'Informations générales'!$C$66:$G$70,5,FALSE)*(AK475/$AM$27)/12,0)*12,IF(C475="3113. Logements",ROUND(VLOOKUP(C475,'Informations générales'!$C$66:$G$70,5,FALSE)*(AK475/$AN$27)/12,0)*12,IF(C475="3114. Logements",ROUND(VLOOKUP(C475,'Informations générales'!$C$66:$G$70,5,FALSE)*(AK475/$AO$27)/12,0)*12,IF(C475="3115. Logements",ROUND(VLOOKUP(C475,'Informations générales'!$C$66:$G$70,5,FALSE)*(AK475/$AP$27)/12,0)*12,"")))))</f>
        <v/>
      </c>
      <c r="AG475" s="117"/>
      <c r="AH475" s="116" t="str">
        <f t="shared" si="103"/>
        <v/>
      </c>
      <c r="AI475" s="92"/>
      <c r="AJ475" s="78"/>
      <c r="AK475" s="60">
        <f t="shared" si="104"/>
        <v>0</v>
      </c>
      <c r="AL475" s="60"/>
      <c r="AM475" s="60"/>
      <c r="AN475" s="60"/>
      <c r="AO475" s="60"/>
      <c r="AP475" s="60"/>
      <c r="AQ475" s="60">
        <f t="shared" ref="AQ475:AQ526" si="109">S475*$E$13</f>
        <v>0</v>
      </c>
      <c r="AR475" s="60">
        <f t="shared" ref="AR475:AR526" si="110">T475*$E$14</f>
        <v>0</v>
      </c>
      <c r="AS475" s="60">
        <f t="shared" ref="AS475:AS526" si="111">U475*$E$15</f>
        <v>0</v>
      </c>
      <c r="AT475" s="60">
        <f t="shared" ref="AT475:AT526" si="112">V475*$E$16</f>
        <v>0</v>
      </c>
      <c r="AU475" s="60">
        <f t="shared" ref="AU475:AU526" si="113">W475*$E$17</f>
        <v>0</v>
      </c>
      <c r="AV475" s="60">
        <f t="shared" ref="AV475:AV526" si="114">X475*$E$18</f>
        <v>0</v>
      </c>
      <c r="AW475" s="60">
        <f t="shared" ref="AW475:AW526" si="115">Y475*$E$19</f>
        <v>0</v>
      </c>
      <c r="AX475" s="60">
        <f t="shared" si="105"/>
        <v>0</v>
      </c>
      <c r="AY475" s="64">
        <f t="shared" si="106"/>
        <v>0</v>
      </c>
      <c r="AZ475" s="65">
        <f t="shared" si="108"/>
        <v>0</v>
      </c>
      <c r="BA475" s="65">
        <f t="shared" si="107"/>
        <v>0</v>
      </c>
    </row>
    <row r="476" spans="3:53" s="17" customFormat="1" x14ac:dyDescent="0.25">
      <c r="C476" s="194"/>
      <c r="D476" s="195"/>
      <c r="E476" s="90"/>
      <c r="F476" s="198"/>
      <c r="G476" s="214"/>
      <c r="H476" s="199"/>
      <c r="I476" s="78"/>
      <c r="J476" s="79"/>
      <c r="K476" s="78"/>
      <c r="L476" s="80"/>
      <c r="M476" s="80"/>
      <c r="N476" s="78" t="s">
        <v>39</v>
      </c>
      <c r="O476" s="113"/>
      <c r="P476" s="155"/>
      <c r="Q476" s="114" t="str">
        <f>IFERROR(MIN(VLOOKUP(ROUNDDOWN(P476,0),'Aide calcul'!$B$2:$C$282,2,FALSE),O476+1),"")</f>
        <v/>
      </c>
      <c r="R476" s="115" t="str">
        <f t="shared" ref="R476:R526" si="116">IFERROR(TRUNC(Q476-0.5),"")</f>
        <v/>
      </c>
      <c r="S476" s="155"/>
      <c r="T476" s="155"/>
      <c r="U476" s="155"/>
      <c r="V476" s="155"/>
      <c r="W476" s="155"/>
      <c r="X476" s="155"/>
      <c r="Y476" s="155"/>
      <c r="Z476" s="78"/>
      <c r="AA476" s="78"/>
      <c r="AB476" s="116" t="str">
        <f>IF(C476="3111. Logements",ROUND(VLOOKUP(C476,'Informations générales'!$C$66:$D$70,2,FALSE)*(AK476/$AL$27)/12,0)*12,IF(C476="3112. Logements",ROUND(VLOOKUP(C476,'Informations générales'!$C$66:$D$70,2,FALSE)*(AK476/$AM$27)/12,0)*12,IF(C476="3113. Logements",ROUND(VLOOKUP(C476,'Informations générales'!$C$66:$D$70,2,FALSE)*(AK476/$AN$27)/12,0)*12,IF(C476="3114. Logements",ROUND(VLOOKUP(C476,'Informations générales'!$C$66:$D$70,2,FALSE)*(AK476/$AO$27)/12,0)*12,IF(C476="3115. Logements",ROUND(VLOOKUP(C476,'Informations générales'!$C$66:$D$70,2,FALSE)*(AK476/$AP$27)/12,0)*12,"")))))</f>
        <v/>
      </c>
      <c r="AC476" s="117"/>
      <c r="AD476" s="116">
        <f t="shared" ref="AD476:AD526" si="117">MIN(AB476,AC476)</f>
        <v>0</v>
      </c>
      <c r="AE476" s="117"/>
      <c r="AF476" s="116" t="str">
        <f>IF(C476="3111. Logements",ROUND(VLOOKUP(C476,'Informations générales'!$C$66:$G$70,5,FALSE)*(AK476/$AL$27)/12,0)*12,IF(C476="3112. Logements",ROUND(VLOOKUP(C476,'Informations générales'!$C$66:$G$70,5,FALSE)*(AK476/$AM$27)/12,0)*12,IF(C476="3113. Logements",ROUND(VLOOKUP(C476,'Informations générales'!$C$66:$G$70,5,FALSE)*(AK476/$AN$27)/12,0)*12,IF(C476="3114. Logements",ROUND(VLOOKUP(C476,'Informations générales'!$C$66:$G$70,5,FALSE)*(AK476/$AO$27)/12,0)*12,IF(C476="3115. Logements",ROUND(VLOOKUP(C476,'Informations générales'!$C$66:$G$70,5,FALSE)*(AK476/$AP$27)/12,0)*12,"")))))</f>
        <v/>
      </c>
      <c r="AG476" s="117"/>
      <c r="AH476" s="116" t="str">
        <f t="shared" ref="AH476:AH526" si="118">IFERROR(IF(AE476/S476&lt;&gt;0,AE476/S476,AB476/S476),"")</f>
        <v/>
      </c>
      <c r="AI476" s="92"/>
      <c r="AJ476" s="78"/>
      <c r="AK476" s="60">
        <f t="shared" ref="AK476:AK526" si="119">AX476*(SUM(1,AY476,AZ476,BA476))</f>
        <v>0</v>
      </c>
      <c r="AL476" s="60"/>
      <c r="AM476" s="60"/>
      <c r="AN476" s="60"/>
      <c r="AO476" s="60"/>
      <c r="AP476" s="60"/>
      <c r="AQ476" s="60">
        <f t="shared" si="109"/>
        <v>0</v>
      </c>
      <c r="AR476" s="60">
        <f t="shared" si="110"/>
        <v>0</v>
      </c>
      <c r="AS476" s="60">
        <f t="shared" si="111"/>
        <v>0</v>
      </c>
      <c r="AT476" s="60">
        <f t="shared" si="112"/>
        <v>0</v>
      </c>
      <c r="AU476" s="60">
        <f t="shared" si="113"/>
        <v>0</v>
      </c>
      <c r="AV476" s="60">
        <f t="shared" si="114"/>
        <v>0</v>
      </c>
      <c r="AW476" s="60">
        <f t="shared" si="115"/>
        <v>0</v>
      </c>
      <c r="AX476" s="60">
        <f t="shared" ref="AX476:AX526" si="120">SUM(AQ476:AW476)</f>
        <v>0</v>
      </c>
      <c r="AY476" s="64">
        <f t="shared" ref="AY476:AY526" si="121">IFERROR(I476*$E$12,0)</f>
        <v>0</v>
      </c>
      <c r="AZ476" s="65">
        <f t="shared" si="108"/>
        <v>0</v>
      </c>
      <c r="BA476" s="65">
        <f t="shared" si="107"/>
        <v>0</v>
      </c>
    </row>
    <row r="477" spans="3:53" s="17" customFormat="1" x14ac:dyDescent="0.25">
      <c r="C477" s="194"/>
      <c r="D477" s="195"/>
      <c r="E477" s="90"/>
      <c r="F477" s="198"/>
      <c r="G477" s="214"/>
      <c r="H477" s="199"/>
      <c r="I477" s="78"/>
      <c r="J477" s="79"/>
      <c r="K477" s="78"/>
      <c r="L477" s="80"/>
      <c r="M477" s="80"/>
      <c r="N477" s="78" t="s">
        <v>39</v>
      </c>
      <c r="O477" s="113"/>
      <c r="P477" s="155"/>
      <c r="Q477" s="114" t="str">
        <f>IFERROR(MIN(VLOOKUP(ROUNDDOWN(P477,0),'Aide calcul'!$B$2:$C$282,2,FALSE),O477+1),"")</f>
        <v/>
      </c>
      <c r="R477" s="115" t="str">
        <f t="shared" si="116"/>
        <v/>
      </c>
      <c r="S477" s="155"/>
      <c r="T477" s="155"/>
      <c r="U477" s="155"/>
      <c r="V477" s="155"/>
      <c r="W477" s="155"/>
      <c r="X477" s="155"/>
      <c r="Y477" s="155"/>
      <c r="Z477" s="78"/>
      <c r="AA477" s="78"/>
      <c r="AB477" s="116" t="str">
        <f>IF(C477="3111. Logements",ROUND(VLOOKUP(C477,'Informations générales'!$C$66:$D$70,2,FALSE)*(AK477/$AL$27)/12,0)*12,IF(C477="3112. Logements",ROUND(VLOOKUP(C477,'Informations générales'!$C$66:$D$70,2,FALSE)*(AK477/$AM$27)/12,0)*12,IF(C477="3113. Logements",ROUND(VLOOKUP(C477,'Informations générales'!$C$66:$D$70,2,FALSE)*(AK477/$AN$27)/12,0)*12,IF(C477="3114. Logements",ROUND(VLOOKUP(C477,'Informations générales'!$C$66:$D$70,2,FALSE)*(AK477/$AO$27)/12,0)*12,IF(C477="3115. Logements",ROUND(VLOOKUP(C477,'Informations générales'!$C$66:$D$70,2,FALSE)*(AK477/$AP$27)/12,0)*12,"")))))</f>
        <v/>
      </c>
      <c r="AC477" s="117"/>
      <c r="AD477" s="116">
        <f t="shared" si="117"/>
        <v>0</v>
      </c>
      <c r="AE477" s="117"/>
      <c r="AF477" s="116" t="str">
        <f>IF(C477="3111. Logements",ROUND(VLOOKUP(C477,'Informations générales'!$C$66:$G$70,5,FALSE)*(AK477/$AL$27)/12,0)*12,IF(C477="3112. Logements",ROUND(VLOOKUP(C477,'Informations générales'!$C$66:$G$70,5,FALSE)*(AK477/$AM$27)/12,0)*12,IF(C477="3113. Logements",ROUND(VLOOKUP(C477,'Informations générales'!$C$66:$G$70,5,FALSE)*(AK477/$AN$27)/12,0)*12,IF(C477="3114. Logements",ROUND(VLOOKUP(C477,'Informations générales'!$C$66:$G$70,5,FALSE)*(AK477/$AO$27)/12,0)*12,IF(C477="3115. Logements",ROUND(VLOOKUP(C477,'Informations générales'!$C$66:$G$70,5,FALSE)*(AK477/$AP$27)/12,0)*12,"")))))</f>
        <v/>
      </c>
      <c r="AG477" s="117"/>
      <c r="AH477" s="116" t="str">
        <f t="shared" si="118"/>
        <v/>
      </c>
      <c r="AI477" s="92"/>
      <c r="AJ477" s="78"/>
      <c r="AK477" s="60">
        <f t="shared" si="119"/>
        <v>0</v>
      </c>
      <c r="AL477" s="60"/>
      <c r="AM477" s="60"/>
      <c r="AN477" s="60"/>
      <c r="AO477" s="60"/>
      <c r="AP477" s="60"/>
      <c r="AQ477" s="60">
        <f t="shared" si="109"/>
        <v>0</v>
      </c>
      <c r="AR477" s="60">
        <f t="shared" si="110"/>
        <v>0</v>
      </c>
      <c r="AS477" s="60">
        <f t="shared" si="111"/>
        <v>0</v>
      </c>
      <c r="AT477" s="60">
        <f t="shared" si="112"/>
        <v>0</v>
      </c>
      <c r="AU477" s="60">
        <f t="shared" si="113"/>
        <v>0</v>
      </c>
      <c r="AV477" s="60">
        <f t="shared" si="114"/>
        <v>0</v>
      </c>
      <c r="AW477" s="60">
        <f t="shared" si="115"/>
        <v>0</v>
      </c>
      <c r="AX477" s="60">
        <f t="shared" si="120"/>
        <v>0</v>
      </c>
      <c r="AY477" s="64">
        <f t="shared" si="121"/>
        <v>0</v>
      </c>
      <c r="AZ477" s="65">
        <f t="shared" si="108"/>
        <v>0</v>
      </c>
      <c r="BA477" s="65">
        <f t="shared" ref="BA477:BA526" si="122">IFERROR(VLOOKUP(AA477,$L$12:$N$19,3,FALSE),0)</f>
        <v>0</v>
      </c>
    </row>
    <row r="478" spans="3:53" s="17" customFormat="1" x14ac:dyDescent="0.25">
      <c r="C478" s="194"/>
      <c r="D478" s="195"/>
      <c r="E478" s="90"/>
      <c r="F478" s="198"/>
      <c r="G478" s="214"/>
      <c r="H478" s="199"/>
      <c r="I478" s="78"/>
      <c r="J478" s="79"/>
      <c r="K478" s="78"/>
      <c r="L478" s="80"/>
      <c r="M478" s="80"/>
      <c r="N478" s="78" t="s">
        <v>39</v>
      </c>
      <c r="O478" s="113"/>
      <c r="P478" s="155"/>
      <c r="Q478" s="114" t="str">
        <f>IFERROR(MIN(VLOOKUP(ROUNDDOWN(P478,0),'Aide calcul'!$B$2:$C$282,2,FALSE),O478+1),"")</f>
        <v/>
      </c>
      <c r="R478" s="115" t="str">
        <f t="shared" si="116"/>
        <v/>
      </c>
      <c r="S478" s="155"/>
      <c r="T478" s="155"/>
      <c r="U478" s="155"/>
      <c r="V478" s="155"/>
      <c r="W478" s="155"/>
      <c r="X478" s="155"/>
      <c r="Y478" s="155"/>
      <c r="Z478" s="78"/>
      <c r="AA478" s="78"/>
      <c r="AB478" s="116" t="str">
        <f>IF(C478="3111. Logements",ROUND(VLOOKUP(C478,'Informations générales'!$C$66:$D$70,2,FALSE)*(AK478/$AL$27)/12,0)*12,IF(C478="3112. Logements",ROUND(VLOOKUP(C478,'Informations générales'!$C$66:$D$70,2,FALSE)*(AK478/$AM$27)/12,0)*12,IF(C478="3113. Logements",ROUND(VLOOKUP(C478,'Informations générales'!$C$66:$D$70,2,FALSE)*(AK478/$AN$27)/12,0)*12,IF(C478="3114. Logements",ROUND(VLOOKUP(C478,'Informations générales'!$C$66:$D$70,2,FALSE)*(AK478/$AO$27)/12,0)*12,IF(C478="3115. Logements",ROUND(VLOOKUP(C478,'Informations générales'!$C$66:$D$70,2,FALSE)*(AK478/$AP$27)/12,0)*12,"")))))</f>
        <v/>
      </c>
      <c r="AC478" s="117"/>
      <c r="AD478" s="116">
        <f t="shared" si="117"/>
        <v>0</v>
      </c>
      <c r="AE478" s="117"/>
      <c r="AF478" s="116" t="str">
        <f>IF(C478="3111. Logements",ROUND(VLOOKUP(C478,'Informations générales'!$C$66:$G$70,5,FALSE)*(AK478/$AL$27)/12,0)*12,IF(C478="3112. Logements",ROUND(VLOOKUP(C478,'Informations générales'!$C$66:$G$70,5,FALSE)*(AK478/$AM$27)/12,0)*12,IF(C478="3113. Logements",ROUND(VLOOKUP(C478,'Informations générales'!$C$66:$G$70,5,FALSE)*(AK478/$AN$27)/12,0)*12,IF(C478="3114. Logements",ROUND(VLOOKUP(C478,'Informations générales'!$C$66:$G$70,5,FALSE)*(AK478/$AO$27)/12,0)*12,IF(C478="3115. Logements",ROUND(VLOOKUP(C478,'Informations générales'!$C$66:$G$70,5,FALSE)*(AK478/$AP$27)/12,0)*12,"")))))</f>
        <v/>
      </c>
      <c r="AG478" s="117"/>
      <c r="AH478" s="116" t="str">
        <f t="shared" si="118"/>
        <v/>
      </c>
      <c r="AI478" s="92"/>
      <c r="AJ478" s="78"/>
      <c r="AK478" s="60">
        <f t="shared" si="119"/>
        <v>0</v>
      </c>
      <c r="AL478" s="60"/>
      <c r="AM478" s="60"/>
      <c r="AN478" s="60"/>
      <c r="AO478" s="60"/>
      <c r="AP478" s="60"/>
      <c r="AQ478" s="60">
        <f t="shared" si="109"/>
        <v>0</v>
      </c>
      <c r="AR478" s="60">
        <f t="shared" si="110"/>
        <v>0</v>
      </c>
      <c r="AS478" s="60">
        <f t="shared" si="111"/>
        <v>0</v>
      </c>
      <c r="AT478" s="60">
        <f t="shared" si="112"/>
        <v>0</v>
      </c>
      <c r="AU478" s="60">
        <f t="shared" si="113"/>
        <v>0</v>
      </c>
      <c r="AV478" s="60">
        <f t="shared" si="114"/>
        <v>0</v>
      </c>
      <c r="AW478" s="60">
        <f t="shared" si="115"/>
        <v>0</v>
      </c>
      <c r="AX478" s="60">
        <f t="shared" si="120"/>
        <v>0</v>
      </c>
      <c r="AY478" s="64">
        <f t="shared" si="121"/>
        <v>0</v>
      </c>
      <c r="AZ478" s="65">
        <f t="shared" si="108"/>
        <v>0</v>
      </c>
      <c r="BA478" s="65">
        <f t="shared" si="122"/>
        <v>0</v>
      </c>
    </row>
    <row r="479" spans="3:53" s="17" customFormat="1" x14ac:dyDescent="0.25">
      <c r="C479" s="194"/>
      <c r="D479" s="195"/>
      <c r="E479" s="90"/>
      <c r="F479" s="198"/>
      <c r="G479" s="214"/>
      <c r="H479" s="199"/>
      <c r="I479" s="78"/>
      <c r="J479" s="79"/>
      <c r="K479" s="78"/>
      <c r="L479" s="80"/>
      <c r="M479" s="80"/>
      <c r="N479" s="78" t="s">
        <v>39</v>
      </c>
      <c r="O479" s="113"/>
      <c r="P479" s="155"/>
      <c r="Q479" s="114" t="str">
        <f>IFERROR(MIN(VLOOKUP(ROUNDDOWN(P479,0),'Aide calcul'!$B$2:$C$282,2,FALSE),O479+1),"")</f>
        <v/>
      </c>
      <c r="R479" s="115" t="str">
        <f t="shared" si="116"/>
        <v/>
      </c>
      <c r="S479" s="155"/>
      <c r="T479" s="155"/>
      <c r="U479" s="155"/>
      <c r="V479" s="155"/>
      <c r="W479" s="155"/>
      <c r="X479" s="155"/>
      <c r="Y479" s="155"/>
      <c r="Z479" s="78"/>
      <c r="AA479" s="78"/>
      <c r="AB479" s="116" t="str">
        <f>IF(C479="3111. Logements",ROUND(VLOOKUP(C479,'Informations générales'!$C$66:$D$70,2,FALSE)*(AK479/$AL$27)/12,0)*12,IF(C479="3112. Logements",ROUND(VLOOKUP(C479,'Informations générales'!$C$66:$D$70,2,FALSE)*(AK479/$AM$27)/12,0)*12,IF(C479="3113. Logements",ROUND(VLOOKUP(C479,'Informations générales'!$C$66:$D$70,2,FALSE)*(AK479/$AN$27)/12,0)*12,IF(C479="3114. Logements",ROUND(VLOOKUP(C479,'Informations générales'!$C$66:$D$70,2,FALSE)*(AK479/$AO$27)/12,0)*12,IF(C479="3115. Logements",ROUND(VLOOKUP(C479,'Informations générales'!$C$66:$D$70,2,FALSE)*(AK479/$AP$27)/12,0)*12,"")))))</f>
        <v/>
      </c>
      <c r="AC479" s="117"/>
      <c r="AD479" s="116">
        <f t="shared" si="117"/>
        <v>0</v>
      </c>
      <c r="AE479" s="117"/>
      <c r="AF479" s="116" t="str">
        <f>IF(C479="3111. Logements",ROUND(VLOOKUP(C479,'Informations générales'!$C$66:$G$70,5,FALSE)*(AK479/$AL$27)/12,0)*12,IF(C479="3112. Logements",ROUND(VLOOKUP(C479,'Informations générales'!$C$66:$G$70,5,FALSE)*(AK479/$AM$27)/12,0)*12,IF(C479="3113. Logements",ROUND(VLOOKUP(C479,'Informations générales'!$C$66:$G$70,5,FALSE)*(AK479/$AN$27)/12,0)*12,IF(C479="3114. Logements",ROUND(VLOOKUP(C479,'Informations générales'!$C$66:$G$70,5,FALSE)*(AK479/$AO$27)/12,0)*12,IF(C479="3115. Logements",ROUND(VLOOKUP(C479,'Informations générales'!$C$66:$G$70,5,FALSE)*(AK479/$AP$27)/12,0)*12,"")))))</f>
        <v/>
      </c>
      <c r="AG479" s="117"/>
      <c r="AH479" s="116" t="str">
        <f t="shared" si="118"/>
        <v/>
      </c>
      <c r="AI479" s="92"/>
      <c r="AJ479" s="78"/>
      <c r="AK479" s="60">
        <f t="shared" si="119"/>
        <v>0</v>
      </c>
      <c r="AL479" s="60"/>
      <c r="AM479" s="60"/>
      <c r="AN479" s="60"/>
      <c r="AO479" s="60"/>
      <c r="AP479" s="60"/>
      <c r="AQ479" s="60">
        <f t="shared" si="109"/>
        <v>0</v>
      </c>
      <c r="AR479" s="60">
        <f t="shared" si="110"/>
        <v>0</v>
      </c>
      <c r="AS479" s="60">
        <f t="shared" si="111"/>
        <v>0</v>
      </c>
      <c r="AT479" s="60">
        <f t="shared" si="112"/>
        <v>0</v>
      </c>
      <c r="AU479" s="60">
        <f t="shared" si="113"/>
        <v>0</v>
      </c>
      <c r="AV479" s="60">
        <f t="shared" si="114"/>
        <v>0</v>
      </c>
      <c r="AW479" s="60">
        <f t="shared" si="115"/>
        <v>0</v>
      </c>
      <c r="AX479" s="60">
        <f t="shared" si="120"/>
        <v>0</v>
      </c>
      <c r="AY479" s="64">
        <f t="shared" si="121"/>
        <v>0</v>
      </c>
      <c r="AZ479" s="65">
        <f t="shared" si="108"/>
        <v>0</v>
      </c>
      <c r="BA479" s="65">
        <f t="shared" si="122"/>
        <v>0</v>
      </c>
    </row>
    <row r="480" spans="3:53" s="17" customFormat="1" x14ac:dyDescent="0.25">
      <c r="C480" s="194"/>
      <c r="D480" s="195"/>
      <c r="E480" s="90"/>
      <c r="F480" s="198"/>
      <c r="G480" s="214"/>
      <c r="H480" s="199"/>
      <c r="I480" s="78"/>
      <c r="J480" s="79"/>
      <c r="K480" s="78"/>
      <c r="L480" s="80"/>
      <c r="M480" s="80"/>
      <c r="N480" s="78" t="s">
        <v>39</v>
      </c>
      <c r="O480" s="113"/>
      <c r="P480" s="155"/>
      <c r="Q480" s="114" t="str">
        <f>IFERROR(MIN(VLOOKUP(ROUNDDOWN(P480,0),'Aide calcul'!$B$2:$C$282,2,FALSE),O480+1),"")</f>
        <v/>
      </c>
      <c r="R480" s="115" t="str">
        <f t="shared" si="116"/>
        <v/>
      </c>
      <c r="S480" s="155"/>
      <c r="T480" s="155"/>
      <c r="U480" s="155"/>
      <c r="V480" s="155"/>
      <c r="W480" s="155"/>
      <c r="X480" s="155"/>
      <c r="Y480" s="155"/>
      <c r="Z480" s="78"/>
      <c r="AA480" s="78"/>
      <c r="AB480" s="116" t="str">
        <f>IF(C480="3111. Logements",ROUND(VLOOKUP(C480,'Informations générales'!$C$66:$D$70,2,FALSE)*(AK480/$AL$27)/12,0)*12,IF(C480="3112. Logements",ROUND(VLOOKUP(C480,'Informations générales'!$C$66:$D$70,2,FALSE)*(AK480/$AM$27)/12,0)*12,IF(C480="3113. Logements",ROUND(VLOOKUP(C480,'Informations générales'!$C$66:$D$70,2,FALSE)*(AK480/$AN$27)/12,0)*12,IF(C480="3114. Logements",ROUND(VLOOKUP(C480,'Informations générales'!$C$66:$D$70,2,FALSE)*(AK480/$AO$27)/12,0)*12,IF(C480="3115. Logements",ROUND(VLOOKUP(C480,'Informations générales'!$C$66:$D$70,2,FALSE)*(AK480/$AP$27)/12,0)*12,"")))))</f>
        <v/>
      </c>
      <c r="AC480" s="117"/>
      <c r="AD480" s="116">
        <f t="shared" si="117"/>
        <v>0</v>
      </c>
      <c r="AE480" s="117"/>
      <c r="AF480" s="116" t="str">
        <f>IF(C480="3111. Logements",ROUND(VLOOKUP(C480,'Informations générales'!$C$66:$G$70,5,FALSE)*(AK480/$AL$27)/12,0)*12,IF(C480="3112. Logements",ROUND(VLOOKUP(C480,'Informations générales'!$C$66:$G$70,5,FALSE)*(AK480/$AM$27)/12,0)*12,IF(C480="3113. Logements",ROUND(VLOOKUP(C480,'Informations générales'!$C$66:$G$70,5,FALSE)*(AK480/$AN$27)/12,0)*12,IF(C480="3114. Logements",ROUND(VLOOKUP(C480,'Informations générales'!$C$66:$G$70,5,FALSE)*(AK480/$AO$27)/12,0)*12,IF(C480="3115. Logements",ROUND(VLOOKUP(C480,'Informations générales'!$C$66:$G$70,5,FALSE)*(AK480/$AP$27)/12,0)*12,"")))))</f>
        <v/>
      </c>
      <c r="AG480" s="117"/>
      <c r="AH480" s="116" t="str">
        <f t="shared" si="118"/>
        <v/>
      </c>
      <c r="AI480" s="92"/>
      <c r="AJ480" s="78"/>
      <c r="AK480" s="60">
        <f t="shared" si="119"/>
        <v>0</v>
      </c>
      <c r="AL480" s="60"/>
      <c r="AM480" s="60"/>
      <c r="AN480" s="60"/>
      <c r="AO480" s="60"/>
      <c r="AP480" s="60"/>
      <c r="AQ480" s="60">
        <f t="shared" si="109"/>
        <v>0</v>
      </c>
      <c r="AR480" s="60">
        <f t="shared" si="110"/>
        <v>0</v>
      </c>
      <c r="AS480" s="60">
        <f t="shared" si="111"/>
        <v>0</v>
      </c>
      <c r="AT480" s="60">
        <f t="shared" si="112"/>
        <v>0</v>
      </c>
      <c r="AU480" s="60">
        <f t="shared" si="113"/>
        <v>0</v>
      </c>
      <c r="AV480" s="60">
        <f t="shared" si="114"/>
        <v>0</v>
      </c>
      <c r="AW480" s="60">
        <f t="shared" si="115"/>
        <v>0</v>
      </c>
      <c r="AX480" s="60">
        <f t="shared" si="120"/>
        <v>0</v>
      </c>
      <c r="AY480" s="64">
        <f t="shared" si="121"/>
        <v>0</v>
      </c>
      <c r="AZ480" s="65">
        <f t="shared" si="108"/>
        <v>0</v>
      </c>
      <c r="BA480" s="65">
        <f t="shared" si="122"/>
        <v>0</v>
      </c>
    </row>
    <row r="481" spans="3:53" s="17" customFormat="1" x14ac:dyDescent="0.25">
      <c r="C481" s="194"/>
      <c r="D481" s="195"/>
      <c r="E481" s="90"/>
      <c r="F481" s="198"/>
      <c r="G481" s="214"/>
      <c r="H481" s="199"/>
      <c r="I481" s="78"/>
      <c r="J481" s="79"/>
      <c r="K481" s="78"/>
      <c r="L481" s="80"/>
      <c r="M481" s="80"/>
      <c r="N481" s="78" t="s">
        <v>39</v>
      </c>
      <c r="O481" s="113"/>
      <c r="P481" s="155"/>
      <c r="Q481" s="114" t="str">
        <f>IFERROR(MIN(VLOOKUP(ROUNDDOWN(P481,0),'Aide calcul'!$B$2:$C$282,2,FALSE),O481+1),"")</f>
        <v/>
      </c>
      <c r="R481" s="115" t="str">
        <f t="shared" si="116"/>
        <v/>
      </c>
      <c r="S481" s="155"/>
      <c r="T481" s="155"/>
      <c r="U481" s="155"/>
      <c r="V481" s="155"/>
      <c r="W481" s="155"/>
      <c r="X481" s="155"/>
      <c r="Y481" s="155"/>
      <c r="Z481" s="78"/>
      <c r="AA481" s="78"/>
      <c r="AB481" s="116" t="str">
        <f>IF(C481="3111. Logements",ROUND(VLOOKUP(C481,'Informations générales'!$C$66:$D$70,2,FALSE)*(AK481/$AL$27)/12,0)*12,IF(C481="3112. Logements",ROUND(VLOOKUP(C481,'Informations générales'!$C$66:$D$70,2,FALSE)*(AK481/$AM$27)/12,0)*12,IF(C481="3113. Logements",ROUND(VLOOKUP(C481,'Informations générales'!$C$66:$D$70,2,FALSE)*(AK481/$AN$27)/12,0)*12,IF(C481="3114. Logements",ROUND(VLOOKUP(C481,'Informations générales'!$C$66:$D$70,2,FALSE)*(AK481/$AO$27)/12,0)*12,IF(C481="3115. Logements",ROUND(VLOOKUP(C481,'Informations générales'!$C$66:$D$70,2,FALSE)*(AK481/$AP$27)/12,0)*12,"")))))</f>
        <v/>
      </c>
      <c r="AC481" s="117"/>
      <c r="AD481" s="116">
        <f t="shared" si="117"/>
        <v>0</v>
      </c>
      <c r="AE481" s="117"/>
      <c r="AF481" s="116" t="str">
        <f>IF(C481="3111. Logements",ROUND(VLOOKUP(C481,'Informations générales'!$C$66:$G$70,5,FALSE)*(AK481/$AL$27)/12,0)*12,IF(C481="3112. Logements",ROUND(VLOOKUP(C481,'Informations générales'!$C$66:$G$70,5,FALSE)*(AK481/$AM$27)/12,0)*12,IF(C481="3113. Logements",ROUND(VLOOKUP(C481,'Informations générales'!$C$66:$G$70,5,FALSE)*(AK481/$AN$27)/12,0)*12,IF(C481="3114. Logements",ROUND(VLOOKUP(C481,'Informations générales'!$C$66:$G$70,5,FALSE)*(AK481/$AO$27)/12,0)*12,IF(C481="3115. Logements",ROUND(VLOOKUP(C481,'Informations générales'!$C$66:$G$70,5,FALSE)*(AK481/$AP$27)/12,0)*12,"")))))</f>
        <v/>
      </c>
      <c r="AG481" s="117"/>
      <c r="AH481" s="116" t="str">
        <f t="shared" si="118"/>
        <v/>
      </c>
      <c r="AI481" s="92"/>
      <c r="AJ481" s="78"/>
      <c r="AK481" s="60">
        <f t="shared" si="119"/>
        <v>0</v>
      </c>
      <c r="AL481" s="60"/>
      <c r="AM481" s="60"/>
      <c r="AN481" s="60"/>
      <c r="AO481" s="60"/>
      <c r="AP481" s="60"/>
      <c r="AQ481" s="60">
        <f t="shared" si="109"/>
        <v>0</v>
      </c>
      <c r="AR481" s="60">
        <f t="shared" si="110"/>
        <v>0</v>
      </c>
      <c r="AS481" s="60">
        <f t="shared" si="111"/>
        <v>0</v>
      </c>
      <c r="AT481" s="60">
        <f t="shared" si="112"/>
        <v>0</v>
      </c>
      <c r="AU481" s="60">
        <f t="shared" si="113"/>
        <v>0</v>
      </c>
      <c r="AV481" s="60">
        <f t="shared" si="114"/>
        <v>0</v>
      </c>
      <c r="AW481" s="60">
        <f t="shared" si="115"/>
        <v>0</v>
      </c>
      <c r="AX481" s="60">
        <f t="shared" si="120"/>
        <v>0</v>
      </c>
      <c r="AY481" s="64">
        <f t="shared" si="121"/>
        <v>0</v>
      </c>
      <c r="AZ481" s="65">
        <f t="shared" si="108"/>
        <v>0</v>
      </c>
      <c r="BA481" s="65">
        <f t="shared" si="122"/>
        <v>0</v>
      </c>
    </row>
    <row r="482" spans="3:53" s="17" customFormat="1" x14ac:dyDescent="0.25">
      <c r="C482" s="194"/>
      <c r="D482" s="195"/>
      <c r="E482" s="90"/>
      <c r="F482" s="198"/>
      <c r="G482" s="214"/>
      <c r="H482" s="199"/>
      <c r="I482" s="78"/>
      <c r="J482" s="79"/>
      <c r="K482" s="78"/>
      <c r="L482" s="80"/>
      <c r="M482" s="80"/>
      <c r="N482" s="78" t="s">
        <v>39</v>
      </c>
      <c r="O482" s="113"/>
      <c r="P482" s="155"/>
      <c r="Q482" s="114" t="str">
        <f>IFERROR(MIN(VLOOKUP(ROUNDDOWN(P482,0),'Aide calcul'!$B$2:$C$282,2,FALSE),O482+1),"")</f>
        <v/>
      </c>
      <c r="R482" s="115" t="str">
        <f t="shared" si="116"/>
        <v/>
      </c>
      <c r="S482" s="155"/>
      <c r="T482" s="155"/>
      <c r="U482" s="155"/>
      <c r="V482" s="155"/>
      <c r="W482" s="155"/>
      <c r="X482" s="155"/>
      <c r="Y482" s="155"/>
      <c r="Z482" s="78"/>
      <c r="AA482" s="78"/>
      <c r="AB482" s="116" t="str">
        <f>IF(C482="3111. Logements",ROUND(VLOOKUP(C482,'Informations générales'!$C$66:$D$70,2,FALSE)*(AK482/$AL$27)/12,0)*12,IF(C482="3112. Logements",ROUND(VLOOKUP(C482,'Informations générales'!$C$66:$D$70,2,FALSE)*(AK482/$AM$27)/12,0)*12,IF(C482="3113. Logements",ROUND(VLOOKUP(C482,'Informations générales'!$C$66:$D$70,2,FALSE)*(AK482/$AN$27)/12,0)*12,IF(C482="3114. Logements",ROUND(VLOOKUP(C482,'Informations générales'!$C$66:$D$70,2,FALSE)*(AK482/$AO$27)/12,0)*12,IF(C482="3115. Logements",ROUND(VLOOKUP(C482,'Informations générales'!$C$66:$D$70,2,FALSE)*(AK482/$AP$27)/12,0)*12,"")))))</f>
        <v/>
      </c>
      <c r="AC482" s="117"/>
      <c r="AD482" s="116">
        <f t="shared" si="117"/>
        <v>0</v>
      </c>
      <c r="AE482" s="117"/>
      <c r="AF482" s="116" t="str">
        <f>IF(C482="3111. Logements",ROUND(VLOOKUP(C482,'Informations générales'!$C$66:$G$70,5,FALSE)*(AK482/$AL$27)/12,0)*12,IF(C482="3112. Logements",ROUND(VLOOKUP(C482,'Informations générales'!$C$66:$G$70,5,FALSE)*(AK482/$AM$27)/12,0)*12,IF(C482="3113. Logements",ROUND(VLOOKUP(C482,'Informations générales'!$C$66:$G$70,5,FALSE)*(AK482/$AN$27)/12,0)*12,IF(C482="3114. Logements",ROUND(VLOOKUP(C482,'Informations générales'!$C$66:$G$70,5,FALSE)*(AK482/$AO$27)/12,0)*12,IF(C482="3115. Logements",ROUND(VLOOKUP(C482,'Informations générales'!$C$66:$G$70,5,FALSE)*(AK482/$AP$27)/12,0)*12,"")))))</f>
        <v/>
      </c>
      <c r="AG482" s="117"/>
      <c r="AH482" s="116" t="str">
        <f t="shared" si="118"/>
        <v/>
      </c>
      <c r="AI482" s="92"/>
      <c r="AJ482" s="78"/>
      <c r="AK482" s="60">
        <f t="shared" si="119"/>
        <v>0</v>
      </c>
      <c r="AL482" s="60"/>
      <c r="AM482" s="60"/>
      <c r="AN482" s="60"/>
      <c r="AO482" s="60"/>
      <c r="AP482" s="60"/>
      <c r="AQ482" s="60">
        <f t="shared" si="109"/>
        <v>0</v>
      </c>
      <c r="AR482" s="60">
        <f t="shared" si="110"/>
        <v>0</v>
      </c>
      <c r="AS482" s="60">
        <f t="shared" si="111"/>
        <v>0</v>
      </c>
      <c r="AT482" s="60">
        <f t="shared" si="112"/>
        <v>0</v>
      </c>
      <c r="AU482" s="60">
        <f t="shared" si="113"/>
        <v>0</v>
      </c>
      <c r="AV482" s="60">
        <f t="shared" si="114"/>
        <v>0</v>
      </c>
      <c r="AW482" s="60">
        <f t="shared" si="115"/>
        <v>0</v>
      </c>
      <c r="AX482" s="60">
        <f t="shared" si="120"/>
        <v>0</v>
      </c>
      <c r="AY482" s="64">
        <f t="shared" si="121"/>
        <v>0</v>
      </c>
      <c r="AZ482" s="65">
        <f t="shared" si="108"/>
        <v>0</v>
      </c>
      <c r="BA482" s="65">
        <f t="shared" si="122"/>
        <v>0</v>
      </c>
    </row>
    <row r="483" spans="3:53" s="17" customFormat="1" x14ac:dyDescent="0.25">
      <c r="C483" s="194"/>
      <c r="D483" s="195"/>
      <c r="E483" s="90"/>
      <c r="F483" s="198"/>
      <c r="G483" s="214"/>
      <c r="H483" s="199"/>
      <c r="I483" s="78"/>
      <c r="J483" s="79"/>
      <c r="K483" s="78"/>
      <c r="L483" s="80"/>
      <c r="M483" s="80"/>
      <c r="N483" s="78" t="s">
        <v>39</v>
      </c>
      <c r="O483" s="113"/>
      <c r="P483" s="155"/>
      <c r="Q483" s="114" t="str">
        <f>IFERROR(MIN(VLOOKUP(ROUNDDOWN(P483,0),'Aide calcul'!$B$2:$C$282,2,FALSE),O483+1),"")</f>
        <v/>
      </c>
      <c r="R483" s="115" t="str">
        <f t="shared" si="116"/>
        <v/>
      </c>
      <c r="S483" s="155"/>
      <c r="T483" s="155"/>
      <c r="U483" s="155"/>
      <c r="V483" s="155"/>
      <c r="W483" s="155"/>
      <c r="X483" s="155"/>
      <c r="Y483" s="155"/>
      <c r="Z483" s="78"/>
      <c r="AA483" s="78"/>
      <c r="AB483" s="116" t="str">
        <f>IF(C483="3111. Logements",ROUND(VLOOKUP(C483,'Informations générales'!$C$66:$D$70,2,FALSE)*(AK483/$AL$27)/12,0)*12,IF(C483="3112. Logements",ROUND(VLOOKUP(C483,'Informations générales'!$C$66:$D$70,2,FALSE)*(AK483/$AM$27)/12,0)*12,IF(C483="3113. Logements",ROUND(VLOOKUP(C483,'Informations générales'!$C$66:$D$70,2,FALSE)*(AK483/$AN$27)/12,0)*12,IF(C483="3114. Logements",ROUND(VLOOKUP(C483,'Informations générales'!$C$66:$D$70,2,FALSE)*(AK483/$AO$27)/12,0)*12,IF(C483="3115. Logements",ROUND(VLOOKUP(C483,'Informations générales'!$C$66:$D$70,2,FALSE)*(AK483/$AP$27)/12,0)*12,"")))))</f>
        <v/>
      </c>
      <c r="AC483" s="117"/>
      <c r="AD483" s="116">
        <f t="shared" si="117"/>
        <v>0</v>
      </c>
      <c r="AE483" s="117"/>
      <c r="AF483" s="116" t="str">
        <f>IF(C483="3111. Logements",ROUND(VLOOKUP(C483,'Informations générales'!$C$66:$G$70,5,FALSE)*(AK483/$AL$27)/12,0)*12,IF(C483="3112. Logements",ROUND(VLOOKUP(C483,'Informations générales'!$C$66:$G$70,5,FALSE)*(AK483/$AM$27)/12,0)*12,IF(C483="3113. Logements",ROUND(VLOOKUP(C483,'Informations générales'!$C$66:$G$70,5,FALSE)*(AK483/$AN$27)/12,0)*12,IF(C483="3114. Logements",ROUND(VLOOKUP(C483,'Informations générales'!$C$66:$G$70,5,FALSE)*(AK483/$AO$27)/12,0)*12,IF(C483="3115. Logements",ROUND(VLOOKUP(C483,'Informations générales'!$C$66:$G$70,5,FALSE)*(AK483/$AP$27)/12,0)*12,"")))))</f>
        <v/>
      </c>
      <c r="AG483" s="117"/>
      <c r="AH483" s="116" t="str">
        <f t="shared" si="118"/>
        <v/>
      </c>
      <c r="AI483" s="92"/>
      <c r="AJ483" s="78"/>
      <c r="AK483" s="60">
        <f t="shared" si="119"/>
        <v>0</v>
      </c>
      <c r="AL483" s="60"/>
      <c r="AM483" s="60"/>
      <c r="AN483" s="60"/>
      <c r="AO483" s="60"/>
      <c r="AP483" s="60"/>
      <c r="AQ483" s="60">
        <f t="shared" si="109"/>
        <v>0</v>
      </c>
      <c r="AR483" s="60">
        <f t="shared" si="110"/>
        <v>0</v>
      </c>
      <c r="AS483" s="60">
        <f t="shared" si="111"/>
        <v>0</v>
      </c>
      <c r="AT483" s="60">
        <f t="shared" si="112"/>
        <v>0</v>
      </c>
      <c r="AU483" s="60">
        <f t="shared" si="113"/>
        <v>0</v>
      </c>
      <c r="AV483" s="60">
        <f t="shared" si="114"/>
        <v>0</v>
      </c>
      <c r="AW483" s="60">
        <f t="shared" si="115"/>
        <v>0</v>
      </c>
      <c r="AX483" s="60">
        <f t="shared" si="120"/>
        <v>0</v>
      </c>
      <c r="AY483" s="64">
        <f t="shared" si="121"/>
        <v>0</v>
      </c>
      <c r="AZ483" s="65">
        <f t="shared" si="108"/>
        <v>0</v>
      </c>
      <c r="BA483" s="65">
        <f t="shared" si="122"/>
        <v>0</v>
      </c>
    </row>
    <row r="484" spans="3:53" s="17" customFormat="1" x14ac:dyDescent="0.25">
      <c r="C484" s="194"/>
      <c r="D484" s="195"/>
      <c r="E484" s="90"/>
      <c r="F484" s="198"/>
      <c r="G484" s="214"/>
      <c r="H484" s="199"/>
      <c r="I484" s="78"/>
      <c r="J484" s="79"/>
      <c r="K484" s="78"/>
      <c r="L484" s="80"/>
      <c r="M484" s="80"/>
      <c r="N484" s="78" t="s">
        <v>39</v>
      </c>
      <c r="O484" s="113"/>
      <c r="P484" s="155"/>
      <c r="Q484" s="114" t="str">
        <f>IFERROR(MIN(VLOOKUP(ROUNDDOWN(P484,0),'Aide calcul'!$B$2:$C$282,2,FALSE),O484+1),"")</f>
        <v/>
      </c>
      <c r="R484" s="115" t="str">
        <f t="shared" si="116"/>
        <v/>
      </c>
      <c r="S484" s="155"/>
      <c r="T484" s="155"/>
      <c r="U484" s="155"/>
      <c r="V484" s="155"/>
      <c r="W484" s="155"/>
      <c r="X484" s="155"/>
      <c r="Y484" s="155"/>
      <c r="Z484" s="78"/>
      <c r="AA484" s="78"/>
      <c r="AB484" s="116" t="str">
        <f>IF(C484="3111. Logements",ROUND(VLOOKUP(C484,'Informations générales'!$C$66:$D$70,2,FALSE)*(AK484/$AL$27)/12,0)*12,IF(C484="3112. Logements",ROUND(VLOOKUP(C484,'Informations générales'!$C$66:$D$70,2,FALSE)*(AK484/$AM$27)/12,0)*12,IF(C484="3113. Logements",ROUND(VLOOKUP(C484,'Informations générales'!$C$66:$D$70,2,FALSE)*(AK484/$AN$27)/12,0)*12,IF(C484="3114. Logements",ROUND(VLOOKUP(C484,'Informations générales'!$C$66:$D$70,2,FALSE)*(AK484/$AO$27)/12,0)*12,IF(C484="3115. Logements",ROUND(VLOOKUP(C484,'Informations générales'!$C$66:$D$70,2,FALSE)*(AK484/$AP$27)/12,0)*12,"")))))</f>
        <v/>
      </c>
      <c r="AC484" s="117"/>
      <c r="AD484" s="116">
        <f t="shared" si="117"/>
        <v>0</v>
      </c>
      <c r="AE484" s="117"/>
      <c r="AF484" s="116" t="str">
        <f>IF(C484="3111. Logements",ROUND(VLOOKUP(C484,'Informations générales'!$C$66:$G$70,5,FALSE)*(AK484/$AL$27)/12,0)*12,IF(C484="3112. Logements",ROUND(VLOOKUP(C484,'Informations générales'!$C$66:$G$70,5,FALSE)*(AK484/$AM$27)/12,0)*12,IF(C484="3113. Logements",ROUND(VLOOKUP(C484,'Informations générales'!$C$66:$G$70,5,FALSE)*(AK484/$AN$27)/12,0)*12,IF(C484="3114. Logements",ROUND(VLOOKUP(C484,'Informations générales'!$C$66:$G$70,5,FALSE)*(AK484/$AO$27)/12,0)*12,IF(C484="3115. Logements",ROUND(VLOOKUP(C484,'Informations générales'!$C$66:$G$70,5,FALSE)*(AK484/$AP$27)/12,0)*12,"")))))</f>
        <v/>
      </c>
      <c r="AG484" s="117"/>
      <c r="AH484" s="116" t="str">
        <f t="shared" si="118"/>
        <v/>
      </c>
      <c r="AI484" s="92"/>
      <c r="AJ484" s="78"/>
      <c r="AK484" s="60">
        <f t="shared" si="119"/>
        <v>0</v>
      </c>
      <c r="AL484" s="60"/>
      <c r="AM484" s="60"/>
      <c r="AN484" s="60"/>
      <c r="AO484" s="60"/>
      <c r="AP484" s="60"/>
      <c r="AQ484" s="60">
        <f t="shared" si="109"/>
        <v>0</v>
      </c>
      <c r="AR484" s="60">
        <f t="shared" si="110"/>
        <v>0</v>
      </c>
      <c r="AS484" s="60">
        <f t="shared" si="111"/>
        <v>0</v>
      </c>
      <c r="AT484" s="60">
        <f t="shared" si="112"/>
        <v>0</v>
      </c>
      <c r="AU484" s="60">
        <f t="shared" si="113"/>
        <v>0</v>
      </c>
      <c r="AV484" s="60">
        <f t="shared" si="114"/>
        <v>0</v>
      </c>
      <c r="AW484" s="60">
        <f t="shared" si="115"/>
        <v>0</v>
      </c>
      <c r="AX484" s="60">
        <f t="shared" si="120"/>
        <v>0</v>
      </c>
      <c r="AY484" s="64">
        <f t="shared" si="121"/>
        <v>0</v>
      </c>
      <c r="AZ484" s="65">
        <f t="shared" ref="AZ484:AZ494" si="123">IFERROR(VLOOKUP(Z484,$H$12:$I$22,2,FALSE),0)</f>
        <v>0</v>
      </c>
      <c r="BA484" s="65">
        <f t="shared" si="122"/>
        <v>0</v>
      </c>
    </row>
    <row r="485" spans="3:53" s="17" customFormat="1" x14ac:dyDescent="0.25">
      <c r="C485" s="194"/>
      <c r="D485" s="195"/>
      <c r="E485" s="90"/>
      <c r="F485" s="198"/>
      <c r="G485" s="214"/>
      <c r="H485" s="199"/>
      <c r="I485" s="78"/>
      <c r="J485" s="79"/>
      <c r="K485" s="78"/>
      <c r="L485" s="80"/>
      <c r="M485" s="80"/>
      <c r="N485" s="78" t="s">
        <v>39</v>
      </c>
      <c r="O485" s="113"/>
      <c r="P485" s="155"/>
      <c r="Q485" s="114" t="str">
        <f>IFERROR(MIN(VLOOKUP(ROUNDDOWN(P485,0),'Aide calcul'!$B$2:$C$282,2,FALSE),O485+1),"")</f>
        <v/>
      </c>
      <c r="R485" s="115" t="str">
        <f t="shared" si="116"/>
        <v/>
      </c>
      <c r="S485" s="155"/>
      <c r="T485" s="155"/>
      <c r="U485" s="155"/>
      <c r="V485" s="155"/>
      <c r="W485" s="155"/>
      <c r="X485" s="155"/>
      <c r="Y485" s="155"/>
      <c r="Z485" s="78"/>
      <c r="AA485" s="78"/>
      <c r="AB485" s="116" t="str">
        <f>IF(C485="3111. Logements",ROUND(VLOOKUP(C485,'Informations générales'!$C$66:$D$70,2,FALSE)*(AK485/$AL$27)/12,0)*12,IF(C485="3112. Logements",ROUND(VLOOKUP(C485,'Informations générales'!$C$66:$D$70,2,FALSE)*(AK485/$AM$27)/12,0)*12,IF(C485="3113. Logements",ROUND(VLOOKUP(C485,'Informations générales'!$C$66:$D$70,2,FALSE)*(AK485/$AN$27)/12,0)*12,IF(C485="3114. Logements",ROUND(VLOOKUP(C485,'Informations générales'!$C$66:$D$70,2,FALSE)*(AK485/$AO$27)/12,0)*12,IF(C485="3115. Logements",ROUND(VLOOKUP(C485,'Informations générales'!$C$66:$D$70,2,FALSE)*(AK485/$AP$27)/12,0)*12,"")))))</f>
        <v/>
      </c>
      <c r="AC485" s="117"/>
      <c r="AD485" s="116">
        <f t="shared" si="117"/>
        <v>0</v>
      </c>
      <c r="AE485" s="117"/>
      <c r="AF485" s="116" t="str">
        <f>IF(C485="3111. Logements",ROUND(VLOOKUP(C485,'Informations générales'!$C$66:$G$70,5,FALSE)*(AK485/$AL$27)/12,0)*12,IF(C485="3112. Logements",ROUND(VLOOKUP(C485,'Informations générales'!$C$66:$G$70,5,FALSE)*(AK485/$AM$27)/12,0)*12,IF(C485="3113. Logements",ROUND(VLOOKUP(C485,'Informations générales'!$C$66:$G$70,5,FALSE)*(AK485/$AN$27)/12,0)*12,IF(C485="3114. Logements",ROUND(VLOOKUP(C485,'Informations générales'!$C$66:$G$70,5,FALSE)*(AK485/$AO$27)/12,0)*12,IF(C485="3115. Logements",ROUND(VLOOKUP(C485,'Informations générales'!$C$66:$G$70,5,FALSE)*(AK485/$AP$27)/12,0)*12,"")))))</f>
        <v/>
      </c>
      <c r="AG485" s="117"/>
      <c r="AH485" s="116" t="str">
        <f t="shared" si="118"/>
        <v/>
      </c>
      <c r="AI485" s="92"/>
      <c r="AJ485" s="78"/>
      <c r="AK485" s="60">
        <f t="shared" si="119"/>
        <v>0</v>
      </c>
      <c r="AL485" s="60"/>
      <c r="AM485" s="60"/>
      <c r="AN485" s="60"/>
      <c r="AO485" s="60"/>
      <c r="AP485" s="60"/>
      <c r="AQ485" s="60">
        <f t="shared" si="109"/>
        <v>0</v>
      </c>
      <c r="AR485" s="60">
        <f t="shared" si="110"/>
        <v>0</v>
      </c>
      <c r="AS485" s="60">
        <f t="shared" si="111"/>
        <v>0</v>
      </c>
      <c r="AT485" s="60">
        <f t="shared" si="112"/>
        <v>0</v>
      </c>
      <c r="AU485" s="60">
        <f t="shared" si="113"/>
        <v>0</v>
      </c>
      <c r="AV485" s="60">
        <f t="shared" si="114"/>
        <v>0</v>
      </c>
      <c r="AW485" s="60">
        <f t="shared" si="115"/>
        <v>0</v>
      </c>
      <c r="AX485" s="60">
        <f t="shared" si="120"/>
        <v>0</v>
      </c>
      <c r="AY485" s="64">
        <f t="shared" si="121"/>
        <v>0</v>
      </c>
      <c r="AZ485" s="65">
        <f t="shared" si="123"/>
        <v>0</v>
      </c>
      <c r="BA485" s="65">
        <f t="shared" si="122"/>
        <v>0</v>
      </c>
    </row>
    <row r="486" spans="3:53" s="17" customFormat="1" x14ac:dyDescent="0.25">
      <c r="C486" s="194"/>
      <c r="D486" s="195"/>
      <c r="E486" s="90"/>
      <c r="F486" s="198"/>
      <c r="G486" s="214"/>
      <c r="H486" s="199"/>
      <c r="I486" s="78"/>
      <c r="J486" s="79"/>
      <c r="K486" s="78"/>
      <c r="L486" s="80"/>
      <c r="M486" s="80"/>
      <c r="N486" s="78" t="s">
        <v>39</v>
      </c>
      <c r="O486" s="113"/>
      <c r="P486" s="155"/>
      <c r="Q486" s="114" t="str">
        <f>IFERROR(MIN(VLOOKUP(ROUNDDOWN(P486,0),'Aide calcul'!$B$2:$C$282,2,FALSE),O486+1),"")</f>
        <v/>
      </c>
      <c r="R486" s="115" t="str">
        <f t="shared" si="116"/>
        <v/>
      </c>
      <c r="S486" s="155"/>
      <c r="T486" s="155"/>
      <c r="U486" s="155"/>
      <c r="V486" s="155"/>
      <c r="W486" s="155"/>
      <c r="X486" s="155"/>
      <c r="Y486" s="155"/>
      <c r="Z486" s="78"/>
      <c r="AA486" s="78"/>
      <c r="AB486" s="116" t="str">
        <f>IF(C486="3111. Logements",ROUND(VLOOKUP(C486,'Informations générales'!$C$66:$D$70,2,FALSE)*(AK486/$AL$27)/12,0)*12,IF(C486="3112. Logements",ROUND(VLOOKUP(C486,'Informations générales'!$C$66:$D$70,2,FALSE)*(AK486/$AM$27)/12,0)*12,IF(C486="3113. Logements",ROUND(VLOOKUP(C486,'Informations générales'!$C$66:$D$70,2,FALSE)*(AK486/$AN$27)/12,0)*12,IF(C486="3114. Logements",ROUND(VLOOKUP(C486,'Informations générales'!$C$66:$D$70,2,FALSE)*(AK486/$AO$27)/12,0)*12,IF(C486="3115. Logements",ROUND(VLOOKUP(C486,'Informations générales'!$C$66:$D$70,2,FALSE)*(AK486/$AP$27)/12,0)*12,"")))))</f>
        <v/>
      </c>
      <c r="AC486" s="117"/>
      <c r="AD486" s="116">
        <f t="shared" si="117"/>
        <v>0</v>
      </c>
      <c r="AE486" s="117"/>
      <c r="AF486" s="116" t="str">
        <f>IF(C486="3111. Logements",ROUND(VLOOKUP(C486,'Informations générales'!$C$66:$G$70,5,FALSE)*(AK486/$AL$27)/12,0)*12,IF(C486="3112. Logements",ROUND(VLOOKUP(C486,'Informations générales'!$C$66:$G$70,5,FALSE)*(AK486/$AM$27)/12,0)*12,IF(C486="3113. Logements",ROUND(VLOOKUP(C486,'Informations générales'!$C$66:$G$70,5,FALSE)*(AK486/$AN$27)/12,0)*12,IF(C486="3114. Logements",ROUND(VLOOKUP(C486,'Informations générales'!$C$66:$G$70,5,FALSE)*(AK486/$AO$27)/12,0)*12,IF(C486="3115. Logements",ROUND(VLOOKUP(C486,'Informations générales'!$C$66:$G$70,5,FALSE)*(AK486/$AP$27)/12,0)*12,"")))))</f>
        <v/>
      </c>
      <c r="AG486" s="117"/>
      <c r="AH486" s="116" t="str">
        <f t="shared" si="118"/>
        <v/>
      </c>
      <c r="AI486" s="92"/>
      <c r="AJ486" s="78"/>
      <c r="AK486" s="60">
        <f t="shared" si="119"/>
        <v>0</v>
      </c>
      <c r="AL486" s="60"/>
      <c r="AM486" s="60"/>
      <c r="AN486" s="60"/>
      <c r="AO486" s="60"/>
      <c r="AP486" s="60"/>
      <c r="AQ486" s="60">
        <f t="shared" si="109"/>
        <v>0</v>
      </c>
      <c r="AR486" s="60">
        <f t="shared" si="110"/>
        <v>0</v>
      </c>
      <c r="AS486" s="60">
        <f t="shared" si="111"/>
        <v>0</v>
      </c>
      <c r="AT486" s="60">
        <f t="shared" si="112"/>
        <v>0</v>
      </c>
      <c r="AU486" s="60">
        <f t="shared" si="113"/>
        <v>0</v>
      </c>
      <c r="AV486" s="60">
        <f t="shared" si="114"/>
        <v>0</v>
      </c>
      <c r="AW486" s="60">
        <f t="shared" si="115"/>
        <v>0</v>
      </c>
      <c r="AX486" s="60">
        <f t="shared" si="120"/>
        <v>0</v>
      </c>
      <c r="AY486" s="64">
        <f t="shared" si="121"/>
        <v>0</v>
      </c>
      <c r="AZ486" s="65">
        <f t="shared" si="123"/>
        <v>0</v>
      </c>
      <c r="BA486" s="65">
        <f t="shared" si="122"/>
        <v>0</v>
      </c>
    </row>
    <row r="487" spans="3:53" s="17" customFormat="1" x14ac:dyDescent="0.25">
      <c r="C487" s="194"/>
      <c r="D487" s="195"/>
      <c r="E487" s="90"/>
      <c r="F487" s="198"/>
      <c r="G487" s="214"/>
      <c r="H487" s="199"/>
      <c r="I487" s="78"/>
      <c r="J487" s="79"/>
      <c r="K487" s="78"/>
      <c r="L487" s="80"/>
      <c r="M487" s="80"/>
      <c r="N487" s="78" t="s">
        <v>39</v>
      </c>
      <c r="O487" s="113"/>
      <c r="P487" s="155"/>
      <c r="Q487" s="114" t="str">
        <f>IFERROR(MIN(VLOOKUP(ROUNDDOWN(P487,0),'Aide calcul'!$B$2:$C$282,2,FALSE),O487+1),"")</f>
        <v/>
      </c>
      <c r="R487" s="115" t="str">
        <f t="shared" si="116"/>
        <v/>
      </c>
      <c r="S487" s="155"/>
      <c r="T487" s="155"/>
      <c r="U487" s="155"/>
      <c r="V487" s="155"/>
      <c r="W487" s="155"/>
      <c r="X487" s="155"/>
      <c r="Y487" s="155"/>
      <c r="Z487" s="78"/>
      <c r="AA487" s="78"/>
      <c r="AB487" s="116" t="str">
        <f>IF(C487="3111. Logements",ROUND(VLOOKUP(C487,'Informations générales'!$C$66:$D$70,2,FALSE)*(AK487/$AL$27)/12,0)*12,IF(C487="3112. Logements",ROUND(VLOOKUP(C487,'Informations générales'!$C$66:$D$70,2,FALSE)*(AK487/$AM$27)/12,0)*12,IF(C487="3113. Logements",ROUND(VLOOKUP(C487,'Informations générales'!$C$66:$D$70,2,FALSE)*(AK487/$AN$27)/12,0)*12,IF(C487="3114. Logements",ROUND(VLOOKUP(C487,'Informations générales'!$C$66:$D$70,2,FALSE)*(AK487/$AO$27)/12,0)*12,IF(C487="3115. Logements",ROUND(VLOOKUP(C487,'Informations générales'!$C$66:$D$70,2,FALSE)*(AK487/$AP$27)/12,0)*12,"")))))</f>
        <v/>
      </c>
      <c r="AC487" s="117"/>
      <c r="AD487" s="116">
        <f t="shared" si="117"/>
        <v>0</v>
      </c>
      <c r="AE487" s="117"/>
      <c r="AF487" s="116" t="str">
        <f>IF(C487="3111. Logements",ROUND(VLOOKUP(C487,'Informations générales'!$C$66:$G$70,5,FALSE)*(AK487/$AL$27)/12,0)*12,IF(C487="3112. Logements",ROUND(VLOOKUP(C487,'Informations générales'!$C$66:$G$70,5,FALSE)*(AK487/$AM$27)/12,0)*12,IF(C487="3113. Logements",ROUND(VLOOKUP(C487,'Informations générales'!$C$66:$G$70,5,FALSE)*(AK487/$AN$27)/12,0)*12,IF(C487="3114. Logements",ROUND(VLOOKUP(C487,'Informations générales'!$C$66:$G$70,5,FALSE)*(AK487/$AO$27)/12,0)*12,IF(C487="3115. Logements",ROUND(VLOOKUP(C487,'Informations générales'!$C$66:$G$70,5,FALSE)*(AK487/$AP$27)/12,0)*12,"")))))</f>
        <v/>
      </c>
      <c r="AG487" s="117"/>
      <c r="AH487" s="116" t="str">
        <f t="shared" si="118"/>
        <v/>
      </c>
      <c r="AI487" s="92"/>
      <c r="AJ487" s="78"/>
      <c r="AK487" s="60">
        <f t="shared" si="119"/>
        <v>0</v>
      </c>
      <c r="AL487" s="60"/>
      <c r="AM487" s="60"/>
      <c r="AN487" s="60"/>
      <c r="AO487" s="60"/>
      <c r="AP487" s="60"/>
      <c r="AQ487" s="60">
        <f t="shared" si="109"/>
        <v>0</v>
      </c>
      <c r="AR487" s="60">
        <f t="shared" si="110"/>
        <v>0</v>
      </c>
      <c r="AS487" s="60">
        <f t="shared" si="111"/>
        <v>0</v>
      </c>
      <c r="AT487" s="60">
        <f t="shared" si="112"/>
        <v>0</v>
      </c>
      <c r="AU487" s="60">
        <f t="shared" si="113"/>
        <v>0</v>
      </c>
      <c r="AV487" s="60">
        <f t="shared" si="114"/>
        <v>0</v>
      </c>
      <c r="AW487" s="60">
        <f t="shared" si="115"/>
        <v>0</v>
      </c>
      <c r="AX487" s="60">
        <f t="shared" si="120"/>
        <v>0</v>
      </c>
      <c r="AY487" s="64">
        <f t="shared" si="121"/>
        <v>0</v>
      </c>
      <c r="AZ487" s="65">
        <f t="shared" si="123"/>
        <v>0</v>
      </c>
      <c r="BA487" s="65">
        <f t="shared" si="122"/>
        <v>0</v>
      </c>
    </row>
    <row r="488" spans="3:53" s="17" customFormat="1" x14ac:dyDescent="0.25">
      <c r="C488" s="194"/>
      <c r="D488" s="195"/>
      <c r="E488" s="90"/>
      <c r="F488" s="198"/>
      <c r="G488" s="214"/>
      <c r="H488" s="199"/>
      <c r="I488" s="78"/>
      <c r="J488" s="79"/>
      <c r="K488" s="78"/>
      <c r="L488" s="80"/>
      <c r="M488" s="80"/>
      <c r="N488" s="78" t="s">
        <v>39</v>
      </c>
      <c r="O488" s="113"/>
      <c r="P488" s="155"/>
      <c r="Q488" s="114" t="str">
        <f>IFERROR(MIN(VLOOKUP(ROUNDDOWN(P488,0),'Aide calcul'!$B$2:$C$282,2,FALSE),O488+1),"")</f>
        <v/>
      </c>
      <c r="R488" s="115" t="str">
        <f t="shared" si="116"/>
        <v/>
      </c>
      <c r="S488" s="155"/>
      <c r="T488" s="155"/>
      <c r="U488" s="155"/>
      <c r="V488" s="155"/>
      <c r="W488" s="155"/>
      <c r="X488" s="155"/>
      <c r="Y488" s="155"/>
      <c r="Z488" s="78"/>
      <c r="AA488" s="78"/>
      <c r="AB488" s="116" t="str">
        <f>IF(C488="3111. Logements",ROUND(VLOOKUP(C488,'Informations générales'!$C$66:$D$70,2,FALSE)*(AK488/$AL$27)/12,0)*12,IF(C488="3112. Logements",ROUND(VLOOKUP(C488,'Informations générales'!$C$66:$D$70,2,FALSE)*(AK488/$AM$27)/12,0)*12,IF(C488="3113. Logements",ROUND(VLOOKUP(C488,'Informations générales'!$C$66:$D$70,2,FALSE)*(AK488/$AN$27)/12,0)*12,IF(C488="3114. Logements",ROUND(VLOOKUP(C488,'Informations générales'!$C$66:$D$70,2,FALSE)*(AK488/$AO$27)/12,0)*12,IF(C488="3115. Logements",ROUND(VLOOKUP(C488,'Informations générales'!$C$66:$D$70,2,FALSE)*(AK488/$AP$27)/12,0)*12,"")))))</f>
        <v/>
      </c>
      <c r="AC488" s="117"/>
      <c r="AD488" s="116">
        <f t="shared" si="117"/>
        <v>0</v>
      </c>
      <c r="AE488" s="117"/>
      <c r="AF488" s="116" t="str">
        <f>IF(C488="3111. Logements",ROUND(VLOOKUP(C488,'Informations générales'!$C$66:$G$70,5,FALSE)*(AK488/$AL$27)/12,0)*12,IF(C488="3112. Logements",ROUND(VLOOKUP(C488,'Informations générales'!$C$66:$G$70,5,FALSE)*(AK488/$AM$27)/12,0)*12,IF(C488="3113. Logements",ROUND(VLOOKUP(C488,'Informations générales'!$C$66:$G$70,5,FALSE)*(AK488/$AN$27)/12,0)*12,IF(C488="3114. Logements",ROUND(VLOOKUP(C488,'Informations générales'!$C$66:$G$70,5,FALSE)*(AK488/$AO$27)/12,0)*12,IF(C488="3115. Logements",ROUND(VLOOKUP(C488,'Informations générales'!$C$66:$G$70,5,FALSE)*(AK488/$AP$27)/12,0)*12,"")))))</f>
        <v/>
      </c>
      <c r="AG488" s="117"/>
      <c r="AH488" s="116" t="str">
        <f t="shared" si="118"/>
        <v/>
      </c>
      <c r="AI488" s="92"/>
      <c r="AJ488" s="78"/>
      <c r="AK488" s="60">
        <f t="shared" si="119"/>
        <v>0</v>
      </c>
      <c r="AL488" s="60"/>
      <c r="AM488" s="60"/>
      <c r="AN488" s="60"/>
      <c r="AO488" s="60"/>
      <c r="AP488" s="60"/>
      <c r="AQ488" s="60">
        <f t="shared" si="109"/>
        <v>0</v>
      </c>
      <c r="AR488" s="60">
        <f t="shared" si="110"/>
        <v>0</v>
      </c>
      <c r="AS488" s="60">
        <f t="shared" si="111"/>
        <v>0</v>
      </c>
      <c r="AT488" s="60">
        <f t="shared" si="112"/>
        <v>0</v>
      </c>
      <c r="AU488" s="60">
        <f t="shared" si="113"/>
        <v>0</v>
      </c>
      <c r="AV488" s="60">
        <f t="shared" si="114"/>
        <v>0</v>
      </c>
      <c r="AW488" s="60">
        <f t="shared" si="115"/>
        <v>0</v>
      </c>
      <c r="AX488" s="60">
        <f t="shared" si="120"/>
        <v>0</v>
      </c>
      <c r="AY488" s="64">
        <f t="shared" si="121"/>
        <v>0</v>
      </c>
      <c r="AZ488" s="65">
        <f t="shared" si="123"/>
        <v>0</v>
      </c>
      <c r="BA488" s="65">
        <f t="shared" si="122"/>
        <v>0</v>
      </c>
    </row>
    <row r="489" spans="3:53" s="17" customFormat="1" x14ac:dyDescent="0.25">
      <c r="C489" s="194"/>
      <c r="D489" s="195"/>
      <c r="E489" s="90"/>
      <c r="F489" s="198"/>
      <c r="G489" s="214"/>
      <c r="H489" s="199"/>
      <c r="I489" s="78"/>
      <c r="J489" s="79"/>
      <c r="K489" s="78"/>
      <c r="L489" s="80"/>
      <c r="M489" s="80"/>
      <c r="N489" s="78" t="s">
        <v>39</v>
      </c>
      <c r="O489" s="113"/>
      <c r="P489" s="155"/>
      <c r="Q489" s="114" t="str">
        <f>IFERROR(MIN(VLOOKUP(ROUNDDOWN(P489,0),'Aide calcul'!$B$2:$C$282,2,FALSE),O489+1),"")</f>
        <v/>
      </c>
      <c r="R489" s="115" t="str">
        <f t="shared" si="116"/>
        <v/>
      </c>
      <c r="S489" s="155"/>
      <c r="T489" s="155"/>
      <c r="U489" s="155"/>
      <c r="V489" s="155"/>
      <c r="W489" s="155"/>
      <c r="X489" s="155"/>
      <c r="Y489" s="155"/>
      <c r="Z489" s="78"/>
      <c r="AA489" s="78"/>
      <c r="AB489" s="116" t="str">
        <f>IF(C489="3111. Logements",ROUND(VLOOKUP(C489,'Informations générales'!$C$66:$D$70,2,FALSE)*(AK489/$AL$27)/12,0)*12,IF(C489="3112. Logements",ROUND(VLOOKUP(C489,'Informations générales'!$C$66:$D$70,2,FALSE)*(AK489/$AM$27)/12,0)*12,IF(C489="3113. Logements",ROUND(VLOOKUP(C489,'Informations générales'!$C$66:$D$70,2,FALSE)*(AK489/$AN$27)/12,0)*12,IF(C489="3114. Logements",ROUND(VLOOKUP(C489,'Informations générales'!$C$66:$D$70,2,FALSE)*(AK489/$AO$27)/12,0)*12,IF(C489="3115. Logements",ROUND(VLOOKUP(C489,'Informations générales'!$C$66:$D$70,2,FALSE)*(AK489/$AP$27)/12,0)*12,"")))))</f>
        <v/>
      </c>
      <c r="AC489" s="117"/>
      <c r="AD489" s="116">
        <f t="shared" si="117"/>
        <v>0</v>
      </c>
      <c r="AE489" s="117"/>
      <c r="AF489" s="116" t="str">
        <f>IF(C489="3111. Logements",ROUND(VLOOKUP(C489,'Informations générales'!$C$66:$G$70,5,FALSE)*(AK489/$AL$27)/12,0)*12,IF(C489="3112. Logements",ROUND(VLOOKUP(C489,'Informations générales'!$C$66:$G$70,5,FALSE)*(AK489/$AM$27)/12,0)*12,IF(C489="3113. Logements",ROUND(VLOOKUP(C489,'Informations générales'!$C$66:$G$70,5,FALSE)*(AK489/$AN$27)/12,0)*12,IF(C489="3114. Logements",ROUND(VLOOKUP(C489,'Informations générales'!$C$66:$G$70,5,FALSE)*(AK489/$AO$27)/12,0)*12,IF(C489="3115. Logements",ROUND(VLOOKUP(C489,'Informations générales'!$C$66:$G$70,5,FALSE)*(AK489/$AP$27)/12,0)*12,"")))))</f>
        <v/>
      </c>
      <c r="AG489" s="117"/>
      <c r="AH489" s="116" t="str">
        <f t="shared" si="118"/>
        <v/>
      </c>
      <c r="AI489" s="92"/>
      <c r="AJ489" s="78"/>
      <c r="AK489" s="60">
        <f t="shared" si="119"/>
        <v>0</v>
      </c>
      <c r="AL489" s="60"/>
      <c r="AM489" s="60"/>
      <c r="AN489" s="60"/>
      <c r="AO489" s="60"/>
      <c r="AP489" s="60"/>
      <c r="AQ489" s="60">
        <f t="shared" si="109"/>
        <v>0</v>
      </c>
      <c r="AR489" s="60">
        <f t="shared" si="110"/>
        <v>0</v>
      </c>
      <c r="AS489" s="60">
        <f t="shared" si="111"/>
        <v>0</v>
      </c>
      <c r="AT489" s="60">
        <f t="shared" si="112"/>
        <v>0</v>
      </c>
      <c r="AU489" s="60">
        <f t="shared" si="113"/>
        <v>0</v>
      </c>
      <c r="AV489" s="60">
        <f t="shared" si="114"/>
        <v>0</v>
      </c>
      <c r="AW489" s="60">
        <f t="shared" si="115"/>
        <v>0</v>
      </c>
      <c r="AX489" s="60">
        <f t="shared" si="120"/>
        <v>0</v>
      </c>
      <c r="AY489" s="64">
        <f t="shared" si="121"/>
        <v>0</v>
      </c>
      <c r="AZ489" s="65">
        <f t="shared" si="123"/>
        <v>0</v>
      </c>
      <c r="BA489" s="65">
        <f t="shared" si="122"/>
        <v>0</v>
      </c>
    </row>
    <row r="490" spans="3:53" s="17" customFormat="1" x14ac:dyDescent="0.25">
      <c r="C490" s="194"/>
      <c r="D490" s="195"/>
      <c r="E490" s="90"/>
      <c r="F490" s="198"/>
      <c r="G490" s="214"/>
      <c r="H490" s="199"/>
      <c r="I490" s="78"/>
      <c r="J490" s="79"/>
      <c r="K490" s="78"/>
      <c r="L490" s="80"/>
      <c r="M490" s="80"/>
      <c r="N490" s="78" t="s">
        <v>39</v>
      </c>
      <c r="O490" s="113"/>
      <c r="P490" s="155"/>
      <c r="Q490" s="114" t="str">
        <f>IFERROR(MIN(VLOOKUP(ROUNDDOWN(P490,0),'Aide calcul'!$B$2:$C$282,2,FALSE),O490+1),"")</f>
        <v/>
      </c>
      <c r="R490" s="115" t="str">
        <f t="shared" si="116"/>
        <v/>
      </c>
      <c r="S490" s="155"/>
      <c r="T490" s="155"/>
      <c r="U490" s="155"/>
      <c r="V490" s="155"/>
      <c r="W490" s="155"/>
      <c r="X490" s="155"/>
      <c r="Y490" s="155"/>
      <c r="Z490" s="78"/>
      <c r="AA490" s="78"/>
      <c r="AB490" s="116" t="str">
        <f>IF(C490="3111. Logements",ROUND(VLOOKUP(C490,'Informations générales'!$C$66:$D$70,2,FALSE)*(AK490/$AL$27)/12,0)*12,IF(C490="3112. Logements",ROUND(VLOOKUP(C490,'Informations générales'!$C$66:$D$70,2,FALSE)*(AK490/$AM$27)/12,0)*12,IF(C490="3113. Logements",ROUND(VLOOKUP(C490,'Informations générales'!$C$66:$D$70,2,FALSE)*(AK490/$AN$27)/12,0)*12,IF(C490="3114. Logements",ROUND(VLOOKUP(C490,'Informations générales'!$C$66:$D$70,2,FALSE)*(AK490/$AO$27)/12,0)*12,IF(C490="3115. Logements",ROUND(VLOOKUP(C490,'Informations générales'!$C$66:$D$70,2,FALSE)*(AK490/$AP$27)/12,0)*12,"")))))</f>
        <v/>
      </c>
      <c r="AC490" s="117"/>
      <c r="AD490" s="116">
        <f t="shared" si="117"/>
        <v>0</v>
      </c>
      <c r="AE490" s="117"/>
      <c r="AF490" s="116" t="str">
        <f>IF(C490="3111. Logements",ROUND(VLOOKUP(C490,'Informations générales'!$C$66:$G$70,5,FALSE)*(AK490/$AL$27)/12,0)*12,IF(C490="3112. Logements",ROUND(VLOOKUP(C490,'Informations générales'!$C$66:$G$70,5,FALSE)*(AK490/$AM$27)/12,0)*12,IF(C490="3113. Logements",ROUND(VLOOKUP(C490,'Informations générales'!$C$66:$G$70,5,FALSE)*(AK490/$AN$27)/12,0)*12,IF(C490="3114. Logements",ROUND(VLOOKUP(C490,'Informations générales'!$C$66:$G$70,5,FALSE)*(AK490/$AO$27)/12,0)*12,IF(C490="3115. Logements",ROUND(VLOOKUP(C490,'Informations générales'!$C$66:$G$70,5,FALSE)*(AK490/$AP$27)/12,0)*12,"")))))</f>
        <v/>
      </c>
      <c r="AG490" s="117"/>
      <c r="AH490" s="116" t="str">
        <f t="shared" si="118"/>
        <v/>
      </c>
      <c r="AI490" s="92"/>
      <c r="AJ490" s="78"/>
      <c r="AK490" s="60">
        <f t="shared" si="119"/>
        <v>0</v>
      </c>
      <c r="AL490" s="60"/>
      <c r="AM490" s="60"/>
      <c r="AN490" s="60"/>
      <c r="AO490" s="60"/>
      <c r="AP490" s="60"/>
      <c r="AQ490" s="60">
        <f t="shared" si="109"/>
        <v>0</v>
      </c>
      <c r="AR490" s="60">
        <f t="shared" si="110"/>
        <v>0</v>
      </c>
      <c r="AS490" s="60">
        <f t="shared" si="111"/>
        <v>0</v>
      </c>
      <c r="AT490" s="60">
        <f t="shared" si="112"/>
        <v>0</v>
      </c>
      <c r="AU490" s="60">
        <f t="shared" si="113"/>
        <v>0</v>
      </c>
      <c r="AV490" s="60">
        <f t="shared" si="114"/>
        <v>0</v>
      </c>
      <c r="AW490" s="60">
        <f t="shared" si="115"/>
        <v>0</v>
      </c>
      <c r="AX490" s="60">
        <f t="shared" si="120"/>
        <v>0</v>
      </c>
      <c r="AY490" s="64">
        <f t="shared" si="121"/>
        <v>0</v>
      </c>
      <c r="AZ490" s="65">
        <f t="shared" si="123"/>
        <v>0</v>
      </c>
      <c r="BA490" s="65">
        <f t="shared" si="122"/>
        <v>0</v>
      </c>
    </row>
    <row r="491" spans="3:53" s="17" customFormat="1" x14ac:dyDescent="0.25">
      <c r="C491" s="194"/>
      <c r="D491" s="195"/>
      <c r="E491" s="90"/>
      <c r="F491" s="198"/>
      <c r="G491" s="214"/>
      <c r="H491" s="199"/>
      <c r="I491" s="78"/>
      <c r="J491" s="79"/>
      <c r="K491" s="78"/>
      <c r="L491" s="80"/>
      <c r="M491" s="80"/>
      <c r="N491" s="78" t="s">
        <v>39</v>
      </c>
      <c r="O491" s="113"/>
      <c r="P491" s="155"/>
      <c r="Q491" s="114" t="str">
        <f>IFERROR(MIN(VLOOKUP(ROUNDDOWN(P491,0),'Aide calcul'!$B$2:$C$282,2,FALSE),O491+1),"")</f>
        <v/>
      </c>
      <c r="R491" s="115" t="str">
        <f t="shared" si="116"/>
        <v/>
      </c>
      <c r="S491" s="155"/>
      <c r="T491" s="155"/>
      <c r="U491" s="155"/>
      <c r="V491" s="155"/>
      <c r="W491" s="155"/>
      <c r="X491" s="155"/>
      <c r="Y491" s="155"/>
      <c r="Z491" s="78"/>
      <c r="AA491" s="78"/>
      <c r="AB491" s="116" t="str">
        <f>IF(C491="3111. Logements",ROUND(VLOOKUP(C491,'Informations générales'!$C$66:$D$70,2,FALSE)*(AK491/$AL$27)/12,0)*12,IF(C491="3112. Logements",ROUND(VLOOKUP(C491,'Informations générales'!$C$66:$D$70,2,FALSE)*(AK491/$AM$27)/12,0)*12,IF(C491="3113. Logements",ROUND(VLOOKUP(C491,'Informations générales'!$C$66:$D$70,2,FALSE)*(AK491/$AN$27)/12,0)*12,IF(C491="3114. Logements",ROUND(VLOOKUP(C491,'Informations générales'!$C$66:$D$70,2,FALSE)*(AK491/$AO$27)/12,0)*12,IF(C491="3115. Logements",ROUND(VLOOKUP(C491,'Informations générales'!$C$66:$D$70,2,FALSE)*(AK491/$AP$27)/12,0)*12,"")))))</f>
        <v/>
      </c>
      <c r="AC491" s="117"/>
      <c r="AD491" s="116">
        <f t="shared" si="117"/>
        <v>0</v>
      </c>
      <c r="AE491" s="117"/>
      <c r="AF491" s="116" t="str">
        <f>IF(C491="3111. Logements",ROUND(VLOOKUP(C491,'Informations générales'!$C$66:$G$70,5,FALSE)*(AK491/$AL$27)/12,0)*12,IF(C491="3112. Logements",ROUND(VLOOKUP(C491,'Informations générales'!$C$66:$G$70,5,FALSE)*(AK491/$AM$27)/12,0)*12,IF(C491="3113. Logements",ROUND(VLOOKUP(C491,'Informations générales'!$C$66:$G$70,5,FALSE)*(AK491/$AN$27)/12,0)*12,IF(C491="3114. Logements",ROUND(VLOOKUP(C491,'Informations générales'!$C$66:$G$70,5,FALSE)*(AK491/$AO$27)/12,0)*12,IF(C491="3115. Logements",ROUND(VLOOKUP(C491,'Informations générales'!$C$66:$G$70,5,FALSE)*(AK491/$AP$27)/12,0)*12,"")))))</f>
        <v/>
      </c>
      <c r="AG491" s="117"/>
      <c r="AH491" s="116" t="str">
        <f t="shared" si="118"/>
        <v/>
      </c>
      <c r="AI491" s="92"/>
      <c r="AJ491" s="78"/>
      <c r="AK491" s="60">
        <f t="shared" si="119"/>
        <v>0</v>
      </c>
      <c r="AL491" s="60"/>
      <c r="AM491" s="60"/>
      <c r="AN491" s="60"/>
      <c r="AO491" s="60"/>
      <c r="AP491" s="60"/>
      <c r="AQ491" s="60">
        <f t="shared" si="109"/>
        <v>0</v>
      </c>
      <c r="AR491" s="60">
        <f t="shared" si="110"/>
        <v>0</v>
      </c>
      <c r="AS491" s="60">
        <f t="shared" si="111"/>
        <v>0</v>
      </c>
      <c r="AT491" s="60">
        <f t="shared" si="112"/>
        <v>0</v>
      </c>
      <c r="AU491" s="60">
        <f t="shared" si="113"/>
        <v>0</v>
      </c>
      <c r="AV491" s="60">
        <f t="shared" si="114"/>
        <v>0</v>
      </c>
      <c r="AW491" s="60">
        <f t="shared" si="115"/>
        <v>0</v>
      </c>
      <c r="AX491" s="60">
        <f t="shared" si="120"/>
        <v>0</v>
      </c>
      <c r="AY491" s="64">
        <f t="shared" si="121"/>
        <v>0</v>
      </c>
      <c r="AZ491" s="65">
        <f t="shared" si="123"/>
        <v>0</v>
      </c>
      <c r="BA491" s="65">
        <f t="shared" si="122"/>
        <v>0</v>
      </c>
    </row>
    <row r="492" spans="3:53" s="17" customFormat="1" x14ac:dyDescent="0.25">
      <c r="C492" s="194"/>
      <c r="D492" s="195"/>
      <c r="E492" s="90"/>
      <c r="F492" s="198"/>
      <c r="G492" s="214"/>
      <c r="H492" s="199"/>
      <c r="I492" s="78"/>
      <c r="J492" s="79"/>
      <c r="K492" s="78"/>
      <c r="L492" s="80"/>
      <c r="M492" s="80"/>
      <c r="N492" s="78" t="s">
        <v>39</v>
      </c>
      <c r="O492" s="113"/>
      <c r="P492" s="155"/>
      <c r="Q492" s="114" t="str">
        <f>IFERROR(MIN(VLOOKUP(ROUNDDOWN(P492,0),'Aide calcul'!$B$2:$C$282,2,FALSE),O492+1),"")</f>
        <v/>
      </c>
      <c r="R492" s="115" t="str">
        <f t="shared" si="116"/>
        <v/>
      </c>
      <c r="S492" s="155"/>
      <c r="T492" s="155"/>
      <c r="U492" s="155"/>
      <c r="V492" s="155"/>
      <c r="W492" s="155"/>
      <c r="X492" s="155"/>
      <c r="Y492" s="155"/>
      <c r="Z492" s="78"/>
      <c r="AA492" s="78"/>
      <c r="AB492" s="116" t="str">
        <f>IF(C492="3111. Logements",ROUND(VLOOKUP(C492,'Informations générales'!$C$66:$D$70,2,FALSE)*(AK492/$AL$27)/12,0)*12,IF(C492="3112. Logements",ROUND(VLOOKUP(C492,'Informations générales'!$C$66:$D$70,2,FALSE)*(AK492/$AM$27)/12,0)*12,IF(C492="3113. Logements",ROUND(VLOOKUP(C492,'Informations générales'!$C$66:$D$70,2,FALSE)*(AK492/$AN$27)/12,0)*12,IF(C492="3114. Logements",ROUND(VLOOKUP(C492,'Informations générales'!$C$66:$D$70,2,FALSE)*(AK492/$AO$27)/12,0)*12,IF(C492="3115. Logements",ROUND(VLOOKUP(C492,'Informations générales'!$C$66:$D$70,2,FALSE)*(AK492/$AP$27)/12,0)*12,"")))))</f>
        <v/>
      </c>
      <c r="AC492" s="117"/>
      <c r="AD492" s="116">
        <f t="shared" si="117"/>
        <v>0</v>
      </c>
      <c r="AE492" s="117"/>
      <c r="AF492" s="116" t="str">
        <f>IF(C492="3111. Logements",ROUND(VLOOKUP(C492,'Informations générales'!$C$66:$G$70,5,FALSE)*(AK492/$AL$27)/12,0)*12,IF(C492="3112. Logements",ROUND(VLOOKUP(C492,'Informations générales'!$C$66:$G$70,5,FALSE)*(AK492/$AM$27)/12,0)*12,IF(C492="3113. Logements",ROUND(VLOOKUP(C492,'Informations générales'!$C$66:$G$70,5,FALSE)*(AK492/$AN$27)/12,0)*12,IF(C492="3114. Logements",ROUND(VLOOKUP(C492,'Informations générales'!$C$66:$G$70,5,FALSE)*(AK492/$AO$27)/12,0)*12,IF(C492="3115. Logements",ROUND(VLOOKUP(C492,'Informations générales'!$C$66:$G$70,5,FALSE)*(AK492/$AP$27)/12,0)*12,"")))))</f>
        <v/>
      </c>
      <c r="AG492" s="117"/>
      <c r="AH492" s="116" t="str">
        <f t="shared" si="118"/>
        <v/>
      </c>
      <c r="AI492" s="92"/>
      <c r="AJ492" s="78"/>
      <c r="AK492" s="60">
        <f t="shared" si="119"/>
        <v>0</v>
      </c>
      <c r="AL492" s="60"/>
      <c r="AM492" s="60"/>
      <c r="AN492" s="60"/>
      <c r="AO492" s="60"/>
      <c r="AP492" s="60"/>
      <c r="AQ492" s="60">
        <f t="shared" si="109"/>
        <v>0</v>
      </c>
      <c r="AR492" s="60">
        <f t="shared" si="110"/>
        <v>0</v>
      </c>
      <c r="AS492" s="60">
        <f t="shared" si="111"/>
        <v>0</v>
      </c>
      <c r="AT492" s="60">
        <f t="shared" si="112"/>
        <v>0</v>
      </c>
      <c r="AU492" s="60">
        <f t="shared" si="113"/>
        <v>0</v>
      </c>
      <c r="AV492" s="60">
        <f t="shared" si="114"/>
        <v>0</v>
      </c>
      <c r="AW492" s="60">
        <f t="shared" si="115"/>
        <v>0</v>
      </c>
      <c r="AX492" s="60">
        <f t="shared" si="120"/>
        <v>0</v>
      </c>
      <c r="AY492" s="64">
        <f t="shared" si="121"/>
        <v>0</v>
      </c>
      <c r="AZ492" s="65">
        <f t="shared" si="123"/>
        <v>0</v>
      </c>
      <c r="BA492" s="65">
        <f t="shared" si="122"/>
        <v>0</v>
      </c>
    </row>
    <row r="493" spans="3:53" s="17" customFormat="1" x14ac:dyDescent="0.25">
      <c r="C493" s="194"/>
      <c r="D493" s="195"/>
      <c r="E493" s="90"/>
      <c r="F493" s="198"/>
      <c r="G493" s="214"/>
      <c r="H493" s="199"/>
      <c r="I493" s="78"/>
      <c r="J493" s="79"/>
      <c r="K493" s="78"/>
      <c r="L493" s="80"/>
      <c r="M493" s="80"/>
      <c r="N493" s="78" t="s">
        <v>39</v>
      </c>
      <c r="O493" s="113"/>
      <c r="P493" s="155"/>
      <c r="Q493" s="114" t="str">
        <f>IFERROR(MIN(VLOOKUP(ROUNDDOWN(P493,0),'Aide calcul'!$B$2:$C$282,2,FALSE),O493+1),"")</f>
        <v/>
      </c>
      <c r="R493" s="115" t="str">
        <f t="shared" si="116"/>
        <v/>
      </c>
      <c r="S493" s="155"/>
      <c r="T493" s="155"/>
      <c r="U493" s="155"/>
      <c r="V493" s="155"/>
      <c r="W493" s="155"/>
      <c r="X493" s="155"/>
      <c r="Y493" s="155"/>
      <c r="Z493" s="78"/>
      <c r="AA493" s="78"/>
      <c r="AB493" s="116" t="str">
        <f>IF(C493="3111. Logements",ROUND(VLOOKUP(C493,'Informations générales'!$C$66:$D$70,2,FALSE)*(AK493/$AL$27)/12,0)*12,IF(C493="3112. Logements",ROUND(VLOOKUP(C493,'Informations générales'!$C$66:$D$70,2,FALSE)*(AK493/$AM$27)/12,0)*12,IF(C493="3113. Logements",ROUND(VLOOKUP(C493,'Informations générales'!$C$66:$D$70,2,FALSE)*(AK493/$AN$27)/12,0)*12,IF(C493="3114. Logements",ROUND(VLOOKUP(C493,'Informations générales'!$C$66:$D$70,2,FALSE)*(AK493/$AO$27)/12,0)*12,IF(C493="3115. Logements",ROUND(VLOOKUP(C493,'Informations générales'!$C$66:$D$70,2,FALSE)*(AK493/$AP$27)/12,0)*12,"")))))</f>
        <v/>
      </c>
      <c r="AC493" s="117"/>
      <c r="AD493" s="116">
        <f t="shared" si="117"/>
        <v>0</v>
      </c>
      <c r="AE493" s="117"/>
      <c r="AF493" s="116" t="str">
        <f>IF(C493="3111. Logements",ROUND(VLOOKUP(C493,'Informations générales'!$C$66:$G$70,5,FALSE)*(AK493/$AL$27)/12,0)*12,IF(C493="3112. Logements",ROUND(VLOOKUP(C493,'Informations générales'!$C$66:$G$70,5,FALSE)*(AK493/$AM$27)/12,0)*12,IF(C493="3113. Logements",ROUND(VLOOKUP(C493,'Informations générales'!$C$66:$G$70,5,FALSE)*(AK493/$AN$27)/12,0)*12,IF(C493="3114. Logements",ROUND(VLOOKUP(C493,'Informations générales'!$C$66:$G$70,5,FALSE)*(AK493/$AO$27)/12,0)*12,IF(C493="3115. Logements",ROUND(VLOOKUP(C493,'Informations générales'!$C$66:$G$70,5,FALSE)*(AK493/$AP$27)/12,0)*12,"")))))</f>
        <v/>
      </c>
      <c r="AG493" s="117"/>
      <c r="AH493" s="116" t="str">
        <f t="shared" si="118"/>
        <v/>
      </c>
      <c r="AI493" s="92"/>
      <c r="AJ493" s="78"/>
      <c r="AK493" s="60">
        <f t="shared" si="119"/>
        <v>0</v>
      </c>
      <c r="AL493" s="60"/>
      <c r="AM493" s="60"/>
      <c r="AN493" s="60"/>
      <c r="AO493" s="60"/>
      <c r="AP493" s="60"/>
      <c r="AQ493" s="60">
        <f t="shared" si="109"/>
        <v>0</v>
      </c>
      <c r="AR493" s="60">
        <f t="shared" si="110"/>
        <v>0</v>
      </c>
      <c r="AS493" s="60">
        <f t="shared" si="111"/>
        <v>0</v>
      </c>
      <c r="AT493" s="60">
        <f t="shared" si="112"/>
        <v>0</v>
      </c>
      <c r="AU493" s="60">
        <f t="shared" si="113"/>
        <v>0</v>
      </c>
      <c r="AV493" s="60">
        <f t="shared" si="114"/>
        <v>0</v>
      </c>
      <c r="AW493" s="60">
        <f t="shared" si="115"/>
        <v>0</v>
      </c>
      <c r="AX493" s="60">
        <f t="shared" si="120"/>
        <v>0</v>
      </c>
      <c r="AY493" s="64">
        <f t="shared" si="121"/>
        <v>0</v>
      </c>
      <c r="AZ493" s="65">
        <f t="shared" si="123"/>
        <v>0</v>
      </c>
      <c r="BA493" s="65">
        <f t="shared" si="122"/>
        <v>0</v>
      </c>
    </row>
    <row r="494" spans="3:53" s="17" customFormat="1" x14ac:dyDescent="0.25">
      <c r="C494" s="194"/>
      <c r="D494" s="195"/>
      <c r="E494" s="90"/>
      <c r="F494" s="198"/>
      <c r="G494" s="214"/>
      <c r="H494" s="199"/>
      <c r="I494" s="78"/>
      <c r="J494" s="79"/>
      <c r="K494" s="78"/>
      <c r="L494" s="80"/>
      <c r="M494" s="80"/>
      <c r="N494" s="78" t="s">
        <v>39</v>
      </c>
      <c r="O494" s="113"/>
      <c r="P494" s="155"/>
      <c r="Q494" s="114" t="str">
        <f>IFERROR(MIN(VLOOKUP(ROUNDDOWN(P494,0),'Aide calcul'!$B$2:$C$282,2,FALSE),O494+1),"")</f>
        <v/>
      </c>
      <c r="R494" s="115" t="str">
        <f t="shared" si="116"/>
        <v/>
      </c>
      <c r="S494" s="155"/>
      <c r="T494" s="155"/>
      <c r="U494" s="155"/>
      <c r="V494" s="155"/>
      <c r="W494" s="155"/>
      <c r="X494" s="155"/>
      <c r="Y494" s="155"/>
      <c r="Z494" s="78"/>
      <c r="AA494" s="78"/>
      <c r="AB494" s="116" t="str">
        <f>IF(C494="3111. Logements",ROUND(VLOOKUP(C494,'Informations générales'!$C$66:$D$70,2,FALSE)*(AK494/$AL$27)/12,0)*12,IF(C494="3112. Logements",ROUND(VLOOKUP(C494,'Informations générales'!$C$66:$D$70,2,FALSE)*(AK494/$AM$27)/12,0)*12,IF(C494="3113. Logements",ROUND(VLOOKUP(C494,'Informations générales'!$C$66:$D$70,2,FALSE)*(AK494/$AN$27)/12,0)*12,IF(C494="3114. Logements",ROUND(VLOOKUP(C494,'Informations générales'!$C$66:$D$70,2,FALSE)*(AK494/$AO$27)/12,0)*12,IF(C494="3115. Logements",ROUND(VLOOKUP(C494,'Informations générales'!$C$66:$D$70,2,FALSE)*(AK494/$AP$27)/12,0)*12,"")))))</f>
        <v/>
      </c>
      <c r="AC494" s="117"/>
      <c r="AD494" s="116">
        <f t="shared" si="117"/>
        <v>0</v>
      </c>
      <c r="AE494" s="117"/>
      <c r="AF494" s="116" t="str">
        <f>IF(C494="3111. Logements",ROUND(VLOOKUP(C494,'Informations générales'!$C$66:$G$70,5,FALSE)*(AK494/$AL$27)/12,0)*12,IF(C494="3112. Logements",ROUND(VLOOKUP(C494,'Informations générales'!$C$66:$G$70,5,FALSE)*(AK494/$AM$27)/12,0)*12,IF(C494="3113. Logements",ROUND(VLOOKUP(C494,'Informations générales'!$C$66:$G$70,5,FALSE)*(AK494/$AN$27)/12,0)*12,IF(C494="3114. Logements",ROUND(VLOOKUP(C494,'Informations générales'!$C$66:$G$70,5,FALSE)*(AK494/$AO$27)/12,0)*12,IF(C494="3115. Logements",ROUND(VLOOKUP(C494,'Informations générales'!$C$66:$G$70,5,FALSE)*(AK494/$AP$27)/12,0)*12,"")))))</f>
        <v/>
      </c>
      <c r="AG494" s="117"/>
      <c r="AH494" s="116" t="str">
        <f t="shared" si="118"/>
        <v/>
      </c>
      <c r="AI494" s="92"/>
      <c r="AJ494" s="78"/>
      <c r="AK494" s="60">
        <f t="shared" si="119"/>
        <v>0</v>
      </c>
      <c r="AL494" s="60"/>
      <c r="AM494" s="60"/>
      <c r="AN494" s="60"/>
      <c r="AO494" s="60"/>
      <c r="AP494" s="60"/>
      <c r="AQ494" s="60">
        <f t="shared" si="109"/>
        <v>0</v>
      </c>
      <c r="AR494" s="60">
        <f t="shared" si="110"/>
        <v>0</v>
      </c>
      <c r="AS494" s="60">
        <f t="shared" si="111"/>
        <v>0</v>
      </c>
      <c r="AT494" s="60">
        <f t="shared" si="112"/>
        <v>0</v>
      </c>
      <c r="AU494" s="60">
        <f t="shared" si="113"/>
        <v>0</v>
      </c>
      <c r="AV494" s="60">
        <f t="shared" si="114"/>
        <v>0</v>
      </c>
      <c r="AW494" s="60">
        <f t="shared" si="115"/>
        <v>0</v>
      </c>
      <c r="AX494" s="60">
        <f t="shared" si="120"/>
        <v>0</v>
      </c>
      <c r="AY494" s="64">
        <f t="shared" si="121"/>
        <v>0</v>
      </c>
      <c r="AZ494" s="65">
        <f t="shared" si="123"/>
        <v>0</v>
      </c>
      <c r="BA494" s="65">
        <f t="shared" si="122"/>
        <v>0</v>
      </c>
    </row>
    <row r="495" spans="3:53" s="17" customFormat="1" x14ac:dyDescent="0.25">
      <c r="C495" s="194"/>
      <c r="D495" s="195"/>
      <c r="E495" s="90"/>
      <c r="F495" s="198"/>
      <c r="G495" s="214"/>
      <c r="H495" s="199"/>
      <c r="I495" s="78"/>
      <c r="J495" s="79"/>
      <c r="K495" s="78"/>
      <c r="L495" s="80"/>
      <c r="M495" s="80"/>
      <c r="N495" s="78" t="s">
        <v>39</v>
      </c>
      <c r="O495" s="113"/>
      <c r="P495" s="155"/>
      <c r="Q495" s="114" t="str">
        <f>IFERROR(MIN(VLOOKUP(ROUNDDOWN(P495,0),'Aide calcul'!$B$2:$C$282,2,FALSE),O495+1),"")</f>
        <v/>
      </c>
      <c r="R495" s="115" t="str">
        <f t="shared" si="116"/>
        <v/>
      </c>
      <c r="S495" s="155"/>
      <c r="T495" s="155"/>
      <c r="U495" s="155"/>
      <c r="V495" s="155"/>
      <c r="W495" s="155"/>
      <c r="X495" s="155"/>
      <c r="Y495" s="155"/>
      <c r="Z495" s="78"/>
      <c r="AA495" s="78"/>
      <c r="AB495" s="116" t="str">
        <f>IF(C495="3111. Logements",ROUND(VLOOKUP(C495,'Informations générales'!$C$66:$D$70,2,FALSE)*(AK495/$AL$27)/12,0)*12,IF(C495="3112. Logements",ROUND(VLOOKUP(C495,'Informations générales'!$C$66:$D$70,2,FALSE)*(AK495/$AM$27)/12,0)*12,IF(C495="3113. Logements",ROUND(VLOOKUP(C495,'Informations générales'!$C$66:$D$70,2,FALSE)*(AK495/$AN$27)/12,0)*12,IF(C495="3114. Logements",ROUND(VLOOKUP(C495,'Informations générales'!$C$66:$D$70,2,FALSE)*(AK495/$AO$27)/12,0)*12,IF(C495="3115. Logements",ROUND(VLOOKUP(C495,'Informations générales'!$C$66:$D$70,2,FALSE)*(AK495/$AP$27)/12,0)*12,"")))))</f>
        <v/>
      </c>
      <c r="AC495" s="117"/>
      <c r="AD495" s="116">
        <f t="shared" si="117"/>
        <v>0</v>
      </c>
      <c r="AE495" s="117"/>
      <c r="AF495" s="116" t="str">
        <f>IF(C495="3111. Logements",ROUND(VLOOKUP(C495,'Informations générales'!$C$66:$G$70,5,FALSE)*(AK495/$AL$27)/12,0)*12,IF(C495="3112. Logements",ROUND(VLOOKUP(C495,'Informations générales'!$C$66:$G$70,5,FALSE)*(AK495/$AM$27)/12,0)*12,IF(C495="3113. Logements",ROUND(VLOOKUP(C495,'Informations générales'!$C$66:$G$70,5,FALSE)*(AK495/$AN$27)/12,0)*12,IF(C495="3114. Logements",ROUND(VLOOKUP(C495,'Informations générales'!$C$66:$G$70,5,FALSE)*(AK495/$AO$27)/12,0)*12,IF(C495="3115. Logements",ROUND(VLOOKUP(C495,'Informations générales'!$C$66:$G$70,5,FALSE)*(AK495/$AP$27)/12,0)*12,"")))))</f>
        <v/>
      </c>
      <c r="AG495" s="117"/>
      <c r="AH495" s="116" t="str">
        <f t="shared" si="118"/>
        <v/>
      </c>
      <c r="AI495" s="92"/>
      <c r="AJ495" s="78"/>
      <c r="AK495" s="60">
        <f t="shared" si="119"/>
        <v>0</v>
      </c>
      <c r="AL495" s="60"/>
      <c r="AM495" s="60"/>
      <c r="AN495" s="60"/>
      <c r="AO495" s="60"/>
      <c r="AP495" s="60"/>
      <c r="AQ495" s="60">
        <f t="shared" si="109"/>
        <v>0</v>
      </c>
      <c r="AR495" s="60">
        <f t="shared" si="110"/>
        <v>0</v>
      </c>
      <c r="AS495" s="60">
        <f t="shared" si="111"/>
        <v>0</v>
      </c>
      <c r="AT495" s="60">
        <f t="shared" si="112"/>
        <v>0</v>
      </c>
      <c r="AU495" s="60">
        <f t="shared" si="113"/>
        <v>0</v>
      </c>
      <c r="AV495" s="60">
        <f t="shared" si="114"/>
        <v>0</v>
      </c>
      <c r="AW495" s="60">
        <f t="shared" si="115"/>
        <v>0</v>
      </c>
      <c r="AX495" s="60">
        <f t="shared" si="120"/>
        <v>0</v>
      </c>
      <c r="AY495" s="64">
        <f t="shared" si="121"/>
        <v>0</v>
      </c>
      <c r="AZ495" s="65">
        <f t="shared" ref="AZ495:AZ526" si="124">IFERROR(VLOOKUP(Z495,$H$12:$I$22,2,FALSE),0)</f>
        <v>0</v>
      </c>
      <c r="BA495" s="65">
        <f t="shared" si="122"/>
        <v>0</v>
      </c>
    </row>
    <row r="496" spans="3:53" s="17" customFormat="1" x14ac:dyDescent="0.25">
      <c r="C496" s="194"/>
      <c r="D496" s="195"/>
      <c r="E496" s="90"/>
      <c r="F496" s="198"/>
      <c r="G496" s="214"/>
      <c r="H496" s="199"/>
      <c r="I496" s="78"/>
      <c r="J496" s="79"/>
      <c r="K496" s="78"/>
      <c r="L496" s="80"/>
      <c r="M496" s="80"/>
      <c r="N496" s="78" t="s">
        <v>39</v>
      </c>
      <c r="O496" s="113"/>
      <c r="P496" s="155"/>
      <c r="Q496" s="114" t="str">
        <f>IFERROR(MIN(VLOOKUP(ROUNDDOWN(P496,0),'Aide calcul'!$B$2:$C$282,2,FALSE),O496+1),"")</f>
        <v/>
      </c>
      <c r="R496" s="115" t="str">
        <f t="shared" si="116"/>
        <v/>
      </c>
      <c r="S496" s="155"/>
      <c r="T496" s="155"/>
      <c r="U496" s="155"/>
      <c r="V496" s="155"/>
      <c r="W496" s="155"/>
      <c r="X496" s="155"/>
      <c r="Y496" s="155"/>
      <c r="Z496" s="78"/>
      <c r="AA496" s="78"/>
      <c r="AB496" s="116" t="str">
        <f>IF(C496="3111. Logements",ROUND(VLOOKUP(C496,'Informations générales'!$C$66:$D$70,2,FALSE)*(AK496/$AL$27)/12,0)*12,IF(C496="3112. Logements",ROUND(VLOOKUP(C496,'Informations générales'!$C$66:$D$70,2,FALSE)*(AK496/$AM$27)/12,0)*12,IF(C496="3113. Logements",ROUND(VLOOKUP(C496,'Informations générales'!$C$66:$D$70,2,FALSE)*(AK496/$AN$27)/12,0)*12,IF(C496="3114. Logements",ROUND(VLOOKUP(C496,'Informations générales'!$C$66:$D$70,2,FALSE)*(AK496/$AO$27)/12,0)*12,IF(C496="3115. Logements",ROUND(VLOOKUP(C496,'Informations générales'!$C$66:$D$70,2,FALSE)*(AK496/$AP$27)/12,0)*12,"")))))</f>
        <v/>
      </c>
      <c r="AC496" s="117"/>
      <c r="AD496" s="116">
        <f t="shared" si="117"/>
        <v>0</v>
      </c>
      <c r="AE496" s="117"/>
      <c r="AF496" s="116" t="str">
        <f>IF(C496="3111. Logements",ROUND(VLOOKUP(C496,'Informations générales'!$C$66:$G$70,5,FALSE)*(AK496/$AL$27)/12,0)*12,IF(C496="3112. Logements",ROUND(VLOOKUP(C496,'Informations générales'!$C$66:$G$70,5,FALSE)*(AK496/$AM$27)/12,0)*12,IF(C496="3113. Logements",ROUND(VLOOKUP(C496,'Informations générales'!$C$66:$G$70,5,FALSE)*(AK496/$AN$27)/12,0)*12,IF(C496="3114. Logements",ROUND(VLOOKUP(C496,'Informations générales'!$C$66:$G$70,5,FALSE)*(AK496/$AO$27)/12,0)*12,IF(C496="3115. Logements",ROUND(VLOOKUP(C496,'Informations générales'!$C$66:$G$70,5,FALSE)*(AK496/$AP$27)/12,0)*12,"")))))</f>
        <v/>
      </c>
      <c r="AG496" s="117"/>
      <c r="AH496" s="116" t="str">
        <f t="shared" si="118"/>
        <v/>
      </c>
      <c r="AI496" s="92"/>
      <c r="AJ496" s="78"/>
      <c r="AK496" s="60">
        <f t="shared" si="119"/>
        <v>0</v>
      </c>
      <c r="AL496" s="60"/>
      <c r="AM496" s="60"/>
      <c r="AN496" s="60"/>
      <c r="AO496" s="60"/>
      <c r="AP496" s="60"/>
      <c r="AQ496" s="60">
        <f t="shared" si="109"/>
        <v>0</v>
      </c>
      <c r="AR496" s="60">
        <f t="shared" si="110"/>
        <v>0</v>
      </c>
      <c r="AS496" s="60">
        <f t="shared" si="111"/>
        <v>0</v>
      </c>
      <c r="AT496" s="60">
        <f t="shared" si="112"/>
        <v>0</v>
      </c>
      <c r="AU496" s="60">
        <f t="shared" si="113"/>
        <v>0</v>
      </c>
      <c r="AV496" s="60">
        <f t="shared" si="114"/>
        <v>0</v>
      </c>
      <c r="AW496" s="60">
        <f t="shared" si="115"/>
        <v>0</v>
      </c>
      <c r="AX496" s="60">
        <f t="shared" si="120"/>
        <v>0</v>
      </c>
      <c r="AY496" s="64">
        <f t="shared" si="121"/>
        <v>0</v>
      </c>
      <c r="AZ496" s="65">
        <f t="shared" si="124"/>
        <v>0</v>
      </c>
      <c r="BA496" s="65">
        <f t="shared" si="122"/>
        <v>0</v>
      </c>
    </row>
    <row r="497" spans="3:53" s="17" customFormat="1" x14ac:dyDescent="0.25">
      <c r="C497" s="194"/>
      <c r="D497" s="195"/>
      <c r="E497" s="90"/>
      <c r="F497" s="198"/>
      <c r="G497" s="214"/>
      <c r="H497" s="199"/>
      <c r="I497" s="78"/>
      <c r="J497" s="79"/>
      <c r="K497" s="78"/>
      <c r="L497" s="80"/>
      <c r="M497" s="80"/>
      <c r="N497" s="78" t="s">
        <v>39</v>
      </c>
      <c r="O497" s="113"/>
      <c r="P497" s="155"/>
      <c r="Q497" s="114" t="str">
        <f>IFERROR(MIN(VLOOKUP(ROUNDDOWN(P497,0),'Aide calcul'!$B$2:$C$282,2,FALSE),O497+1),"")</f>
        <v/>
      </c>
      <c r="R497" s="115" t="str">
        <f t="shared" si="116"/>
        <v/>
      </c>
      <c r="S497" s="155"/>
      <c r="T497" s="155"/>
      <c r="U497" s="155"/>
      <c r="V497" s="155"/>
      <c r="W497" s="155"/>
      <c r="X497" s="155"/>
      <c r="Y497" s="155"/>
      <c r="Z497" s="78"/>
      <c r="AA497" s="78"/>
      <c r="AB497" s="116" t="str">
        <f>IF(C497="3111. Logements",ROUND(VLOOKUP(C497,'Informations générales'!$C$66:$D$70,2,FALSE)*(AK497/$AL$27)/12,0)*12,IF(C497="3112. Logements",ROUND(VLOOKUP(C497,'Informations générales'!$C$66:$D$70,2,FALSE)*(AK497/$AM$27)/12,0)*12,IF(C497="3113. Logements",ROUND(VLOOKUP(C497,'Informations générales'!$C$66:$D$70,2,FALSE)*(AK497/$AN$27)/12,0)*12,IF(C497="3114. Logements",ROUND(VLOOKUP(C497,'Informations générales'!$C$66:$D$70,2,FALSE)*(AK497/$AO$27)/12,0)*12,IF(C497="3115. Logements",ROUND(VLOOKUP(C497,'Informations générales'!$C$66:$D$70,2,FALSE)*(AK497/$AP$27)/12,0)*12,"")))))</f>
        <v/>
      </c>
      <c r="AC497" s="117"/>
      <c r="AD497" s="116">
        <f t="shared" si="117"/>
        <v>0</v>
      </c>
      <c r="AE497" s="117"/>
      <c r="AF497" s="116" t="str">
        <f>IF(C497="3111. Logements",ROUND(VLOOKUP(C497,'Informations générales'!$C$66:$G$70,5,FALSE)*(AK497/$AL$27)/12,0)*12,IF(C497="3112. Logements",ROUND(VLOOKUP(C497,'Informations générales'!$C$66:$G$70,5,FALSE)*(AK497/$AM$27)/12,0)*12,IF(C497="3113. Logements",ROUND(VLOOKUP(C497,'Informations générales'!$C$66:$G$70,5,FALSE)*(AK497/$AN$27)/12,0)*12,IF(C497="3114. Logements",ROUND(VLOOKUP(C497,'Informations générales'!$C$66:$G$70,5,FALSE)*(AK497/$AO$27)/12,0)*12,IF(C497="3115. Logements",ROUND(VLOOKUP(C497,'Informations générales'!$C$66:$G$70,5,FALSE)*(AK497/$AP$27)/12,0)*12,"")))))</f>
        <v/>
      </c>
      <c r="AG497" s="117"/>
      <c r="AH497" s="116" t="str">
        <f t="shared" si="118"/>
        <v/>
      </c>
      <c r="AI497" s="92"/>
      <c r="AJ497" s="78"/>
      <c r="AK497" s="60">
        <f t="shared" si="119"/>
        <v>0</v>
      </c>
      <c r="AL497" s="60"/>
      <c r="AM497" s="60"/>
      <c r="AN497" s="60"/>
      <c r="AO497" s="60"/>
      <c r="AP497" s="60"/>
      <c r="AQ497" s="60">
        <f t="shared" si="109"/>
        <v>0</v>
      </c>
      <c r="AR497" s="60">
        <f t="shared" si="110"/>
        <v>0</v>
      </c>
      <c r="AS497" s="60">
        <f t="shared" si="111"/>
        <v>0</v>
      </c>
      <c r="AT497" s="60">
        <f t="shared" si="112"/>
        <v>0</v>
      </c>
      <c r="AU497" s="60">
        <f t="shared" si="113"/>
        <v>0</v>
      </c>
      <c r="AV497" s="60">
        <f t="shared" si="114"/>
        <v>0</v>
      </c>
      <c r="AW497" s="60">
        <f t="shared" si="115"/>
        <v>0</v>
      </c>
      <c r="AX497" s="60">
        <f t="shared" si="120"/>
        <v>0</v>
      </c>
      <c r="AY497" s="64">
        <f t="shared" si="121"/>
        <v>0</v>
      </c>
      <c r="AZ497" s="65">
        <f t="shared" si="124"/>
        <v>0</v>
      </c>
      <c r="BA497" s="65">
        <f t="shared" si="122"/>
        <v>0</v>
      </c>
    </row>
    <row r="498" spans="3:53" s="17" customFormat="1" x14ac:dyDescent="0.25">
      <c r="C498" s="194"/>
      <c r="D498" s="195"/>
      <c r="E498" s="90"/>
      <c r="F498" s="198"/>
      <c r="G498" s="214"/>
      <c r="H498" s="199"/>
      <c r="I498" s="78"/>
      <c r="J498" s="79"/>
      <c r="K498" s="78"/>
      <c r="L498" s="80"/>
      <c r="M498" s="80"/>
      <c r="N498" s="78" t="s">
        <v>39</v>
      </c>
      <c r="O498" s="113"/>
      <c r="P498" s="155"/>
      <c r="Q498" s="114" t="str">
        <f>IFERROR(MIN(VLOOKUP(ROUNDDOWN(P498,0),'Aide calcul'!$B$2:$C$282,2,FALSE),O498+1),"")</f>
        <v/>
      </c>
      <c r="R498" s="115" t="str">
        <f t="shared" si="116"/>
        <v/>
      </c>
      <c r="S498" s="155"/>
      <c r="T498" s="155"/>
      <c r="U498" s="155"/>
      <c r="V498" s="155"/>
      <c r="W498" s="155"/>
      <c r="X498" s="155"/>
      <c r="Y498" s="155"/>
      <c r="Z498" s="78"/>
      <c r="AA498" s="78"/>
      <c r="AB498" s="116" t="str">
        <f>IF(C498="3111. Logements",ROUND(VLOOKUP(C498,'Informations générales'!$C$66:$D$70,2,FALSE)*(AK498/$AL$27)/12,0)*12,IF(C498="3112. Logements",ROUND(VLOOKUP(C498,'Informations générales'!$C$66:$D$70,2,FALSE)*(AK498/$AM$27)/12,0)*12,IF(C498="3113. Logements",ROUND(VLOOKUP(C498,'Informations générales'!$C$66:$D$70,2,FALSE)*(AK498/$AN$27)/12,0)*12,IF(C498="3114. Logements",ROUND(VLOOKUP(C498,'Informations générales'!$C$66:$D$70,2,FALSE)*(AK498/$AO$27)/12,0)*12,IF(C498="3115. Logements",ROUND(VLOOKUP(C498,'Informations générales'!$C$66:$D$70,2,FALSE)*(AK498/$AP$27)/12,0)*12,"")))))</f>
        <v/>
      </c>
      <c r="AC498" s="117"/>
      <c r="AD498" s="116">
        <f t="shared" si="117"/>
        <v>0</v>
      </c>
      <c r="AE498" s="117"/>
      <c r="AF498" s="116" t="str">
        <f>IF(C498="3111. Logements",ROUND(VLOOKUP(C498,'Informations générales'!$C$66:$G$70,5,FALSE)*(AK498/$AL$27)/12,0)*12,IF(C498="3112. Logements",ROUND(VLOOKUP(C498,'Informations générales'!$C$66:$G$70,5,FALSE)*(AK498/$AM$27)/12,0)*12,IF(C498="3113. Logements",ROUND(VLOOKUP(C498,'Informations générales'!$C$66:$G$70,5,FALSE)*(AK498/$AN$27)/12,0)*12,IF(C498="3114. Logements",ROUND(VLOOKUP(C498,'Informations générales'!$C$66:$G$70,5,FALSE)*(AK498/$AO$27)/12,0)*12,IF(C498="3115. Logements",ROUND(VLOOKUP(C498,'Informations générales'!$C$66:$G$70,5,FALSE)*(AK498/$AP$27)/12,0)*12,"")))))</f>
        <v/>
      </c>
      <c r="AG498" s="117"/>
      <c r="AH498" s="116" t="str">
        <f t="shared" si="118"/>
        <v/>
      </c>
      <c r="AI498" s="92"/>
      <c r="AJ498" s="78"/>
      <c r="AK498" s="60">
        <f t="shared" si="119"/>
        <v>0</v>
      </c>
      <c r="AL498" s="60"/>
      <c r="AM498" s="60"/>
      <c r="AN498" s="60"/>
      <c r="AO498" s="60"/>
      <c r="AP498" s="60"/>
      <c r="AQ498" s="60">
        <f t="shared" si="109"/>
        <v>0</v>
      </c>
      <c r="AR498" s="60">
        <f t="shared" si="110"/>
        <v>0</v>
      </c>
      <c r="AS498" s="60">
        <f t="shared" si="111"/>
        <v>0</v>
      </c>
      <c r="AT498" s="60">
        <f t="shared" si="112"/>
        <v>0</v>
      </c>
      <c r="AU498" s="60">
        <f t="shared" si="113"/>
        <v>0</v>
      </c>
      <c r="AV498" s="60">
        <f t="shared" si="114"/>
        <v>0</v>
      </c>
      <c r="AW498" s="60">
        <f t="shared" si="115"/>
        <v>0</v>
      </c>
      <c r="AX498" s="60">
        <f t="shared" si="120"/>
        <v>0</v>
      </c>
      <c r="AY498" s="64">
        <f t="shared" si="121"/>
        <v>0</v>
      </c>
      <c r="AZ498" s="65">
        <f t="shared" si="124"/>
        <v>0</v>
      </c>
      <c r="BA498" s="65">
        <f t="shared" si="122"/>
        <v>0</v>
      </c>
    </row>
    <row r="499" spans="3:53" s="17" customFormat="1" x14ac:dyDescent="0.25">
      <c r="C499" s="194"/>
      <c r="D499" s="195"/>
      <c r="E499" s="90"/>
      <c r="F499" s="198"/>
      <c r="G499" s="214"/>
      <c r="H499" s="199"/>
      <c r="I499" s="78"/>
      <c r="J499" s="79"/>
      <c r="K499" s="78"/>
      <c r="L499" s="80"/>
      <c r="M499" s="80"/>
      <c r="N499" s="78" t="s">
        <v>39</v>
      </c>
      <c r="O499" s="113"/>
      <c r="P499" s="155"/>
      <c r="Q499" s="114" t="str">
        <f>IFERROR(MIN(VLOOKUP(ROUNDDOWN(P499,0),'Aide calcul'!$B$2:$C$282,2,FALSE),O499+1),"")</f>
        <v/>
      </c>
      <c r="R499" s="115" t="str">
        <f t="shared" si="116"/>
        <v/>
      </c>
      <c r="S499" s="155"/>
      <c r="T499" s="155"/>
      <c r="U499" s="155"/>
      <c r="V499" s="155"/>
      <c r="W499" s="155"/>
      <c r="X499" s="155"/>
      <c r="Y499" s="155"/>
      <c r="Z499" s="78"/>
      <c r="AA499" s="78"/>
      <c r="AB499" s="116" t="str">
        <f>IF(C499="3111. Logements",ROUND(VLOOKUP(C499,'Informations générales'!$C$66:$D$70,2,FALSE)*(AK499/$AL$27)/12,0)*12,IF(C499="3112. Logements",ROUND(VLOOKUP(C499,'Informations générales'!$C$66:$D$70,2,FALSE)*(AK499/$AM$27)/12,0)*12,IF(C499="3113. Logements",ROUND(VLOOKUP(C499,'Informations générales'!$C$66:$D$70,2,FALSE)*(AK499/$AN$27)/12,0)*12,IF(C499="3114. Logements",ROUND(VLOOKUP(C499,'Informations générales'!$C$66:$D$70,2,FALSE)*(AK499/$AO$27)/12,0)*12,IF(C499="3115. Logements",ROUND(VLOOKUP(C499,'Informations générales'!$C$66:$D$70,2,FALSE)*(AK499/$AP$27)/12,0)*12,"")))))</f>
        <v/>
      </c>
      <c r="AC499" s="117"/>
      <c r="AD499" s="116">
        <f t="shared" si="117"/>
        <v>0</v>
      </c>
      <c r="AE499" s="117"/>
      <c r="AF499" s="116" t="str">
        <f>IF(C499="3111. Logements",ROUND(VLOOKUP(C499,'Informations générales'!$C$66:$G$70,5,FALSE)*(AK499/$AL$27)/12,0)*12,IF(C499="3112. Logements",ROUND(VLOOKUP(C499,'Informations générales'!$C$66:$G$70,5,FALSE)*(AK499/$AM$27)/12,0)*12,IF(C499="3113. Logements",ROUND(VLOOKUP(C499,'Informations générales'!$C$66:$G$70,5,FALSE)*(AK499/$AN$27)/12,0)*12,IF(C499="3114. Logements",ROUND(VLOOKUP(C499,'Informations générales'!$C$66:$G$70,5,FALSE)*(AK499/$AO$27)/12,0)*12,IF(C499="3115. Logements",ROUND(VLOOKUP(C499,'Informations générales'!$C$66:$G$70,5,FALSE)*(AK499/$AP$27)/12,0)*12,"")))))</f>
        <v/>
      </c>
      <c r="AG499" s="117"/>
      <c r="AH499" s="116" t="str">
        <f t="shared" si="118"/>
        <v/>
      </c>
      <c r="AI499" s="92"/>
      <c r="AJ499" s="78"/>
      <c r="AK499" s="60">
        <f t="shared" si="119"/>
        <v>0</v>
      </c>
      <c r="AL499" s="60"/>
      <c r="AM499" s="60"/>
      <c r="AN499" s="60"/>
      <c r="AO499" s="60"/>
      <c r="AP499" s="60"/>
      <c r="AQ499" s="60">
        <f t="shared" si="109"/>
        <v>0</v>
      </c>
      <c r="AR499" s="60">
        <f t="shared" si="110"/>
        <v>0</v>
      </c>
      <c r="AS499" s="60">
        <f t="shared" si="111"/>
        <v>0</v>
      </c>
      <c r="AT499" s="60">
        <f t="shared" si="112"/>
        <v>0</v>
      </c>
      <c r="AU499" s="60">
        <f t="shared" si="113"/>
        <v>0</v>
      </c>
      <c r="AV499" s="60">
        <f t="shared" si="114"/>
        <v>0</v>
      </c>
      <c r="AW499" s="60">
        <f t="shared" si="115"/>
        <v>0</v>
      </c>
      <c r="AX499" s="60">
        <f t="shared" si="120"/>
        <v>0</v>
      </c>
      <c r="AY499" s="64">
        <f t="shared" si="121"/>
        <v>0</v>
      </c>
      <c r="AZ499" s="65">
        <f t="shared" si="124"/>
        <v>0</v>
      </c>
      <c r="BA499" s="65">
        <f t="shared" si="122"/>
        <v>0</v>
      </c>
    </row>
    <row r="500" spans="3:53" s="17" customFormat="1" x14ac:dyDescent="0.25">
      <c r="C500" s="194"/>
      <c r="D500" s="195"/>
      <c r="E500" s="90"/>
      <c r="F500" s="198"/>
      <c r="G500" s="214"/>
      <c r="H500" s="199"/>
      <c r="I500" s="78"/>
      <c r="J500" s="79"/>
      <c r="K500" s="78"/>
      <c r="L500" s="80"/>
      <c r="M500" s="80"/>
      <c r="N500" s="78" t="s">
        <v>39</v>
      </c>
      <c r="O500" s="113"/>
      <c r="P500" s="155"/>
      <c r="Q500" s="114" t="str">
        <f>IFERROR(MIN(VLOOKUP(ROUNDDOWN(P500,0),'Aide calcul'!$B$2:$C$282,2,FALSE),O500+1),"")</f>
        <v/>
      </c>
      <c r="R500" s="115" t="str">
        <f t="shared" si="116"/>
        <v/>
      </c>
      <c r="S500" s="155"/>
      <c r="T500" s="155"/>
      <c r="U500" s="155"/>
      <c r="V500" s="155"/>
      <c r="W500" s="155"/>
      <c r="X500" s="155"/>
      <c r="Y500" s="155"/>
      <c r="Z500" s="78"/>
      <c r="AA500" s="78"/>
      <c r="AB500" s="116" t="str">
        <f>IF(C500="3111. Logements",ROUND(VLOOKUP(C500,'Informations générales'!$C$66:$D$70,2,FALSE)*(AK500/$AL$27)/12,0)*12,IF(C500="3112. Logements",ROUND(VLOOKUP(C500,'Informations générales'!$C$66:$D$70,2,FALSE)*(AK500/$AM$27)/12,0)*12,IF(C500="3113. Logements",ROUND(VLOOKUP(C500,'Informations générales'!$C$66:$D$70,2,FALSE)*(AK500/$AN$27)/12,0)*12,IF(C500="3114. Logements",ROUND(VLOOKUP(C500,'Informations générales'!$C$66:$D$70,2,FALSE)*(AK500/$AO$27)/12,0)*12,IF(C500="3115. Logements",ROUND(VLOOKUP(C500,'Informations générales'!$C$66:$D$70,2,FALSE)*(AK500/$AP$27)/12,0)*12,"")))))</f>
        <v/>
      </c>
      <c r="AC500" s="117"/>
      <c r="AD500" s="116">
        <f t="shared" si="117"/>
        <v>0</v>
      </c>
      <c r="AE500" s="117"/>
      <c r="AF500" s="116" t="str">
        <f>IF(C500="3111. Logements",ROUND(VLOOKUP(C500,'Informations générales'!$C$66:$G$70,5,FALSE)*(AK500/$AL$27)/12,0)*12,IF(C500="3112. Logements",ROUND(VLOOKUP(C500,'Informations générales'!$C$66:$G$70,5,FALSE)*(AK500/$AM$27)/12,0)*12,IF(C500="3113. Logements",ROUND(VLOOKUP(C500,'Informations générales'!$C$66:$G$70,5,FALSE)*(AK500/$AN$27)/12,0)*12,IF(C500="3114. Logements",ROUND(VLOOKUP(C500,'Informations générales'!$C$66:$G$70,5,FALSE)*(AK500/$AO$27)/12,0)*12,IF(C500="3115. Logements",ROUND(VLOOKUP(C500,'Informations générales'!$C$66:$G$70,5,FALSE)*(AK500/$AP$27)/12,0)*12,"")))))</f>
        <v/>
      </c>
      <c r="AG500" s="117"/>
      <c r="AH500" s="116" t="str">
        <f t="shared" si="118"/>
        <v/>
      </c>
      <c r="AI500" s="92"/>
      <c r="AJ500" s="78"/>
      <c r="AK500" s="60">
        <f t="shared" si="119"/>
        <v>0</v>
      </c>
      <c r="AL500" s="60"/>
      <c r="AM500" s="60"/>
      <c r="AN500" s="60"/>
      <c r="AO500" s="60"/>
      <c r="AP500" s="60"/>
      <c r="AQ500" s="60">
        <f t="shared" si="109"/>
        <v>0</v>
      </c>
      <c r="AR500" s="60">
        <f t="shared" si="110"/>
        <v>0</v>
      </c>
      <c r="AS500" s="60">
        <f t="shared" si="111"/>
        <v>0</v>
      </c>
      <c r="AT500" s="60">
        <f t="shared" si="112"/>
        <v>0</v>
      </c>
      <c r="AU500" s="60">
        <f t="shared" si="113"/>
        <v>0</v>
      </c>
      <c r="AV500" s="60">
        <f t="shared" si="114"/>
        <v>0</v>
      </c>
      <c r="AW500" s="60">
        <f t="shared" si="115"/>
        <v>0</v>
      </c>
      <c r="AX500" s="60">
        <f t="shared" si="120"/>
        <v>0</v>
      </c>
      <c r="AY500" s="64">
        <f t="shared" si="121"/>
        <v>0</v>
      </c>
      <c r="AZ500" s="65">
        <f t="shared" si="124"/>
        <v>0</v>
      </c>
      <c r="BA500" s="65">
        <f t="shared" si="122"/>
        <v>0</v>
      </c>
    </row>
    <row r="501" spans="3:53" s="17" customFormat="1" x14ac:dyDescent="0.25">
      <c r="C501" s="194"/>
      <c r="D501" s="195"/>
      <c r="E501" s="90"/>
      <c r="F501" s="198"/>
      <c r="G501" s="214"/>
      <c r="H501" s="199"/>
      <c r="I501" s="78"/>
      <c r="J501" s="79"/>
      <c r="K501" s="78"/>
      <c r="L501" s="80"/>
      <c r="M501" s="80"/>
      <c r="N501" s="78" t="s">
        <v>39</v>
      </c>
      <c r="O501" s="113"/>
      <c r="P501" s="155"/>
      <c r="Q501" s="114" t="str">
        <f>IFERROR(MIN(VLOOKUP(ROUNDDOWN(P501,0),'Aide calcul'!$B$2:$C$282,2,FALSE),O501+1),"")</f>
        <v/>
      </c>
      <c r="R501" s="115" t="str">
        <f t="shared" si="116"/>
        <v/>
      </c>
      <c r="S501" s="155"/>
      <c r="T501" s="155"/>
      <c r="U501" s="155"/>
      <c r="V501" s="155"/>
      <c r="W501" s="155"/>
      <c r="X501" s="155"/>
      <c r="Y501" s="155"/>
      <c r="Z501" s="78"/>
      <c r="AA501" s="78"/>
      <c r="AB501" s="116" t="str">
        <f>IF(C501="3111. Logements",ROUND(VLOOKUP(C501,'Informations générales'!$C$66:$D$70,2,FALSE)*(AK501/$AL$27)/12,0)*12,IF(C501="3112. Logements",ROUND(VLOOKUP(C501,'Informations générales'!$C$66:$D$70,2,FALSE)*(AK501/$AM$27)/12,0)*12,IF(C501="3113. Logements",ROUND(VLOOKUP(C501,'Informations générales'!$C$66:$D$70,2,FALSE)*(AK501/$AN$27)/12,0)*12,IF(C501="3114. Logements",ROUND(VLOOKUP(C501,'Informations générales'!$C$66:$D$70,2,FALSE)*(AK501/$AO$27)/12,0)*12,IF(C501="3115. Logements",ROUND(VLOOKUP(C501,'Informations générales'!$C$66:$D$70,2,FALSE)*(AK501/$AP$27)/12,0)*12,"")))))</f>
        <v/>
      </c>
      <c r="AC501" s="117"/>
      <c r="AD501" s="116">
        <f t="shared" si="117"/>
        <v>0</v>
      </c>
      <c r="AE501" s="117"/>
      <c r="AF501" s="116" t="str">
        <f>IF(C501="3111. Logements",ROUND(VLOOKUP(C501,'Informations générales'!$C$66:$G$70,5,FALSE)*(AK501/$AL$27)/12,0)*12,IF(C501="3112. Logements",ROUND(VLOOKUP(C501,'Informations générales'!$C$66:$G$70,5,FALSE)*(AK501/$AM$27)/12,0)*12,IF(C501="3113. Logements",ROUND(VLOOKUP(C501,'Informations générales'!$C$66:$G$70,5,FALSE)*(AK501/$AN$27)/12,0)*12,IF(C501="3114. Logements",ROUND(VLOOKUP(C501,'Informations générales'!$C$66:$G$70,5,FALSE)*(AK501/$AO$27)/12,0)*12,IF(C501="3115. Logements",ROUND(VLOOKUP(C501,'Informations générales'!$C$66:$G$70,5,FALSE)*(AK501/$AP$27)/12,0)*12,"")))))</f>
        <v/>
      </c>
      <c r="AG501" s="117"/>
      <c r="AH501" s="116" t="str">
        <f t="shared" si="118"/>
        <v/>
      </c>
      <c r="AI501" s="92"/>
      <c r="AJ501" s="78"/>
      <c r="AK501" s="60">
        <f t="shared" si="119"/>
        <v>0</v>
      </c>
      <c r="AL501" s="60"/>
      <c r="AM501" s="60"/>
      <c r="AN501" s="60"/>
      <c r="AO501" s="60"/>
      <c r="AP501" s="60"/>
      <c r="AQ501" s="60">
        <f t="shared" si="109"/>
        <v>0</v>
      </c>
      <c r="AR501" s="60">
        <f t="shared" si="110"/>
        <v>0</v>
      </c>
      <c r="AS501" s="60">
        <f t="shared" si="111"/>
        <v>0</v>
      </c>
      <c r="AT501" s="60">
        <f t="shared" si="112"/>
        <v>0</v>
      </c>
      <c r="AU501" s="60">
        <f t="shared" si="113"/>
        <v>0</v>
      </c>
      <c r="AV501" s="60">
        <f t="shared" si="114"/>
        <v>0</v>
      </c>
      <c r="AW501" s="60">
        <f t="shared" si="115"/>
        <v>0</v>
      </c>
      <c r="AX501" s="60">
        <f t="shared" si="120"/>
        <v>0</v>
      </c>
      <c r="AY501" s="64">
        <f t="shared" si="121"/>
        <v>0</v>
      </c>
      <c r="AZ501" s="65">
        <f t="shared" si="124"/>
        <v>0</v>
      </c>
      <c r="BA501" s="65">
        <f t="shared" si="122"/>
        <v>0</v>
      </c>
    </row>
    <row r="502" spans="3:53" s="17" customFormat="1" x14ac:dyDescent="0.25">
      <c r="C502" s="194"/>
      <c r="D502" s="195"/>
      <c r="E502" s="90"/>
      <c r="F502" s="198"/>
      <c r="G502" s="214"/>
      <c r="H502" s="199"/>
      <c r="I502" s="78"/>
      <c r="J502" s="79"/>
      <c r="K502" s="78"/>
      <c r="L502" s="80"/>
      <c r="M502" s="80"/>
      <c r="N502" s="78" t="s">
        <v>39</v>
      </c>
      <c r="O502" s="113"/>
      <c r="P502" s="155"/>
      <c r="Q502" s="114" t="str">
        <f>IFERROR(MIN(VLOOKUP(ROUNDDOWN(P502,0),'Aide calcul'!$B$2:$C$282,2,FALSE),O502+1),"")</f>
        <v/>
      </c>
      <c r="R502" s="115" t="str">
        <f t="shared" si="116"/>
        <v/>
      </c>
      <c r="S502" s="155"/>
      <c r="T502" s="155"/>
      <c r="U502" s="155"/>
      <c r="V502" s="155"/>
      <c r="W502" s="155"/>
      <c r="X502" s="155"/>
      <c r="Y502" s="155"/>
      <c r="Z502" s="78"/>
      <c r="AA502" s="78"/>
      <c r="AB502" s="116" t="str">
        <f>IF(C502="3111. Logements",ROUND(VLOOKUP(C502,'Informations générales'!$C$66:$D$70,2,FALSE)*(AK502/$AL$27)/12,0)*12,IF(C502="3112. Logements",ROUND(VLOOKUP(C502,'Informations générales'!$C$66:$D$70,2,FALSE)*(AK502/$AM$27)/12,0)*12,IF(C502="3113. Logements",ROUND(VLOOKUP(C502,'Informations générales'!$C$66:$D$70,2,FALSE)*(AK502/$AN$27)/12,0)*12,IF(C502="3114. Logements",ROUND(VLOOKUP(C502,'Informations générales'!$C$66:$D$70,2,FALSE)*(AK502/$AO$27)/12,0)*12,IF(C502="3115. Logements",ROUND(VLOOKUP(C502,'Informations générales'!$C$66:$D$70,2,FALSE)*(AK502/$AP$27)/12,0)*12,"")))))</f>
        <v/>
      </c>
      <c r="AC502" s="117"/>
      <c r="AD502" s="116">
        <f t="shared" si="117"/>
        <v>0</v>
      </c>
      <c r="AE502" s="117"/>
      <c r="AF502" s="116" t="str">
        <f>IF(C502="3111. Logements",ROUND(VLOOKUP(C502,'Informations générales'!$C$66:$G$70,5,FALSE)*(AK502/$AL$27)/12,0)*12,IF(C502="3112. Logements",ROUND(VLOOKUP(C502,'Informations générales'!$C$66:$G$70,5,FALSE)*(AK502/$AM$27)/12,0)*12,IF(C502="3113. Logements",ROUND(VLOOKUP(C502,'Informations générales'!$C$66:$G$70,5,FALSE)*(AK502/$AN$27)/12,0)*12,IF(C502="3114. Logements",ROUND(VLOOKUP(C502,'Informations générales'!$C$66:$G$70,5,FALSE)*(AK502/$AO$27)/12,0)*12,IF(C502="3115. Logements",ROUND(VLOOKUP(C502,'Informations générales'!$C$66:$G$70,5,FALSE)*(AK502/$AP$27)/12,0)*12,"")))))</f>
        <v/>
      </c>
      <c r="AG502" s="117"/>
      <c r="AH502" s="116" t="str">
        <f t="shared" si="118"/>
        <v/>
      </c>
      <c r="AI502" s="92"/>
      <c r="AJ502" s="78"/>
      <c r="AK502" s="60">
        <f t="shared" si="119"/>
        <v>0</v>
      </c>
      <c r="AL502" s="60"/>
      <c r="AM502" s="60"/>
      <c r="AN502" s="60"/>
      <c r="AO502" s="60"/>
      <c r="AP502" s="60"/>
      <c r="AQ502" s="60">
        <f t="shared" si="109"/>
        <v>0</v>
      </c>
      <c r="AR502" s="60">
        <f t="shared" si="110"/>
        <v>0</v>
      </c>
      <c r="AS502" s="60">
        <f t="shared" si="111"/>
        <v>0</v>
      </c>
      <c r="AT502" s="60">
        <f t="shared" si="112"/>
        <v>0</v>
      </c>
      <c r="AU502" s="60">
        <f t="shared" si="113"/>
        <v>0</v>
      </c>
      <c r="AV502" s="60">
        <f t="shared" si="114"/>
        <v>0</v>
      </c>
      <c r="AW502" s="60">
        <f t="shared" si="115"/>
        <v>0</v>
      </c>
      <c r="AX502" s="60">
        <f t="shared" si="120"/>
        <v>0</v>
      </c>
      <c r="AY502" s="64">
        <f t="shared" si="121"/>
        <v>0</v>
      </c>
      <c r="AZ502" s="65">
        <f t="shared" si="124"/>
        <v>0</v>
      </c>
      <c r="BA502" s="65">
        <f t="shared" si="122"/>
        <v>0</v>
      </c>
    </row>
    <row r="503" spans="3:53" s="17" customFormat="1" x14ac:dyDescent="0.25">
      <c r="C503" s="194"/>
      <c r="D503" s="195"/>
      <c r="E503" s="90"/>
      <c r="F503" s="198"/>
      <c r="G503" s="214"/>
      <c r="H503" s="199"/>
      <c r="I503" s="78"/>
      <c r="J503" s="79"/>
      <c r="K503" s="78"/>
      <c r="L503" s="80"/>
      <c r="M503" s="80"/>
      <c r="N503" s="78" t="s">
        <v>39</v>
      </c>
      <c r="O503" s="113"/>
      <c r="P503" s="155"/>
      <c r="Q503" s="114" t="str">
        <f>IFERROR(MIN(VLOOKUP(ROUNDDOWN(P503,0),'Aide calcul'!$B$2:$C$282,2,FALSE),O503+1),"")</f>
        <v/>
      </c>
      <c r="R503" s="115" t="str">
        <f t="shared" si="116"/>
        <v/>
      </c>
      <c r="S503" s="155"/>
      <c r="T503" s="155"/>
      <c r="U503" s="155"/>
      <c r="V503" s="155"/>
      <c r="W503" s="155"/>
      <c r="X503" s="155"/>
      <c r="Y503" s="155"/>
      <c r="Z503" s="78"/>
      <c r="AA503" s="78"/>
      <c r="AB503" s="116" t="str">
        <f>IF(C503="3111. Logements",ROUND(VLOOKUP(C503,'Informations générales'!$C$66:$D$70,2,FALSE)*(AK503/$AL$27)/12,0)*12,IF(C503="3112. Logements",ROUND(VLOOKUP(C503,'Informations générales'!$C$66:$D$70,2,FALSE)*(AK503/$AM$27)/12,0)*12,IF(C503="3113. Logements",ROUND(VLOOKUP(C503,'Informations générales'!$C$66:$D$70,2,FALSE)*(AK503/$AN$27)/12,0)*12,IF(C503="3114. Logements",ROUND(VLOOKUP(C503,'Informations générales'!$C$66:$D$70,2,FALSE)*(AK503/$AO$27)/12,0)*12,IF(C503="3115. Logements",ROUND(VLOOKUP(C503,'Informations générales'!$C$66:$D$70,2,FALSE)*(AK503/$AP$27)/12,0)*12,"")))))</f>
        <v/>
      </c>
      <c r="AC503" s="117"/>
      <c r="AD503" s="116">
        <f t="shared" si="117"/>
        <v>0</v>
      </c>
      <c r="AE503" s="117"/>
      <c r="AF503" s="116" t="str">
        <f>IF(C503="3111. Logements",ROUND(VLOOKUP(C503,'Informations générales'!$C$66:$G$70,5,FALSE)*(AK503/$AL$27)/12,0)*12,IF(C503="3112. Logements",ROUND(VLOOKUP(C503,'Informations générales'!$C$66:$G$70,5,FALSE)*(AK503/$AM$27)/12,0)*12,IF(C503="3113. Logements",ROUND(VLOOKUP(C503,'Informations générales'!$C$66:$G$70,5,FALSE)*(AK503/$AN$27)/12,0)*12,IF(C503="3114. Logements",ROUND(VLOOKUP(C503,'Informations générales'!$C$66:$G$70,5,FALSE)*(AK503/$AO$27)/12,0)*12,IF(C503="3115. Logements",ROUND(VLOOKUP(C503,'Informations générales'!$C$66:$G$70,5,FALSE)*(AK503/$AP$27)/12,0)*12,"")))))</f>
        <v/>
      </c>
      <c r="AG503" s="117"/>
      <c r="AH503" s="116" t="str">
        <f t="shared" si="118"/>
        <v/>
      </c>
      <c r="AI503" s="92"/>
      <c r="AJ503" s="78"/>
      <c r="AK503" s="60">
        <f t="shared" si="119"/>
        <v>0</v>
      </c>
      <c r="AL503" s="60"/>
      <c r="AM503" s="60"/>
      <c r="AN503" s="60"/>
      <c r="AO503" s="60"/>
      <c r="AP503" s="60"/>
      <c r="AQ503" s="60">
        <f t="shared" si="109"/>
        <v>0</v>
      </c>
      <c r="AR503" s="60">
        <f t="shared" si="110"/>
        <v>0</v>
      </c>
      <c r="AS503" s="60">
        <f t="shared" si="111"/>
        <v>0</v>
      </c>
      <c r="AT503" s="60">
        <f t="shared" si="112"/>
        <v>0</v>
      </c>
      <c r="AU503" s="60">
        <f t="shared" si="113"/>
        <v>0</v>
      </c>
      <c r="AV503" s="60">
        <f t="shared" si="114"/>
        <v>0</v>
      </c>
      <c r="AW503" s="60">
        <f t="shared" si="115"/>
        <v>0</v>
      </c>
      <c r="AX503" s="60">
        <f t="shared" si="120"/>
        <v>0</v>
      </c>
      <c r="AY503" s="64">
        <f t="shared" si="121"/>
        <v>0</v>
      </c>
      <c r="AZ503" s="65">
        <f t="shared" si="124"/>
        <v>0</v>
      </c>
      <c r="BA503" s="65">
        <f t="shared" si="122"/>
        <v>0</v>
      </c>
    </row>
    <row r="504" spans="3:53" s="17" customFormat="1" x14ac:dyDescent="0.25">
      <c r="C504" s="194"/>
      <c r="D504" s="195"/>
      <c r="E504" s="90"/>
      <c r="F504" s="198"/>
      <c r="G504" s="214"/>
      <c r="H504" s="199"/>
      <c r="I504" s="78"/>
      <c r="J504" s="79"/>
      <c r="K504" s="78"/>
      <c r="L504" s="80"/>
      <c r="M504" s="80"/>
      <c r="N504" s="78" t="s">
        <v>39</v>
      </c>
      <c r="O504" s="113"/>
      <c r="P504" s="155"/>
      <c r="Q504" s="114" t="str">
        <f>IFERROR(MIN(VLOOKUP(ROUNDDOWN(P504,0),'Aide calcul'!$B$2:$C$282,2,FALSE),O504+1),"")</f>
        <v/>
      </c>
      <c r="R504" s="115" t="str">
        <f t="shared" si="116"/>
        <v/>
      </c>
      <c r="S504" s="155"/>
      <c r="T504" s="155"/>
      <c r="U504" s="155"/>
      <c r="V504" s="155"/>
      <c r="W504" s="155"/>
      <c r="X504" s="155"/>
      <c r="Y504" s="155"/>
      <c r="Z504" s="78"/>
      <c r="AA504" s="78"/>
      <c r="AB504" s="116" t="str">
        <f>IF(C504="3111. Logements",ROUND(VLOOKUP(C504,'Informations générales'!$C$66:$D$70,2,FALSE)*(AK504/$AL$27)/12,0)*12,IF(C504="3112. Logements",ROUND(VLOOKUP(C504,'Informations générales'!$C$66:$D$70,2,FALSE)*(AK504/$AM$27)/12,0)*12,IF(C504="3113. Logements",ROUND(VLOOKUP(C504,'Informations générales'!$C$66:$D$70,2,FALSE)*(AK504/$AN$27)/12,0)*12,IF(C504="3114. Logements",ROUND(VLOOKUP(C504,'Informations générales'!$C$66:$D$70,2,FALSE)*(AK504/$AO$27)/12,0)*12,IF(C504="3115. Logements",ROUND(VLOOKUP(C504,'Informations générales'!$C$66:$D$70,2,FALSE)*(AK504/$AP$27)/12,0)*12,"")))))</f>
        <v/>
      </c>
      <c r="AC504" s="117"/>
      <c r="AD504" s="116">
        <f t="shared" si="117"/>
        <v>0</v>
      </c>
      <c r="AE504" s="117"/>
      <c r="AF504" s="116" t="str">
        <f>IF(C504="3111. Logements",ROUND(VLOOKUP(C504,'Informations générales'!$C$66:$G$70,5,FALSE)*(AK504/$AL$27)/12,0)*12,IF(C504="3112. Logements",ROUND(VLOOKUP(C504,'Informations générales'!$C$66:$G$70,5,FALSE)*(AK504/$AM$27)/12,0)*12,IF(C504="3113. Logements",ROUND(VLOOKUP(C504,'Informations générales'!$C$66:$G$70,5,FALSE)*(AK504/$AN$27)/12,0)*12,IF(C504="3114. Logements",ROUND(VLOOKUP(C504,'Informations générales'!$C$66:$G$70,5,FALSE)*(AK504/$AO$27)/12,0)*12,IF(C504="3115. Logements",ROUND(VLOOKUP(C504,'Informations générales'!$C$66:$G$70,5,FALSE)*(AK504/$AP$27)/12,0)*12,"")))))</f>
        <v/>
      </c>
      <c r="AG504" s="117"/>
      <c r="AH504" s="116" t="str">
        <f t="shared" si="118"/>
        <v/>
      </c>
      <c r="AI504" s="92"/>
      <c r="AJ504" s="78"/>
      <c r="AK504" s="60">
        <f t="shared" si="119"/>
        <v>0</v>
      </c>
      <c r="AL504" s="60"/>
      <c r="AM504" s="60"/>
      <c r="AN504" s="60"/>
      <c r="AO504" s="60"/>
      <c r="AP504" s="60"/>
      <c r="AQ504" s="60">
        <f t="shared" si="109"/>
        <v>0</v>
      </c>
      <c r="AR504" s="60">
        <f t="shared" si="110"/>
        <v>0</v>
      </c>
      <c r="AS504" s="60">
        <f t="shared" si="111"/>
        <v>0</v>
      </c>
      <c r="AT504" s="60">
        <f t="shared" si="112"/>
        <v>0</v>
      </c>
      <c r="AU504" s="60">
        <f t="shared" si="113"/>
        <v>0</v>
      </c>
      <c r="AV504" s="60">
        <f t="shared" si="114"/>
        <v>0</v>
      </c>
      <c r="AW504" s="60">
        <f t="shared" si="115"/>
        <v>0</v>
      </c>
      <c r="AX504" s="60">
        <f t="shared" si="120"/>
        <v>0</v>
      </c>
      <c r="AY504" s="64">
        <f t="shared" si="121"/>
        <v>0</v>
      </c>
      <c r="AZ504" s="65">
        <f t="shared" si="124"/>
        <v>0</v>
      </c>
      <c r="BA504" s="65">
        <f t="shared" si="122"/>
        <v>0</v>
      </c>
    </row>
    <row r="505" spans="3:53" s="17" customFormat="1" x14ac:dyDescent="0.25">
      <c r="C505" s="194"/>
      <c r="D505" s="195"/>
      <c r="E505" s="90"/>
      <c r="F505" s="198"/>
      <c r="G505" s="214"/>
      <c r="H505" s="199"/>
      <c r="I505" s="78"/>
      <c r="J505" s="79"/>
      <c r="K505" s="78"/>
      <c r="L505" s="80"/>
      <c r="M505" s="80"/>
      <c r="N505" s="78" t="s">
        <v>39</v>
      </c>
      <c r="O505" s="113"/>
      <c r="P505" s="155"/>
      <c r="Q505" s="114" t="str">
        <f>IFERROR(MIN(VLOOKUP(ROUNDDOWN(P505,0),'Aide calcul'!$B$2:$C$282,2,FALSE),O505+1),"")</f>
        <v/>
      </c>
      <c r="R505" s="115" t="str">
        <f t="shared" si="116"/>
        <v/>
      </c>
      <c r="S505" s="155"/>
      <c r="T505" s="155"/>
      <c r="U505" s="155"/>
      <c r="V505" s="155"/>
      <c r="W505" s="155"/>
      <c r="X505" s="155"/>
      <c r="Y505" s="155"/>
      <c r="Z505" s="78"/>
      <c r="AA505" s="78"/>
      <c r="AB505" s="116" t="str">
        <f>IF(C505="3111. Logements",ROUND(VLOOKUP(C505,'Informations générales'!$C$66:$D$70,2,FALSE)*(AK505/$AL$27)/12,0)*12,IF(C505="3112. Logements",ROUND(VLOOKUP(C505,'Informations générales'!$C$66:$D$70,2,FALSE)*(AK505/$AM$27)/12,0)*12,IF(C505="3113. Logements",ROUND(VLOOKUP(C505,'Informations générales'!$C$66:$D$70,2,FALSE)*(AK505/$AN$27)/12,0)*12,IF(C505="3114. Logements",ROUND(VLOOKUP(C505,'Informations générales'!$C$66:$D$70,2,FALSE)*(AK505/$AO$27)/12,0)*12,IF(C505="3115. Logements",ROUND(VLOOKUP(C505,'Informations générales'!$C$66:$D$70,2,FALSE)*(AK505/$AP$27)/12,0)*12,"")))))</f>
        <v/>
      </c>
      <c r="AC505" s="117"/>
      <c r="AD505" s="116">
        <f t="shared" si="117"/>
        <v>0</v>
      </c>
      <c r="AE505" s="117"/>
      <c r="AF505" s="116" t="str">
        <f>IF(C505="3111. Logements",ROUND(VLOOKUP(C505,'Informations générales'!$C$66:$G$70,5,FALSE)*(AK505/$AL$27)/12,0)*12,IF(C505="3112. Logements",ROUND(VLOOKUP(C505,'Informations générales'!$C$66:$G$70,5,FALSE)*(AK505/$AM$27)/12,0)*12,IF(C505="3113. Logements",ROUND(VLOOKUP(C505,'Informations générales'!$C$66:$G$70,5,FALSE)*(AK505/$AN$27)/12,0)*12,IF(C505="3114. Logements",ROUND(VLOOKUP(C505,'Informations générales'!$C$66:$G$70,5,FALSE)*(AK505/$AO$27)/12,0)*12,IF(C505="3115. Logements",ROUND(VLOOKUP(C505,'Informations générales'!$C$66:$G$70,5,FALSE)*(AK505/$AP$27)/12,0)*12,"")))))</f>
        <v/>
      </c>
      <c r="AG505" s="117"/>
      <c r="AH505" s="116" t="str">
        <f t="shared" si="118"/>
        <v/>
      </c>
      <c r="AI505" s="92"/>
      <c r="AJ505" s="78"/>
      <c r="AK505" s="60">
        <f t="shared" si="119"/>
        <v>0</v>
      </c>
      <c r="AL505" s="60"/>
      <c r="AM505" s="60"/>
      <c r="AN505" s="60"/>
      <c r="AO505" s="60"/>
      <c r="AP505" s="60"/>
      <c r="AQ505" s="60">
        <f t="shared" si="109"/>
        <v>0</v>
      </c>
      <c r="AR505" s="60">
        <f t="shared" si="110"/>
        <v>0</v>
      </c>
      <c r="AS505" s="60">
        <f t="shared" si="111"/>
        <v>0</v>
      </c>
      <c r="AT505" s="60">
        <f t="shared" si="112"/>
        <v>0</v>
      </c>
      <c r="AU505" s="60">
        <f t="shared" si="113"/>
        <v>0</v>
      </c>
      <c r="AV505" s="60">
        <f t="shared" si="114"/>
        <v>0</v>
      </c>
      <c r="AW505" s="60">
        <f t="shared" si="115"/>
        <v>0</v>
      </c>
      <c r="AX505" s="60">
        <f t="shared" si="120"/>
        <v>0</v>
      </c>
      <c r="AY505" s="64">
        <f t="shared" si="121"/>
        <v>0</v>
      </c>
      <c r="AZ505" s="65">
        <f t="shared" si="124"/>
        <v>0</v>
      </c>
      <c r="BA505" s="65">
        <f t="shared" si="122"/>
        <v>0</v>
      </c>
    </row>
    <row r="506" spans="3:53" s="17" customFormat="1" x14ac:dyDescent="0.25">
      <c r="C506" s="194"/>
      <c r="D506" s="195"/>
      <c r="E506" s="90"/>
      <c r="F506" s="198"/>
      <c r="G506" s="214"/>
      <c r="H506" s="199"/>
      <c r="I506" s="78"/>
      <c r="J506" s="79"/>
      <c r="K506" s="78"/>
      <c r="L506" s="80"/>
      <c r="M506" s="80"/>
      <c r="N506" s="78" t="s">
        <v>39</v>
      </c>
      <c r="O506" s="113"/>
      <c r="P506" s="155"/>
      <c r="Q506" s="114" t="str">
        <f>IFERROR(MIN(VLOOKUP(ROUNDDOWN(P506,0),'Aide calcul'!$B$2:$C$282,2,FALSE),O506+1),"")</f>
        <v/>
      </c>
      <c r="R506" s="115" t="str">
        <f t="shared" si="116"/>
        <v/>
      </c>
      <c r="S506" s="155"/>
      <c r="T506" s="155"/>
      <c r="U506" s="155"/>
      <c r="V506" s="155"/>
      <c r="W506" s="155"/>
      <c r="X506" s="155"/>
      <c r="Y506" s="155"/>
      <c r="Z506" s="78"/>
      <c r="AA506" s="78"/>
      <c r="AB506" s="116" t="str">
        <f>IF(C506="3111. Logements",ROUND(VLOOKUP(C506,'Informations générales'!$C$66:$D$70,2,FALSE)*(AK506/$AL$27)/12,0)*12,IF(C506="3112. Logements",ROUND(VLOOKUP(C506,'Informations générales'!$C$66:$D$70,2,FALSE)*(AK506/$AM$27)/12,0)*12,IF(C506="3113. Logements",ROUND(VLOOKUP(C506,'Informations générales'!$C$66:$D$70,2,FALSE)*(AK506/$AN$27)/12,0)*12,IF(C506="3114. Logements",ROUND(VLOOKUP(C506,'Informations générales'!$C$66:$D$70,2,FALSE)*(AK506/$AO$27)/12,0)*12,IF(C506="3115. Logements",ROUND(VLOOKUP(C506,'Informations générales'!$C$66:$D$70,2,FALSE)*(AK506/$AP$27)/12,0)*12,"")))))</f>
        <v/>
      </c>
      <c r="AC506" s="117"/>
      <c r="AD506" s="116">
        <f t="shared" si="117"/>
        <v>0</v>
      </c>
      <c r="AE506" s="117"/>
      <c r="AF506" s="116" t="str">
        <f>IF(C506="3111. Logements",ROUND(VLOOKUP(C506,'Informations générales'!$C$66:$G$70,5,FALSE)*(AK506/$AL$27)/12,0)*12,IF(C506="3112. Logements",ROUND(VLOOKUP(C506,'Informations générales'!$C$66:$G$70,5,FALSE)*(AK506/$AM$27)/12,0)*12,IF(C506="3113. Logements",ROUND(VLOOKUP(C506,'Informations générales'!$C$66:$G$70,5,FALSE)*(AK506/$AN$27)/12,0)*12,IF(C506="3114. Logements",ROUND(VLOOKUP(C506,'Informations générales'!$C$66:$G$70,5,FALSE)*(AK506/$AO$27)/12,0)*12,IF(C506="3115. Logements",ROUND(VLOOKUP(C506,'Informations générales'!$C$66:$G$70,5,FALSE)*(AK506/$AP$27)/12,0)*12,"")))))</f>
        <v/>
      </c>
      <c r="AG506" s="117"/>
      <c r="AH506" s="116" t="str">
        <f t="shared" si="118"/>
        <v/>
      </c>
      <c r="AI506" s="92"/>
      <c r="AJ506" s="78"/>
      <c r="AK506" s="60">
        <f t="shared" si="119"/>
        <v>0</v>
      </c>
      <c r="AL506" s="60"/>
      <c r="AM506" s="60"/>
      <c r="AN506" s="60"/>
      <c r="AO506" s="60"/>
      <c r="AP506" s="60"/>
      <c r="AQ506" s="60">
        <f t="shared" si="109"/>
        <v>0</v>
      </c>
      <c r="AR506" s="60">
        <f t="shared" si="110"/>
        <v>0</v>
      </c>
      <c r="AS506" s="60">
        <f t="shared" si="111"/>
        <v>0</v>
      </c>
      <c r="AT506" s="60">
        <f t="shared" si="112"/>
        <v>0</v>
      </c>
      <c r="AU506" s="60">
        <f t="shared" si="113"/>
        <v>0</v>
      </c>
      <c r="AV506" s="60">
        <f t="shared" si="114"/>
        <v>0</v>
      </c>
      <c r="AW506" s="60">
        <f t="shared" si="115"/>
        <v>0</v>
      </c>
      <c r="AX506" s="60">
        <f t="shared" si="120"/>
        <v>0</v>
      </c>
      <c r="AY506" s="64">
        <f t="shared" si="121"/>
        <v>0</v>
      </c>
      <c r="AZ506" s="65">
        <f t="shared" si="124"/>
        <v>0</v>
      </c>
      <c r="BA506" s="65">
        <f t="shared" si="122"/>
        <v>0</v>
      </c>
    </row>
    <row r="507" spans="3:53" s="17" customFormat="1" x14ac:dyDescent="0.25">
      <c r="C507" s="194"/>
      <c r="D507" s="195"/>
      <c r="E507" s="90"/>
      <c r="F507" s="198"/>
      <c r="G507" s="214"/>
      <c r="H507" s="199"/>
      <c r="I507" s="78"/>
      <c r="J507" s="79"/>
      <c r="K507" s="78"/>
      <c r="L507" s="80"/>
      <c r="M507" s="80"/>
      <c r="N507" s="78" t="s">
        <v>39</v>
      </c>
      <c r="O507" s="113"/>
      <c r="P507" s="155"/>
      <c r="Q507" s="114" t="str">
        <f>IFERROR(MIN(VLOOKUP(ROUNDDOWN(P507,0),'Aide calcul'!$B$2:$C$282,2,FALSE),O507+1),"")</f>
        <v/>
      </c>
      <c r="R507" s="115" t="str">
        <f t="shared" si="116"/>
        <v/>
      </c>
      <c r="S507" s="155"/>
      <c r="T507" s="155"/>
      <c r="U507" s="155"/>
      <c r="V507" s="155"/>
      <c r="W507" s="155"/>
      <c r="X507" s="155"/>
      <c r="Y507" s="155"/>
      <c r="Z507" s="78"/>
      <c r="AA507" s="78"/>
      <c r="AB507" s="116" t="str">
        <f>IF(C507="3111. Logements",ROUND(VLOOKUP(C507,'Informations générales'!$C$66:$D$70,2,FALSE)*(AK507/$AL$27)/12,0)*12,IF(C507="3112. Logements",ROUND(VLOOKUP(C507,'Informations générales'!$C$66:$D$70,2,FALSE)*(AK507/$AM$27)/12,0)*12,IF(C507="3113. Logements",ROUND(VLOOKUP(C507,'Informations générales'!$C$66:$D$70,2,FALSE)*(AK507/$AN$27)/12,0)*12,IF(C507="3114. Logements",ROUND(VLOOKUP(C507,'Informations générales'!$C$66:$D$70,2,FALSE)*(AK507/$AO$27)/12,0)*12,IF(C507="3115. Logements",ROUND(VLOOKUP(C507,'Informations générales'!$C$66:$D$70,2,FALSE)*(AK507/$AP$27)/12,0)*12,"")))))</f>
        <v/>
      </c>
      <c r="AC507" s="117"/>
      <c r="AD507" s="116">
        <f t="shared" si="117"/>
        <v>0</v>
      </c>
      <c r="AE507" s="117"/>
      <c r="AF507" s="116" t="str">
        <f>IF(C507="3111. Logements",ROUND(VLOOKUP(C507,'Informations générales'!$C$66:$G$70,5,FALSE)*(AK507/$AL$27)/12,0)*12,IF(C507="3112. Logements",ROUND(VLOOKUP(C507,'Informations générales'!$C$66:$G$70,5,FALSE)*(AK507/$AM$27)/12,0)*12,IF(C507="3113. Logements",ROUND(VLOOKUP(C507,'Informations générales'!$C$66:$G$70,5,FALSE)*(AK507/$AN$27)/12,0)*12,IF(C507="3114. Logements",ROUND(VLOOKUP(C507,'Informations générales'!$C$66:$G$70,5,FALSE)*(AK507/$AO$27)/12,0)*12,IF(C507="3115. Logements",ROUND(VLOOKUP(C507,'Informations générales'!$C$66:$G$70,5,FALSE)*(AK507/$AP$27)/12,0)*12,"")))))</f>
        <v/>
      </c>
      <c r="AG507" s="117"/>
      <c r="AH507" s="116" t="str">
        <f t="shared" si="118"/>
        <v/>
      </c>
      <c r="AI507" s="92"/>
      <c r="AJ507" s="78"/>
      <c r="AK507" s="60">
        <f t="shared" si="119"/>
        <v>0</v>
      </c>
      <c r="AL507" s="60"/>
      <c r="AM507" s="60"/>
      <c r="AN507" s="60"/>
      <c r="AO507" s="60"/>
      <c r="AP507" s="60"/>
      <c r="AQ507" s="60">
        <f t="shared" si="109"/>
        <v>0</v>
      </c>
      <c r="AR507" s="60">
        <f t="shared" si="110"/>
        <v>0</v>
      </c>
      <c r="AS507" s="60">
        <f t="shared" si="111"/>
        <v>0</v>
      </c>
      <c r="AT507" s="60">
        <f t="shared" si="112"/>
        <v>0</v>
      </c>
      <c r="AU507" s="60">
        <f t="shared" si="113"/>
        <v>0</v>
      </c>
      <c r="AV507" s="60">
        <f t="shared" si="114"/>
        <v>0</v>
      </c>
      <c r="AW507" s="60">
        <f t="shared" si="115"/>
        <v>0</v>
      </c>
      <c r="AX507" s="60">
        <f t="shared" si="120"/>
        <v>0</v>
      </c>
      <c r="AY507" s="64">
        <f t="shared" si="121"/>
        <v>0</v>
      </c>
      <c r="AZ507" s="65">
        <f t="shared" si="124"/>
        <v>0</v>
      </c>
      <c r="BA507" s="65">
        <f t="shared" si="122"/>
        <v>0</v>
      </c>
    </row>
    <row r="508" spans="3:53" s="17" customFormat="1" x14ac:dyDescent="0.25">
      <c r="C508" s="194"/>
      <c r="D508" s="195"/>
      <c r="E508" s="90"/>
      <c r="F508" s="198"/>
      <c r="G508" s="214"/>
      <c r="H508" s="199"/>
      <c r="I508" s="78"/>
      <c r="J508" s="79"/>
      <c r="K508" s="78"/>
      <c r="L508" s="80"/>
      <c r="M508" s="80"/>
      <c r="N508" s="78" t="s">
        <v>39</v>
      </c>
      <c r="O508" s="113"/>
      <c r="P508" s="155"/>
      <c r="Q508" s="114" t="str">
        <f>IFERROR(MIN(VLOOKUP(ROUNDDOWN(P508,0),'Aide calcul'!$B$2:$C$282,2,FALSE),O508+1),"")</f>
        <v/>
      </c>
      <c r="R508" s="115" t="str">
        <f t="shared" si="116"/>
        <v/>
      </c>
      <c r="S508" s="155"/>
      <c r="T508" s="155"/>
      <c r="U508" s="155"/>
      <c r="V508" s="155"/>
      <c r="W508" s="155"/>
      <c r="X508" s="155"/>
      <c r="Y508" s="155"/>
      <c r="Z508" s="78"/>
      <c r="AA508" s="78"/>
      <c r="AB508" s="116" t="str">
        <f>IF(C508="3111. Logements",ROUND(VLOOKUP(C508,'Informations générales'!$C$66:$D$70,2,FALSE)*(AK508/$AL$27)/12,0)*12,IF(C508="3112. Logements",ROUND(VLOOKUP(C508,'Informations générales'!$C$66:$D$70,2,FALSE)*(AK508/$AM$27)/12,0)*12,IF(C508="3113. Logements",ROUND(VLOOKUP(C508,'Informations générales'!$C$66:$D$70,2,FALSE)*(AK508/$AN$27)/12,0)*12,IF(C508="3114. Logements",ROUND(VLOOKUP(C508,'Informations générales'!$C$66:$D$70,2,FALSE)*(AK508/$AO$27)/12,0)*12,IF(C508="3115. Logements",ROUND(VLOOKUP(C508,'Informations générales'!$C$66:$D$70,2,FALSE)*(AK508/$AP$27)/12,0)*12,"")))))</f>
        <v/>
      </c>
      <c r="AC508" s="117"/>
      <c r="AD508" s="116">
        <f t="shared" si="117"/>
        <v>0</v>
      </c>
      <c r="AE508" s="117"/>
      <c r="AF508" s="116" t="str">
        <f>IF(C508="3111. Logements",ROUND(VLOOKUP(C508,'Informations générales'!$C$66:$G$70,5,FALSE)*(AK508/$AL$27)/12,0)*12,IF(C508="3112. Logements",ROUND(VLOOKUP(C508,'Informations générales'!$C$66:$G$70,5,FALSE)*(AK508/$AM$27)/12,0)*12,IF(C508="3113. Logements",ROUND(VLOOKUP(C508,'Informations générales'!$C$66:$G$70,5,FALSE)*(AK508/$AN$27)/12,0)*12,IF(C508="3114. Logements",ROUND(VLOOKUP(C508,'Informations générales'!$C$66:$G$70,5,FALSE)*(AK508/$AO$27)/12,0)*12,IF(C508="3115. Logements",ROUND(VLOOKUP(C508,'Informations générales'!$C$66:$G$70,5,FALSE)*(AK508/$AP$27)/12,0)*12,"")))))</f>
        <v/>
      </c>
      <c r="AG508" s="117"/>
      <c r="AH508" s="116" t="str">
        <f t="shared" si="118"/>
        <v/>
      </c>
      <c r="AI508" s="92"/>
      <c r="AJ508" s="78"/>
      <c r="AK508" s="60">
        <f t="shared" si="119"/>
        <v>0</v>
      </c>
      <c r="AL508" s="60"/>
      <c r="AM508" s="60"/>
      <c r="AN508" s="60"/>
      <c r="AO508" s="60"/>
      <c r="AP508" s="60"/>
      <c r="AQ508" s="60">
        <f t="shared" si="109"/>
        <v>0</v>
      </c>
      <c r="AR508" s="60">
        <f t="shared" si="110"/>
        <v>0</v>
      </c>
      <c r="AS508" s="60">
        <f t="shared" si="111"/>
        <v>0</v>
      </c>
      <c r="AT508" s="60">
        <f t="shared" si="112"/>
        <v>0</v>
      </c>
      <c r="AU508" s="60">
        <f t="shared" si="113"/>
        <v>0</v>
      </c>
      <c r="AV508" s="60">
        <f t="shared" si="114"/>
        <v>0</v>
      </c>
      <c r="AW508" s="60">
        <f t="shared" si="115"/>
        <v>0</v>
      </c>
      <c r="AX508" s="60">
        <f t="shared" si="120"/>
        <v>0</v>
      </c>
      <c r="AY508" s="64">
        <f t="shared" si="121"/>
        <v>0</v>
      </c>
      <c r="AZ508" s="65">
        <f t="shared" si="124"/>
        <v>0</v>
      </c>
      <c r="BA508" s="65">
        <f t="shared" si="122"/>
        <v>0</v>
      </c>
    </row>
    <row r="509" spans="3:53" s="17" customFormat="1" x14ac:dyDescent="0.25">
      <c r="C509" s="194"/>
      <c r="D509" s="195"/>
      <c r="E509" s="90"/>
      <c r="F509" s="198"/>
      <c r="G509" s="214"/>
      <c r="H509" s="199"/>
      <c r="I509" s="78"/>
      <c r="J509" s="79"/>
      <c r="K509" s="78"/>
      <c r="L509" s="80"/>
      <c r="M509" s="80"/>
      <c r="N509" s="78" t="s">
        <v>39</v>
      </c>
      <c r="O509" s="113"/>
      <c r="P509" s="155"/>
      <c r="Q509" s="114" t="str">
        <f>IFERROR(MIN(VLOOKUP(ROUNDDOWN(P509,0),'Aide calcul'!$B$2:$C$282,2,FALSE),O509+1),"")</f>
        <v/>
      </c>
      <c r="R509" s="115" t="str">
        <f t="shared" si="116"/>
        <v/>
      </c>
      <c r="S509" s="155"/>
      <c r="T509" s="155"/>
      <c r="U509" s="155"/>
      <c r="V509" s="155"/>
      <c r="W509" s="155"/>
      <c r="X509" s="155"/>
      <c r="Y509" s="155"/>
      <c r="Z509" s="78"/>
      <c r="AA509" s="78"/>
      <c r="AB509" s="116" t="str">
        <f>IF(C509="3111. Logements",ROUND(VLOOKUP(C509,'Informations générales'!$C$66:$D$70,2,FALSE)*(AK509/$AL$27)/12,0)*12,IF(C509="3112. Logements",ROUND(VLOOKUP(C509,'Informations générales'!$C$66:$D$70,2,FALSE)*(AK509/$AM$27)/12,0)*12,IF(C509="3113. Logements",ROUND(VLOOKUP(C509,'Informations générales'!$C$66:$D$70,2,FALSE)*(AK509/$AN$27)/12,0)*12,IF(C509="3114. Logements",ROUND(VLOOKUP(C509,'Informations générales'!$C$66:$D$70,2,FALSE)*(AK509/$AO$27)/12,0)*12,IF(C509="3115. Logements",ROUND(VLOOKUP(C509,'Informations générales'!$C$66:$D$70,2,FALSE)*(AK509/$AP$27)/12,0)*12,"")))))</f>
        <v/>
      </c>
      <c r="AC509" s="117"/>
      <c r="AD509" s="116">
        <f t="shared" si="117"/>
        <v>0</v>
      </c>
      <c r="AE509" s="117"/>
      <c r="AF509" s="116" t="str">
        <f>IF(C509="3111. Logements",ROUND(VLOOKUP(C509,'Informations générales'!$C$66:$G$70,5,FALSE)*(AK509/$AL$27)/12,0)*12,IF(C509="3112. Logements",ROUND(VLOOKUP(C509,'Informations générales'!$C$66:$G$70,5,FALSE)*(AK509/$AM$27)/12,0)*12,IF(C509="3113. Logements",ROUND(VLOOKUP(C509,'Informations générales'!$C$66:$G$70,5,FALSE)*(AK509/$AN$27)/12,0)*12,IF(C509="3114. Logements",ROUND(VLOOKUP(C509,'Informations générales'!$C$66:$G$70,5,FALSE)*(AK509/$AO$27)/12,0)*12,IF(C509="3115. Logements",ROUND(VLOOKUP(C509,'Informations générales'!$C$66:$G$70,5,FALSE)*(AK509/$AP$27)/12,0)*12,"")))))</f>
        <v/>
      </c>
      <c r="AG509" s="117"/>
      <c r="AH509" s="116" t="str">
        <f t="shared" si="118"/>
        <v/>
      </c>
      <c r="AI509" s="92"/>
      <c r="AJ509" s="78"/>
      <c r="AK509" s="60">
        <f t="shared" si="119"/>
        <v>0</v>
      </c>
      <c r="AL509" s="60"/>
      <c r="AM509" s="60"/>
      <c r="AN509" s="60"/>
      <c r="AO509" s="60"/>
      <c r="AP509" s="60"/>
      <c r="AQ509" s="60">
        <f t="shared" si="109"/>
        <v>0</v>
      </c>
      <c r="AR509" s="60">
        <f t="shared" si="110"/>
        <v>0</v>
      </c>
      <c r="AS509" s="60">
        <f t="shared" si="111"/>
        <v>0</v>
      </c>
      <c r="AT509" s="60">
        <f t="shared" si="112"/>
        <v>0</v>
      </c>
      <c r="AU509" s="60">
        <f t="shared" si="113"/>
        <v>0</v>
      </c>
      <c r="AV509" s="60">
        <f t="shared" si="114"/>
        <v>0</v>
      </c>
      <c r="AW509" s="60">
        <f t="shared" si="115"/>
        <v>0</v>
      </c>
      <c r="AX509" s="60">
        <f t="shared" si="120"/>
        <v>0</v>
      </c>
      <c r="AY509" s="64">
        <f t="shared" si="121"/>
        <v>0</v>
      </c>
      <c r="AZ509" s="65">
        <f t="shared" si="124"/>
        <v>0</v>
      </c>
      <c r="BA509" s="65">
        <f t="shared" si="122"/>
        <v>0</v>
      </c>
    </row>
    <row r="510" spans="3:53" s="17" customFormat="1" x14ac:dyDescent="0.25">
      <c r="C510" s="194"/>
      <c r="D510" s="195"/>
      <c r="E510" s="90"/>
      <c r="F510" s="198"/>
      <c r="G510" s="214"/>
      <c r="H510" s="199"/>
      <c r="I510" s="78"/>
      <c r="J510" s="79"/>
      <c r="K510" s="78"/>
      <c r="L510" s="80"/>
      <c r="M510" s="80"/>
      <c r="N510" s="78" t="s">
        <v>39</v>
      </c>
      <c r="O510" s="113"/>
      <c r="P510" s="155"/>
      <c r="Q510" s="114" t="str">
        <f>IFERROR(MIN(VLOOKUP(ROUNDDOWN(P510,0),'Aide calcul'!$B$2:$C$282,2,FALSE),O510+1),"")</f>
        <v/>
      </c>
      <c r="R510" s="115" t="str">
        <f t="shared" si="116"/>
        <v/>
      </c>
      <c r="S510" s="155"/>
      <c r="T510" s="155"/>
      <c r="U510" s="155"/>
      <c r="V510" s="155"/>
      <c r="W510" s="155"/>
      <c r="X510" s="155"/>
      <c r="Y510" s="155"/>
      <c r="Z510" s="78"/>
      <c r="AA510" s="78"/>
      <c r="AB510" s="116" t="str">
        <f>IF(C510="3111. Logements",ROUND(VLOOKUP(C510,'Informations générales'!$C$66:$D$70,2,FALSE)*(AK510/$AL$27)/12,0)*12,IF(C510="3112. Logements",ROUND(VLOOKUP(C510,'Informations générales'!$C$66:$D$70,2,FALSE)*(AK510/$AM$27)/12,0)*12,IF(C510="3113. Logements",ROUND(VLOOKUP(C510,'Informations générales'!$C$66:$D$70,2,FALSE)*(AK510/$AN$27)/12,0)*12,IF(C510="3114. Logements",ROUND(VLOOKUP(C510,'Informations générales'!$C$66:$D$70,2,FALSE)*(AK510/$AO$27)/12,0)*12,IF(C510="3115. Logements",ROUND(VLOOKUP(C510,'Informations générales'!$C$66:$D$70,2,FALSE)*(AK510/$AP$27)/12,0)*12,"")))))</f>
        <v/>
      </c>
      <c r="AC510" s="117"/>
      <c r="AD510" s="116">
        <f t="shared" si="117"/>
        <v>0</v>
      </c>
      <c r="AE510" s="117"/>
      <c r="AF510" s="116" t="str">
        <f>IF(C510="3111. Logements",ROUND(VLOOKUP(C510,'Informations générales'!$C$66:$G$70,5,FALSE)*(AK510/$AL$27)/12,0)*12,IF(C510="3112. Logements",ROUND(VLOOKUP(C510,'Informations générales'!$C$66:$G$70,5,FALSE)*(AK510/$AM$27)/12,0)*12,IF(C510="3113. Logements",ROUND(VLOOKUP(C510,'Informations générales'!$C$66:$G$70,5,FALSE)*(AK510/$AN$27)/12,0)*12,IF(C510="3114. Logements",ROUND(VLOOKUP(C510,'Informations générales'!$C$66:$G$70,5,FALSE)*(AK510/$AO$27)/12,0)*12,IF(C510="3115. Logements",ROUND(VLOOKUP(C510,'Informations générales'!$C$66:$G$70,5,FALSE)*(AK510/$AP$27)/12,0)*12,"")))))</f>
        <v/>
      </c>
      <c r="AG510" s="117"/>
      <c r="AH510" s="116" t="str">
        <f t="shared" si="118"/>
        <v/>
      </c>
      <c r="AI510" s="92"/>
      <c r="AJ510" s="78"/>
      <c r="AK510" s="60">
        <f t="shared" si="119"/>
        <v>0</v>
      </c>
      <c r="AL510" s="60"/>
      <c r="AM510" s="60"/>
      <c r="AN510" s="60"/>
      <c r="AO510" s="60"/>
      <c r="AP510" s="60"/>
      <c r="AQ510" s="60">
        <f t="shared" si="109"/>
        <v>0</v>
      </c>
      <c r="AR510" s="60">
        <f t="shared" si="110"/>
        <v>0</v>
      </c>
      <c r="AS510" s="60">
        <f t="shared" si="111"/>
        <v>0</v>
      </c>
      <c r="AT510" s="60">
        <f t="shared" si="112"/>
        <v>0</v>
      </c>
      <c r="AU510" s="60">
        <f t="shared" si="113"/>
        <v>0</v>
      </c>
      <c r="AV510" s="60">
        <f t="shared" si="114"/>
        <v>0</v>
      </c>
      <c r="AW510" s="60">
        <f t="shared" si="115"/>
        <v>0</v>
      </c>
      <c r="AX510" s="60">
        <f t="shared" si="120"/>
        <v>0</v>
      </c>
      <c r="AY510" s="64">
        <f t="shared" si="121"/>
        <v>0</v>
      </c>
      <c r="AZ510" s="65">
        <f t="shared" si="124"/>
        <v>0</v>
      </c>
      <c r="BA510" s="65">
        <f t="shared" si="122"/>
        <v>0</v>
      </c>
    </row>
    <row r="511" spans="3:53" s="17" customFormat="1" x14ac:dyDescent="0.25">
      <c r="C511" s="194"/>
      <c r="D511" s="195"/>
      <c r="E511" s="90"/>
      <c r="F511" s="198"/>
      <c r="G511" s="214"/>
      <c r="H511" s="199"/>
      <c r="I511" s="78"/>
      <c r="J511" s="79"/>
      <c r="K511" s="78"/>
      <c r="L511" s="80"/>
      <c r="M511" s="80"/>
      <c r="N511" s="78" t="s">
        <v>39</v>
      </c>
      <c r="O511" s="113"/>
      <c r="P511" s="155"/>
      <c r="Q511" s="114" t="str">
        <f>IFERROR(MIN(VLOOKUP(ROUNDDOWN(P511,0),'Aide calcul'!$B$2:$C$282,2,FALSE),O511+1),"")</f>
        <v/>
      </c>
      <c r="R511" s="115" t="str">
        <f t="shared" si="116"/>
        <v/>
      </c>
      <c r="S511" s="155"/>
      <c r="T511" s="155"/>
      <c r="U511" s="155"/>
      <c r="V511" s="155"/>
      <c r="W511" s="155"/>
      <c r="X511" s="155"/>
      <c r="Y511" s="155"/>
      <c r="Z511" s="78"/>
      <c r="AA511" s="78"/>
      <c r="AB511" s="116" t="str">
        <f>IF(C511="3111. Logements",ROUND(VLOOKUP(C511,'Informations générales'!$C$66:$D$70,2,FALSE)*(AK511/$AL$27)/12,0)*12,IF(C511="3112. Logements",ROUND(VLOOKUP(C511,'Informations générales'!$C$66:$D$70,2,FALSE)*(AK511/$AM$27)/12,0)*12,IF(C511="3113. Logements",ROUND(VLOOKUP(C511,'Informations générales'!$C$66:$D$70,2,FALSE)*(AK511/$AN$27)/12,0)*12,IF(C511="3114. Logements",ROUND(VLOOKUP(C511,'Informations générales'!$C$66:$D$70,2,FALSE)*(AK511/$AO$27)/12,0)*12,IF(C511="3115. Logements",ROUND(VLOOKUP(C511,'Informations générales'!$C$66:$D$70,2,FALSE)*(AK511/$AP$27)/12,0)*12,"")))))</f>
        <v/>
      </c>
      <c r="AC511" s="117"/>
      <c r="AD511" s="116">
        <f t="shared" si="117"/>
        <v>0</v>
      </c>
      <c r="AE511" s="117"/>
      <c r="AF511" s="116" t="str">
        <f>IF(C511="3111. Logements",ROUND(VLOOKUP(C511,'Informations générales'!$C$66:$G$70,5,FALSE)*(AK511/$AL$27)/12,0)*12,IF(C511="3112. Logements",ROUND(VLOOKUP(C511,'Informations générales'!$C$66:$G$70,5,FALSE)*(AK511/$AM$27)/12,0)*12,IF(C511="3113. Logements",ROUND(VLOOKUP(C511,'Informations générales'!$C$66:$G$70,5,FALSE)*(AK511/$AN$27)/12,0)*12,IF(C511="3114. Logements",ROUND(VLOOKUP(C511,'Informations générales'!$C$66:$G$70,5,FALSE)*(AK511/$AO$27)/12,0)*12,IF(C511="3115. Logements",ROUND(VLOOKUP(C511,'Informations générales'!$C$66:$G$70,5,FALSE)*(AK511/$AP$27)/12,0)*12,"")))))</f>
        <v/>
      </c>
      <c r="AG511" s="117"/>
      <c r="AH511" s="116" t="str">
        <f t="shared" si="118"/>
        <v/>
      </c>
      <c r="AI511" s="92"/>
      <c r="AJ511" s="78"/>
      <c r="AK511" s="60">
        <f t="shared" si="119"/>
        <v>0</v>
      </c>
      <c r="AL511" s="60"/>
      <c r="AM511" s="60"/>
      <c r="AN511" s="60"/>
      <c r="AO511" s="60"/>
      <c r="AP511" s="60"/>
      <c r="AQ511" s="60">
        <f t="shared" si="109"/>
        <v>0</v>
      </c>
      <c r="AR511" s="60">
        <f t="shared" si="110"/>
        <v>0</v>
      </c>
      <c r="AS511" s="60">
        <f t="shared" si="111"/>
        <v>0</v>
      </c>
      <c r="AT511" s="60">
        <f t="shared" si="112"/>
        <v>0</v>
      </c>
      <c r="AU511" s="60">
        <f t="shared" si="113"/>
        <v>0</v>
      </c>
      <c r="AV511" s="60">
        <f t="shared" si="114"/>
        <v>0</v>
      </c>
      <c r="AW511" s="60">
        <f t="shared" si="115"/>
        <v>0</v>
      </c>
      <c r="AX511" s="60">
        <f t="shared" si="120"/>
        <v>0</v>
      </c>
      <c r="AY511" s="64">
        <f t="shared" si="121"/>
        <v>0</v>
      </c>
      <c r="AZ511" s="65">
        <f t="shared" si="124"/>
        <v>0</v>
      </c>
      <c r="BA511" s="65">
        <f t="shared" si="122"/>
        <v>0</v>
      </c>
    </row>
    <row r="512" spans="3:53" s="17" customFormat="1" x14ac:dyDescent="0.25">
      <c r="C512" s="194"/>
      <c r="D512" s="195"/>
      <c r="E512" s="90"/>
      <c r="F512" s="198"/>
      <c r="G512" s="214"/>
      <c r="H512" s="199"/>
      <c r="I512" s="78"/>
      <c r="J512" s="79"/>
      <c r="K512" s="78"/>
      <c r="L512" s="80"/>
      <c r="M512" s="80"/>
      <c r="N512" s="78" t="s">
        <v>39</v>
      </c>
      <c r="O512" s="113"/>
      <c r="P512" s="155"/>
      <c r="Q512" s="114" t="str">
        <f>IFERROR(MIN(VLOOKUP(ROUNDDOWN(P512,0),'Aide calcul'!$B$2:$C$282,2,FALSE),O512+1),"")</f>
        <v/>
      </c>
      <c r="R512" s="115" t="str">
        <f t="shared" si="116"/>
        <v/>
      </c>
      <c r="S512" s="155"/>
      <c r="T512" s="155"/>
      <c r="U512" s="155"/>
      <c r="V512" s="155"/>
      <c r="W512" s="155"/>
      <c r="X512" s="155"/>
      <c r="Y512" s="155"/>
      <c r="Z512" s="78"/>
      <c r="AA512" s="78"/>
      <c r="AB512" s="116" t="str">
        <f>IF(C512="3111. Logements",ROUND(VLOOKUP(C512,'Informations générales'!$C$66:$D$70,2,FALSE)*(AK512/$AL$27)/12,0)*12,IF(C512="3112. Logements",ROUND(VLOOKUP(C512,'Informations générales'!$C$66:$D$70,2,FALSE)*(AK512/$AM$27)/12,0)*12,IF(C512="3113. Logements",ROUND(VLOOKUP(C512,'Informations générales'!$C$66:$D$70,2,FALSE)*(AK512/$AN$27)/12,0)*12,IF(C512="3114. Logements",ROUND(VLOOKUP(C512,'Informations générales'!$C$66:$D$70,2,FALSE)*(AK512/$AO$27)/12,0)*12,IF(C512="3115. Logements",ROUND(VLOOKUP(C512,'Informations générales'!$C$66:$D$70,2,FALSE)*(AK512/$AP$27)/12,0)*12,"")))))</f>
        <v/>
      </c>
      <c r="AC512" s="117"/>
      <c r="AD512" s="116">
        <f t="shared" si="117"/>
        <v>0</v>
      </c>
      <c r="AE512" s="117"/>
      <c r="AF512" s="116" t="str">
        <f>IF(C512="3111. Logements",ROUND(VLOOKUP(C512,'Informations générales'!$C$66:$G$70,5,FALSE)*(AK512/$AL$27)/12,0)*12,IF(C512="3112. Logements",ROUND(VLOOKUP(C512,'Informations générales'!$C$66:$G$70,5,FALSE)*(AK512/$AM$27)/12,0)*12,IF(C512="3113. Logements",ROUND(VLOOKUP(C512,'Informations générales'!$C$66:$G$70,5,FALSE)*(AK512/$AN$27)/12,0)*12,IF(C512="3114. Logements",ROUND(VLOOKUP(C512,'Informations générales'!$C$66:$G$70,5,FALSE)*(AK512/$AO$27)/12,0)*12,IF(C512="3115. Logements",ROUND(VLOOKUP(C512,'Informations générales'!$C$66:$G$70,5,FALSE)*(AK512/$AP$27)/12,0)*12,"")))))</f>
        <v/>
      </c>
      <c r="AG512" s="117"/>
      <c r="AH512" s="116" t="str">
        <f t="shared" si="118"/>
        <v/>
      </c>
      <c r="AI512" s="92"/>
      <c r="AJ512" s="78"/>
      <c r="AK512" s="60">
        <f t="shared" si="119"/>
        <v>0</v>
      </c>
      <c r="AL512" s="60"/>
      <c r="AM512" s="60"/>
      <c r="AN512" s="60"/>
      <c r="AO512" s="60"/>
      <c r="AP512" s="60"/>
      <c r="AQ512" s="60">
        <f t="shared" si="109"/>
        <v>0</v>
      </c>
      <c r="AR512" s="60">
        <f t="shared" si="110"/>
        <v>0</v>
      </c>
      <c r="AS512" s="60">
        <f t="shared" si="111"/>
        <v>0</v>
      </c>
      <c r="AT512" s="60">
        <f t="shared" si="112"/>
        <v>0</v>
      </c>
      <c r="AU512" s="60">
        <f t="shared" si="113"/>
        <v>0</v>
      </c>
      <c r="AV512" s="60">
        <f t="shared" si="114"/>
        <v>0</v>
      </c>
      <c r="AW512" s="60">
        <f t="shared" si="115"/>
        <v>0</v>
      </c>
      <c r="AX512" s="60">
        <f t="shared" si="120"/>
        <v>0</v>
      </c>
      <c r="AY512" s="64">
        <f t="shared" si="121"/>
        <v>0</v>
      </c>
      <c r="AZ512" s="65">
        <f t="shared" si="124"/>
        <v>0</v>
      </c>
      <c r="BA512" s="65">
        <f t="shared" si="122"/>
        <v>0</v>
      </c>
    </row>
    <row r="513" spans="3:53" s="17" customFormat="1" x14ac:dyDescent="0.25">
      <c r="C513" s="194"/>
      <c r="D513" s="195"/>
      <c r="E513" s="90"/>
      <c r="F513" s="198"/>
      <c r="G513" s="214"/>
      <c r="H513" s="199"/>
      <c r="I513" s="78"/>
      <c r="J513" s="79"/>
      <c r="K513" s="78"/>
      <c r="L513" s="80"/>
      <c r="M513" s="80"/>
      <c r="N513" s="78" t="s">
        <v>39</v>
      </c>
      <c r="O513" s="113"/>
      <c r="P513" s="155"/>
      <c r="Q513" s="114" t="str">
        <f>IFERROR(MIN(VLOOKUP(ROUNDDOWN(P513,0),'Aide calcul'!$B$2:$C$282,2,FALSE),O513+1),"")</f>
        <v/>
      </c>
      <c r="R513" s="115" t="str">
        <f t="shared" si="116"/>
        <v/>
      </c>
      <c r="S513" s="155"/>
      <c r="T513" s="155"/>
      <c r="U513" s="155"/>
      <c r="V513" s="155"/>
      <c r="W513" s="155"/>
      <c r="X513" s="155"/>
      <c r="Y513" s="155"/>
      <c r="Z513" s="78"/>
      <c r="AA513" s="78"/>
      <c r="AB513" s="116" t="str">
        <f>IF(C513="3111. Logements",ROUND(VLOOKUP(C513,'Informations générales'!$C$66:$D$70,2,FALSE)*(AK513/$AL$27)/12,0)*12,IF(C513="3112. Logements",ROUND(VLOOKUP(C513,'Informations générales'!$C$66:$D$70,2,FALSE)*(AK513/$AM$27)/12,0)*12,IF(C513="3113. Logements",ROUND(VLOOKUP(C513,'Informations générales'!$C$66:$D$70,2,FALSE)*(AK513/$AN$27)/12,0)*12,IF(C513="3114. Logements",ROUND(VLOOKUP(C513,'Informations générales'!$C$66:$D$70,2,FALSE)*(AK513/$AO$27)/12,0)*12,IF(C513="3115. Logements",ROUND(VLOOKUP(C513,'Informations générales'!$C$66:$D$70,2,FALSE)*(AK513/$AP$27)/12,0)*12,"")))))</f>
        <v/>
      </c>
      <c r="AC513" s="117"/>
      <c r="AD513" s="116">
        <f t="shared" si="117"/>
        <v>0</v>
      </c>
      <c r="AE513" s="117"/>
      <c r="AF513" s="116" t="str">
        <f>IF(C513="3111. Logements",ROUND(VLOOKUP(C513,'Informations générales'!$C$66:$G$70,5,FALSE)*(AK513/$AL$27)/12,0)*12,IF(C513="3112. Logements",ROUND(VLOOKUP(C513,'Informations générales'!$C$66:$G$70,5,FALSE)*(AK513/$AM$27)/12,0)*12,IF(C513="3113. Logements",ROUND(VLOOKUP(C513,'Informations générales'!$C$66:$G$70,5,FALSE)*(AK513/$AN$27)/12,0)*12,IF(C513="3114. Logements",ROUND(VLOOKUP(C513,'Informations générales'!$C$66:$G$70,5,FALSE)*(AK513/$AO$27)/12,0)*12,IF(C513="3115. Logements",ROUND(VLOOKUP(C513,'Informations générales'!$C$66:$G$70,5,FALSE)*(AK513/$AP$27)/12,0)*12,"")))))</f>
        <v/>
      </c>
      <c r="AG513" s="117"/>
      <c r="AH513" s="116" t="str">
        <f t="shared" si="118"/>
        <v/>
      </c>
      <c r="AI513" s="92"/>
      <c r="AJ513" s="78"/>
      <c r="AK513" s="60">
        <f t="shared" si="119"/>
        <v>0</v>
      </c>
      <c r="AL513" s="60"/>
      <c r="AM513" s="60"/>
      <c r="AN513" s="60"/>
      <c r="AO513" s="60"/>
      <c r="AP513" s="60"/>
      <c r="AQ513" s="60">
        <f t="shared" si="109"/>
        <v>0</v>
      </c>
      <c r="AR513" s="60">
        <f t="shared" si="110"/>
        <v>0</v>
      </c>
      <c r="AS513" s="60">
        <f t="shared" si="111"/>
        <v>0</v>
      </c>
      <c r="AT513" s="60">
        <f t="shared" si="112"/>
        <v>0</v>
      </c>
      <c r="AU513" s="60">
        <f t="shared" si="113"/>
        <v>0</v>
      </c>
      <c r="AV513" s="60">
        <f t="shared" si="114"/>
        <v>0</v>
      </c>
      <c r="AW513" s="60">
        <f t="shared" si="115"/>
        <v>0</v>
      </c>
      <c r="AX513" s="60">
        <f t="shared" si="120"/>
        <v>0</v>
      </c>
      <c r="AY513" s="64">
        <f t="shared" si="121"/>
        <v>0</v>
      </c>
      <c r="AZ513" s="65">
        <f t="shared" si="124"/>
        <v>0</v>
      </c>
      <c r="BA513" s="65">
        <f t="shared" si="122"/>
        <v>0</v>
      </c>
    </row>
    <row r="514" spans="3:53" s="17" customFormat="1" x14ac:dyDescent="0.25">
      <c r="C514" s="194"/>
      <c r="D514" s="195"/>
      <c r="E514" s="90"/>
      <c r="F514" s="198"/>
      <c r="G514" s="214"/>
      <c r="H514" s="199"/>
      <c r="I514" s="78"/>
      <c r="J514" s="79"/>
      <c r="K514" s="78"/>
      <c r="L514" s="80"/>
      <c r="M514" s="80"/>
      <c r="N514" s="78" t="s">
        <v>39</v>
      </c>
      <c r="O514" s="113"/>
      <c r="P514" s="155"/>
      <c r="Q514" s="114" t="str">
        <f>IFERROR(MIN(VLOOKUP(ROUNDDOWN(P514,0),'Aide calcul'!$B$2:$C$282,2,FALSE),O514+1),"")</f>
        <v/>
      </c>
      <c r="R514" s="115" t="str">
        <f t="shared" si="116"/>
        <v/>
      </c>
      <c r="S514" s="155"/>
      <c r="T514" s="155"/>
      <c r="U514" s="155"/>
      <c r="V514" s="155"/>
      <c r="W514" s="155"/>
      <c r="X514" s="155"/>
      <c r="Y514" s="155"/>
      <c r="Z514" s="78"/>
      <c r="AA514" s="78"/>
      <c r="AB514" s="116" t="str">
        <f>IF(C514="3111. Logements",ROUND(VLOOKUP(C514,'Informations générales'!$C$66:$D$70,2,FALSE)*(AK514/$AL$27)/12,0)*12,IF(C514="3112. Logements",ROUND(VLOOKUP(C514,'Informations générales'!$C$66:$D$70,2,FALSE)*(AK514/$AM$27)/12,0)*12,IF(C514="3113. Logements",ROUND(VLOOKUP(C514,'Informations générales'!$C$66:$D$70,2,FALSE)*(AK514/$AN$27)/12,0)*12,IF(C514="3114. Logements",ROUND(VLOOKUP(C514,'Informations générales'!$C$66:$D$70,2,FALSE)*(AK514/$AO$27)/12,0)*12,IF(C514="3115. Logements",ROUND(VLOOKUP(C514,'Informations générales'!$C$66:$D$70,2,FALSE)*(AK514/$AP$27)/12,0)*12,"")))))</f>
        <v/>
      </c>
      <c r="AC514" s="117"/>
      <c r="AD514" s="116">
        <f t="shared" si="117"/>
        <v>0</v>
      </c>
      <c r="AE514" s="117"/>
      <c r="AF514" s="116" t="str">
        <f>IF(C514="3111. Logements",ROUND(VLOOKUP(C514,'Informations générales'!$C$66:$G$70,5,FALSE)*(AK514/$AL$27)/12,0)*12,IF(C514="3112. Logements",ROUND(VLOOKUP(C514,'Informations générales'!$C$66:$G$70,5,FALSE)*(AK514/$AM$27)/12,0)*12,IF(C514="3113. Logements",ROUND(VLOOKUP(C514,'Informations générales'!$C$66:$G$70,5,FALSE)*(AK514/$AN$27)/12,0)*12,IF(C514="3114. Logements",ROUND(VLOOKUP(C514,'Informations générales'!$C$66:$G$70,5,FALSE)*(AK514/$AO$27)/12,0)*12,IF(C514="3115. Logements",ROUND(VLOOKUP(C514,'Informations générales'!$C$66:$G$70,5,FALSE)*(AK514/$AP$27)/12,0)*12,"")))))</f>
        <v/>
      </c>
      <c r="AG514" s="117"/>
      <c r="AH514" s="116" t="str">
        <f t="shared" si="118"/>
        <v/>
      </c>
      <c r="AI514" s="92"/>
      <c r="AJ514" s="78"/>
      <c r="AK514" s="60">
        <f t="shared" si="119"/>
        <v>0</v>
      </c>
      <c r="AL514" s="60"/>
      <c r="AM514" s="60"/>
      <c r="AN514" s="60"/>
      <c r="AO514" s="60"/>
      <c r="AP514" s="60"/>
      <c r="AQ514" s="60">
        <f t="shared" si="109"/>
        <v>0</v>
      </c>
      <c r="AR514" s="60">
        <f t="shared" si="110"/>
        <v>0</v>
      </c>
      <c r="AS514" s="60">
        <f t="shared" si="111"/>
        <v>0</v>
      </c>
      <c r="AT514" s="60">
        <f t="shared" si="112"/>
        <v>0</v>
      </c>
      <c r="AU514" s="60">
        <f t="shared" si="113"/>
        <v>0</v>
      </c>
      <c r="AV514" s="60">
        <f t="shared" si="114"/>
        <v>0</v>
      </c>
      <c r="AW514" s="60">
        <f t="shared" si="115"/>
        <v>0</v>
      </c>
      <c r="AX514" s="60">
        <f t="shared" si="120"/>
        <v>0</v>
      </c>
      <c r="AY514" s="64">
        <f t="shared" si="121"/>
        <v>0</v>
      </c>
      <c r="AZ514" s="65">
        <f t="shared" si="124"/>
        <v>0</v>
      </c>
      <c r="BA514" s="65">
        <f t="shared" si="122"/>
        <v>0</v>
      </c>
    </row>
    <row r="515" spans="3:53" s="17" customFormat="1" x14ac:dyDescent="0.25">
      <c r="C515" s="194"/>
      <c r="D515" s="195"/>
      <c r="E515" s="90"/>
      <c r="F515" s="198"/>
      <c r="G515" s="214"/>
      <c r="H515" s="199"/>
      <c r="I515" s="78"/>
      <c r="J515" s="79"/>
      <c r="K515" s="78"/>
      <c r="L515" s="80"/>
      <c r="M515" s="80"/>
      <c r="N515" s="78" t="s">
        <v>39</v>
      </c>
      <c r="O515" s="113"/>
      <c r="P515" s="155"/>
      <c r="Q515" s="114" t="str">
        <f>IFERROR(MIN(VLOOKUP(ROUNDDOWN(P515,0),'Aide calcul'!$B$2:$C$282,2,FALSE),O515+1),"")</f>
        <v/>
      </c>
      <c r="R515" s="115" t="str">
        <f t="shared" si="116"/>
        <v/>
      </c>
      <c r="S515" s="155"/>
      <c r="T515" s="155"/>
      <c r="U515" s="155"/>
      <c r="V515" s="155"/>
      <c r="W515" s="155"/>
      <c r="X515" s="155"/>
      <c r="Y515" s="155"/>
      <c r="Z515" s="78"/>
      <c r="AA515" s="78"/>
      <c r="AB515" s="116" t="str">
        <f>IF(C515="3111. Logements",ROUND(VLOOKUP(C515,'Informations générales'!$C$66:$D$70,2,FALSE)*(AK515/$AL$27)/12,0)*12,IF(C515="3112. Logements",ROUND(VLOOKUP(C515,'Informations générales'!$C$66:$D$70,2,FALSE)*(AK515/$AM$27)/12,0)*12,IF(C515="3113. Logements",ROUND(VLOOKUP(C515,'Informations générales'!$C$66:$D$70,2,FALSE)*(AK515/$AN$27)/12,0)*12,IF(C515="3114. Logements",ROUND(VLOOKUP(C515,'Informations générales'!$C$66:$D$70,2,FALSE)*(AK515/$AO$27)/12,0)*12,IF(C515="3115. Logements",ROUND(VLOOKUP(C515,'Informations générales'!$C$66:$D$70,2,FALSE)*(AK515/$AP$27)/12,0)*12,"")))))</f>
        <v/>
      </c>
      <c r="AC515" s="117"/>
      <c r="AD515" s="116">
        <f t="shared" si="117"/>
        <v>0</v>
      </c>
      <c r="AE515" s="117"/>
      <c r="AF515" s="116" t="str">
        <f>IF(C515="3111. Logements",ROUND(VLOOKUP(C515,'Informations générales'!$C$66:$G$70,5,FALSE)*(AK515/$AL$27)/12,0)*12,IF(C515="3112. Logements",ROUND(VLOOKUP(C515,'Informations générales'!$C$66:$G$70,5,FALSE)*(AK515/$AM$27)/12,0)*12,IF(C515="3113. Logements",ROUND(VLOOKUP(C515,'Informations générales'!$C$66:$G$70,5,FALSE)*(AK515/$AN$27)/12,0)*12,IF(C515="3114. Logements",ROUND(VLOOKUP(C515,'Informations générales'!$C$66:$G$70,5,FALSE)*(AK515/$AO$27)/12,0)*12,IF(C515="3115. Logements",ROUND(VLOOKUP(C515,'Informations générales'!$C$66:$G$70,5,FALSE)*(AK515/$AP$27)/12,0)*12,"")))))</f>
        <v/>
      </c>
      <c r="AG515" s="117"/>
      <c r="AH515" s="116" t="str">
        <f t="shared" si="118"/>
        <v/>
      </c>
      <c r="AI515" s="92"/>
      <c r="AJ515" s="78"/>
      <c r="AK515" s="60">
        <f t="shared" si="119"/>
        <v>0</v>
      </c>
      <c r="AL515" s="60"/>
      <c r="AM515" s="60"/>
      <c r="AN515" s="60"/>
      <c r="AO515" s="60"/>
      <c r="AP515" s="60"/>
      <c r="AQ515" s="60">
        <f t="shared" si="109"/>
        <v>0</v>
      </c>
      <c r="AR515" s="60">
        <f t="shared" si="110"/>
        <v>0</v>
      </c>
      <c r="AS515" s="60">
        <f t="shared" si="111"/>
        <v>0</v>
      </c>
      <c r="AT515" s="60">
        <f t="shared" si="112"/>
        <v>0</v>
      </c>
      <c r="AU515" s="60">
        <f t="shared" si="113"/>
        <v>0</v>
      </c>
      <c r="AV515" s="60">
        <f t="shared" si="114"/>
        <v>0</v>
      </c>
      <c r="AW515" s="60">
        <f t="shared" si="115"/>
        <v>0</v>
      </c>
      <c r="AX515" s="60">
        <f t="shared" si="120"/>
        <v>0</v>
      </c>
      <c r="AY515" s="64">
        <f t="shared" si="121"/>
        <v>0</v>
      </c>
      <c r="AZ515" s="65">
        <f t="shared" si="124"/>
        <v>0</v>
      </c>
      <c r="BA515" s="65">
        <f t="shared" si="122"/>
        <v>0</v>
      </c>
    </row>
    <row r="516" spans="3:53" s="17" customFormat="1" x14ac:dyDescent="0.25">
      <c r="C516" s="194"/>
      <c r="D516" s="195"/>
      <c r="E516" s="90"/>
      <c r="F516" s="198"/>
      <c r="G516" s="214"/>
      <c r="H516" s="199"/>
      <c r="I516" s="78"/>
      <c r="J516" s="79"/>
      <c r="K516" s="78"/>
      <c r="L516" s="80"/>
      <c r="M516" s="80"/>
      <c r="N516" s="78" t="s">
        <v>39</v>
      </c>
      <c r="O516" s="113"/>
      <c r="P516" s="155"/>
      <c r="Q516" s="114" t="str">
        <f>IFERROR(MIN(VLOOKUP(ROUNDDOWN(P516,0),'Aide calcul'!$B$2:$C$282,2,FALSE),O516+1),"")</f>
        <v/>
      </c>
      <c r="R516" s="115" t="str">
        <f t="shared" si="116"/>
        <v/>
      </c>
      <c r="S516" s="155"/>
      <c r="T516" s="155"/>
      <c r="U516" s="155"/>
      <c r="V516" s="155"/>
      <c r="W516" s="155"/>
      <c r="X516" s="155"/>
      <c r="Y516" s="155"/>
      <c r="Z516" s="78"/>
      <c r="AA516" s="78"/>
      <c r="AB516" s="116" t="str">
        <f>IF(C516="3111. Logements",ROUND(VLOOKUP(C516,'Informations générales'!$C$66:$D$70,2,FALSE)*(AK516/$AL$27)/12,0)*12,IF(C516="3112. Logements",ROUND(VLOOKUP(C516,'Informations générales'!$C$66:$D$70,2,FALSE)*(AK516/$AM$27)/12,0)*12,IF(C516="3113. Logements",ROUND(VLOOKUP(C516,'Informations générales'!$C$66:$D$70,2,FALSE)*(AK516/$AN$27)/12,0)*12,IF(C516="3114. Logements",ROUND(VLOOKUP(C516,'Informations générales'!$C$66:$D$70,2,FALSE)*(AK516/$AO$27)/12,0)*12,IF(C516="3115. Logements",ROUND(VLOOKUP(C516,'Informations générales'!$C$66:$D$70,2,FALSE)*(AK516/$AP$27)/12,0)*12,"")))))</f>
        <v/>
      </c>
      <c r="AC516" s="117"/>
      <c r="AD516" s="116">
        <f t="shared" si="117"/>
        <v>0</v>
      </c>
      <c r="AE516" s="117"/>
      <c r="AF516" s="116" t="str">
        <f>IF(C516="3111. Logements",ROUND(VLOOKUP(C516,'Informations générales'!$C$66:$G$70,5,FALSE)*(AK516/$AL$27)/12,0)*12,IF(C516="3112. Logements",ROUND(VLOOKUP(C516,'Informations générales'!$C$66:$G$70,5,FALSE)*(AK516/$AM$27)/12,0)*12,IF(C516="3113. Logements",ROUND(VLOOKUP(C516,'Informations générales'!$C$66:$G$70,5,FALSE)*(AK516/$AN$27)/12,0)*12,IF(C516="3114. Logements",ROUND(VLOOKUP(C516,'Informations générales'!$C$66:$G$70,5,FALSE)*(AK516/$AO$27)/12,0)*12,IF(C516="3115. Logements",ROUND(VLOOKUP(C516,'Informations générales'!$C$66:$G$70,5,FALSE)*(AK516/$AP$27)/12,0)*12,"")))))</f>
        <v/>
      </c>
      <c r="AG516" s="117"/>
      <c r="AH516" s="116" t="str">
        <f t="shared" si="118"/>
        <v/>
      </c>
      <c r="AI516" s="92"/>
      <c r="AJ516" s="78"/>
      <c r="AK516" s="60">
        <f t="shared" si="119"/>
        <v>0</v>
      </c>
      <c r="AL516" s="60"/>
      <c r="AM516" s="60"/>
      <c r="AN516" s="60"/>
      <c r="AO516" s="60"/>
      <c r="AP516" s="60"/>
      <c r="AQ516" s="60">
        <f t="shared" si="109"/>
        <v>0</v>
      </c>
      <c r="AR516" s="60">
        <f t="shared" si="110"/>
        <v>0</v>
      </c>
      <c r="AS516" s="60">
        <f t="shared" si="111"/>
        <v>0</v>
      </c>
      <c r="AT516" s="60">
        <f t="shared" si="112"/>
        <v>0</v>
      </c>
      <c r="AU516" s="60">
        <f t="shared" si="113"/>
        <v>0</v>
      </c>
      <c r="AV516" s="60">
        <f t="shared" si="114"/>
        <v>0</v>
      </c>
      <c r="AW516" s="60">
        <f t="shared" si="115"/>
        <v>0</v>
      </c>
      <c r="AX516" s="60">
        <f t="shared" si="120"/>
        <v>0</v>
      </c>
      <c r="AY516" s="64">
        <f t="shared" si="121"/>
        <v>0</v>
      </c>
      <c r="AZ516" s="65">
        <f t="shared" si="124"/>
        <v>0</v>
      </c>
      <c r="BA516" s="65">
        <f t="shared" si="122"/>
        <v>0</v>
      </c>
    </row>
    <row r="517" spans="3:53" s="17" customFormat="1" x14ac:dyDescent="0.25">
      <c r="C517" s="194"/>
      <c r="D517" s="195"/>
      <c r="E517" s="90"/>
      <c r="F517" s="198"/>
      <c r="G517" s="214"/>
      <c r="H517" s="199"/>
      <c r="I517" s="78"/>
      <c r="J517" s="79"/>
      <c r="K517" s="78"/>
      <c r="L517" s="80"/>
      <c r="M517" s="80"/>
      <c r="N517" s="78" t="s">
        <v>39</v>
      </c>
      <c r="O517" s="113"/>
      <c r="P517" s="155"/>
      <c r="Q517" s="114" t="str">
        <f>IFERROR(MIN(VLOOKUP(ROUNDDOWN(P517,0),'Aide calcul'!$B$2:$C$282,2,FALSE),O517+1),"")</f>
        <v/>
      </c>
      <c r="R517" s="115" t="str">
        <f t="shared" si="116"/>
        <v/>
      </c>
      <c r="S517" s="155"/>
      <c r="T517" s="155"/>
      <c r="U517" s="155"/>
      <c r="V517" s="155"/>
      <c r="W517" s="155"/>
      <c r="X517" s="155"/>
      <c r="Y517" s="155"/>
      <c r="Z517" s="78"/>
      <c r="AA517" s="78"/>
      <c r="AB517" s="116" t="str">
        <f>IF(C517="3111. Logements",ROUND(VLOOKUP(C517,'Informations générales'!$C$66:$D$70,2,FALSE)*(AK517/$AL$27)/12,0)*12,IF(C517="3112. Logements",ROUND(VLOOKUP(C517,'Informations générales'!$C$66:$D$70,2,FALSE)*(AK517/$AM$27)/12,0)*12,IF(C517="3113. Logements",ROUND(VLOOKUP(C517,'Informations générales'!$C$66:$D$70,2,FALSE)*(AK517/$AN$27)/12,0)*12,IF(C517="3114. Logements",ROUND(VLOOKUP(C517,'Informations générales'!$C$66:$D$70,2,FALSE)*(AK517/$AO$27)/12,0)*12,IF(C517="3115. Logements",ROUND(VLOOKUP(C517,'Informations générales'!$C$66:$D$70,2,FALSE)*(AK517/$AP$27)/12,0)*12,"")))))</f>
        <v/>
      </c>
      <c r="AC517" s="117"/>
      <c r="AD517" s="116">
        <f t="shared" si="117"/>
        <v>0</v>
      </c>
      <c r="AE517" s="117"/>
      <c r="AF517" s="116" t="str">
        <f>IF(C517="3111. Logements",ROUND(VLOOKUP(C517,'Informations générales'!$C$66:$G$70,5,FALSE)*(AK517/$AL$27)/12,0)*12,IF(C517="3112. Logements",ROUND(VLOOKUP(C517,'Informations générales'!$C$66:$G$70,5,FALSE)*(AK517/$AM$27)/12,0)*12,IF(C517="3113. Logements",ROUND(VLOOKUP(C517,'Informations générales'!$C$66:$G$70,5,FALSE)*(AK517/$AN$27)/12,0)*12,IF(C517="3114. Logements",ROUND(VLOOKUP(C517,'Informations générales'!$C$66:$G$70,5,FALSE)*(AK517/$AO$27)/12,0)*12,IF(C517="3115. Logements",ROUND(VLOOKUP(C517,'Informations générales'!$C$66:$G$70,5,FALSE)*(AK517/$AP$27)/12,0)*12,"")))))</f>
        <v/>
      </c>
      <c r="AG517" s="117"/>
      <c r="AH517" s="116" t="str">
        <f t="shared" si="118"/>
        <v/>
      </c>
      <c r="AI517" s="92"/>
      <c r="AJ517" s="78"/>
      <c r="AK517" s="60">
        <f t="shared" si="119"/>
        <v>0</v>
      </c>
      <c r="AL517" s="60"/>
      <c r="AM517" s="60"/>
      <c r="AN517" s="60"/>
      <c r="AO517" s="60"/>
      <c r="AP517" s="60"/>
      <c r="AQ517" s="60">
        <f t="shared" si="109"/>
        <v>0</v>
      </c>
      <c r="AR517" s="60">
        <f t="shared" si="110"/>
        <v>0</v>
      </c>
      <c r="AS517" s="60">
        <f t="shared" si="111"/>
        <v>0</v>
      </c>
      <c r="AT517" s="60">
        <f t="shared" si="112"/>
        <v>0</v>
      </c>
      <c r="AU517" s="60">
        <f t="shared" si="113"/>
        <v>0</v>
      </c>
      <c r="AV517" s="60">
        <f t="shared" si="114"/>
        <v>0</v>
      </c>
      <c r="AW517" s="60">
        <f t="shared" si="115"/>
        <v>0</v>
      </c>
      <c r="AX517" s="60">
        <f t="shared" si="120"/>
        <v>0</v>
      </c>
      <c r="AY517" s="64">
        <f t="shared" si="121"/>
        <v>0</v>
      </c>
      <c r="AZ517" s="65">
        <f t="shared" si="124"/>
        <v>0</v>
      </c>
      <c r="BA517" s="65">
        <f t="shared" si="122"/>
        <v>0</v>
      </c>
    </row>
    <row r="518" spans="3:53" s="17" customFormat="1" x14ac:dyDescent="0.25">
      <c r="C518" s="194"/>
      <c r="D518" s="195"/>
      <c r="E518" s="90"/>
      <c r="F518" s="198"/>
      <c r="G518" s="214"/>
      <c r="H518" s="199"/>
      <c r="I518" s="78"/>
      <c r="J518" s="79"/>
      <c r="K518" s="78"/>
      <c r="L518" s="80"/>
      <c r="M518" s="80"/>
      <c r="N518" s="78" t="s">
        <v>39</v>
      </c>
      <c r="O518" s="113"/>
      <c r="P518" s="155"/>
      <c r="Q518" s="114" t="str">
        <f>IFERROR(MIN(VLOOKUP(ROUNDDOWN(P518,0),'Aide calcul'!$B$2:$C$282,2,FALSE),O518+1),"")</f>
        <v/>
      </c>
      <c r="R518" s="115" t="str">
        <f t="shared" si="116"/>
        <v/>
      </c>
      <c r="S518" s="155"/>
      <c r="T518" s="155"/>
      <c r="U518" s="155"/>
      <c r="V518" s="155"/>
      <c r="W518" s="155"/>
      <c r="X518" s="155"/>
      <c r="Y518" s="155"/>
      <c r="Z518" s="78"/>
      <c r="AA518" s="78"/>
      <c r="AB518" s="116" t="str">
        <f>IF(C518="3111. Logements",ROUND(VLOOKUP(C518,'Informations générales'!$C$66:$D$70,2,FALSE)*(AK518/$AL$27)/12,0)*12,IF(C518="3112. Logements",ROUND(VLOOKUP(C518,'Informations générales'!$C$66:$D$70,2,FALSE)*(AK518/$AM$27)/12,0)*12,IF(C518="3113. Logements",ROUND(VLOOKUP(C518,'Informations générales'!$C$66:$D$70,2,FALSE)*(AK518/$AN$27)/12,0)*12,IF(C518="3114. Logements",ROUND(VLOOKUP(C518,'Informations générales'!$C$66:$D$70,2,FALSE)*(AK518/$AO$27)/12,0)*12,IF(C518="3115. Logements",ROUND(VLOOKUP(C518,'Informations générales'!$C$66:$D$70,2,FALSE)*(AK518/$AP$27)/12,0)*12,"")))))</f>
        <v/>
      </c>
      <c r="AC518" s="117"/>
      <c r="AD518" s="116">
        <f t="shared" si="117"/>
        <v>0</v>
      </c>
      <c r="AE518" s="117"/>
      <c r="AF518" s="116" t="str">
        <f>IF(C518="3111. Logements",ROUND(VLOOKUP(C518,'Informations générales'!$C$66:$G$70,5,FALSE)*(AK518/$AL$27)/12,0)*12,IF(C518="3112. Logements",ROUND(VLOOKUP(C518,'Informations générales'!$C$66:$G$70,5,FALSE)*(AK518/$AM$27)/12,0)*12,IF(C518="3113. Logements",ROUND(VLOOKUP(C518,'Informations générales'!$C$66:$G$70,5,FALSE)*(AK518/$AN$27)/12,0)*12,IF(C518="3114. Logements",ROUND(VLOOKUP(C518,'Informations générales'!$C$66:$G$70,5,FALSE)*(AK518/$AO$27)/12,0)*12,IF(C518="3115. Logements",ROUND(VLOOKUP(C518,'Informations générales'!$C$66:$G$70,5,FALSE)*(AK518/$AP$27)/12,0)*12,"")))))</f>
        <v/>
      </c>
      <c r="AG518" s="117"/>
      <c r="AH518" s="116" t="str">
        <f t="shared" si="118"/>
        <v/>
      </c>
      <c r="AI518" s="92"/>
      <c r="AJ518" s="78"/>
      <c r="AK518" s="60">
        <f t="shared" si="119"/>
        <v>0</v>
      </c>
      <c r="AL518" s="60"/>
      <c r="AM518" s="60"/>
      <c r="AN518" s="60"/>
      <c r="AO518" s="60"/>
      <c r="AP518" s="60"/>
      <c r="AQ518" s="60">
        <f t="shared" si="109"/>
        <v>0</v>
      </c>
      <c r="AR518" s="60">
        <f t="shared" si="110"/>
        <v>0</v>
      </c>
      <c r="AS518" s="60">
        <f t="shared" si="111"/>
        <v>0</v>
      </c>
      <c r="AT518" s="60">
        <f t="shared" si="112"/>
        <v>0</v>
      </c>
      <c r="AU518" s="60">
        <f t="shared" si="113"/>
        <v>0</v>
      </c>
      <c r="AV518" s="60">
        <f t="shared" si="114"/>
        <v>0</v>
      </c>
      <c r="AW518" s="60">
        <f t="shared" si="115"/>
        <v>0</v>
      </c>
      <c r="AX518" s="60">
        <f t="shared" si="120"/>
        <v>0</v>
      </c>
      <c r="AY518" s="64">
        <f t="shared" si="121"/>
        <v>0</v>
      </c>
      <c r="AZ518" s="65">
        <f t="shared" si="124"/>
        <v>0</v>
      </c>
      <c r="BA518" s="65">
        <f t="shared" si="122"/>
        <v>0</v>
      </c>
    </row>
    <row r="519" spans="3:53" s="17" customFormat="1" x14ac:dyDescent="0.25">
      <c r="C519" s="194"/>
      <c r="D519" s="195"/>
      <c r="E519" s="90"/>
      <c r="F519" s="198"/>
      <c r="G519" s="214"/>
      <c r="H519" s="199"/>
      <c r="I519" s="78"/>
      <c r="J519" s="79"/>
      <c r="K519" s="78"/>
      <c r="L519" s="80"/>
      <c r="M519" s="80"/>
      <c r="N519" s="78" t="s">
        <v>39</v>
      </c>
      <c r="O519" s="113"/>
      <c r="P519" s="155"/>
      <c r="Q519" s="114" t="str">
        <f>IFERROR(MIN(VLOOKUP(ROUNDDOWN(P519,0),'Aide calcul'!$B$2:$C$282,2,FALSE),O519+1),"")</f>
        <v/>
      </c>
      <c r="R519" s="115" t="str">
        <f t="shared" si="116"/>
        <v/>
      </c>
      <c r="S519" s="155"/>
      <c r="T519" s="155"/>
      <c r="U519" s="155"/>
      <c r="V519" s="155"/>
      <c r="W519" s="155"/>
      <c r="X519" s="155"/>
      <c r="Y519" s="155"/>
      <c r="Z519" s="78"/>
      <c r="AA519" s="78"/>
      <c r="AB519" s="116" t="str">
        <f>IF(C519="3111. Logements",ROUND(VLOOKUP(C519,'Informations générales'!$C$66:$D$70,2,FALSE)*(AK519/$AL$27)/12,0)*12,IF(C519="3112. Logements",ROUND(VLOOKUP(C519,'Informations générales'!$C$66:$D$70,2,FALSE)*(AK519/$AM$27)/12,0)*12,IF(C519="3113. Logements",ROUND(VLOOKUP(C519,'Informations générales'!$C$66:$D$70,2,FALSE)*(AK519/$AN$27)/12,0)*12,IF(C519="3114. Logements",ROUND(VLOOKUP(C519,'Informations générales'!$C$66:$D$70,2,FALSE)*(AK519/$AO$27)/12,0)*12,IF(C519="3115. Logements",ROUND(VLOOKUP(C519,'Informations générales'!$C$66:$D$70,2,FALSE)*(AK519/$AP$27)/12,0)*12,"")))))</f>
        <v/>
      </c>
      <c r="AC519" s="117"/>
      <c r="AD519" s="116">
        <f t="shared" si="117"/>
        <v>0</v>
      </c>
      <c r="AE519" s="117"/>
      <c r="AF519" s="116" t="str">
        <f>IF(C519="3111. Logements",ROUND(VLOOKUP(C519,'Informations générales'!$C$66:$G$70,5,FALSE)*(AK519/$AL$27)/12,0)*12,IF(C519="3112. Logements",ROUND(VLOOKUP(C519,'Informations générales'!$C$66:$G$70,5,FALSE)*(AK519/$AM$27)/12,0)*12,IF(C519="3113. Logements",ROUND(VLOOKUP(C519,'Informations générales'!$C$66:$G$70,5,FALSE)*(AK519/$AN$27)/12,0)*12,IF(C519="3114. Logements",ROUND(VLOOKUP(C519,'Informations générales'!$C$66:$G$70,5,FALSE)*(AK519/$AO$27)/12,0)*12,IF(C519="3115. Logements",ROUND(VLOOKUP(C519,'Informations générales'!$C$66:$G$70,5,FALSE)*(AK519/$AP$27)/12,0)*12,"")))))</f>
        <v/>
      </c>
      <c r="AG519" s="117"/>
      <c r="AH519" s="116" t="str">
        <f t="shared" si="118"/>
        <v/>
      </c>
      <c r="AI519" s="92"/>
      <c r="AJ519" s="78"/>
      <c r="AK519" s="60">
        <f t="shared" si="119"/>
        <v>0</v>
      </c>
      <c r="AL519" s="60"/>
      <c r="AM519" s="60"/>
      <c r="AN519" s="60"/>
      <c r="AO519" s="60"/>
      <c r="AP519" s="60"/>
      <c r="AQ519" s="60">
        <f t="shared" si="109"/>
        <v>0</v>
      </c>
      <c r="AR519" s="60">
        <f t="shared" si="110"/>
        <v>0</v>
      </c>
      <c r="AS519" s="60">
        <f t="shared" si="111"/>
        <v>0</v>
      </c>
      <c r="AT519" s="60">
        <f t="shared" si="112"/>
        <v>0</v>
      </c>
      <c r="AU519" s="60">
        <f t="shared" si="113"/>
        <v>0</v>
      </c>
      <c r="AV519" s="60">
        <f t="shared" si="114"/>
        <v>0</v>
      </c>
      <c r="AW519" s="60">
        <f t="shared" si="115"/>
        <v>0</v>
      </c>
      <c r="AX519" s="60">
        <f t="shared" si="120"/>
        <v>0</v>
      </c>
      <c r="AY519" s="64">
        <f t="shared" si="121"/>
        <v>0</v>
      </c>
      <c r="AZ519" s="65">
        <f t="shared" si="124"/>
        <v>0</v>
      </c>
      <c r="BA519" s="65">
        <f t="shared" si="122"/>
        <v>0</v>
      </c>
    </row>
    <row r="520" spans="3:53" s="17" customFormat="1" x14ac:dyDescent="0.25">
      <c r="C520" s="194"/>
      <c r="D520" s="195"/>
      <c r="E520" s="90"/>
      <c r="F520" s="198"/>
      <c r="G520" s="214"/>
      <c r="H520" s="199"/>
      <c r="I520" s="78"/>
      <c r="J520" s="79"/>
      <c r="K520" s="78"/>
      <c r="L520" s="80"/>
      <c r="M520" s="80"/>
      <c r="N520" s="78" t="s">
        <v>39</v>
      </c>
      <c r="O520" s="113"/>
      <c r="P520" s="155"/>
      <c r="Q520" s="114" t="str">
        <f>IFERROR(MIN(VLOOKUP(ROUNDDOWN(P520,0),'Aide calcul'!$B$2:$C$282,2,FALSE),O520+1),"")</f>
        <v/>
      </c>
      <c r="R520" s="115" t="str">
        <f t="shared" si="116"/>
        <v/>
      </c>
      <c r="S520" s="155"/>
      <c r="T520" s="155"/>
      <c r="U520" s="155"/>
      <c r="V520" s="155"/>
      <c r="W520" s="155"/>
      <c r="X520" s="155"/>
      <c r="Y520" s="155"/>
      <c r="Z520" s="78"/>
      <c r="AA520" s="78"/>
      <c r="AB520" s="116" t="str">
        <f>IF(C520="3111. Logements",ROUND(VLOOKUP(C520,'Informations générales'!$C$66:$D$70,2,FALSE)*(AK520/$AL$27)/12,0)*12,IF(C520="3112. Logements",ROUND(VLOOKUP(C520,'Informations générales'!$C$66:$D$70,2,FALSE)*(AK520/$AM$27)/12,0)*12,IF(C520="3113. Logements",ROUND(VLOOKUP(C520,'Informations générales'!$C$66:$D$70,2,FALSE)*(AK520/$AN$27)/12,0)*12,IF(C520="3114. Logements",ROUND(VLOOKUP(C520,'Informations générales'!$C$66:$D$70,2,FALSE)*(AK520/$AO$27)/12,0)*12,IF(C520="3115. Logements",ROUND(VLOOKUP(C520,'Informations générales'!$C$66:$D$70,2,FALSE)*(AK520/$AP$27)/12,0)*12,"")))))</f>
        <v/>
      </c>
      <c r="AC520" s="117"/>
      <c r="AD520" s="116">
        <f t="shared" si="117"/>
        <v>0</v>
      </c>
      <c r="AE520" s="117"/>
      <c r="AF520" s="116" t="str">
        <f>IF(C520="3111. Logements",ROUND(VLOOKUP(C520,'Informations générales'!$C$66:$G$70,5,FALSE)*(AK520/$AL$27)/12,0)*12,IF(C520="3112. Logements",ROUND(VLOOKUP(C520,'Informations générales'!$C$66:$G$70,5,FALSE)*(AK520/$AM$27)/12,0)*12,IF(C520="3113. Logements",ROUND(VLOOKUP(C520,'Informations générales'!$C$66:$G$70,5,FALSE)*(AK520/$AN$27)/12,0)*12,IF(C520="3114. Logements",ROUND(VLOOKUP(C520,'Informations générales'!$C$66:$G$70,5,FALSE)*(AK520/$AO$27)/12,0)*12,IF(C520="3115. Logements",ROUND(VLOOKUP(C520,'Informations générales'!$C$66:$G$70,5,FALSE)*(AK520/$AP$27)/12,0)*12,"")))))</f>
        <v/>
      </c>
      <c r="AG520" s="117"/>
      <c r="AH520" s="116" t="str">
        <f t="shared" si="118"/>
        <v/>
      </c>
      <c r="AI520" s="92"/>
      <c r="AJ520" s="78"/>
      <c r="AK520" s="60">
        <f t="shared" si="119"/>
        <v>0</v>
      </c>
      <c r="AL520" s="60"/>
      <c r="AM520" s="60"/>
      <c r="AN520" s="60"/>
      <c r="AO520" s="60"/>
      <c r="AP520" s="60"/>
      <c r="AQ520" s="60">
        <f t="shared" si="109"/>
        <v>0</v>
      </c>
      <c r="AR520" s="60">
        <f t="shared" si="110"/>
        <v>0</v>
      </c>
      <c r="AS520" s="60">
        <f t="shared" si="111"/>
        <v>0</v>
      </c>
      <c r="AT520" s="60">
        <f t="shared" si="112"/>
        <v>0</v>
      </c>
      <c r="AU520" s="60">
        <f t="shared" si="113"/>
        <v>0</v>
      </c>
      <c r="AV520" s="60">
        <f t="shared" si="114"/>
        <v>0</v>
      </c>
      <c r="AW520" s="60">
        <f t="shared" si="115"/>
        <v>0</v>
      </c>
      <c r="AX520" s="60">
        <f t="shared" si="120"/>
        <v>0</v>
      </c>
      <c r="AY520" s="64">
        <f t="shared" si="121"/>
        <v>0</v>
      </c>
      <c r="AZ520" s="65">
        <f t="shared" si="124"/>
        <v>0</v>
      </c>
      <c r="BA520" s="65">
        <f t="shared" si="122"/>
        <v>0</v>
      </c>
    </row>
    <row r="521" spans="3:53" s="17" customFormat="1" x14ac:dyDescent="0.25">
      <c r="C521" s="194"/>
      <c r="D521" s="195"/>
      <c r="E521" s="90"/>
      <c r="F521" s="198"/>
      <c r="G521" s="214"/>
      <c r="H521" s="199"/>
      <c r="I521" s="78"/>
      <c r="J521" s="79"/>
      <c r="K521" s="78"/>
      <c r="L521" s="80"/>
      <c r="M521" s="80"/>
      <c r="N521" s="78" t="s">
        <v>39</v>
      </c>
      <c r="O521" s="113"/>
      <c r="P521" s="155"/>
      <c r="Q521" s="114" t="str">
        <f>IFERROR(MIN(VLOOKUP(ROUNDDOWN(P521,0),'Aide calcul'!$B$2:$C$282,2,FALSE),O521+1),"")</f>
        <v/>
      </c>
      <c r="R521" s="115" t="str">
        <f t="shared" si="116"/>
        <v/>
      </c>
      <c r="S521" s="155"/>
      <c r="T521" s="155"/>
      <c r="U521" s="155"/>
      <c r="V521" s="155"/>
      <c r="W521" s="155"/>
      <c r="X521" s="155"/>
      <c r="Y521" s="155"/>
      <c r="Z521" s="78"/>
      <c r="AA521" s="78"/>
      <c r="AB521" s="116" t="str">
        <f>IF(C521="3111. Logements",ROUND(VLOOKUP(C521,'Informations générales'!$C$66:$D$70,2,FALSE)*(AK521/$AL$27)/12,0)*12,IF(C521="3112. Logements",ROUND(VLOOKUP(C521,'Informations générales'!$C$66:$D$70,2,FALSE)*(AK521/$AM$27)/12,0)*12,IF(C521="3113. Logements",ROUND(VLOOKUP(C521,'Informations générales'!$C$66:$D$70,2,FALSE)*(AK521/$AN$27)/12,0)*12,IF(C521="3114. Logements",ROUND(VLOOKUP(C521,'Informations générales'!$C$66:$D$70,2,FALSE)*(AK521/$AO$27)/12,0)*12,IF(C521="3115. Logements",ROUND(VLOOKUP(C521,'Informations générales'!$C$66:$D$70,2,FALSE)*(AK521/$AP$27)/12,0)*12,"")))))</f>
        <v/>
      </c>
      <c r="AC521" s="117"/>
      <c r="AD521" s="116">
        <f t="shared" si="117"/>
        <v>0</v>
      </c>
      <c r="AE521" s="117"/>
      <c r="AF521" s="116" t="str">
        <f>IF(C521="3111. Logements",ROUND(VLOOKUP(C521,'Informations générales'!$C$66:$G$70,5,FALSE)*(AK521/$AL$27)/12,0)*12,IF(C521="3112. Logements",ROUND(VLOOKUP(C521,'Informations générales'!$C$66:$G$70,5,FALSE)*(AK521/$AM$27)/12,0)*12,IF(C521="3113. Logements",ROUND(VLOOKUP(C521,'Informations générales'!$C$66:$G$70,5,FALSE)*(AK521/$AN$27)/12,0)*12,IF(C521="3114. Logements",ROUND(VLOOKUP(C521,'Informations générales'!$C$66:$G$70,5,FALSE)*(AK521/$AO$27)/12,0)*12,IF(C521="3115. Logements",ROUND(VLOOKUP(C521,'Informations générales'!$C$66:$G$70,5,FALSE)*(AK521/$AP$27)/12,0)*12,"")))))</f>
        <v/>
      </c>
      <c r="AG521" s="117"/>
      <c r="AH521" s="116" t="str">
        <f t="shared" si="118"/>
        <v/>
      </c>
      <c r="AI521" s="92"/>
      <c r="AJ521" s="78"/>
      <c r="AK521" s="60">
        <f t="shared" si="119"/>
        <v>0</v>
      </c>
      <c r="AL521" s="60"/>
      <c r="AM521" s="60"/>
      <c r="AN521" s="60"/>
      <c r="AO521" s="60"/>
      <c r="AP521" s="60"/>
      <c r="AQ521" s="60">
        <f t="shared" si="109"/>
        <v>0</v>
      </c>
      <c r="AR521" s="60">
        <f t="shared" si="110"/>
        <v>0</v>
      </c>
      <c r="AS521" s="60">
        <f t="shared" si="111"/>
        <v>0</v>
      </c>
      <c r="AT521" s="60">
        <f t="shared" si="112"/>
        <v>0</v>
      </c>
      <c r="AU521" s="60">
        <f t="shared" si="113"/>
        <v>0</v>
      </c>
      <c r="AV521" s="60">
        <f t="shared" si="114"/>
        <v>0</v>
      </c>
      <c r="AW521" s="60">
        <f t="shared" si="115"/>
        <v>0</v>
      </c>
      <c r="AX521" s="60">
        <f t="shared" si="120"/>
        <v>0</v>
      </c>
      <c r="AY521" s="64">
        <f t="shared" si="121"/>
        <v>0</v>
      </c>
      <c r="AZ521" s="65">
        <f t="shared" si="124"/>
        <v>0</v>
      </c>
      <c r="BA521" s="65">
        <f t="shared" si="122"/>
        <v>0</v>
      </c>
    </row>
    <row r="522" spans="3:53" s="17" customFormat="1" x14ac:dyDescent="0.25">
      <c r="C522" s="194"/>
      <c r="D522" s="195"/>
      <c r="E522" s="90"/>
      <c r="F522" s="198"/>
      <c r="G522" s="214"/>
      <c r="H522" s="199"/>
      <c r="I522" s="78"/>
      <c r="J522" s="79"/>
      <c r="K522" s="78"/>
      <c r="L522" s="80"/>
      <c r="M522" s="80"/>
      <c r="N522" s="78" t="s">
        <v>39</v>
      </c>
      <c r="O522" s="113"/>
      <c r="P522" s="155"/>
      <c r="Q522" s="114" t="str">
        <f>IFERROR(MIN(VLOOKUP(ROUNDDOWN(P522,0),'Aide calcul'!$B$2:$C$282,2,FALSE),O522+1),"")</f>
        <v/>
      </c>
      <c r="R522" s="115" t="str">
        <f t="shared" si="116"/>
        <v/>
      </c>
      <c r="S522" s="155"/>
      <c r="T522" s="155"/>
      <c r="U522" s="155"/>
      <c r="V522" s="155"/>
      <c r="W522" s="155"/>
      <c r="X522" s="155"/>
      <c r="Y522" s="155"/>
      <c r="Z522" s="78"/>
      <c r="AA522" s="78"/>
      <c r="AB522" s="116" t="str">
        <f>IF(C522="3111. Logements",ROUND(VLOOKUP(C522,'Informations générales'!$C$66:$D$70,2,FALSE)*(AK522/$AL$27)/12,0)*12,IF(C522="3112. Logements",ROUND(VLOOKUP(C522,'Informations générales'!$C$66:$D$70,2,FALSE)*(AK522/$AM$27)/12,0)*12,IF(C522="3113. Logements",ROUND(VLOOKUP(C522,'Informations générales'!$C$66:$D$70,2,FALSE)*(AK522/$AN$27)/12,0)*12,IF(C522="3114. Logements",ROUND(VLOOKUP(C522,'Informations générales'!$C$66:$D$70,2,FALSE)*(AK522/$AO$27)/12,0)*12,IF(C522="3115. Logements",ROUND(VLOOKUP(C522,'Informations générales'!$C$66:$D$70,2,FALSE)*(AK522/$AP$27)/12,0)*12,"")))))</f>
        <v/>
      </c>
      <c r="AC522" s="117"/>
      <c r="AD522" s="116">
        <f t="shared" si="117"/>
        <v>0</v>
      </c>
      <c r="AE522" s="117"/>
      <c r="AF522" s="116" t="str">
        <f>IF(C522="3111. Logements",ROUND(VLOOKUP(C522,'Informations générales'!$C$66:$G$70,5,FALSE)*(AK522/$AL$27)/12,0)*12,IF(C522="3112. Logements",ROUND(VLOOKUP(C522,'Informations générales'!$C$66:$G$70,5,FALSE)*(AK522/$AM$27)/12,0)*12,IF(C522="3113. Logements",ROUND(VLOOKUP(C522,'Informations générales'!$C$66:$G$70,5,FALSE)*(AK522/$AN$27)/12,0)*12,IF(C522="3114. Logements",ROUND(VLOOKUP(C522,'Informations générales'!$C$66:$G$70,5,FALSE)*(AK522/$AO$27)/12,0)*12,IF(C522="3115. Logements",ROUND(VLOOKUP(C522,'Informations générales'!$C$66:$G$70,5,FALSE)*(AK522/$AP$27)/12,0)*12,"")))))</f>
        <v/>
      </c>
      <c r="AG522" s="117"/>
      <c r="AH522" s="116" t="str">
        <f t="shared" si="118"/>
        <v/>
      </c>
      <c r="AI522" s="92"/>
      <c r="AJ522" s="78"/>
      <c r="AK522" s="60">
        <f t="shared" si="119"/>
        <v>0</v>
      </c>
      <c r="AL522" s="60"/>
      <c r="AM522" s="60"/>
      <c r="AN522" s="60"/>
      <c r="AO522" s="60"/>
      <c r="AP522" s="60"/>
      <c r="AQ522" s="60">
        <f t="shared" si="109"/>
        <v>0</v>
      </c>
      <c r="AR522" s="60">
        <f t="shared" si="110"/>
        <v>0</v>
      </c>
      <c r="AS522" s="60">
        <f t="shared" si="111"/>
        <v>0</v>
      </c>
      <c r="AT522" s="60">
        <f t="shared" si="112"/>
        <v>0</v>
      </c>
      <c r="AU522" s="60">
        <f t="shared" si="113"/>
        <v>0</v>
      </c>
      <c r="AV522" s="60">
        <f t="shared" si="114"/>
        <v>0</v>
      </c>
      <c r="AW522" s="60">
        <f t="shared" si="115"/>
        <v>0</v>
      </c>
      <c r="AX522" s="60">
        <f t="shared" si="120"/>
        <v>0</v>
      </c>
      <c r="AY522" s="64">
        <f t="shared" si="121"/>
        <v>0</v>
      </c>
      <c r="AZ522" s="65">
        <f t="shared" si="124"/>
        <v>0</v>
      </c>
      <c r="BA522" s="65">
        <f t="shared" si="122"/>
        <v>0</v>
      </c>
    </row>
    <row r="523" spans="3:53" s="17" customFormat="1" x14ac:dyDescent="0.25">
      <c r="C523" s="194"/>
      <c r="D523" s="195"/>
      <c r="E523" s="90"/>
      <c r="F523" s="198"/>
      <c r="G523" s="214"/>
      <c r="H523" s="199"/>
      <c r="I523" s="78"/>
      <c r="J523" s="79"/>
      <c r="K523" s="78"/>
      <c r="L523" s="80"/>
      <c r="M523" s="80"/>
      <c r="N523" s="78" t="s">
        <v>39</v>
      </c>
      <c r="O523" s="113"/>
      <c r="P523" s="155"/>
      <c r="Q523" s="114" t="str">
        <f>IFERROR(MIN(VLOOKUP(ROUNDDOWN(P523,0),'Aide calcul'!$B$2:$C$282,2,FALSE),O523+1),"")</f>
        <v/>
      </c>
      <c r="R523" s="115" t="str">
        <f t="shared" si="116"/>
        <v/>
      </c>
      <c r="S523" s="155"/>
      <c r="T523" s="155"/>
      <c r="U523" s="155"/>
      <c r="V523" s="155"/>
      <c r="W523" s="155"/>
      <c r="X523" s="155"/>
      <c r="Y523" s="155"/>
      <c r="Z523" s="78"/>
      <c r="AA523" s="78"/>
      <c r="AB523" s="116" t="str">
        <f>IF(C523="3111. Logements",ROUND(VLOOKUP(C523,'Informations générales'!$C$66:$D$70,2,FALSE)*(AK523/$AL$27)/12,0)*12,IF(C523="3112. Logements",ROUND(VLOOKUP(C523,'Informations générales'!$C$66:$D$70,2,FALSE)*(AK523/$AM$27)/12,0)*12,IF(C523="3113. Logements",ROUND(VLOOKUP(C523,'Informations générales'!$C$66:$D$70,2,FALSE)*(AK523/$AN$27)/12,0)*12,IF(C523="3114. Logements",ROUND(VLOOKUP(C523,'Informations générales'!$C$66:$D$70,2,FALSE)*(AK523/$AO$27)/12,0)*12,IF(C523="3115. Logements",ROUND(VLOOKUP(C523,'Informations générales'!$C$66:$D$70,2,FALSE)*(AK523/$AP$27)/12,0)*12,"")))))</f>
        <v/>
      </c>
      <c r="AC523" s="117"/>
      <c r="AD523" s="116">
        <f t="shared" si="117"/>
        <v>0</v>
      </c>
      <c r="AE523" s="117"/>
      <c r="AF523" s="116" t="str">
        <f>IF(C523="3111. Logements",ROUND(VLOOKUP(C523,'Informations générales'!$C$66:$G$70,5,FALSE)*(AK523/$AL$27)/12,0)*12,IF(C523="3112. Logements",ROUND(VLOOKUP(C523,'Informations générales'!$C$66:$G$70,5,FALSE)*(AK523/$AM$27)/12,0)*12,IF(C523="3113. Logements",ROUND(VLOOKUP(C523,'Informations générales'!$C$66:$G$70,5,FALSE)*(AK523/$AN$27)/12,0)*12,IF(C523="3114. Logements",ROUND(VLOOKUP(C523,'Informations générales'!$C$66:$G$70,5,FALSE)*(AK523/$AO$27)/12,0)*12,IF(C523="3115. Logements",ROUND(VLOOKUP(C523,'Informations générales'!$C$66:$G$70,5,FALSE)*(AK523/$AP$27)/12,0)*12,"")))))</f>
        <v/>
      </c>
      <c r="AG523" s="117"/>
      <c r="AH523" s="116" t="str">
        <f t="shared" si="118"/>
        <v/>
      </c>
      <c r="AI523" s="92"/>
      <c r="AJ523" s="78"/>
      <c r="AK523" s="60">
        <f>AX523*(SUM(1,AY523,AZ523,BA523))</f>
        <v>0</v>
      </c>
      <c r="AL523" s="60"/>
      <c r="AM523" s="60"/>
      <c r="AN523" s="60"/>
      <c r="AO523" s="60"/>
      <c r="AP523" s="60"/>
      <c r="AQ523" s="60">
        <f t="shared" si="109"/>
        <v>0</v>
      </c>
      <c r="AR523" s="60">
        <f t="shared" si="110"/>
        <v>0</v>
      </c>
      <c r="AS523" s="60">
        <f t="shared" si="111"/>
        <v>0</v>
      </c>
      <c r="AT523" s="60">
        <f t="shared" si="112"/>
        <v>0</v>
      </c>
      <c r="AU523" s="60">
        <f t="shared" si="113"/>
        <v>0</v>
      </c>
      <c r="AV523" s="60">
        <f t="shared" si="114"/>
        <v>0</v>
      </c>
      <c r="AW523" s="60">
        <f t="shared" si="115"/>
        <v>0</v>
      </c>
      <c r="AX523" s="60">
        <f t="shared" si="120"/>
        <v>0</v>
      </c>
      <c r="AY523" s="64">
        <f t="shared" si="121"/>
        <v>0</v>
      </c>
      <c r="AZ523" s="65">
        <f t="shared" si="124"/>
        <v>0</v>
      </c>
      <c r="BA523" s="65">
        <f t="shared" si="122"/>
        <v>0</v>
      </c>
    </row>
    <row r="524" spans="3:53" s="17" customFormat="1" x14ac:dyDescent="0.25">
      <c r="C524" s="194"/>
      <c r="D524" s="195"/>
      <c r="E524" s="90"/>
      <c r="F524" s="198"/>
      <c r="G524" s="214"/>
      <c r="H524" s="199"/>
      <c r="I524" s="78"/>
      <c r="J524" s="79"/>
      <c r="K524" s="78"/>
      <c r="L524" s="80"/>
      <c r="M524" s="80"/>
      <c r="N524" s="78" t="s">
        <v>39</v>
      </c>
      <c r="O524" s="113"/>
      <c r="P524" s="155"/>
      <c r="Q524" s="114" t="str">
        <f>IFERROR(MIN(VLOOKUP(ROUNDDOWN(P524,0),'Aide calcul'!$B$2:$C$282,2,FALSE),O524+1),"")</f>
        <v/>
      </c>
      <c r="R524" s="115" t="str">
        <f t="shared" si="116"/>
        <v/>
      </c>
      <c r="S524" s="155"/>
      <c r="T524" s="155"/>
      <c r="U524" s="155"/>
      <c r="V524" s="155"/>
      <c r="W524" s="155"/>
      <c r="X524" s="155"/>
      <c r="Y524" s="155"/>
      <c r="Z524" s="78"/>
      <c r="AA524" s="78"/>
      <c r="AB524" s="116" t="str">
        <f>IF(C524="3111. Logements",ROUND(VLOOKUP(C524,'Informations générales'!$C$66:$D$70,2,FALSE)*(AK524/$AL$27)/12,0)*12,IF(C524="3112. Logements",ROUND(VLOOKUP(C524,'Informations générales'!$C$66:$D$70,2,FALSE)*(AK524/$AM$27)/12,0)*12,IF(C524="3113. Logements",ROUND(VLOOKUP(C524,'Informations générales'!$C$66:$D$70,2,FALSE)*(AK524/$AN$27)/12,0)*12,IF(C524="3114. Logements",ROUND(VLOOKUP(C524,'Informations générales'!$C$66:$D$70,2,FALSE)*(AK524/$AO$27)/12,0)*12,IF(C524="3115. Logements",ROUND(VLOOKUP(C524,'Informations générales'!$C$66:$D$70,2,FALSE)*(AK524/$AP$27)/12,0)*12,"")))))</f>
        <v/>
      </c>
      <c r="AC524" s="117"/>
      <c r="AD524" s="116">
        <f t="shared" si="117"/>
        <v>0</v>
      </c>
      <c r="AE524" s="117"/>
      <c r="AF524" s="116" t="str">
        <f>IF(C524="3111. Logements",ROUND(VLOOKUP(C524,'Informations générales'!$C$66:$G$70,5,FALSE)*(AK524/$AL$27)/12,0)*12,IF(C524="3112. Logements",ROUND(VLOOKUP(C524,'Informations générales'!$C$66:$G$70,5,FALSE)*(AK524/$AM$27)/12,0)*12,IF(C524="3113. Logements",ROUND(VLOOKUP(C524,'Informations générales'!$C$66:$G$70,5,FALSE)*(AK524/$AN$27)/12,0)*12,IF(C524="3114. Logements",ROUND(VLOOKUP(C524,'Informations générales'!$C$66:$G$70,5,FALSE)*(AK524/$AO$27)/12,0)*12,IF(C524="3115. Logements",ROUND(VLOOKUP(C524,'Informations générales'!$C$66:$G$70,5,FALSE)*(AK524/$AP$27)/12,0)*12,"")))))</f>
        <v/>
      </c>
      <c r="AG524" s="117"/>
      <c r="AH524" s="116" t="str">
        <f t="shared" si="118"/>
        <v/>
      </c>
      <c r="AI524" s="92"/>
      <c r="AJ524" s="78"/>
      <c r="AK524" s="60">
        <f t="shared" si="119"/>
        <v>0</v>
      </c>
      <c r="AL524" s="60"/>
      <c r="AM524" s="60"/>
      <c r="AN524" s="60"/>
      <c r="AO524" s="60"/>
      <c r="AP524" s="60"/>
      <c r="AQ524" s="60">
        <f t="shared" si="109"/>
        <v>0</v>
      </c>
      <c r="AR524" s="60">
        <f t="shared" si="110"/>
        <v>0</v>
      </c>
      <c r="AS524" s="60">
        <f t="shared" si="111"/>
        <v>0</v>
      </c>
      <c r="AT524" s="60">
        <f t="shared" si="112"/>
        <v>0</v>
      </c>
      <c r="AU524" s="60">
        <f t="shared" si="113"/>
        <v>0</v>
      </c>
      <c r="AV524" s="60">
        <f t="shared" si="114"/>
        <v>0</v>
      </c>
      <c r="AW524" s="60">
        <f t="shared" si="115"/>
        <v>0</v>
      </c>
      <c r="AX524" s="60">
        <f t="shared" si="120"/>
        <v>0</v>
      </c>
      <c r="AY524" s="64">
        <f t="shared" si="121"/>
        <v>0</v>
      </c>
      <c r="AZ524" s="65">
        <f t="shared" si="124"/>
        <v>0</v>
      </c>
      <c r="BA524" s="65">
        <f t="shared" si="122"/>
        <v>0</v>
      </c>
    </row>
    <row r="525" spans="3:53" s="17" customFormat="1" x14ac:dyDescent="0.25">
      <c r="C525" s="194"/>
      <c r="D525" s="195"/>
      <c r="E525" s="90"/>
      <c r="F525" s="198"/>
      <c r="G525" s="214"/>
      <c r="H525" s="199"/>
      <c r="I525" s="78"/>
      <c r="J525" s="79"/>
      <c r="K525" s="78"/>
      <c r="L525" s="80"/>
      <c r="M525" s="80"/>
      <c r="N525" s="78" t="s">
        <v>39</v>
      </c>
      <c r="O525" s="113"/>
      <c r="P525" s="155"/>
      <c r="Q525" s="114" t="str">
        <f>IFERROR(MIN(VLOOKUP(ROUNDDOWN(P525,0),'Aide calcul'!$B$2:$C$282,2,FALSE),O525+1),"")</f>
        <v/>
      </c>
      <c r="R525" s="115" t="str">
        <f t="shared" si="116"/>
        <v/>
      </c>
      <c r="S525" s="155"/>
      <c r="T525" s="155"/>
      <c r="U525" s="155"/>
      <c r="V525" s="155"/>
      <c r="W525" s="155"/>
      <c r="X525" s="155"/>
      <c r="Y525" s="155"/>
      <c r="Z525" s="78"/>
      <c r="AA525" s="78"/>
      <c r="AB525" s="116" t="str">
        <f>IF(C525="3111. Logements",ROUND(VLOOKUP(C525,'Informations générales'!$C$66:$D$70,2,FALSE)*(AK525/$AL$27)/12,0)*12,IF(C525="3112. Logements",ROUND(VLOOKUP(C525,'Informations générales'!$C$66:$D$70,2,FALSE)*(AK525/$AM$27)/12,0)*12,IF(C525="3113. Logements",ROUND(VLOOKUP(C525,'Informations générales'!$C$66:$D$70,2,FALSE)*(AK525/$AN$27)/12,0)*12,IF(C525="3114. Logements",ROUND(VLOOKUP(C525,'Informations générales'!$C$66:$D$70,2,FALSE)*(AK525/$AO$27)/12,0)*12,IF(C525="3115. Logements",ROUND(VLOOKUP(C525,'Informations générales'!$C$66:$D$70,2,FALSE)*(AK525/$AP$27)/12,0)*12,"")))))</f>
        <v/>
      </c>
      <c r="AC525" s="117"/>
      <c r="AD525" s="116">
        <f t="shared" si="117"/>
        <v>0</v>
      </c>
      <c r="AE525" s="117"/>
      <c r="AF525" s="116" t="str">
        <f>IF(C525="3111. Logements",ROUND(VLOOKUP(C525,'Informations générales'!$C$66:$G$70,5,FALSE)*(AK525/$AL$27)/12,0)*12,IF(C525="3112. Logements",ROUND(VLOOKUP(C525,'Informations générales'!$C$66:$G$70,5,FALSE)*(AK525/$AM$27)/12,0)*12,IF(C525="3113. Logements",ROUND(VLOOKUP(C525,'Informations générales'!$C$66:$G$70,5,FALSE)*(AK525/$AN$27)/12,0)*12,IF(C525="3114. Logements",ROUND(VLOOKUP(C525,'Informations générales'!$C$66:$G$70,5,FALSE)*(AK525/$AO$27)/12,0)*12,IF(C525="3115. Logements",ROUND(VLOOKUP(C525,'Informations générales'!$C$66:$G$70,5,FALSE)*(AK525/$AP$27)/12,0)*12,"")))))</f>
        <v/>
      </c>
      <c r="AG525" s="117"/>
      <c r="AH525" s="116" t="str">
        <f t="shared" si="118"/>
        <v/>
      </c>
      <c r="AI525" s="92"/>
      <c r="AJ525" s="78"/>
      <c r="AK525" s="60">
        <f t="shared" si="119"/>
        <v>0</v>
      </c>
      <c r="AL525" s="60"/>
      <c r="AM525" s="60"/>
      <c r="AN525" s="60"/>
      <c r="AO525" s="60"/>
      <c r="AP525" s="60"/>
      <c r="AQ525" s="60">
        <f t="shared" si="109"/>
        <v>0</v>
      </c>
      <c r="AR525" s="60">
        <f t="shared" si="110"/>
        <v>0</v>
      </c>
      <c r="AS525" s="60">
        <f t="shared" si="111"/>
        <v>0</v>
      </c>
      <c r="AT525" s="60">
        <f t="shared" si="112"/>
        <v>0</v>
      </c>
      <c r="AU525" s="60">
        <f t="shared" si="113"/>
        <v>0</v>
      </c>
      <c r="AV525" s="60">
        <f t="shared" si="114"/>
        <v>0</v>
      </c>
      <c r="AW525" s="60">
        <f t="shared" si="115"/>
        <v>0</v>
      </c>
      <c r="AX525" s="60">
        <f t="shared" si="120"/>
        <v>0</v>
      </c>
      <c r="AY525" s="64">
        <f t="shared" si="121"/>
        <v>0</v>
      </c>
      <c r="AZ525" s="65">
        <f t="shared" si="124"/>
        <v>0</v>
      </c>
      <c r="BA525" s="65">
        <f t="shared" si="122"/>
        <v>0</v>
      </c>
    </row>
    <row r="526" spans="3:53" s="17" customFormat="1" x14ac:dyDescent="0.25">
      <c r="C526" s="194"/>
      <c r="D526" s="195"/>
      <c r="E526" s="90"/>
      <c r="F526" s="198"/>
      <c r="G526" s="214"/>
      <c r="H526" s="199"/>
      <c r="I526" s="78"/>
      <c r="J526" s="79"/>
      <c r="K526" s="78"/>
      <c r="L526" s="80"/>
      <c r="M526" s="80"/>
      <c r="N526" s="78" t="s">
        <v>39</v>
      </c>
      <c r="O526" s="113"/>
      <c r="P526" s="155"/>
      <c r="Q526" s="114" t="str">
        <f>IFERROR(MIN(VLOOKUP(ROUNDDOWN(P526,0),'Aide calcul'!$B$2:$C$282,2,FALSE),O526+1),"")</f>
        <v/>
      </c>
      <c r="R526" s="115" t="str">
        <f t="shared" si="116"/>
        <v/>
      </c>
      <c r="S526" s="155"/>
      <c r="T526" s="155"/>
      <c r="U526" s="155"/>
      <c r="V526" s="155"/>
      <c r="W526" s="155"/>
      <c r="X526" s="155"/>
      <c r="Y526" s="155"/>
      <c r="Z526" s="78"/>
      <c r="AA526" s="78"/>
      <c r="AB526" s="116" t="str">
        <f>IF(C526="3111. Logements",ROUND(VLOOKUP(C526,'Informations générales'!$C$66:$D$70,2,FALSE)*(AK526/$AL$27)/12,0)*12,IF(C526="3112. Logements",ROUND(VLOOKUP(C526,'Informations générales'!$C$66:$D$70,2,FALSE)*(AK526/$AM$27)/12,0)*12,IF(C526="3113. Logements",ROUND(VLOOKUP(C526,'Informations générales'!$C$66:$D$70,2,FALSE)*(AK526/$AN$27)/12,0)*12,IF(C526="3114. Logements",ROUND(VLOOKUP(C526,'Informations générales'!$C$66:$D$70,2,FALSE)*(AK526/$AO$27)/12,0)*12,IF(C526="3115. Logements",ROUND(VLOOKUP(C526,'Informations générales'!$C$66:$D$70,2,FALSE)*(AK526/$AP$27)/12,0)*12,"")))))</f>
        <v/>
      </c>
      <c r="AC526" s="117"/>
      <c r="AD526" s="116">
        <f t="shared" si="117"/>
        <v>0</v>
      </c>
      <c r="AE526" s="117"/>
      <c r="AF526" s="116" t="str">
        <f>IF(C526="3111. Logements",ROUND(VLOOKUP(C526,'Informations générales'!$C$66:$G$70,5,FALSE)*(AK526/$AL$27)/12,0)*12,IF(C526="3112. Logements",ROUND(VLOOKUP(C526,'Informations générales'!$C$66:$G$70,5,FALSE)*(AK526/$AM$27)/12,0)*12,IF(C526="3113. Logements",ROUND(VLOOKUP(C526,'Informations générales'!$C$66:$G$70,5,FALSE)*(AK526/$AN$27)/12,0)*12,IF(C526="3114. Logements",ROUND(VLOOKUP(C526,'Informations générales'!$C$66:$G$70,5,FALSE)*(AK526/$AO$27)/12,0)*12,IF(C526="3115. Logements",ROUND(VLOOKUP(C526,'Informations générales'!$C$66:$G$70,5,FALSE)*(AK526/$AP$27)/12,0)*12,"")))))</f>
        <v/>
      </c>
      <c r="AG526" s="117"/>
      <c r="AH526" s="116" t="str">
        <f t="shared" si="118"/>
        <v/>
      </c>
      <c r="AI526" s="92"/>
      <c r="AJ526" s="78"/>
      <c r="AK526" s="60">
        <f t="shared" si="119"/>
        <v>0</v>
      </c>
      <c r="AL526" s="60"/>
      <c r="AM526" s="60"/>
      <c r="AN526" s="60"/>
      <c r="AO526" s="60"/>
      <c r="AP526" s="60"/>
      <c r="AQ526" s="60">
        <f t="shared" si="109"/>
        <v>0</v>
      </c>
      <c r="AR526" s="60">
        <f t="shared" si="110"/>
        <v>0</v>
      </c>
      <c r="AS526" s="60">
        <f t="shared" si="111"/>
        <v>0</v>
      </c>
      <c r="AT526" s="60">
        <f t="shared" si="112"/>
        <v>0</v>
      </c>
      <c r="AU526" s="60">
        <f t="shared" si="113"/>
        <v>0</v>
      </c>
      <c r="AV526" s="60">
        <f t="shared" si="114"/>
        <v>0</v>
      </c>
      <c r="AW526" s="60">
        <f t="shared" si="115"/>
        <v>0</v>
      </c>
      <c r="AX526" s="60">
        <f t="shared" si="120"/>
        <v>0</v>
      </c>
      <c r="AY526" s="64">
        <f t="shared" si="121"/>
        <v>0</v>
      </c>
      <c r="AZ526" s="65">
        <f t="shared" si="124"/>
        <v>0</v>
      </c>
      <c r="BA526" s="65">
        <f t="shared" si="122"/>
        <v>0</v>
      </c>
    </row>
  </sheetData>
  <sheetProtection algorithmName="SHA-512" hashValue="229xTnTZOY5Z6TLrwN90ePB98yu0yCVH4iLKzWqAPJw7cKQSiiZCfmGdGYgCL3NFrsXdCumtFNO9G0VcLdEUMg==" saltValue="Pc65RHbCIrF9L1zN9lJm0w==" spinCount="100000" sheet="1" objects="1" scenarios="1"/>
  <mergeCells count="1003">
    <mergeCell ref="C11:E11"/>
    <mergeCell ref="C524:D524"/>
    <mergeCell ref="F524:H524"/>
    <mergeCell ref="C525:D525"/>
    <mergeCell ref="F525:H525"/>
    <mergeCell ref="C526:D526"/>
    <mergeCell ref="F526:H526"/>
    <mergeCell ref="C519:D519"/>
    <mergeCell ref="F519:H519"/>
    <mergeCell ref="C520:D520"/>
    <mergeCell ref="F520:H520"/>
    <mergeCell ref="C521:D521"/>
    <mergeCell ref="F521:H521"/>
    <mergeCell ref="C522:D522"/>
    <mergeCell ref="F522:H522"/>
    <mergeCell ref="C523:D523"/>
    <mergeCell ref="F523:H523"/>
    <mergeCell ref="C514:D514"/>
    <mergeCell ref="F514:H514"/>
    <mergeCell ref="C515:D515"/>
    <mergeCell ref="F515:H515"/>
    <mergeCell ref="C516:D516"/>
    <mergeCell ref="F516:H516"/>
    <mergeCell ref="C517:D517"/>
    <mergeCell ref="F517:H517"/>
    <mergeCell ref="C518:D518"/>
    <mergeCell ref="F518:H518"/>
    <mergeCell ref="C509:D509"/>
    <mergeCell ref="F509:H509"/>
    <mergeCell ref="C510:D510"/>
    <mergeCell ref="F510:H510"/>
    <mergeCell ref="C511:D511"/>
    <mergeCell ref="F511:H511"/>
    <mergeCell ref="C512:D512"/>
    <mergeCell ref="F512:H512"/>
    <mergeCell ref="C513:D513"/>
    <mergeCell ref="F513:H513"/>
    <mergeCell ref="C504:D504"/>
    <mergeCell ref="F504:H504"/>
    <mergeCell ref="C505:D505"/>
    <mergeCell ref="F505:H505"/>
    <mergeCell ref="C506:D506"/>
    <mergeCell ref="F506:H506"/>
    <mergeCell ref="C507:D507"/>
    <mergeCell ref="F507:H507"/>
    <mergeCell ref="C508:D508"/>
    <mergeCell ref="F508:H508"/>
    <mergeCell ref="C499:D499"/>
    <mergeCell ref="F499:H499"/>
    <mergeCell ref="C500:D500"/>
    <mergeCell ref="F500:H500"/>
    <mergeCell ref="C501:D501"/>
    <mergeCell ref="F501:H501"/>
    <mergeCell ref="C502:D502"/>
    <mergeCell ref="F502:H502"/>
    <mergeCell ref="C503:D503"/>
    <mergeCell ref="F503:H503"/>
    <mergeCell ref="C494:D494"/>
    <mergeCell ref="F494:H494"/>
    <mergeCell ref="C495:D495"/>
    <mergeCell ref="F495:H495"/>
    <mergeCell ref="C496:D496"/>
    <mergeCell ref="F496:H496"/>
    <mergeCell ref="C497:D497"/>
    <mergeCell ref="F497:H497"/>
    <mergeCell ref="C498:D498"/>
    <mergeCell ref="F498:H498"/>
    <mergeCell ref="C489:D489"/>
    <mergeCell ref="F489:H489"/>
    <mergeCell ref="C490:D490"/>
    <mergeCell ref="F490:H490"/>
    <mergeCell ref="C491:D491"/>
    <mergeCell ref="F491:H491"/>
    <mergeCell ref="C492:D492"/>
    <mergeCell ref="F492:H492"/>
    <mergeCell ref="C493:D493"/>
    <mergeCell ref="F493:H493"/>
    <mergeCell ref="C484:D484"/>
    <mergeCell ref="F484:H484"/>
    <mergeCell ref="C485:D485"/>
    <mergeCell ref="F485:H485"/>
    <mergeCell ref="C486:D486"/>
    <mergeCell ref="F486:H486"/>
    <mergeCell ref="C487:D487"/>
    <mergeCell ref="F487:H487"/>
    <mergeCell ref="C488:D488"/>
    <mergeCell ref="F488:H488"/>
    <mergeCell ref="C479:D479"/>
    <mergeCell ref="F479:H479"/>
    <mergeCell ref="C480:D480"/>
    <mergeCell ref="F480:H480"/>
    <mergeCell ref="C481:D481"/>
    <mergeCell ref="F481:H481"/>
    <mergeCell ref="C482:D482"/>
    <mergeCell ref="F482:H482"/>
    <mergeCell ref="C483:D483"/>
    <mergeCell ref="F483:H483"/>
    <mergeCell ref="C474:D474"/>
    <mergeCell ref="F474:H474"/>
    <mergeCell ref="C475:D475"/>
    <mergeCell ref="F475:H475"/>
    <mergeCell ref="C476:D476"/>
    <mergeCell ref="F476:H476"/>
    <mergeCell ref="C477:D477"/>
    <mergeCell ref="F477:H477"/>
    <mergeCell ref="C478:D478"/>
    <mergeCell ref="F478:H478"/>
    <mergeCell ref="C469:D469"/>
    <mergeCell ref="F469:H469"/>
    <mergeCell ref="C470:D470"/>
    <mergeCell ref="F470:H470"/>
    <mergeCell ref="C471:D471"/>
    <mergeCell ref="F471:H471"/>
    <mergeCell ref="C472:D472"/>
    <mergeCell ref="F472:H472"/>
    <mergeCell ref="C473:D473"/>
    <mergeCell ref="F473:H473"/>
    <mergeCell ref="C464:D464"/>
    <mergeCell ref="F464:H464"/>
    <mergeCell ref="C465:D465"/>
    <mergeCell ref="F465:H465"/>
    <mergeCell ref="C466:D466"/>
    <mergeCell ref="F466:H466"/>
    <mergeCell ref="C467:D467"/>
    <mergeCell ref="F467:H467"/>
    <mergeCell ref="C468:D468"/>
    <mergeCell ref="F468:H468"/>
    <mergeCell ref="C459:D459"/>
    <mergeCell ref="F459:H459"/>
    <mergeCell ref="C460:D460"/>
    <mergeCell ref="F460:H460"/>
    <mergeCell ref="C461:D461"/>
    <mergeCell ref="F461:H461"/>
    <mergeCell ref="C462:D462"/>
    <mergeCell ref="F462:H462"/>
    <mergeCell ref="C463:D463"/>
    <mergeCell ref="F463:H463"/>
    <mergeCell ref="C454:D454"/>
    <mergeCell ref="F454:H454"/>
    <mergeCell ref="C455:D455"/>
    <mergeCell ref="F455:H455"/>
    <mergeCell ref="C456:D456"/>
    <mergeCell ref="F456:H456"/>
    <mergeCell ref="C457:D457"/>
    <mergeCell ref="F457:H457"/>
    <mergeCell ref="C458:D458"/>
    <mergeCell ref="F458:H458"/>
    <mergeCell ref="C449:D449"/>
    <mergeCell ref="F449:H449"/>
    <mergeCell ref="C450:D450"/>
    <mergeCell ref="F450:H450"/>
    <mergeCell ref="C451:D451"/>
    <mergeCell ref="F451:H451"/>
    <mergeCell ref="C452:D452"/>
    <mergeCell ref="F452:H452"/>
    <mergeCell ref="C453:D453"/>
    <mergeCell ref="F453:H453"/>
    <mergeCell ref="C444:D444"/>
    <mergeCell ref="F444:H444"/>
    <mergeCell ref="C445:D445"/>
    <mergeCell ref="F445:H445"/>
    <mergeCell ref="C446:D446"/>
    <mergeCell ref="F446:H446"/>
    <mergeCell ref="C447:D447"/>
    <mergeCell ref="F447:H447"/>
    <mergeCell ref="C448:D448"/>
    <mergeCell ref="F448:H448"/>
    <mergeCell ref="C439:D439"/>
    <mergeCell ref="F439:H439"/>
    <mergeCell ref="C440:D440"/>
    <mergeCell ref="F440:H440"/>
    <mergeCell ref="C441:D441"/>
    <mergeCell ref="F441:H441"/>
    <mergeCell ref="C442:D442"/>
    <mergeCell ref="F442:H442"/>
    <mergeCell ref="C443:D443"/>
    <mergeCell ref="F443:H443"/>
    <mergeCell ref="C434:D434"/>
    <mergeCell ref="F434:H434"/>
    <mergeCell ref="C435:D435"/>
    <mergeCell ref="F435:H435"/>
    <mergeCell ref="C436:D436"/>
    <mergeCell ref="F436:H436"/>
    <mergeCell ref="C437:D437"/>
    <mergeCell ref="F437:H437"/>
    <mergeCell ref="C438:D438"/>
    <mergeCell ref="F438:H438"/>
    <mergeCell ref="C429:D429"/>
    <mergeCell ref="F429:H429"/>
    <mergeCell ref="C430:D430"/>
    <mergeCell ref="F430:H430"/>
    <mergeCell ref="C431:D431"/>
    <mergeCell ref="F431:H431"/>
    <mergeCell ref="C432:D432"/>
    <mergeCell ref="F432:H432"/>
    <mergeCell ref="C433:D433"/>
    <mergeCell ref="F433:H433"/>
    <mergeCell ref="C424:D424"/>
    <mergeCell ref="F424:H424"/>
    <mergeCell ref="C425:D425"/>
    <mergeCell ref="F425:H425"/>
    <mergeCell ref="C426:D426"/>
    <mergeCell ref="F426:H426"/>
    <mergeCell ref="C427:D427"/>
    <mergeCell ref="F427:H427"/>
    <mergeCell ref="C428:D428"/>
    <mergeCell ref="F428:H428"/>
    <mergeCell ref="C419:D419"/>
    <mergeCell ref="F419:H419"/>
    <mergeCell ref="C420:D420"/>
    <mergeCell ref="F420:H420"/>
    <mergeCell ref="C421:D421"/>
    <mergeCell ref="F421:H421"/>
    <mergeCell ref="C422:D422"/>
    <mergeCell ref="F422:H422"/>
    <mergeCell ref="C423:D423"/>
    <mergeCell ref="F423:H423"/>
    <mergeCell ref="C414:D414"/>
    <mergeCell ref="F414:H414"/>
    <mergeCell ref="C415:D415"/>
    <mergeCell ref="F415:H415"/>
    <mergeCell ref="C416:D416"/>
    <mergeCell ref="F416:H416"/>
    <mergeCell ref="C417:D417"/>
    <mergeCell ref="F417:H417"/>
    <mergeCell ref="C418:D418"/>
    <mergeCell ref="F418:H418"/>
    <mergeCell ref="C409:D409"/>
    <mergeCell ref="F409:H409"/>
    <mergeCell ref="C410:D410"/>
    <mergeCell ref="F410:H410"/>
    <mergeCell ref="C411:D411"/>
    <mergeCell ref="F411:H411"/>
    <mergeCell ref="C412:D412"/>
    <mergeCell ref="F412:H412"/>
    <mergeCell ref="C413:D413"/>
    <mergeCell ref="F413:H413"/>
    <mergeCell ref="C404:D404"/>
    <mergeCell ref="F404:H404"/>
    <mergeCell ref="C405:D405"/>
    <mergeCell ref="F405:H405"/>
    <mergeCell ref="C406:D406"/>
    <mergeCell ref="F406:H406"/>
    <mergeCell ref="C407:D407"/>
    <mergeCell ref="F407:H407"/>
    <mergeCell ref="C408:D408"/>
    <mergeCell ref="F408:H408"/>
    <mergeCell ref="C399:D399"/>
    <mergeCell ref="F399:H399"/>
    <mergeCell ref="C400:D400"/>
    <mergeCell ref="F400:H400"/>
    <mergeCell ref="C396:D396"/>
    <mergeCell ref="F396:H396"/>
    <mergeCell ref="C397:D397"/>
    <mergeCell ref="F397:H397"/>
    <mergeCell ref="C398:D398"/>
    <mergeCell ref="F398:H398"/>
    <mergeCell ref="C393:D393"/>
    <mergeCell ref="F393:H393"/>
    <mergeCell ref="C394:D394"/>
    <mergeCell ref="F394:H394"/>
    <mergeCell ref="C395:D395"/>
    <mergeCell ref="F395:H395"/>
    <mergeCell ref="C390:D390"/>
    <mergeCell ref="F390:H390"/>
    <mergeCell ref="C391:D391"/>
    <mergeCell ref="F391:H391"/>
    <mergeCell ref="C392:D392"/>
    <mergeCell ref="F392:H392"/>
    <mergeCell ref="C387:D387"/>
    <mergeCell ref="F387:H387"/>
    <mergeCell ref="C388:D388"/>
    <mergeCell ref="F388:H388"/>
    <mergeCell ref="C389:D389"/>
    <mergeCell ref="F389:H389"/>
    <mergeCell ref="C384:D384"/>
    <mergeCell ref="F384:H384"/>
    <mergeCell ref="C385:D385"/>
    <mergeCell ref="F385:H385"/>
    <mergeCell ref="C386:D386"/>
    <mergeCell ref="F386:H386"/>
    <mergeCell ref="C381:D381"/>
    <mergeCell ref="F381:H381"/>
    <mergeCell ref="C382:D382"/>
    <mergeCell ref="F382:H382"/>
    <mergeCell ref="C383:D383"/>
    <mergeCell ref="F383:H383"/>
    <mergeCell ref="C378:D378"/>
    <mergeCell ref="F378:H378"/>
    <mergeCell ref="C379:D379"/>
    <mergeCell ref="F379:H379"/>
    <mergeCell ref="C380:D380"/>
    <mergeCell ref="F380:H380"/>
    <mergeCell ref="C375:D375"/>
    <mergeCell ref="F375:H375"/>
    <mergeCell ref="C376:D376"/>
    <mergeCell ref="F376:H376"/>
    <mergeCell ref="C377:D377"/>
    <mergeCell ref="F377:H377"/>
    <mergeCell ref="C372:D372"/>
    <mergeCell ref="F372:H372"/>
    <mergeCell ref="C373:D373"/>
    <mergeCell ref="F373:H373"/>
    <mergeCell ref="C374:D374"/>
    <mergeCell ref="F374:H374"/>
    <mergeCell ref="C369:D369"/>
    <mergeCell ref="F369:H369"/>
    <mergeCell ref="C370:D370"/>
    <mergeCell ref="F370:H370"/>
    <mergeCell ref="C371:D371"/>
    <mergeCell ref="F371:H371"/>
    <mergeCell ref="C366:D366"/>
    <mergeCell ref="F366:H366"/>
    <mergeCell ref="C367:D367"/>
    <mergeCell ref="F367:H367"/>
    <mergeCell ref="C368:D368"/>
    <mergeCell ref="F368:H368"/>
    <mergeCell ref="C363:D363"/>
    <mergeCell ref="F363:H363"/>
    <mergeCell ref="C364:D364"/>
    <mergeCell ref="F364:H364"/>
    <mergeCell ref="C365:D365"/>
    <mergeCell ref="F365:H365"/>
    <mergeCell ref="C360:D360"/>
    <mergeCell ref="F360:H360"/>
    <mergeCell ref="C361:D361"/>
    <mergeCell ref="F361:H361"/>
    <mergeCell ref="C362:D362"/>
    <mergeCell ref="F362:H362"/>
    <mergeCell ref="C357:D357"/>
    <mergeCell ref="F357:H357"/>
    <mergeCell ref="C358:D358"/>
    <mergeCell ref="F358:H358"/>
    <mergeCell ref="C359:D359"/>
    <mergeCell ref="F359:H359"/>
    <mergeCell ref="C354:D354"/>
    <mergeCell ref="F354:H354"/>
    <mergeCell ref="C355:D355"/>
    <mergeCell ref="F355:H355"/>
    <mergeCell ref="C356:D356"/>
    <mergeCell ref="F356:H356"/>
    <mergeCell ref="C351:D351"/>
    <mergeCell ref="F351:H351"/>
    <mergeCell ref="C352:D352"/>
    <mergeCell ref="F352:H352"/>
    <mergeCell ref="C353:D353"/>
    <mergeCell ref="F353:H353"/>
    <mergeCell ref="C348:D348"/>
    <mergeCell ref="F348:H348"/>
    <mergeCell ref="C349:D349"/>
    <mergeCell ref="F349:H349"/>
    <mergeCell ref="C350:D350"/>
    <mergeCell ref="F350:H350"/>
    <mergeCell ref="C345:D345"/>
    <mergeCell ref="F345:H345"/>
    <mergeCell ref="C346:D346"/>
    <mergeCell ref="F346:H346"/>
    <mergeCell ref="C347:D347"/>
    <mergeCell ref="F347:H347"/>
    <mergeCell ref="C342:D342"/>
    <mergeCell ref="F342:H342"/>
    <mergeCell ref="C343:D343"/>
    <mergeCell ref="F343:H343"/>
    <mergeCell ref="C344:D344"/>
    <mergeCell ref="F344:H344"/>
    <mergeCell ref="C339:D339"/>
    <mergeCell ref="F339:H339"/>
    <mergeCell ref="C340:D340"/>
    <mergeCell ref="F340:H340"/>
    <mergeCell ref="C341:D341"/>
    <mergeCell ref="F341:H341"/>
    <mergeCell ref="C336:D336"/>
    <mergeCell ref="F336:H336"/>
    <mergeCell ref="C337:D337"/>
    <mergeCell ref="F337:H337"/>
    <mergeCell ref="C338:D338"/>
    <mergeCell ref="F338:H338"/>
    <mergeCell ref="C333:D333"/>
    <mergeCell ref="F333:H333"/>
    <mergeCell ref="C334:D334"/>
    <mergeCell ref="F334:H334"/>
    <mergeCell ref="C335:D335"/>
    <mergeCell ref="F335:H335"/>
    <mergeCell ref="C330:D330"/>
    <mergeCell ref="F330:H330"/>
    <mergeCell ref="C331:D331"/>
    <mergeCell ref="F331:H331"/>
    <mergeCell ref="C332:D332"/>
    <mergeCell ref="F332:H332"/>
    <mergeCell ref="C327:D327"/>
    <mergeCell ref="F327:H327"/>
    <mergeCell ref="C328:D328"/>
    <mergeCell ref="F328:H328"/>
    <mergeCell ref="C329:D329"/>
    <mergeCell ref="F329:H329"/>
    <mergeCell ref="C324:D324"/>
    <mergeCell ref="F324:H324"/>
    <mergeCell ref="C325:D325"/>
    <mergeCell ref="F325:H325"/>
    <mergeCell ref="C326:D326"/>
    <mergeCell ref="F326:H326"/>
    <mergeCell ref="C321:D321"/>
    <mergeCell ref="F321:H321"/>
    <mergeCell ref="C322:D322"/>
    <mergeCell ref="F322:H322"/>
    <mergeCell ref="C323:D323"/>
    <mergeCell ref="F323:H323"/>
    <mergeCell ref="C318:D318"/>
    <mergeCell ref="F318:H318"/>
    <mergeCell ref="C319:D319"/>
    <mergeCell ref="F319:H319"/>
    <mergeCell ref="C320:D320"/>
    <mergeCell ref="F320:H320"/>
    <mergeCell ref="C315:D315"/>
    <mergeCell ref="F315:H315"/>
    <mergeCell ref="C316:D316"/>
    <mergeCell ref="F316:H316"/>
    <mergeCell ref="C317:D317"/>
    <mergeCell ref="F317:H317"/>
    <mergeCell ref="C312:D312"/>
    <mergeCell ref="F312:H312"/>
    <mergeCell ref="C313:D313"/>
    <mergeCell ref="F313:H313"/>
    <mergeCell ref="C314:D314"/>
    <mergeCell ref="F314:H314"/>
    <mergeCell ref="C309:D309"/>
    <mergeCell ref="F309:H309"/>
    <mergeCell ref="C310:D310"/>
    <mergeCell ref="F310:H310"/>
    <mergeCell ref="C311:D311"/>
    <mergeCell ref="F311:H311"/>
    <mergeCell ref="C306:D306"/>
    <mergeCell ref="F306:H306"/>
    <mergeCell ref="C307:D307"/>
    <mergeCell ref="F307:H307"/>
    <mergeCell ref="C308:D308"/>
    <mergeCell ref="F308:H308"/>
    <mergeCell ref="C303:D303"/>
    <mergeCell ref="F303:H303"/>
    <mergeCell ref="C304:D304"/>
    <mergeCell ref="F304:H304"/>
    <mergeCell ref="C305:D305"/>
    <mergeCell ref="F305:H305"/>
    <mergeCell ref="C300:D300"/>
    <mergeCell ref="F300:H300"/>
    <mergeCell ref="C301:D301"/>
    <mergeCell ref="F301:H301"/>
    <mergeCell ref="C302:D302"/>
    <mergeCell ref="F302:H302"/>
    <mergeCell ref="C297:D297"/>
    <mergeCell ref="F297:H297"/>
    <mergeCell ref="C298:D298"/>
    <mergeCell ref="F298:H298"/>
    <mergeCell ref="C299:D299"/>
    <mergeCell ref="F299:H299"/>
    <mergeCell ref="C294:D294"/>
    <mergeCell ref="F294:H294"/>
    <mergeCell ref="C295:D295"/>
    <mergeCell ref="F295:H295"/>
    <mergeCell ref="C296:D296"/>
    <mergeCell ref="F296:H296"/>
    <mergeCell ref="C291:D291"/>
    <mergeCell ref="F291:H291"/>
    <mergeCell ref="C292:D292"/>
    <mergeCell ref="F292:H292"/>
    <mergeCell ref="C293:D293"/>
    <mergeCell ref="F293:H293"/>
    <mergeCell ref="C288:D288"/>
    <mergeCell ref="F288:H288"/>
    <mergeCell ref="C289:D289"/>
    <mergeCell ref="F289:H289"/>
    <mergeCell ref="C290:D290"/>
    <mergeCell ref="F290:H290"/>
    <mergeCell ref="C285:D285"/>
    <mergeCell ref="F285:H285"/>
    <mergeCell ref="C286:D286"/>
    <mergeCell ref="F286:H286"/>
    <mergeCell ref="C287:D287"/>
    <mergeCell ref="F287:H287"/>
    <mergeCell ref="C282:D282"/>
    <mergeCell ref="F282:H282"/>
    <mergeCell ref="C283:D283"/>
    <mergeCell ref="F283:H283"/>
    <mergeCell ref="C284:D284"/>
    <mergeCell ref="F284:H284"/>
    <mergeCell ref="C279:D279"/>
    <mergeCell ref="F279:H279"/>
    <mergeCell ref="C280:D280"/>
    <mergeCell ref="F280:H280"/>
    <mergeCell ref="C281:D281"/>
    <mergeCell ref="F281:H281"/>
    <mergeCell ref="C276:D276"/>
    <mergeCell ref="F276:H276"/>
    <mergeCell ref="C277:D277"/>
    <mergeCell ref="F277:H277"/>
    <mergeCell ref="C278:D278"/>
    <mergeCell ref="F278:H278"/>
    <mergeCell ref="C273:D273"/>
    <mergeCell ref="F273:H273"/>
    <mergeCell ref="C274:D274"/>
    <mergeCell ref="F274:H274"/>
    <mergeCell ref="C275:D275"/>
    <mergeCell ref="F275:H275"/>
    <mergeCell ref="C270:D270"/>
    <mergeCell ref="F270:H270"/>
    <mergeCell ref="C271:D271"/>
    <mergeCell ref="F271:H271"/>
    <mergeCell ref="C272:D272"/>
    <mergeCell ref="F272:H272"/>
    <mergeCell ref="C267:D267"/>
    <mergeCell ref="F267:H267"/>
    <mergeCell ref="C268:D268"/>
    <mergeCell ref="F268:H268"/>
    <mergeCell ref="C269:D269"/>
    <mergeCell ref="F269:H269"/>
    <mergeCell ref="C264:D264"/>
    <mergeCell ref="F264:H264"/>
    <mergeCell ref="C265:D265"/>
    <mergeCell ref="F265:H265"/>
    <mergeCell ref="C266:D266"/>
    <mergeCell ref="F266:H266"/>
    <mergeCell ref="C261:D261"/>
    <mergeCell ref="F261:H261"/>
    <mergeCell ref="C262:D262"/>
    <mergeCell ref="F262:H262"/>
    <mergeCell ref="C263:D263"/>
    <mergeCell ref="F263:H263"/>
    <mergeCell ref="C258:D258"/>
    <mergeCell ref="F258:H258"/>
    <mergeCell ref="C259:D259"/>
    <mergeCell ref="F259:H259"/>
    <mergeCell ref="C260:D260"/>
    <mergeCell ref="F260:H260"/>
    <mergeCell ref="C255:D255"/>
    <mergeCell ref="F255:H255"/>
    <mergeCell ref="C256:D256"/>
    <mergeCell ref="F256:H256"/>
    <mergeCell ref="C257:D257"/>
    <mergeCell ref="F257:H257"/>
    <mergeCell ref="C252:D252"/>
    <mergeCell ref="F252:H252"/>
    <mergeCell ref="C253:D253"/>
    <mergeCell ref="F253:H253"/>
    <mergeCell ref="C254:D254"/>
    <mergeCell ref="F254:H254"/>
    <mergeCell ref="C249:D249"/>
    <mergeCell ref="F249:H249"/>
    <mergeCell ref="C250:D250"/>
    <mergeCell ref="F250:H250"/>
    <mergeCell ref="C251:D251"/>
    <mergeCell ref="F251:H251"/>
    <mergeCell ref="C246:D246"/>
    <mergeCell ref="F246:H246"/>
    <mergeCell ref="C247:D247"/>
    <mergeCell ref="F247:H247"/>
    <mergeCell ref="C248:D248"/>
    <mergeCell ref="F248:H248"/>
    <mergeCell ref="C243:D243"/>
    <mergeCell ref="F243:H243"/>
    <mergeCell ref="C244:D244"/>
    <mergeCell ref="F244:H244"/>
    <mergeCell ref="C245:D245"/>
    <mergeCell ref="F245:H245"/>
    <mergeCell ref="C240:D240"/>
    <mergeCell ref="F240:H240"/>
    <mergeCell ref="C241:D241"/>
    <mergeCell ref="F241:H241"/>
    <mergeCell ref="C242:D242"/>
    <mergeCell ref="F242:H242"/>
    <mergeCell ref="C237:D237"/>
    <mergeCell ref="F237:H237"/>
    <mergeCell ref="C238:D238"/>
    <mergeCell ref="F238:H238"/>
    <mergeCell ref="C239:D239"/>
    <mergeCell ref="F239:H239"/>
    <mergeCell ref="C235:D235"/>
    <mergeCell ref="F235:H235"/>
    <mergeCell ref="C236:D236"/>
    <mergeCell ref="F236:H236"/>
    <mergeCell ref="C219:D219"/>
    <mergeCell ref="F219:H219"/>
    <mergeCell ref="C231:D231"/>
    <mergeCell ref="F231:H231"/>
    <mergeCell ref="C232:D232"/>
    <mergeCell ref="F232:H232"/>
    <mergeCell ref="C233:D233"/>
    <mergeCell ref="F233:H233"/>
    <mergeCell ref="C228:D228"/>
    <mergeCell ref="F228:H228"/>
    <mergeCell ref="C229:D229"/>
    <mergeCell ref="F229:H229"/>
    <mergeCell ref="C230:D230"/>
    <mergeCell ref="F230:H230"/>
    <mergeCell ref="C227:D227"/>
    <mergeCell ref="F227:H227"/>
    <mergeCell ref="C215:D215"/>
    <mergeCell ref="F215:H215"/>
    <mergeCell ref="C216:D216"/>
    <mergeCell ref="F216:H216"/>
    <mergeCell ref="C217:D217"/>
    <mergeCell ref="F217:H217"/>
    <mergeCell ref="C218:D218"/>
    <mergeCell ref="F218:H218"/>
    <mergeCell ref="C403:D403"/>
    <mergeCell ref="F403:H403"/>
    <mergeCell ref="C213:D213"/>
    <mergeCell ref="F213:H213"/>
    <mergeCell ref="C401:D401"/>
    <mergeCell ref="F401:H401"/>
    <mergeCell ref="C402:D402"/>
    <mergeCell ref="F402:H402"/>
    <mergeCell ref="C220:D220"/>
    <mergeCell ref="F220:H220"/>
    <mergeCell ref="C221:D221"/>
    <mergeCell ref="F221:H221"/>
    <mergeCell ref="C222:D222"/>
    <mergeCell ref="F222:H222"/>
    <mergeCell ref="C223:D223"/>
    <mergeCell ref="F223:H223"/>
    <mergeCell ref="C224:D224"/>
    <mergeCell ref="F224:H224"/>
    <mergeCell ref="C225:D225"/>
    <mergeCell ref="F225:H225"/>
    <mergeCell ref="C226:D226"/>
    <mergeCell ref="F226:H226"/>
    <mergeCell ref="C234:D234"/>
    <mergeCell ref="F234:H234"/>
    <mergeCell ref="C211:D211"/>
    <mergeCell ref="F211:H211"/>
    <mergeCell ref="C212:D212"/>
    <mergeCell ref="F212:H212"/>
    <mergeCell ref="C207:D207"/>
    <mergeCell ref="F207:H207"/>
    <mergeCell ref="C208:D208"/>
    <mergeCell ref="F208:H208"/>
    <mergeCell ref="C209:D209"/>
    <mergeCell ref="F209:H209"/>
    <mergeCell ref="C204:D204"/>
    <mergeCell ref="F204:H204"/>
    <mergeCell ref="C205:D205"/>
    <mergeCell ref="F205:H205"/>
    <mergeCell ref="C206:D206"/>
    <mergeCell ref="F206:H206"/>
    <mergeCell ref="C214:D214"/>
    <mergeCell ref="F214:H214"/>
    <mergeCell ref="C202:D202"/>
    <mergeCell ref="F202:H202"/>
    <mergeCell ref="C203:D203"/>
    <mergeCell ref="F203:H203"/>
    <mergeCell ref="C198:D198"/>
    <mergeCell ref="F198:H198"/>
    <mergeCell ref="C199:D199"/>
    <mergeCell ref="F199:H199"/>
    <mergeCell ref="C200:D200"/>
    <mergeCell ref="F200:H200"/>
    <mergeCell ref="C195:D195"/>
    <mergeCell ref="F195:H195"/>
    <mergeCell ref="C196:D196"/>
    <mergeCell ref="F196:H196"/>
    <mergeCell ref="C197:D197"/>
    <mergeCell ref="F197:H197"/>
    <mergeCell ref="C210:D210"/>
    <mergeCell ref="F210:H210"/>
    <mergeCell ref="C193:D193"/>
    <mergeCell ref="F193:H193"/>
    <mergeCell ref="C194:D194"/>
    <mergeCell ref="F194:H194"/>
    <mergeCell ref="C189:D189"/>
    <mergeCell ref="F189:H189"/>
    <mergeCell ref="C190:D190"/>
    <mergeCell ref="F190:H190"/>
    <mergeCell ref="C191:D191"/>
    <mergeCell ref="F191:H191"/>
    <mergeCell ref="C186:D186"/>
    <mergeCell ref="F186:H186"/>
    <mergeCell ref="C187:D187"/>
    <mergeCell ref="F187:H187"/>
    <mergeCell ref="C188:D188"/>
    <mergeCell ref="F188:H188"/>
    <mergeCell ref="C201:D201"/>
    <mergeCell ref="F201:H201"/>
    <mergeCell ref="C184:D184"/>
    <mergeCell ref="F184:H184"/>
    <mergeCell ref="C185:D185"/>
    <mergeCell ref="F185:H185"/>
    <mergeCell ref="C180:D180"/>
    <mergeCell ref="F180:H180"/>
    <mergeCell ref="C181:D181"/>
    <mergeCell ref="F181:H181"/>
    <mergeCell ref="C182:D182"/>
    <mergeCell ref="F182:H182"/>
    <mergeCell ref="C177:D177"/>
    <mergeCell ref="F177:H177"/>
    <mergeCell ref="C178:D178"/>
    <mergeCell ref="F178:H178"/>
    <mergeCell ref="C179:D179"/>
    <mergeCell ref="F179:H179"/>
    <mergeCell ref="C192:D192"/>
    <mergeCell ref="F192:H192"/>
    <mergeCell ref="C175:D175"/>
    <mergeCell ref="F175:H175"/>
    <mergeCell ref="C176:D176"/>
    <mergeCell ref="F176:H176"/>
    <mergeCell ref="C171:D171"/>
    <mergeCell ref="F171:H171"/>
    <mergeCell ref="C172:D172"/>
    <mergeCell ref="F172:H172"/>
    <mergeCell ref="C173:D173"/>
    <mergeCell ref="F173:H173"/>
    <mergeCell ref="C168:D168"/>
    <mergeCell ref="F168:H168"/>
    <mergeCell ref="C169:D169"/>
    <mergeCell ref="F169:H169"/>
    <mergeCell ref="C170:D170"/>
    <mergeCell ref="F170:H170"/>
    <mergeCell ref="C183:D183"/>
    <mergeCell ref="F183:H183"/>
    <mergeCell ref="C166:D166"/>
    <mergeCell ref="F166:H166"/>
    <mergeCell ref="C167:D167"/>
    <mergeCell ref="F167:H167"/>
    <mergeCell ref="C162:D162"/>
    <mergeCell ref="F162:H162"/>
    <mergeCell ref="C163:D163"/>
    <mergeCell ref="F163:H163"/>
    <mergeCell ref="C164:D164"/>
    <mergeCell ref="F164:H164"/>
    <mergeCell ref="C159:D159"/>
    <mergeCell ref="F159:H159"/>
    <mergeCell ref="C160:D160"/>
    <mergeCell ref="F160:H160"/>
    <mergeCell ref="C161:D161"/>
    <mergeCell ref="F161:H161"/>
    <mergeCell ref="C174:D174"/>
    <mergeCell ref="F174:H174"/>
    <mergeCell ref="C157:D157"/>
    <mergeCell ref="F157:H157"/>
    <mergeCell ref="C158:D158"/>
    <mergeCell ref="F158:H158"/>
    <mergeCell ref="C153:D153"/>
    <mergeCell ref="F153:H153"/>
    <mergeCell ref="C154:D154"/>
    <mergeCell ref="F154:H154"/>
    <mergeCell ref="C155:D155"/>
    <mergeCell ref="F155:H155"/>
    <mergeCell ref="C150:D150"/>
    <mergeCell ref="F150:H150"/>
    <mergeCell ref="C151:D151"/>
    <mergeCell ref="F151:H151"/>
    <mergeCell ref="C152:D152"/>
    <mergeCell ref="F152:H152"/>
    <mergeCell ref="C165:D165"/>
    <mergeCell ref="F165:H165"/>
    <mergeCell ref="C148:D148"/>
    <mergeCell ref="F148:H148"/>
    <mergeCell ref="C149:D149"/>
    <mergeCell ref="F149:H149"/>
    <mergeCell ref="C144:D144"/>
    <mergeCell ref="F144:H144"/>
    <mergeCell ref="C145:D145"/>
    <mergeCell ref="F145:H145"/>
    <mergeCell ref="C146:D146"/>
    <mergeCell ref="F146:H146"/>
    <mergeCell ref="C141:D141"/>
    <mergeCell ref="F141:H141"/>
    <mergeCell ref="C142:D142"/>
    <mergeCell ref="F142:H142"/>
    <mergeCell ref="C143:D143"/>
    <mergeCell ref="F143:H143"/>
    <mergeCell ref="C156:D156"/>
    <mergeCell ref="F156:H156"/>
    <mergeCell ref="C139:D139"/>
    <mergeCell ref="F139:H139"/>
    <mergeCell ref="C140:D140"/>
    <mergeCell ref="F140:H140"/>
    <mergeCell ref="C135:D135"/>
    <mergeCell ref="F135:H135"/>
    <mergeCell ref="C136:D136"/>
    <mergeCell ref="F136:H136"/>
    <mergeCell ref="C137:D137"/>
    <mergeCell ref="F137:H137"/>
    <mergeCell ref="C132:D132"/>
    <mergeCell ref="F132:H132"/>
    <mergeCell ref="C133:D133"/>
    <mergeCell ref="F133:H133"/>
    <mergeCell ref="C134:D134"/>
    <mergeCell ref="F134:H134"/>
    <mergeCell ref="C147:D147"/>
    <mergeCell ref="F147:H147"/>
    <mergeCell ref="C130:D130"/>
    <mergeCell ref="F130:H130"/>
    <mergeCell ref="C131:D131"/>
    <mergeCell ref="F131:H131"/>
    <mergeCell ref="C126:D126"/>
    <mergeCell ref="F126:H126"/>
    <mergeCell ref="C127:D127"/>
    <mergeCell ref="F127:H127"/>
    <mergeCell ref="C128:D128"/>
    <mergeCell ref="F128:H128"/>
    <mergeCell ref="C123:D123"/>
    <mergeCell ref="F123:H123"/>
    <mergeCell ref="C124:D124"/>
    <mergeCell ref="F124:H124"/>
    <mergeCell ref="C125:D125"/>
    <mergeCell ref="F125:H125"/>
    <mergeCell ref="C138:D138"/>
    <mergeCell ref="F138:H138"/>
    <mergeCell ref="C121:D121"/>
    <mergeCell ref="F121:H121"/>
    <mergeCell ref="C122:D122"/>
    <mergeCell ref="F122:H122"/>
    <mergeCell ref="C117:D117"/>
    <mergeCell ref="F117:H117"/>
    <mergeCell ref="C118:D118"/>
    <mergeCell ref="F118:H118"/>
    <mergeCell ref="C119:D119"/>
    <mergeCell ref="F119:H119"/>
    <mergeCell ref="C114:D114"/>
    <mergeCell ref="F114:H114"/>
    <mergeCell ref="C115:D115"/>
    <mergeCell ref="F115:H115"/>
    <mergeCell ref="C116:D116"/>
    <mergeCell ref="F116:H116"/>
    <mergeCell ref="C129:D129"/>
    <mergeCell ref="F129:H129"/>
    <mergeCell ref="C112:D112"/>
    <mergeCell ref="F112:H112"/>
    <mergeCell ref="C113:D113"/>
    <mergeCell ref="F113:H113"/>
    <mergeCell ref="C108:D108"/>
    <mergeCell ref="F108:H108"/>
    <mergeCell ref="C109:D109"/>
    <mergeCell ref="F109:H109"/>
    <mergeCell ref="C110:D110"/>
    <mergeCell ref="F110:H110"/>
    <mergeCell ref="C105:D105"/>
    <mergeCell ref="F105:H105"/>
    <mergeCell ref="C106:D106"/>
    <mergeCell ref="F106:H106"/>
    <mergeCell ref="C107:D107"/>
    <mergeCell ref="F107:H107"/>
    <mergeCell ref="C120:D120"/>
    <mergeCell ref="F120:H120"/>
    <mergeCell ref="C103:D103"/>
    <mergeCell ref="F103:H103"/>
    <mergeCell ref="C104:D104"/>
    <mergeCell ref="F104:H104"/>
    <mergeCell ref="C99:D99"/>
    <mergeCell ref="F99:H99"/>
    <mergeCell ref="C100:D100"/>
    <mergeCell ref="F100:H100"/>
    <mergeCell ref="C101:D101"/>
    <mergeCell ref="F101:H101"/>
    <mergeCell ref="C96:D96"/>
    <mergeCell ref="F96:H96"/>
    <mergeCell ref="C97:D97"/>
    <mergeCell ref="F97:H97"/>
    <mergeCell ref="C98:D98"/>
    <mergeCell ref="F98:H98"/>
    <mergeCell ref="C111:D111"/>
    <mergeCell ref="F111:H111"/>
    <mergeCell ref="C94:D94"/>
    <mergeCell ref="F94:H94"/>
    <mergeCell ref="C95:D95"/>
    <mergeCell ref="F95:H95"/>
    <mergeCell ref="C90:D90"/>
    <mergeCell ref="F90:H90"/>
    <mergeCell ref="C91:D91"/>
    <mergeCell ref="F91:H91"/>
    <mergeCell ref="C92:D92"/>
    <mergeCell ref="F92:H92"/>
    <mergeCell ref="C87:D87"/>
    <mergeCell ref="F87:H87"/>
    <mergeCell ref="C88:D88"/>
    <mergeCell ref="F88:H88"/>
    <mergeCell ref="C89:D89"/>
    <mergeCell ref="F89:H89"/>
    <mergeCell ref="C102:D102"/>
    <mergeCell ref="F102:H102"/>
    <mergeCell ref="C85:D85"/>
    <mergeCell ref="F85:H85"/>
    <mergeCell ref="C86:D86"/>
    <mergeCell ref="F86:H86"/>
    <mergeCell ref="C81:D81"/>
    <mergeCell ref="F81:H81"/>
    <mergeCell ref="C82:D82"/>
    <mergeCell ref="F82:H82"/>
    <mergeCell ref="C83:D83"/>
    <mergeCell ref="F83:H83"/>
    <mergeCell ref="C78:D78"/>
    <mergeCell ref="F78:H78"/>
    <mergeCell ref="C79:D79"/>
    <mergeCell ref="F79:H79"/>
    <mergeCell ref="C80:D80"/>
    <mergeCell ref="F80:H80"/>
    <mergeCell ref="C93:D93"/>
    <mergeCell ref="F93:H93"/>
    <mergeCell ref="C76:D76"/>
    <mergeCell ref="F76:H76"/>
    <mergeCell ref="C77:D77"/>
    <mergeCell ref="F77:H77"/>
    <mergeCell ref="C72:D72"/>
    <mergeCell ref="F72:H72"/>
    <mergeCell ref="C73:D73"/>
    <mergeCell ref="F73:H73"/>
    <mergeCell ref="C74:D74"/>
    <mergeCell ref="F74:H74"/>
    <mergeCell ref="C69:D69"/>
    <mergeCell ref="F69:H69"/>
    <mergeCell ref="C70:D70"/>
    <mergeCell ref="F70:H70"/>
    <mergeCell ref="C71:D71"/>
    <mergeCell ref="F71:H71"/>
    <mergeCell ref="C84:D84"/>
    <mergeCell ref="F84:H84"/>
    <mergeCell ref="C67:D67"/>
    <mergeCell ref="F67:H67"/>
    <mergeCell ref="C68:D68"/>
    <mergeCell ref="F68:H68"/>
    <mergeCell ref="C63:D63"/>
    <mergeCell ref="F63:H63"/>
    <mergeCell ref="C64:D64"/>
    <mergeCell ref="F64:H64"/>
    <mergeCell ref="C65:D65"/>
    <mergeCell ref="F65:H65"/>
    <mergeCell ref="C60:D60"/>
    <mergeCell ref="F60:H60"/>
    <mergeCell ref="C61:D61"/>
    <mergeCell ref="F61:H61"/>
    <mergeCell ref="C62:D62"/>
    <mergeCell ref="F62:H62"/>
    <mergeCell ref="C75:D75"/>
    <mergeCell ref="F75:H75"/>
    <mergeCell ref="C58:D58"/>
    <mergeCell ref="F58:H58"/>
    <mergeCell ref="C59:D59"/>
    <mergeCell ref="F59:H59"/>
    <mergeCell ref="C54:D54"/>
    <mergeCell ref="F54:H54"/>
    <mergeCell ref="C55:D55"/>
    <mergeCell ref="F55:H55"/>
    <mergeCell ref="C56:D56"/>
    <mergeCell ref="F56:H56"/>
    <mergeCell ref="C51:D51"/>
    <mergeCell ref="F51:H51"/>
    <mergeCell ref="C52:D52"/>
    <mergeCell ref="F52:H52"/>
    <mergeCell ref="C53:D53"/>
    <mergeCell ref="F53:H53"/>
    <mergeCell ref="C66:D66"/>
    <mergeCell ref="F66:H66"/>
    <mergeCell ref="C49:D49"/>
    <mergeCell ref="F49:H49"/>
    <mergeCell ref="C50:D50"/>
    <mergeCell ref="F50:H50"/>
    <mergeCell ref="C45:D45"/>
    <mergeCell ref="F45:H45"/>
    <mergeCell ref="C46:D46"/>
    <mergeCell ref="F46:H46"/>
    <mergeCell ref="C47:D47"/>
    <mergeCell ref="F47:H47"/>
    <mergeCell ref="C42:D42"/>
    <mergeCell ref="F42:H42"/>
    <mergeCell ref="C43:D43"/>
    <mergeCell ref="F43:H43"/>
    <mergeCell ref="C44:D44"/>
    <mergeCell ref="F44:H44"/>
    <mergeCell ref="C57:D57"/>
    <mergeCell ref="F57:H57"/>
    <mergeCell ref="C41:D41"/>
    <mergeCell ref="F41:H41"/>
    <mergeCell ref="C36:D36"/>
    <mergeCell ref="F36:H36"/>
    <mergeCell ref="C37:D37"/>
    <mergeCell ref="F37:H37"/>
    <mergeCell ref="C38:D38"/>
    <mergeCell ref="F38:H38"/>
    <mergeCell ref="C34:D34"/>
    <mergeCell ref="F34:H34"/>
    <mergeCell ref="C35:D35"/>
    <mergeCell ref="F35:H35"/>
    <mergeCell ref="C31:D31"/>
    <mergeCell ref="C32:D32"/>
    <mergeCell ref="C33:D33"/>
    <mergeCell ref="C48:D48"/>
    <mergeCell ref="F48:H48"/>
    <mergeCell ref="F25:H25"/>
    <mergeCell ref="F27:H27"/>
    <mergeCell ref="F28:H28"/>
    <mergeCell ref="F29:H29"/>
    <mergeCell ref="F30:H30"/>
    <mergeCell ref="F31:H31"/>
    <mergeCell ref="F32:H32"/>
    <mergeCell ref="F33:H33"/>
    <mergeCell ref="C25:D25"/>
    <mergeCell ref="C27:D27"/>
    <mergeCell ref="C28:D28"/>
    <mergeCell ref="C29:D29"/>
    <mergeCell ref="C30:D30"/>
    <mergeCell ref="C39:D39"/>
    <mergeCell ref="F39:H39"/>
    <mergeCell ref="C40:D40"/>
    <mergeCell ref="F40:H40"/>
  </mergeCells>
  <dataValidations count="2">
    <dataValidation type="list" allowBlank="1" showInputMessage="1" showErrorMessage="1" sqref="Z27:Z526">
      <formula1>$H$12:$H$19</formula1>
    </dataValidation>
    <dataValidation type="list" allowBlank="1" showInputMessage="1" showErrorMessage="1" sqref="AA27:AA526">
      <formula1>$L$12:$L$19</formula1>
    </dataValidation>
  </dataValidations>
  <pageMargins left="0.70866141732283472" right="0.70866141732283472" top="0.74803149606299213" bottom="0.74803149606299213" header="0.31496062992125984" footer="0.31496062992125984"/>
  <pageSetup paperSize="9" scale="22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Listes!$I$19:$I$23</xm:f>
          </x14:formula1>
          <xm:sqref>H12:H21</xm:sqref>
        </x14:dataValidation>
        <x14:dataValidation type="list" allowBlank="1" showInputMessage="1" showErrorMessage="1">
          <x14:formula1>
            <xm:f>Listes!$K$4:$K$8</xm:f>
          </x14:formula1>
          <xm:sqref>C27:D526</xm:sqref>
        </x14:dataValidation>
        <x14:dataValidation type="list" allowBlank="1" showInputMessage="1" showErrorMessage="1">
          <x14:formula1>
            <xm:f>Listes!$L$4:$L$15</xm:f>
          </x14:formula1>
          <xm:sqref>F27:H526</xm:sqref>
        </x14:dataValidation>
        <x14:dataValidation type="list" allowBlank="1" showInputMessage="1" showErrorMessage="1">
          <x14:formula1>
            <xm:f>Listes!$B$19:$B$74</xm:f>
          </x14:formula1>
          <xm:sqref>I27:I526</xm:sqref>
        </x14:dataValidation>
        <x14:dataValidation type="list" allowBlank="1" showInputMessage="1" showErrorMessage="1">
          <x14:formula1>
            <xm:f>Listes!$F$4:$F$7</xm:f>
          </x14:formula1>
          <xm:sqref>L27:L526</xm:sqref>
        </x14:dataValidation>
        <x14:dataValidation type="list" allowBlank="1" showInputMessage="1" showErrorMessage="1">
          <x14:formula1>
            <xm:f>Listes!$G$4:$G$5</xm:f>
          </x14:formula1>
          <xm:sqref>M27:N526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pageSetUpPr autoPageBreaks="0" fitToPage="1"/>
  </sheetPr>
  <dimension ref="A1:AP526"/>
  <sheetViews>
    <sheetView showGridLines="0" zoomScale="90" zoomScaleNormal="90" workbookViewId="0">
      <selection activeCell="H12" sqref="H12"/>
    </sheetView>
  </sheetViews>
  <sheetFormatPr baseColWidth="10" defaultRowHeight="15" x14ac:dyDescent="0.25"/>
  <cols>
    <col min="1" max="1" width="8.7109375" customWidth="1"/>
    <col min="4" max="4" width="17.5703125" customWidth="1"/>
    <col min="5" max="5" width="16.7109375" customWidth="1"/>
    <col min="6" max="7" width="3.7109375" customWidth="1"/>
    <col min="8" max="8" width="33.7109375" customWidth="1"/>
    <col min="9" max="9" width="16.7109375" customWidth="1"/>
    <col min="10" max="11" width="13.7109375" customWidth="1"/>
    <col min="12" max="12" width="16.7109375" customWidth="1"/>
    <col min="13" max="13" width="13.7109375" customWidth="1"/>
    <col min="14" max="14" width="16.7109375" customWidth="1"/>
    <col min="15" max="22" width="13.7109375" customWidth="1"/>
    <col min="23" max="24" width="33.7109375" customWidth="1"/>
    <col min="25" max="26" width="16.7109375" style="110" customWidth="1"/>
    <col min="27" max="27" width="13.7109375" style="110" customWidth="1"/>
    <col min="28" max="28" width="39.7109375" customWidth="1"/>
    <col min="29" max="29" width="18.7109375" customWidth="1"/>
    <col min="30" max="30" width="39.7109375" customWidth="1"/>
    <col min="31" max="42" width="11.42578125" hidden="1" customWidth="1"/>
  </cols>
  <sheetData>
    <row r="1" spans="1:31" s="8" customFormat="1" x14ac:dyDescent="0.25">
      <c r="A1" s="13"/>
      <c r="B1" s="14" t="s">
        <v>10</v>
      </c>
      <c r="Y1" s="110"/>
      <c r="Z1" s="110"/>
      <c r="AA1" s="110"/>
      <c r="AC1" s="18"/>
    </row>
    <row r="2" spans="1:31" s="8" customFormat="1" x14ac:dyDescent="0.25">
      <c r="A2" s="13"/>
      <c r="B2" s="14" t="s">
        <v>11</v>
      </c>
      <c r="Y2" s="110"/>
      <c r="Z2" s="110"/>
      <c r="AA2" s="110"/>
      <c r="AC2" s="18"/>
    </row>
    <row r="3" spans="1:31" s="8" customFormat="1" x14ac:dyDescent="0.25">
      <c r="A3" s="13"/>
      <c r="B3" s="15" t="s">
        <v>12</v>
      </c>
      <c r="I3" s="182">
        <f ca="1">NOW()</f>
        <v>45762.434873611113</v>
      </c>
      <c r="Y3" s="110"/>
      <c r="Z3" s="110"/>
      <c r="AA3" s="110"/>
      <c r="AC3" s="18"/>
    </row>
    <row r="4" spans="1:31" ht="7.5" customHeight="1" x14ac:dyDescent="0.25"/>
    <row r="5" spans="1:31" ht="20.25" customHeight="1" x14ac:dyDescent="0.25">
      <c r="B5" s="36"/>
    </row>
    <row r="6" spans="1:31" ht="23.25" x14ac:dyDescent="0.35">
      <c r="B6" s="2" t="s">
        <v>293</v>
      </c>
    </row>
    <row r="7" spans="1:31" ht="9" customHeight="1" x14ac:dyDescent="0.35">
      <c r="B7" s="2"/>
    </row>
    <row r="8" spans="1:31" s="3" customFormat="1" ht="14.25" customHeight="1" x14ac:dyDescent="0.3">
      <c r="B8" s="175" t="s">
        <v>67</v>
      </c>
      <c r="E8" s="47" t="str">
        <f>IF('Informations générales'!E14="ZDPPE","","NON APPLICABLE")</f>
        <v>NON APPLICABLE</v>
      </c>
      <c r="Y8" s="111"/>
      <c r="Z8" s="111"/>
      <c r="AA8" s="111"/>
    </row>
    <row r="10" spans="1:31" s="17" customFormat="1" ht="18.75" customHeight="1" x14ac:dyDescent="0.3">
      <c r="B10" s="11" t="s">
        <v>71</v>
      </c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18"/>
      <c r="P10" s="52"/>
      <c r="Q10" s="52"/>
      <c r="R10" s="52"/>
      <c r="S10" s="52"/>
      <c r="T10" s="52"/>
      <c r="U10" s="52"/>
      <c r="V10" s="52"/>
      <c r="W10" s="52"/>
      <c r="X10" s="52"/>
      <c r="Y10" s="111"/>
      <c r="Z10" s="110"/>
      <c r="AA10" s="110"/>
      <c r="AB10" s="18"/>
      <c r="AC10" s="18"/>
      <c r="AD10" s="18"/>
      <c r="AE10" s="18"/>
    </row>
    <row r="11" spans="1:31" s="18" customFormat="1" ht="44.25" customHeight="1" x14ac:dyDescent="0.25">
      <c r="C11" s="215" t="s">
        <v>297</v>
      </c>
      <c r="D11" s="215"/>
      <c r="E11" s="215"/>
      <c r="H11" s="18" t="s">
        <v>126</v>
      </c>
      <c r="L11" s="18" t="s">
        <v>127</v>
      </c>
      <c r="Y11" s="110"/>
      <c r="Z11" s="110"/>
      <c r="AA11" s="110"/>
    </row>
    <row r="12" spans="1:31" s="18" customFormat="1" ht="17.25" customHeight="1" x14ac:dyDescent="0.25">
      <c r="C12" s="17" t="s">
        <v>13</v>
      </c>
      <c r="D12" s="17"/>
      <c r="E12" s="107">
        <v>0.01</v>
      </c>
      <c r="F12" s="17"/>
      <c r="H12" s="86"/>
      <c r="I12" s="107"/>
      <c r="L12" s="87"/>
      <c r="M12" s="88"/>
      <c r="N12" s="107"/>
      <c r="Y12" s="110"/>
      <c r="Z12" s="110"/>
      <c r="AA12" s="110"/>
    </row>
    <row r="13" spans="1:31" s="18" customFormat="1" ht="15.6" customHeight="1" x14ac:dyDescent="0.25">
      <c r="C13" s="17" t="s">
        <v>223</v>
      </c>
      <c r="D13" s="17"/>
      <c r="E13" s="106">
        <v>1</v>
      </c>
      <c r="F13" s="17"/>
      <c r="H13" s="86"/>
      <c r="I13" s="107"/>
      <c r="L13" s="87"/>
      <c r="M13" s="89"/>
      <c r="N13" s="107"/>
      <c r="Y13" s="110"/>
      <c r="Z13" s="110"/>
      <c r="AA13" s="110"/>
    </row>
    <row r="14" spans="1:31" s="18" customFormat="1" x14ac:dyDescent="0.25">
      <c r="C14" s="17" t="s">
        <v>224</v>
      </c>
      <c r="D14" s="17"/>
      <c r="E14" s="106">
        <v>0.5</v>
      </c>
      <c r="F14" s="17"/>
      <c r="H14" s="86"/>
      <c r="I14" s="107"/>
      <c r="L14" s="87"/>
      <c r="M14" s="89"/>
      <c r="N14" s="107"/>
      <c r="Y14" s="110"/>
      <c r="Z14" s="110"/>
      <c r="AA14" s="110"/>
    </row>
    <row r="15" spans="1:31" s="18" customFormat="1" x14ac:dyDescent="0.25">
      <c r="C15" s="17" t="s">
        <v>225</v>
      </c>
      <c r="D15" s="17"/>
      <c r="E15" s="107">
        <v>0.1</v>
      </c>
      <c r="F15" s="17"/>
      <c r="H15" s="86"/>
      <c r="I15" s="107"/>
      <c r="L15" s="87"/>
      <c r="M15" s="89"/>
      <c r="N15" s="107"/>
      <c r="Y15" s="110"/>
      <c r="Z15" s="110"/>
      <c r="AA15" s="110"/>
    </row>
    <row r="16" spans="1:31" s="18" customFormat="1" x14ac:dyDescent="0.25">
      <c r="C16" s="17" t="s">
        <v>5</v>
      </c>
      <c r="D16" s="17"/>
      <c r="E16" s="107">
        <v>0.5</v>
      </c>
      <c r="F16" s="17"/>
      <c r="H16" s="86"/>
      <c r="I16" s="107"/>
      <c r="L16" s="87"/>
      <c r="M16" s="89"/>
      <c r="N16" s="107"/>
      <c r="Y16" s="110"/>
      <c r="Z16" s="110"/>
      <c r="AA16" s="110"/>
    </row>
    <row r="17" spans="2:42" s="18" customFormat="1" x14ac:dyDescent="0.25">
      <c r="C17" s="17" t="s">
        <v>6</v>
      </c>
      <c r="D17" s="17"/>
      <c r="E17" s="107">
        <v>0.3</v>
      </c>
      <c r="F17" s="17"/>
      <c r="H17" s="86"/>
      <c r="I17" s="107"/>
      <c r="L17" s="87"/>
      <c r="M17" s="89"/>
      <c r="N17" s="107"/>
      <c r="Y17" s="110"/>
      <c r="Z17" s="110"/>
      <c r="AA17" s="110"/>
    </row>
    <row r="18" spans="2:42" s="18" customFormat="1" x14ac:dyDescent="0.25">
      <c r="C18" s="17" t="s">
        <v>7</v>
      </c>
      <c r="D18" s="17"/>
      <c r="E18" s="107">
        <v>0.1</v>
      </c>
      <c r="F18" s="17"/>
      <c r="H18" s="86"/>
      <c r="I18" s="107"/>
      <c r="L18" s="87"/>
      <c r="M18" s="89"/>
      <c r="N18" s="107"/>
      <c r="Y18" s="110"/>
      <c r="Z18" s="110"/>
      <c r="AA18" s="110"/>
    </row>
    <row r="19" spans="2:42" s="18" customFormat="1" x14ac:dyDescent="0.25">
      <c r="C19" s="17" t="s">
        <v>69</v>
      </c>
      <c r="D19" s="17"/>
      <c r="E19" s="107">
        <v>0.1</v>
      </c>
      <c r="F19" s="17"/>
      <c r="H19" s="86"/>
      <c r="I19" s="107"/>
      <c r="L19" s="87"/>
      <c r="M19" s="89"/>
      <c r="N19" s="107"/>
      <c r="Y19" s="110"/>
      <c r="Z19" s="110"/>
      <c r="AA19" s="110"/>
    </row>
    <row r="20" spans="2:42" s="18" customFormat="1" x14ac:dyDescent="0.25">
      <c r="C20" s="17"/>
      <c r="D20" s="17"/>
      <c r="E20" s="124"/>
      <c r="F20" s="17"/>
      <c r="H20" s="105"/>
      <c r="I20" s="107"/>
      <c r="L20" s="103"/>
      <c r="M20" s="104"/>
      <c r="N20" s="107"/>
      <c r="Y20" s="110"/>
      <c r="Z20" s="110"/>
      <c r="AA20" s="110"/>
    </row>
    <row r="21" spans="2:42" s="18" customFormat="1" x14ac:dyDescent="0.25">
      <c r="C21" s="17"/>
      <c r="D21" s="17"/>
      <c r="E21" s="124"/>
      <c r="F21" s="17"/>
      <c r="H21" s="105"/>
      <c r="I21" s="107"/>
      <c r="L21" s="103"/>
      <c r="M21" s="104"/>
      <c r="N21" s="107"/>
      <c r="Y21" s="110"/>
      <c r="Z21" s="110"/>
      <c r="AA21" s="110"/>
    </row>
    <row r="22" spans="2:42" s="18" customFormat="1" x14ac:dyDescent="0.25">
      <c r="C22" s="17"/>
      <c r="D22" s="17"/>
      <c r="E22" s="17"/>
      <c r="F22" s="17"/>
      <c r="Y22" s="110"/>
      <c r="Z22" s="110"/>
      <c r="AA22" s="110"/>
    </row>
    <row r="23" spans="2:42" s="17" customFormat="1" ht="18.75" customHeight="1" x14ac:dyDescent="0.25">
      <c r="B23" s="11" t="s">
        <v>72</v>
      </c>
      <c r="C23" s="9"/>
      <c r="D23" s="9"/>
      <c r="E23" s="9"/>
      <c r="F23" s="9"/>
      <c r="G23" s="9"/>
      <c r="H23" s="10"/>
      <c r="I23" s="10"/>
      <c r="J23" s="10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112"/>
      <c r="Z23" s="112"/>
      <c r="AA23" s="112"/>
      <c r="AB23" s="9"/>
      <c r="AC23" s="9"/>
      <c r="AD23" s="9"/>
      <c r="AE23" s="9"/>
      <c r="AF23" s="63"/>
      <c r="AG23" s="63"/>
      <c r="AH23" s="63"/>
    </row>
    <row r="24" spans="2:42" s="18" customFormat="1" x14ac:dyDescent="0.25">
      <c r="Y24" s="110"/>
      <c r="Z24" s="110"/>
      <c r="AA24" s="110"/>
    </row>
    <row r="25" spans="2:42" s="22" customFormat="1" ht="58.5" customHeight="1" x14ac:dyDescent="0.25">
      <c r="C25" s="211" t="s">
        <v>173</v>
      </c>
      <c r="D25" s="213"/>
      <c r="E25" s="21" t="s">
        <v>299</v>
      </c>
      <c r="F25" s="211" t="s">
        <v>174</v>
      </c>
      <c r="G25" s="212"/>
      <c r="H25" s="213"/>
      <c r="I25" s="19" t="s">
        <v>175</v>
      </c>
      <c r="J25" s="21" t="s">
        <v>176</v>
      </c>
      <c r="K25" s="21" t="s">
        <v>286</v>
      </c>
      <c r="L25" s="38" t="s">
        <v>178</v>
      </c>
      <c r="M25" s="38" t="s">
        <v>179</v>
      </c>
      <c r="N25" s="38" t="s">
        <v>133</v>
      </c>
      <c r="O25" s="38" t="s">
        <v>134</v>
      </c>
      <c r="P25" s="38" t="s">
        <v>180</v>
      </c>
      <c r="Q25" s="38" t="s">
        <v>181</v>
      </c>
      <c r="R25" s="37" t="s">
        <v>135</v>
      </c>
      <c r="S25" s="38" t="s">
        <v>5</v>
      </c>
      <c r="T25" s="38" t="s">
        <v>6</v>
      </c>
      <c r="U25" s="38" t="s">
        <v>7</v>
      </c>
      <c r="V25" s="38" t="s">
        <v>69</v>
      </c>
      <c r="W25" s="37" t="s">
        <v>126</v>
      </c>
      <c r="X25" s="37" t="s">
        <v>127</v>
      </c>
      <c r="Y25" s="38" t="s">
        <v>182</v>
      </c>
      <c r="Z25" s="38" t="s">
        <v>183</v>
      </c>
      <c r="AA25" s="38" t="s">
        <v>171</v>
      </c>
      <c r="AB25" s="38" t="s">
        <v>149</v>
      </c>
      <c r="AC25" s="38" t="s">
        <v>138</v>
      </c>
      <c r="AD25" s="37" t="s">
        <v>139</v>
      </c>
      <c r="AE25" s="59" t="s">
        <v>154</v>
      </c>
      <c r="AF25" s="59" t="s">
        <v>155</v>
      </c>
      <c r="AG25" s="59" t="s">
        <v>156</v>
      </c>
      <c r="AH25" s="59" t="s">
        <v>157</v>
      </c>
      <c r="AI25" s="59" t="s">
        <v>158</v>
      </c>
      <c r="AJ25" s="59" t="s">
        <v>159</v>
      </c>
      <c r="AK25" s="59" t="s">
        <v>160</v>
      </c>
      <c r="AL25" s="59" t="s">
        <v>161</v>
      </c>
      <c r="AM25" s="59" t="s">
        <v>162</v>
      </c>
      <c r="AN25" s="59" t="s">
        <v>164</v>
      </c>
      <c r="AO25" s="59" t="s">
        <v>70</v>
      </c>
      <c r="AP25" s="59" t="s">
        <v>163</v>
      </c>
    </row>
    <row r="26" spans="2:42" s="138" customFormat="1" ht="14.25" customHeight="1" x14ac:dyDescent="0.25">
      <c r="B26" s="125" t="s">
        <v>234</v>
      </c>
      <c r="C26" s="126"/>
      <c r="D26" s="127"/>
      <c r="E26" s="127"/>
      <c r="F26" s="127"/>
      <c r="G26" s="128"/>
      <c r="H26" s="129"/>
      <c r="I26" s="130"/>
      <c r="J26" s="131">
        <f>COUNTA(J27:J526)</f>
        <v>0</v>
      </c>
      <c r="K26" s="139"/>
      <c r="L26" s="133"/>
      <c r="M26" s="154">
        <f>SUM(M27:M526)</f>
        <v>0</v>
      </c>
      <c r="N26" s="158">
        <f>SUM(N27:N526)</f>
        <v>0</v>
      </c>
      <c r="O26" s="134"/>
      <c r="P26" s="172">
        <f t="shared" ref="P26:V26" si="0">SUM(P27:P526)</f>
        <v>0</v>
      </c>
      <c r="Q26" s="172">
        <f t="shared" si="0"/>
        <v>0</v>
      </c>
      <c r="R26" s="172">
        <f t="shared" si="0"/>
        <v>0</v>
      </c>
      <c r="S26" s="172">
        <f t="shared" si="0"/>
        <v>0</v>
      </c>
      <c r="T26" s="172">
        <f t="shared" si="0"/>
        <v>0</v>
      </c>
      <c r="U26" s="172">
        <f t="shared" si="0"/>
        <v>0</v>
      </c>
      <c r="V26" s="172">
        <f t="shared" si="0"/>
        <v>0</v>
      </c>
      <c r="W26" s="127"/>
      <c r="X26" s="127"/>
      <c r="Y26" s="135">
        <f>SUM(Y27:Y526)</f>
        <v>0</v>
      </c>
      <c r="Z26" s="135">
        <f>SUM(Z27:Z526)</f>
        <v>0</v>
      </c>
      <c r="AA26" s="135" t="str">
        <f>IFERROR(SUM(AA27:AA526)/COUNT(AA27:AA526), "")</f>
        <v/>
      </c>
      <c r="AB26" s="127"/>
      <c r="AC26" s="127"/>
      <c r="AD26" s="136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</row>
    <row r="27" spans="2:42" s="17" customFormat="1" x14ac:dyDescent="0.25">
      <c r="C27" s="216" t="s">
        <v>229</v>
      </c>
      <c r="D27" s="217"/>
      <c r="E27" s="90"/>
      <c r="F27" s="198"/>
      <c r="G27" s="214"/>
      <c r="H27" s="199"/>
      <c r="I27" s="78"/>
      <c r="J27" s="79"/>
      <c r="K27" s="78"/>
      <c r="L27" s="113"/>
      <c r="M27" s="155"/>
      <c r="N27" s="114" t="str">
        <f>IFERROR(MIN(VLOOKUP(ROUNDDOWN(M27,0),'Aide calcul'!$B$2:$C$282,2,FALSE),L27+1),"")</f>
        <v/>
      </c>
      <c r="O27" s="115" t="str">
        <f>IFERROR(TRUNC(N27-0.5),"")</f>
        <v/>
      </c>
      <c r="P27" s="173"/>
      <c r="Q27" s="173"/>
      <c r="R27" s="173"/>
      <c r="S27" s="173"/>
      <c r="T27" s="173"/>
      <c r="U27" s="173"/>
      <c r="V27" s="173"/>
      <c r="W27" s="78"/>
      <c r="X27" s="78"/>
      <c r="Y27" s="116" t="str">
        <f>IFERROR(ROUND('Informations générales'!$D$66*(AE27/SUM($AE$27:$AE$403))/12,0)*12,"")</f>
        <v/>
      </c>
      <c r="Z27" s="117"/>
      <c r="AA27" s="116" t="str">
        <f>IFERROR(Y27/AM27,"")</f>
        <v/>
      </c>
      <c r="AB27" s="78"/>
      <c r="AC27" s="92"/>
      <c r="AD27" s="78"/>
      <c r="AE27" s="58">
        <f>AM27*(SUM(1,AN27,AO27,AP27))</f>
        <v>0</v>
      </c>
      <c r="AF27" s="58">
        <f t="shared" ref="AF27:AF90" si="1">P27*$E$13</f>
        <v>0</v>
      </c>
      <c r="AG27" s="58">
        <f t="shared" ref="AG27:AG90" si="2">Q27*$E$14</f>
        <v>0</v>
      </c>
      <c r="AH27" s="58">
        <f t="shared" ref="AH27:AH90" si="3">R27*$E$15</f>
        <v>0</v>
      </c>
      <c r="AI27" s="58">
        <f t="shared" ref="AI27:AI90" si="4">S27*$E$16</f>
        <v>0</v>
      </c>
      <c r="AJ27" s="58">
        <f t="shared" ref="AJ27:AJ90" si="5">T27*$E$17</f>
        <v>0</v>
      </c>
      <c r="AK27" s="58">
        <f t="shared" ref="AK27:AK90" si="6">U27*$E$18</f>
        <v>0</v>
      </c>
      <c r="AL27" s="58">
        <f t="shared" ref="AL27:AL90" si="7">V27*$E$19</f>
        <v>0</v>
      </c>
      <c r="AM27" s="58">
        <f>SUM(AF27:AL27)</f>
        <v>0</v>
      </c>
      <c r="AN27" s="62">
        <f>IFERROR(I27*$E$12,0)</f>
        <v>0</v>
      </c>
      <c r="AO27" s="61">
        <f t="shared" ref="AO27:AO90" si="8">IFERROR(VLOOKUP(W27,$H$12:$I$22,2,FALSE),0)</f>
        <v>0</v>
      </c>
      <c r="AP27" s="61">
        <f t="shared" ref="AP27:AP90" si="9">IFERROR(VLOOKUP(X27,$L$12:$N$19,3,FALSE),0)</f>
        <v>0</v>
      </c>
    </row>
    <row r="28" spans="2:42" s="17" customFormat="1" ht="15" customHeight="1" x14ac:dyDescent="0.25">
      <c r="C28" s="216" t="s">
        <v>229</v>
      </c>
      <c r="D28" s="217"/>
      <c r="E28" s="90"/>
      <c r="F28" s="198"/>
      <c r="G28" s="214"/>
      <c r="H28" s="199"/>
      <c r="I28" s="78"/>
      <c r="J28" s="79"/>
      <c r="K28" s="78"/>
      <c r="L28" s="113"/>
      <c r="M28" s="155"/>
      <c r="N28" s="114" t="str">
        <f>IFERROR(MIN(VLOOKUP(ROUNDDOWN(M28,0),'Aide calcul'!$B$2:$C$282,2,FALSE),L28+1),"")</f>
        <v/>
      </c>
      <c r="O28" s="115" t="str">
        <f t="shared" ref="O28:O91" si="10">IFERROR(TRUNC(N28-0.5),"")</f>
        <v/>
      </c>
      <c r="P28" s="173"/>
      <c r="Q28" s="173"/>
      <c r="R28" s="173"/>
      <c r="S28" s="173"/>
      <c r="T28" s="173"/>
      <c r="U28" s="173"/>
      <c r="V28" s="173"/>
      <c r="W28" s="78"/>
      <c r="X28" s="78"/>
      <c r="Y28" s="116" t="str">
        <f>IFERROR(ROUND('Informations générales'!$D$66*(AE28/SUM($AE$27:$AE$403))/12,0)*12,"")</f>
        <v/>
      </c>
      <c r="Z28" s="117"/>
      <c r="AA28" s="116" t="str">
        <f t="shared" ref="AA28:AA91" si="11">IFERROR(Y28/AM28,"")</f>
        <v/>
      </c>
      <c r="AB28" s="78"/>
      <c r="AC28" s="92"/>
      <c r="AD28" s="78"/>
      <c r="AE28" s="58">
        <f t="shared" ref="AE28:AE91" si="12">AM28*(SUM(1,AN28,AO28,AP28))</f>
        <v>0</v>
      </c>
      <c r="AF28" s="58">
        <f t="shared" si="1"/>
        <v>0</v>
      </c>
      <c r="AG28" s="58">
        <f t="shared" si="2"/>
        <v>0</v>
      </c>
      <c r="AH28" s="58">
        <f t="shared" si="3"/>
        <v>0</v>
      </c>
      <c r="AI28" s="58">
        <f t="shared" si="4"/>
        <v>0</v>
      </c>
      <c r="AJ28" s="58">
        <f t="shared" si="5"/>
        <v>0</v>
      </c>
      <c r="AK28" s="58">
        <f t="shared" si="6"/>
        <v>0</v>
      </c>
      <c r="AL28" s="58">
        <f t="shared" si="7"/>
        <v>0</v>
      </c>
      <c r="AM28" s="58">
        <f t="shared" ref="AM28:AM91" si="13">SUM(AF28:AL28)</f>
        <v>0</v>
      </c>
      <c r="AN28" s="62">
        <f t="shared" ref="AN28:AN91" si="14">IFERROR(I28*$E$12,0)</f>
        <v>0</v>
      </c>
      <c r="AO28" s="61">
        <f t="shared" si="8"/>
        <v>0</v>
      </c>
      <c r="AP28" s="61">
        <f t="shared" si="9"/>
        <v>0</v>
      </c>
    </row>
    <row r="29" spans="2:42" s="17" customFormat="1" ht="14.45" customHeight="1" x14ac:dyDescent="0.25">
      <c r="C29" s="216" t="s">
        <v>229</v>
      </c>
      <c r="D29" s="217"/>
      <c r="E29" s="90"/>
      <c r="F29" s="198"/>
      <c r="G29" s="214"/>
      <c r="H29" s="199"/>
      <c r="I29" s="78"/>
      <c r="J29" s="79"/>
      <c r="K29" s="78"/>
      <c r="L29" s="113"/>
      <c r="M29" s="155"/>
      <c r="N29" s="114" t="str">
        <f>IFERROR(MIN(VLOOKUP(ROUNDDOWN(M29,0),'Aide calcul'!$B$2:$C$282,2,FALSE),L29+1),"")</f>
        <v/>
      </c>
      <c r="O29" s="115" t="str">
        <f t="shared" si="10"/>
        <v/>
      </c>
      <c r="P29" s="173"/>
      <c r="Q29" s="173"/>
      <c r="R29" s="173"/>
      <c r="S29" s="173"/>
      <c r="T29" s="173"/>
      <c r="U29" s="173"/>
      <c r="V29" s="173"/>
      <c r="W29" s="78"/>
      <c r="X29" s="78"/>
      <c r="Y29" s="116" t="str">
        <f>IFERROR(ROUND('Informations générales'!$D$66*(AE29/SUM($AE$27:$AE$403))/12,0)*12,"")</f>
        <v/>
      </c>
      <c r="Z29" s="117"/>
      <c r="AA29" s="116" t="str">
        <f t="shared" si="11"/>
        <v/>
      </c>
      <c r="AB29" s="78"/>
      <c r="AC29" s="92"/>
      <c r="AD29" s="78"/>
      <c r="AE29" s="58">
        <f t="shared" si="12"/>
        <v>0</v>
      </c>
      <c r="AF29" s="58">
        <f t="shared" si="1"/>
        <v>0</v>
      </c>
      <c r="AG29" s="58">
        <f t="shared" si="2"/>
        <v>0</v>
      </c>
      <c r="AH29" s="58">
        <f t="shared" si="3"/>
        <v>0</v>
      </c>
      <c r="AI29" s="58">
        <f t="shared" si="4"/>
        <v>0</v>
      </c>
      <c r="AJ29" s="58">
        <f t="shared" si="5"/>
        <v>0</v>
      </c>
      <c r="AK29" s="58">
        <f t="shared" si="6"/>
        <v>0</v>
      </c>
      <c r="AL29" s="58">
        <f t="shared" si="7"/>
        <v>0</v>
      </c>
      <c r="AM29" s="58">
        <f t="shared" si="13"/>
        <v>0</v>
      </c>
      <c r="AN29" s="62">
        <f t="shared" si="14"/>
        <v>0</v>
      </c>
      <c r="AO29" s="61">
        <f t="shared" si="8"/>
        <v>0</v>
      </c>
      <c r="AP29" s="61">
        <f t="shared" si="9"/>
        <v>0</v>
      </c>
    </row>
    <row r="30" spans="2:42" s="17" customFormat="1" x14ac:dyDescent="0.25">
      <c r="C30" s="216" t="s">
        <v>229</v>
      </c>
      <c r="D30" s="217"/>
      <c r="E30" s="90"/>
      <c r="F30" s="198"/>
      <c r="G30" s="214"/>
      <c r="H30" s="199"/>
      <c r="I30" s="78"/>
      <c r="J30" s="79"/>
      <c r="K30" s="78"/>
      <c r="L30" s="113"/>
      <c r="M30" s="155"/>
      <c r="N30" s="114" t="str">
        <f>IFERROR(MIN(VLOOKUP(ROUNDDOWN(M30,0),'Aide calcul'!$B$2:$C$282,2,FALSE),L30+1),"")</f>
        <v/>
      </c>
      <c r="O30" s="115" t="str">
        <f t="shared" si="10"/>
        <v/>
      </c>
      <c r="P30" s="173"/>
      <c r="Q30" s="173"/>
      <c r="R30" s="173"/>
      <c r="S30" s="173"/>
      <c r="T30" s="173"/>
      <c r="U30" s="173"/>
      <c r="V30" s="173"/>
      <c r="W30" s="78"/>
      <c r="X30" s="78"/>
      <c r="Y30" s="116" t="str">
        <f>IFERROR(ROUND('Informations générales'!$D$66*(AE30/SUM($AE$27:$AE$403))/12,0)*12,"")</f>
        <v/>
      </c>
      <c r="Z30" s="117"/>
      <c r="AA30" s="116" t="str">
        <f t="shared" si="11"/>
        <v/>
      </c>
      <c r="AB30" s="78"/>
      <c r="AC30" s="92"/>
      <c r="AD30" s="78"/>
      <c r="AE30" s="58">
        <f t="shared" si="12"/>
        <v>0</v>
      </c>
      <c r="AF30" s="58">
        <f t="shared" si="1"/>
        <v>0</v>
      </c>
      <c r="AG30" s="58">
        <f t="shared" si="2"/>
        <v>0</v>
      </c>
      <c r="AH30" s="58">
        <f t="shared" si="3"/>
        <v>0</v>
      </c>
      <c r="AI30" s="58">
        <f t="shared" si="4"/>
        <v>0</v>
      </c>
      <c r="AJ30" s="58">
        <f t="shared" si="5"/>
        <v>0</v>
      </c>
      <c r="AK30" s="58">
        <f t="shared" si="6"/>
        <v>0</v>
      </c>
      <c r="AL30" s="58">
        <f t="shared" si="7"/>
        <v>0</v>
      </c>
      <c r="AM30" s="58">
        <f t="shared" si="13"/>
        <v>0</v>
      </c>
      <c r="AN30" s="62">
        <f t="shared" si="14"/>
        <v>0</v>
      </c>
      <c r="AO30" s="61">
        <f t="shared" si="8"/>
        <v>0</v>
      </c>
      <c r="AP30" s="61">
        <f t="shared" si="9"/>
        <v>0</v>
      </c>
    </row>
    <row r="31" spans="2:42" s="17" customFormat="1" ht="14.45" customHeight="1" x14ac:dyDescent="0.25">
      <c r="C31" s="216" t="s">
        <v>229</v>
      </c>
      <c r="D31" s="217"/>
      <c r="E31" s="90"/>
      <c r="F31" s="198"/>
      <c r="G31" s="214"/>
      <c r="H31" s="199"/>
      <c r="I31" s="78"/>
      <c r="J31" s="79"/>
      <c r="K31" s="78"/>
      <c r="L31" s="113"/>
      <c r="M31" s="155"/>
      <c r="N31" s="114" t="str">
        <f>IFERROR(MIN(VLOOKUP(ROUNDDOWN(M31,0),'Aide calcul'!$B$2:$C$282,2,FALSE),L31+1),"")</f>
        <v/>
      </c>
      <c r="O31" s="115" t="str">
        <f t="shared" si="10"/>
        <v/>
      </c>
      <c r="P31" s="173"/>
      <c r="Q31" s="173"/>
      <c r="R31" s="173"/>
      <c r="S31" s="173"/>
      <c r="T31" s="173"/>
      <c r="U31" s="173"/>
      <c r="V31" s="173"/>
      <c r="W31" s="78"/>
      <c r="X31" s="78"/>
      <c r="Y31" s="116" t="str">
        <f>IFERROR(ROUND('Informations générales'!$D$66*(AE31/SUM($AE$27:$AE$403))/12,0)*12,"")</f>
        <v/>
      </c>
      <c r="Z31" s="117"/>
      <c r="AA31" s="116" t="str">
        <f t="shared" si="11"/>
        <v/>
      </c>
      <c r="AB31" s="78"/>
      <c r="AC31" s="92"/>
      <c r="AD31" s="78"/>
      <c r="AE31" s="58">
        <f t="shared" si="12"/>
        <v>0</v>
      </c>
      <c r="AF31" s="58">
        <f t="shared" si="1"/>
        <v>0</v>
      </c>
      <c r="AG31" s="58">
        <f t="shared" si="2"/>
        <v>0</v>
      </c>
      <c r="AH31" s="58">
        <f t="shared" si="3"/>
        <v>0</v>
      </c>
      <c r="AI31" s="58">
        <f t="shared" si="4"/>
        <v>0</v>
      </c>
      <c r="AJ31" s="58">
        <f t="shared" si="5"/>
        <v>0</v>
      </c>
      <c r="AK31" s="58">
        <f t="shared" si="6"/>
        <v>0</v>
      </c>
      <c r="AL31" s="58">
        <f t="shared" si="7"/>
        <v>0</v>
      </c>
      <c r="AM31" s="58">
        <f t="shared" si="13"/>
        <v>0</v>
      </c>
      <c r="AN31" s="62">
        <f t="shared" si="14"/>
        <v>0</v>
      </c>
      <c r="AO31" s="61">
        <f t="shared" si="8"/>
        <v>0</v>
      </c>
      <c r="AP31" s="61">
        <f t="shared" si="9"/>
        <v>0</v>
      </c>
    </row>
    <row r="32" spans="2:42" s="17" customFormat="1" x14ac:dyDescent="0.25">
      <c r="C32" s="216" t="s">
        <v>229</v>
      </c>
      <c r="D32" s="217"/>
      <c r="E32" s="90"/>
      <c r="F32" s="198"/>
      <c r="G32" s="214"/>
      <c r="H32" s="199"/>
      <c r="I32" s="78"/>
      <c r="J32" s="79"/>
      <c r="K32" s="78"/>
      <c r="L32" s="113"/>
      <c r="M32" s="155"/>
      <c r="N32" s="114" t="str">
        <f>IFERROR(MIN(VLOOKUP(ROUNDDOWN(M32,0),'Aide calcul'!$B$2:$C$282,2,FALSE),L32+1),"")</f>
        <v/>
      </c>
      <c r="O32" s="115" t="str">
        <f t="shared" si="10"/>
        <v/>
      </c>
      <c r="P32" s="173"/>
      <c r="Q32" s="173"/>
      <c r="R32" s="173"/>
      <c r="S32" s="173"/>
      <c r="T32" s="173"/>
      <c r="U32" s="173"/>
      <c r="V32" s="173"/>
      <c r="W32" s="78"/>
      <c r="X32" s="78"/>
      <c r="Y32" s="116" t="str">
        <f>IFERROR(ROUND('Informations générales'!$D$66*(AE32/SUM($AE$27:$AE$403))/12,0)*12,"")</f>
        <v/>
      </c>
      <c r="Z32" s="117"/>
      <c r="AA32" s="116" t="str">
        <f t="shared" si="11"/>
        <v/>
      </c>
      <c r="AB32" s="78"/>
      <c r="AC32" s="92"/>
      <c r="AD32" s="78"/>
      <c r="AE32" s="58">
        <f t="shared" si="12"/>
        <v>0</v>
      </c>
      <c r="AF32" s="58">
        <f t="shared" si="1"/>
        <v>0</v>
      </c>
      <c r="AG32" s="58">
        <f t="shared" si="2"/>
        <v>0</v>
      </c>
      <c r="AH32" s="58">
        <f t="shared" si="3"/>
        <v>0</v>
      </c>
      <c r="AI32" s="58">
        <f t="shared" si="4"/>
        <v>0</v>
      </c>
      <c r="AJ32" s="58">
        <f t="shared" si="5"/>
        <v>0</v>
      </c>
      <c r="AK32" s="58">
        <f t="shared" si="6"/>
        <v>0</v>
      </c>
      <c r="AL32" s="58">
        <f t="shared" si="7"/>
        <v>0</v>
      </c>
      <c r="AM32" s="58">
        <f t="shared" si="13"/>
        <v>0</v>
      </c>
      <c r="AN32" s="62">
        <f t="shared" si="14"/>
        <v>0</v>
      </c>
      <c r="AO32" s="61">
        <f t="shared" si="8"/>
        <v>0</v>
      </c>
      <c r="AP32" s="61">
        <f t="shared" si="9"/>
        <v>0</v>
      </c>
    </row>
    <row r="33" spans="3:42" s="17" customFormat="1" x14ac:dyDescent="0.25">
      <c r="C33" s="216" t="s">
        <v>229</v>
      </c>
      <c r="D33" s="217"/>
      <c r="E33" s="90"/>
      <c r="F33" s="198"/>
      <c r="G33" s="214"/>
      <c r="H33" s="199"/>
      <c r="I33" s="78"/>
      <c r="J33" s="79"/>
      <c r="K33" s="78"/>
      <c r="L33" s="113"/>
      <c r="M33" s="155"/>
      <c r="N33" s="114" t="str">
        <f>IFERROR(MIN(VLOOKUP(ROUNDDOWN(M33,0),'Aide calcul'!$B$2:$C$282,2,FALSE),L33+1),"")</f>
        <v/>
      </c>
      <c r="O33" s="115" t="str">
        <f t="shared" si="10"/>
        <v/>
      </c>
      <c r="P33" s="173"/>
      <c r="Q33" s="173"/>
      <c r="R33" s="173"/>
      <c r="S33" s="173"/>
      <c r="T33" s="173"/>
      <c r="U33" s="173"/>
      <c r="V33" s="173"/>
      <c r="W33" s="78"/>
      <c r="X33" s="78"/>
      <c r="Y33" s="116" t="str">
        <f>IFERROR(ROUND('Informations générales'!$D$66*(AE33/SUM($AE$27:$AE$403))/12,0)*12,"")</f>
        <v/>
      </c>
      <c r="Z33" s="117"/>
      <c r="AA33" s="116" t="str">
        <f t="shared" si="11"/>
        <v/>
      </c>
      <c r="AB33" s="78"/>
      <c r="AC33" s="92"/>
      <c r="AD33" s="78"/>
      <c r="AE33" s="58">
        <f t="shared" si="12"/>
        <v>0</v>
      </c>
      <c r="AF33" s="58">
        <f t="shared" si="1"/>
        <v>0</v>
      </c>
      <c r="AG33" s="58">
        <f t="shared" si="2"/>
        <v>0</v>
      </c>
      <c r="AH33" s="58">
        <f t="shared" si="3"/>
        <v>0</v>
      </c>
      <c r="AI33" s="58">
        <f t="shared" si="4"/>
        <v>0</v>
      </c>
      <c r="AJ33" s="58">
        <f t="shared" si="5"/>
        <v>0</v>
      </c>
      <c r="AK33" s="58">
        <f t="shared" si="6"/>
        <v>0</v>
      </c>
      <c r="AL33" s="58">
        <f t="shared" si="7"/>
        <v>0</v>
      </c>
      <c r="AM33" s="58">
        <f t="shared" si="13"/>
        <v>0</v>
      </c>
      <c r="AN33" s="62">
        <f t="shared" si="14"/>
        <v>0</v>
      </c>
      <c r="AO33" s="61">
        <f t="shared" si="8"/>
        <v>0</v>
      </c>
      <c r="AP33" s="61">
        <f t="shared" si="9"/>
        <v>0</v>
      </c>
    </row>
    <row r="34" spans="3:42" s="17" customFormat="1" x14ac:dyDescent="0.25">
      <c r="C34" s="216" t="s">
        <v>229</v>
      </c>
      <c r="D34" s="217"/>
      <c r="E34" s="90"/>
      <c r="F34" s="198"/>
      <c r="G34" s="214"/>
      <c r="H34" s="199"/>
      <c r="I34" s="78"/>
      <c r="J34" s="79"/>
      <c r="K34" s="78"/>
      <c r="L34" s="113"/>
      <c r="M34" s="155"/>
      <c r="N34" s="114" t="str">
        <f>IFERROR(MIN(VLOOKUP(ROUNDDOWN(M34,0),'Aide calcul'!$B$2:$C$282,2,FALSE),L34+1),"")</f>
        <v/>
      </c>
      <c r="O34" s="115" t="str">
        <f t="shared" si="10"/>
        <v/>
      </c>
      <c r="P34" s="173"/>
      <c r="Q34" s="173"/>
      <c r="R34" s="173"/>
      <c r="S34" s="173"/>
      <c r="T34" s="173"/>
      <c r="U34" s="173"/>
      <c r="V34" s="173"/>
      <c r="W34" s="78"/>
      <c r="X34" s="78"/>
      <c r="Y34" s="116" t="str">
        <f>IFERROR(ROUND('Informations générales'!$D$66*(AE34/SUM($AE$27:$AE$403))/12,0)*12,"")</f>
        <v/>
      </c>
      <c r="Z34" s="117"/>
      <c r="AA34" s="116" t="str">
        <f t="shared" si="11"/>
        <v/>
      </c>
      <c r="AB34" s="78"/>
      <c r="AC34" s="92"/>
      <c r="AD34" s="78"/>
      <c r="AE34" s="58">
        <f t="shared" si="12"/>
        <v>0</v>
      </c>
      <c r="AF34" s="58">
        <f t="shared" si="1"/>
        <v>0</v>
      </c>
      <c r="AG34" s="58">
        <f t="shared" si="2"/>
        <v>0</v>
      </c>
      <c r="AH34" s="58">
        <f t="shared" si="3"/>
        <v>0</v>
      </c>
      <c r="AI34" s="58">
        <f t="shared" si="4"/>
        <v>0</v>
      </c>
      <c r="AJ34" s="58">
        <f t="shared" si="5"/>
        <v>0</v>
      </c>
      <c r="AK34" s="58">
        <f t="shared" si="6"/>
        <v>0</v>
      </c>
      <c r="AL34" s="58">
        <f t="shared" si="7"/>
        <v>0</v>
      </c>
      <c r="AM34" s="58">
        <f t="shared" si="13"/>
        <v>0</v>
      </c>
      <c r="AN34" s="62">
        <f t="shared" si="14"/>
        <v>0</v>
      </c>
      <c r="AO34" s="61">
        <f t="shared" si="8"/>
        <v>0</v>
      </c>
      <c r="AP34" s="61">
        <f t="shared" si="9"/>
        <v>0</v>
      </c>
    </row>
    <row r="35" spans="3:42" s="17" customFormat="1" x14ac:dyDescent="0.25">
      <c r="C35" s="216" t="s">
        <v>229</v>
      </c>
      <c r="D35" s="217"/>
      <c r="E35" s="90"/>
      <c r="F35" s="198"/>
      <c r="G35" s="214"/>
      <c r="H35" s="199"/>
      <c r="I35" s="78"/>
      <c r="J35" s="79"/>
      <c r="K35" s="78"/>
      <c r="L35" s="113"/>
      <c r="M35" s="155"/>
      <c r="N35" s="114" t="str">
        <f>IFERROR(MIN(VLOOKUP(ROUNDDOWN(M35,0),'Aide calcul'!$B$2:$C$282,2,FALSE),L35+1),"")</f>
        <v/>
      </c>
      <c r="O35" s="115" t="str">
        <f t="shared" si="10"/>
        <v/>
      </c>
      <c r="P35" s="173"/>
      <c r="Q35" s="173"/>
      <c r="R35" s="173"/>
      <c r="S35" s="173"/>
      <c r="T35" s="173"/>
      <c r="U35" s="173"/>
      <c r="V35" s="173"/>
      <c r="W35" s="78"/>
      <c r="X35" s="78"/>
      <c r="Y35" s="116" t="str">
        <f>IFERROR(ROUND('Informations générales'!$D$66*(AE35/SUM($AE$27:$AE$403))/12,0)*12,"")</f>
        <v/>
      </c>
      <c r="Z35" s="117"/>
      <c r="AA35" s="116" t="str">
        <f t="shared" si="11"/>
        <v/>
      </c>
      <c r="AB35" s="78"/>
      <c r="AC35" s="92"/>
      <c r="AD35" s="78"/>
      <c r="AE35" s="58">
        <f t="shared" si="12"/>
        <v>0</v>
      </c>
      <c r="AF35" s="58">
        <f t="shared" si="1"/>
        <v>0</v>
      </c>
      <c r="AG35" s="58">
        <f t="shared" si="2"/>
        <v>0</v>
      </c>
      <c r="AH35" s="58">
        <f t="shared" si="3"/>
        <v>0</v>
      </c>
      <c r="AI35" s="58">
        <f t="shared" si="4"/>
        <v>0</v>
      </c>
      <c r="AJ35" s="58">
        <f t="shared" si="5"/>
        <v>0</v>
      </c>
      <c r="AK35" s="58">
        <f t="shared" si="6"/>
        <v>0</v>
      </c>
      <c r="AL35" s="58">
        <f t="shared" si="7"/>
        <v>0</v>
      </c>
      <c r="AM35" s="58">
        <f t="shared" si="13"/>
        <v>0</v>
      </c>
      <c r="AN35" s="62">
        <f t="shared" si="14"/>
        <v>0</v>
      </c>
      <c r="AO35" s="61">
        <f t="shared" si="8"/>
        <v>0</v>
      </c>
      <c r="AP35" s="61">
        <f t="shared" si="9"/>
        <v>0</v>
      </c>
    </row>
    <row r="36" spans="3:42" s="17" customFormat="1" x14ac:dyDescent="0.25">
      <c r="C36" s="216" t="s">
        <v>229</v>
      </c>
      <c r="D36" s="217"/>
      <c r="E36" s="90"/>
      <c r="F36" s="198"/>
      <c r="G36" s="214"/>
      <c r="H36" s="199"/>
      <c r="I36" s="78"/>
      <c r="J36" s="79"/>
      <c r="K36" s="78"/>
      <c r="L36" s="113"/>
      <c r="M36" s="155"/>
      <c r="N36" s="114" t="str">
        <f>IFERROR(MIN(VLOOKUP(ROUNDDOWN(M36,0),'Aide calcul'!$B$2:$C$282,2,FALSE),L36+1),"")</f>
        <v/>
      </c>
      <c r="O36" s="115" t="str">
        <f t="shared" si="10"/>
        <v/>
      </c>
      <c r="P36" s="173"/>
      <c r="Q36" s="173"/>
      <c r="R36" s="173"/>
      <c r="S36" s="173"/>
      <c r="T36" s="173"/>
      <c r="U36" s="173"/>
      <c r="V36" s="173"/>
      <c r="W36" s="78"/>
      <c r="X36" s="78"/>
      <c r="Y36" s="116" t="str">
        <f>IFERROR(ROUND('Informations générales'!$D$66*(AE36/SUM($AE$27:$AE$403))/12,0)*12,"")</f>
        <v/>
      </c>
      <c r="Z36" s="117"/>
      <c r="AA36" s="116" t="str">
        <f t="shared" si="11"/>
        <v/>
      </c>
      <c r="AB36" s="78"/>
      <c r="AC36" s="92"/>
      <c r="AD36" s="78"/>
      <c r="AE36" s="58">
        <f t="shared" si="12"/>
        <v>0</v>
      </c>
      <c r="AF36" s="58">
        <f t="shared" si="1"/>
        <v>0</v>
      </c>
      <c r="AG36" s="58">
        <f t="shared" si="2"/>
        <v>0</v>
      </c>
      <c r="AH36" s="58">
        <f t="shared" si="3"/>
        <v>0</v>
      </c>
      <c r="AI36" s="58">
        <f t="shared" si="4"/>
        <v>0</v>
      </c>
      <c r="AJ36" s="58">
        <f t="shared" si="5"/>
        <v>0</v>
      </c>
      <c r="AK36" s="58">
        <f t="shared" si="6"/>
        <v>0</v>
      </c>
      <c r="AL36" s="58">
        <f t="shared" si="7"/>
        <v>0</v>
      </c>
      <c r="AM36" s="58">
        <f t="shared" si="13"/>
        <v>0</v>
      </c>
      <c r="AN36" s="62">
        <f t="shared" si="14"/>
        <v>0</v>
      </c>
      <c r="AO36" s="61">
        <f t="shared" si="8"/>
        <v>0</v>
      </c>
      <c r="AP36" s="61">
        <f t="shared" si="9"/>
        <v>0</v>
      </c>
    </row>
    <row r="37" spans="3:42" s="17" customFormat="1" x14ac:dyDescent="0.25">
      <c r="C37" s="216" t="s">
        <v>229</v>
      </c>
      <c r="D37" s="217"/>
      <c r="E37" s="90"/>
      <c r="F37" s="198"/>
      <c r="G37" s="214"/>
      <c r="H37" s="199"/>
      <c r="I37" s="78"/>
      <c r="J37" s="79"/>
      <c r="K37" s="78"/>
      <c r="L37" s="113"/>
      <c r="M37" s="155"/>
      <c r="N37" s="114" t="str">
        <f>IFERROR(MIN(VLOOKUP(ROUNDDOWN(M37,0),'Aide calcul'!$B$2:$C$282,2,FALSE),L37+1),"")</f>
        <v/>
      </c>
      <c r="O37" s="115" t="str">
        <f t="shared" si="10"/>
        <v/>
      </c>
      <c r="P37" s="173"/>
      <c r="Q37" s="173"/>
      <c r="R37" s="173"/>
      <c r="S37" s="173"/>
      <c r="T37" s="173"/>
      <c r="U37" s="173"/>
      <c r="V37" s="173"/>
      <c r="W37" s="78"/>
      <c r="X37" s="78"/>
      <c r="Y37" s="116" t="str">
        <f>IFERROR(ROUND('Informations générales'!$D$66*(AE37/SUM($AE$27:$AE$403))/12,0)*12,"")</f>
        <v/>
      </c>
      <c r="Z37" s="117"/>
      <c r="AA37" s="116" t="str">
        <f t="shared" si="11"/>
        <v/>
      </c>
      <c r="AB37" s="78"/>
      <c r="AC37" s="92"/>
      <c r="AD37" s="78"/>
      <c r="AE37" s="58">
        <f t="shared" si="12"/>
        <v>0</v>
      </c>
      <c r="AF37" s="58">
        <f t="shared" si="1"/>
        <v>0</v>
      </c>
      <c r="AG37" s="58">
        <f t="shared" si="2"/>
        <v>0</v>
      </c>
      <c r="AH37" s="58">
        <f t="shared" si="3"/>
        <v>0</v>
      </c>
      <c r="AI37" s="58">
        <f t="shared" si="4"/>
        <v>0</v>
      </c>
      <c r="AJ37" s="58">
        <f t="shared" si="5"/>
        <v>0</v>
      </c>
      <c r="AK37" s="58">
        <f t="shared" si="6"/>
        <v>0</v>
      </c>
      <c r="AL37" s="58">
        <f t="shared" si="7"/>
        <v>0</v>
      </c>
      <c r="AM37" s="58">
        <f t="shared" si="13"/>
        <v>0</v>
      </c>
      <c r="AN37" s="62">
        <f t="shared" si="14"/>
        <v>0</v>
      </c>
      <c r="AO37" s="61">
        <f t="shared" si="8"/>
        <v>0</v>
      </c>
      <c r="AP37" s="61">
        <f t="shared" si="9"/>
        <v>0</v>
      </c>
    </row>
    <row r="38" spans="3:42" s="17" customFormat="1" x14ac:dyDescent="0.25">
      <c r="C38" s="216" t="s">
        <v>229</v>
      </c>
      <c r="D38" s="217"/>
      <c r="E38" s="90"/>
      <c r="F38" s="198"/>
      <c r="G38" s="214"/>
      <c r="H38" s="199"/>
      <c r="I38" s="78"/>
      <c r="J38" s="79"/>
      <c r="K38" s="78"/>
      <c r="L38" s="113"/>
      <c r="M38" s="155"/>
      <c r="N38" s="114" t="str">
        <f>IFERROR(MIN(VLOOKUP(ROUNDDOWN(M38,0),'Aide calcul'!$B$2:$C$282,2,FALSE),L38+1),"")</f>
        <v/>
      </c>
      <c r="O38" s="115" t="str">
        <f t="shared" si="10"/>
        <v/>
      </c>
      <c r="P38" s="173"/>
      <c r="Q38" s="173"/>
      <c r="R38" s="173"/>
      <c r="S38" s="173"/>
      <c r="T38" s="173"/>
      <c r="U38" s="173"/>
      <c r="V38" s="173"/>
      <c r="W38" s="78"/>
      <c r="X38" s="78"/>
      <c r="Y38" s="116" t="str">
        <f>IFERROR(ROUND('Informations générales'!$D$66*(AE38/SUM($AE$27:$AE$403))/12,0)*12,"")</f>
        <v/>
      </c>
      <c r="Z38" s="117"/>
      <c r="AA38" s="116" t="str">
        <f t="shared" si="11"/>
        <v/>
      </c>
      <c r="AB38" s="78"/>
      <c r="AC38" s="92"/>
      <c r="AD38" s="78"/>
      <c r="AE38" s="58">
        <f t="shared" si="12"/>
        <v>0</v>
      </c>
      <c r="AF38" s="58">
        <f t="shared" si="1"/>
        <v>0</v>
      </c>
      <c r="AG38" s="58">
        <f t="shared" si="2"/>
        <v>0</v>
      </c>
      <c r="AH38" s="58">
        <f t="shared" si="3"/>
        <v>0</v>
      </c>
      <c r="AI38" s="58">
        <f t="shared" si="4"/>
        <v>0</v>
      </c>
      <c r="AJ38" s="58">
        <f t="shared" si="5"/>
        <v>0</v>
      </c>
      <c r="AK38" s="58">
        <f t="shared" si="6"/>
        <v>0</v>
      </c>
      <c r="AL38" s="58">
        <f t="shared" si="7"/>
        <v>0</v>
      </c>
      <c r="AM38" s="58">
        <f t="shared" si="13"/>
        <v>0</v>
      </c>
      <c r="AN38" s="62">
        <f t="shared" si="14"/>
        <v>0</v>
      </c>
      <c r="AO38" s="61">
        <f t="shared" si="8"/>
        <v>0</v>
      </c>
      <c r="AP38" s="61">
        <f t="shared" si="9"/>
        <v>0</v>
      </c>
    </row>
    <row r="39" spans="3:42" s="17" customFormat="1" x14ac:dyDescent="0.25">
      <c r="C39" s="216" t="s">
        <v>229</v>
      </c>
      <c r="D39" s="217"/>
      <c r="E39" s="90"/>
      <c r="F39" s="198"/>
      <c r="G39" s="214"/>
      <c r="H39" s="199"/>
      <c r="I39" s="78"/>
      <c r="J39" s="79"/>
      <c r="K39" s="78"/>
      <c r="L39" s="113"/>
      <c r="M39" s="155"/>
      <c r="N39" s="114" t="str">
        <f>IFERROR(MIN(VLOOKUP(ROUNDDOWN(M39,0),'Aide calcul'!$B$2:$C$282,2,FALSE),L39+1),"")</f>
        <v/>
      </c>
      <c r="O39" s="115" t="str">
        <f t="shared" si="10"/>
        <v/>
      </c>
      <c r="P39" s="173"/>
      <c r="Q39" s="173"/>
      <c r="R39" s="173"/>
      <c r="S39" s="173"/>
      <c r="T39" s="173"/>
      <c r="U39" s="173"/>
      <c r="V39" s="173"/>
      <c r="W39" s="78"/>
      <c r="X39" s="78"/>
      <c r="Y39" s="116" t="str">
        <f>IFERROR(ROUND('Informations générales'!$D$66*(AE39/SUM($AE$27:$AE$403))/12,0)*12,"")</f>
        <v/>
      </c>
      <c r="Z39" s="117"/>
      <c r="AA39" s="116" t="str">
        <f t="shared" si="11"/>
        <v/>
      </c>
      <c r="AB39" s="78"/>
      <c r="AC39" s="92"/>
      <c r="AD39" s="78"/>
      <c r="AE39" s="58">
        <f t="shared" si="12"/>
        <v>0</v>
      </c>
      <c r="AF39" s="58">
        <f t="shared" si="1"/>
        <v>0</v>
      </c>
      <c r="AG39" s="58">
        <f t="shared" si="2"/>
        <v>0</v>
      </c>
      <c r="AH39" s="58">
        <f t="shared" si="3"/>
        <v>0</v>
      </c>
      <c r="AI39" s="58">
        <f t="shared" si="4"/>
        <v>0</v>
      </c>
      <c r="AJ39" s="58">
        <f t="shared" si="5"/>
        <v>0</v>
      </c>
      <c r="AK39" s="58">
        <f t="shared" si="6"/>
        <v>0</v>
      </c>
      <c r="AL39" s="58">
        <f t="shared" si="7"/>
        <v>0</v>
      </c>
      <c r="AM39" s="58">
        <f t="shared" si="13"/>
        <v>0</v>
      </c>
      <c r="AN39" s="62">
        <f t="shared" si="14"/>
        <v>0</v>
      </c>
      <c r="AO39" s="61">
        <f t="shared" si="8"/>
        <v>0</v>
      </c>
      <c r="AP39" s="61">
        <f t="shared" si="9"/>
        <v>0</v>
      </c>
    </row>
    <row r="40" spans="3:42" s="17" customFormat="1" x14ac:dyDescent="0.25">
      <c r="C40" s="216" t="s">
        <v>229</v>
      </c>
      <c r="D40" s="217"/>
      <c r="E40" s="90"/>
      <c r="F40" s="198"/>
      <c r="G40" s="214"/>
      <c r="H40" s="199"/>
      <c r="I40" s="78"/>
      <c r="J40" s="79"/>
      <c r="K40" s="78"/>
      <c r="L40" s="113"/>
      <c r="M40" s="155"/>
      <c r="N40" s="114" t="str">
        <f>IFERROR(MIN(VLOOKUP(ROUNDDOWN(M40,0),'Aide calcul'!$B$2:$C$282,2,FALSE),L40+1),"")</f>
        <v/>
      </c>
      <c r="O40" s="115" t="str">
        <f t="shared" si="10"/>
        <v/>
      </c>
      <c r="P40" s="173"/>
      <c r="Q40" s="173"/>
      <c r="R40" s="173"/>
      <c r="S40" s="173"/>
      <c r="T40" s="173"/>
      <c r="U40" s="173"/>
      <c r="V40" s="173"/>
      <c r="W40" s="78"/>
      <c r="X40" s="78"/>
      <c r="Y40" s="116" t="str">
        <f>IFERROR(ROUND('Informations générales'!$D$66*(AE40/SUM($AE$27:$AE$403))/12,0)*12,"")</f>
        <v/>
      </c>
      <c r="Z40" s="117"/>
      <c r="AA40" s="116" t="str">
        <f t="shared" si="11"/>
        <v/>
      </c>
      <c r="AB40" s="78"/>
      <c r="AC40" s="92"/>
      <c r="AD40" s="78"/>
      <c r="AE40" s="58">
        <f t="shared" si="12"/>
        <v>0</v>
      </c>
      <c r="AF40" s="58">
        <f t="shared" si="1"/>
        <v>0</v>
      </c>
      <c r="AG40" s="58">
        <f t="shared" si="2"/>
        <v>0</v>
      </c>
      <c r="AH40" s="58">
        <f t="shared" si="3"/>
        <v>0</v>
      </c>
      <c r="AI40" s="58">
        <f t="shared" si="4"/>
        <v>0</v>
      </c>
      <c r="AJ40" s="58">
        <f t="shared" si="5"/>
        <v>0</v>
      </c>
      <c r="AK40" s="58">
        <f t="shared" si="6"/>
        <v>0</v>
      </c>
      <c r="AL40" s="58">
        <f t="shared" si="7"/>
        <v>0</v>
      </c>
      <c r="AM40" s="58">
        <f t="shared" si="13"/>
        <v>0</v>
      </c>
      <c r="AN40" s="62">
        <f t="shared" si="14"/>
        <v>0</v>
      </c>
      <c r="AO40" s="61">
        <f t="shared" si="8"/>
        <v>0</v>
      </c>
      <c r="AP40" s="61">
        <f t="shared" si="9"/>
        <v>0</v>
      </c>
    </row>
    <row r="41" spans="3:42" s="17" customFormat="1" x14ac:dyDescent="0.25">
      <c r="C41" s="216" t="s">
        <v>229</v>
      </c>
      <c r="D41" s="217"/>
      <c r="E41" s="90"/>
      <c r="F41" s="198"/>
      <c r="G41" s="214"/>
      <c r="H41" s="199"/>
      <c r="I41" s="78"/>
      <c r="J41" s="79"/>
      <c r="K41" s="78"/>
      <c r="L41" s="113"/>
      <c r="M41" s="155"/>
      <c r="N41" s="114" t="str">
        <f>IFERROR(MIN(VLOOKUP(ROUNDDOWN(M41,0),'Aide calcul'!$B$2:$C$282,2,FALSE),L41+1),"")</f>
        <v/>
      </c>
      <c r="O41" s="115" t="str">
        <f t="shared" si="10"/>
        <v/>
      </c>
      <c r="P41" s="173"/>
      <c r="Q41" s="173"/>
      <c r="R41" s="173"/>
      <c r="S41" s="173"/>
      <c r="T41" s="173"/>
      <c r="U41" s="173"/>
      <c r="V41" s="173"/>
      <c r="W41" s="78"/>
      <c r="X41" s="78"/>
      <c r="Y41" s="116" t="str">
        <f>IFERROR(ROUND('Informations générales'!$D$66*(AE41/SUM($AE$27:$AE$403))/12,0)*12,"")</f>
        <v/>
      </c>
      <c r="Z41" s="117"/>
      <c r="AA41" s="116" t="str">
        <f t="shared" si="11"/>
        <v/>
      </c>
      <c r="AB41" s="78"/>
      <c r="AC41" s="92"/>
      <c r="AD41" s="78"/>
      <c r="AE41" s="58">
        <f t="shared" si="12"/>
        <v>0</v>
      </c>
      <c r="AF41" s="58">
        <f t="shared" si="1"/>
        <v>0</v>
      </c>
      <c r="AG41" s="58">
        <f t="shared" si="2"/>
        <v>0</v>
      </c>
      <c r="AH41" s="58">
        <f t="shared" si="3"/>
        <v>0</v>
      </c>
      <c r="AI41" s="58">
        <f t="shared" si="4"/>
        <v>0</v>
      </c>
      <c r="AJ41" s="58">
        <f t="shared" si="5"/>
        <v>0</v>
      </c>
      <c r="AK41" s="58">
        <f t="shared" si="6"/>
        <v>0</v>
      </c>
      <c r="AL41" s="58">
        <f t="shared" si="7"/>
        <v>0</v>
      </c>
      <c r="AM41" s="58">
        <f t="shared" si="13"/>
        <v>0</v>
      </c>
      <c r="AN41" s="62">
        <f t="shared" si="14"/>
        <v>0</v>
      </c>
      <c r="AO41" s="61">
        <f t="shared" si="8"/>
        <v>0</v>
      </c>
      <c r="AP41" s="61">
        <f t="shared" si="9"/>
        <v>0</v>
      </c>
    </row>
    <row r="42" spans="3:42" s="17" customFormat="1" x14ac:dyDescent="0.25">
      <c r="C42" s="216" t="s">
        <v>229</v>
      </c>
      <c r="D42" s="217"/>
      <c r="E42" s="90"/>
      <c r="F42" s="198"/>
      <c r="G42" s="214"/>
      <c r="H42" s="199"/>
      <c r="I42" s="78"/>
      <c r="J42" s="79"/>
      <c r="K42" s="78"/>
      <c r="L42" s="113"/>
      <c r="M42" s="155"/>
      <c r="N42" s="114" t="str">
        <f>IFERROR(MIN(VLOOKUP(ROUNDDOWN(M42,0),'Aide calcul'!$B$2:$C$282,2,FALSE),L42+1),"")</f>
        <v/>
      </c>
      <c r="O42" s="115" t="str">
        <f t="shared" si="10"/>
        <v/>
      </c>
      <c r="P42" s="173"/>
      <c r="Q42" s="173"/>
      <c r="R42" s="173"/>
      <c r="S42" s="173"/>
      <c r="T42" s="173"/>
      <c r="U42" s="173"/>
      <c r="V42" s="173"/>
      <c r="W42" s="78"/>
      <c r="X42" s="78"/>
      <c r="Y42" s="116" t="str">
        <f>IFERROR(ROUND('Informations générales'!$D$66*(AE42/SUM($AE$27:$AE$403))/12,0)*12,"")</f>
        <v/>
      </c>
      <c r="Z42" s="117"/>
      <c r="AA42" s="116" t="str">
        <f t="shared" si="11"/>
        <v/>
      </c>
      <c r="AB42" s="78"/>
      <c r="AC42" s="92"/>
      <c r="AD42" s="78"/>
      <c r="AE42" s="58">
        <f t="shared" si="12"/>
        <v>0</v>
      </c>
      <c r="AF42" s="58">
        <f t="shared" si="1"/>
        <v>0</v>
      </c>
      <c r="AG42" s="58">
        <f t="shared" si="2"/>
        <v>0</v>
      </c>
      <c r="AH42" s="58">
        <f t="shared" si="3"/>
        <v>0</v>
      </c>
      <c r="AI42" s="58">
        <f t="shared" si="4"/>
        <v>0</v>
      </c>
      <c r="AJ42" s="58">
        <f t="shared" si="5"/>
        <v>0</v>
      </c>
      <c r="AK42" s="58">
        <f t="shared" si="6"/>
        <v>0</v>
      </c>
      <c r="AL42" s="58">
        <f t="shared" si="7"/>
        <v>0</v>
      </c>
      <c r="AM42" s="58">
        <f t="shared" si="13"/>
        <v>0</v>
      </c>
      <c r="AN42" s="62">
        <f t="shared" si="14"/>
        <v>0</v>
      </c>
      <c r="AO42" s="61">
        <f t="shared" si="8"/>
        <v>0</v>
      </c>
      <c r="AP42" s="61">
        <f t="shared" si="9"/>
        <v>0</v>
      </c>
    </row>
    <row r="43" spans="3:42" s="17" customFormat="1" x14ac:dyDescent="0.25">
      <c r="C43" s="216" t="s">
        <v>229</v>
      </c>
      <c r="D43" s="217"/>
      <c r="E43" s="90"/>
      <c r="F43" s="198"/>
      <c r="G43" s="214"/>
      <c r="H43" s="199"/>
      <c r="I43" s="78"/>
      <c r="J43" s="79"/>
      <c r="K43" s="78"/>
      <c r="L43" s="113"/>
      <c r="M43" s="155"/>
      <c r="N43" s="114" t="str">
        <f>IFERROR(MIN(VLOOKUP(ROUNDDOWN(M43,0),'Aide calcul'!$B$2:$C$282,2,FALSE),L43+1),"")</f>
        <v/>
      </c>
      <c r="O43" s="115" t="str">
        <f t="shared" si="10"/>
        <v/>
      </c>
      <c r="P43" s="173"/>
      <c r="Q43" s="173"/>
      <c r="R43" s="173"/>
      <c r="S43" s="173"/>
      <c r="T43" s="173"/>
      <c r="U43" s="173"/>
      <c r="V43" s="173"/>
      <c r="W43" s="78"/>
      <c r="X43" s="78"/>
      <c r="Y43" s="116" t="str">
        <f>IFERROR(ROUND('Informations générales'!$D$66*(AE43/SUM($AE$27:$AE$403))/12,0)*12,"")</f>
        <v/>
      </c>
      <c r="Z43" s="117"/>
      <c r="AA43" s="116" t="str">
        <f t="shared" si="11"/>
        <v/>
      </c>
      <c r="AB43" s="78"/>
      <c r="AC43" s="92"/>
      <c r="AD43" s="78"/>
      <c r="AE43" s="58">
        <f t="shared" si="12"/>
        <v>0</v>
      </c>
      <c r="AF43" s="58">
        <f t="shared" si="1"/>
        <v>0</v>
      </c>
      <c r="AG43" s="58">
        <f t="shared" si="2"/>
        <v>0</v>
      </c>
      <c r="AH43" s="58">
        <f t="shared" si="3"/>
        <v>0</v>
      </c>
      <c r="AI43" s="58">
        <f t="shared" si="4"/>
        <v>0</v>
      </c>
      <c r="AJ43" s="58">
        <f t="shared" si="5"/>
        <v>0</v>
      </c>
      <c r="AK43" s="58">
        <f t="shared" si="6"/>
        <v>0</v>
      </c>
      <c r="AL43" s="58">
        <f t="shared" si="7"/>
        <v>0</v>
      </c>
      <c r="AM43" s="58">
        <f t="shared" si="13"/>
        <v>0</v>
      </c>
      <c r="AN43" s="62">
        <f t="shared" si="14"/>
        <v>0</v>
      </c>
      <c r="AO43" s="61">
        <f t="shared" si="8"/>
        <v>0</v>
      </c>
      <c r="AP43" s="61">
        <f t="shared" si="9"/>
        <v>0</v>
      </c>
    </row>
    <row r="44" spans="3:42" s="17" customFormat="1" x14ac:dyDescent="0.25">
      <c r="C44" s="216" t="s">
        <v>229</v>
      </c>
      <c r="D44" s="217"/>
      <c r="E44" s="90"/>
      <c r="F44" s="198"/>
      <c r="G44" s="214"/>
      <c r="H44" s="199"/>
      <c r="I44" s="78"/>
      <c r="J44" s="79"/>
      <c r="K44" s="78"/>
      <c r="L44" s="113"/>
      <c r="M44" s="155"/>
      <c r="N44" s="114" t="str">
        <f>IFERROR(MIN(VLOOKUP(ROUNDDOWN(M44,0),'Aide calcul'!$B$2:$C$282,2,FALSE),L44+1),"")</f>
        <v/>
      </c>
      <c r="O44" s="115" t="str">
        <f t="shared" si="10"/>
        <v/>
      </c>
      <c r="P44" s="173"/>
      <c r="Q44" s="173"/>
      <c r="R44" s="173"/>
      <c r="S44" s="173"/>
      <c r="T44" s="173"/>
      <c r="U44" s="173"/>
      <c r="V44" s="173"/>
      <c r="W44" s="78"/>
      <c r="X44" s="78"/>
      <c r="Y44" s="116" t="str">
        <f>IFERROR(ROUND('Informations générales'!$D$66*(AE44/SUM($AE$27:$AE$403))/12,0)*12,"")</f>
        <v/>
      </c>
      <c r="Z44" s="117"/>
      <c r="AA44" s="116" t="str">
        <f t="shared" si="11"/>
        <v/>
      </c>
      <c r="AB44" s="78"/>
      <c r="AC44" s="92"/>
      <c r="AD44" s="78"/>
      <c r="AE44" s="58">
        <f t="shared" si="12"/>
        <v>0</v>
      </c>
      <c r="AF44" s="58">
        <f t="shared" si="1"/>
        <v>0</v>
      </c>
      <c r="AG44" s="58">
        <f t="shared" si="2"/>
        <v>0</v>
      </c>
      <c r="AH44" s="58">
        <f t="shared" si="3"/>
        <v>0</v>
      </c>
      <c r="AI44" s="58">
        <f t="shared" si="4"/>
        <v>0</v>
      </c>
      <c r="AJ44" s="58">
        <f t="shared" si="5"/>
        <v>0</v>
      </c>
      <c r="AK44" s="58">
        <f t="shared" si="6"/>
        <v>0</v>
      </c>
      <c r="AL44" s="58">
        <f t="shared" si="7"/>
        <v>0</v>
      </c>
      <c r="AM44" s="58">
        <f t="shared" si="13"/>
        <v>0</v>
      </c>
      <c r="AN44" s="62">
        <f t="shared" si="14"/>
        <v>0</v>
      </c>
      <c r="AO44" s="61">
        <f t="shared" si="8"/>
        <v>0</v>
      </c>
      <c r="AP44" s="61">
        <f t="shared" si="9"/>
        <v>0</v>
      </c>
    </row>
    <row r="45" spans="3:42" s="17" customFormat="1" x14ac:dyDescent="0.25">
      <c r="C45" s="216" t="s">
        <v>229</v>
      </c>
      <c r="D45" s="217"/>
      <c r="E45" s="90"/>
      <c r="F45" s="198"/>
      <c r="G45" s="214"/>
      <c r="H45" s="199"/>
      <c r="I45" s="78"/>
      <c r="J45" s="79"/>
      <c r="K45" s="78"/>
      <c r="L45" s="113"/>
      <c r="M45" s="155"/>
      <c r="N45" s="114" t="str">
        <f>IFERROR(MIN(VLOOKUP(ROUNDDOWN(M45,0),'Aide calcul'!$B$2:$C$282,2,FALSE),L45+1),"")</f>
        <v/>
      </c>
      <c r="O45" s="115" t="str">
        <f t="shared" si="10"/>
        <v/>
      </c>
      <c r="P45" s="173"/>
      <c r="Q45" s="173"/>
      <c r="R45" s="173"/>
      <c r="S45" s="173"/>
      <c r="T45" s="173"/>
      <c r="U45" s="173"/>
      <c r="V45" s="173"/>
      <c r="W45" s="78"/>
      <c r="X45" s="78"/>
      <c r="Y45" s="116" t="str">
        <f>IFERROR(ROUND('Informations générales'!$D$66*(AE45/SUM($AE$27:$AE$403))/12,0)*12,"")</f>
        <v/>
      </c>
      <c r="Z45" s="117"/>
      <c r="AA45" s="116" t="str">
        <f t="shared" si="11"/>
        <v/>
      </c>
      <c r="AB45" s="78"/>
      <c r="AC45" s="92"/>
      <c r="AD45" s="78"/>
      <c r="AE45" s="58">
        <f t="shared" si="12"/>
        <v>0</v>
      </c>
      <c r="AF45" s="58">
        <f t="shared" si="1"/>
        <v>0</v>
      </c>
      <c r="AG45" s="58">
        <f t="shared" si="2"/>
        <v>0</v>
      </c>
      <c r="AH45" s="58">
        <f t="shared" si="3"/>
        <v>0</v>
      </c>
      <c r="AI45" s="58">
        <f t="shared" si="4"/>
        <v>0</v>
      </c>
      <c r="AJ45" s="58">
        <f t="shared" si="5"/>
        <v>0</v>
      </c>
      <c r="AK45" s="58">
        <f t="shared" si="6"/>
        <v>0</v>
      </c>
      <c r="AL45" s="58">
        <f t="shared" si="7"/>
        <v>0</v>
      </c>
      <c r="AM45" s="58">
        <f t="shared" si="13"/>
        <v>0</v>
      </c>
      <c r="AN45" s="62">
        <f t="shared" si="14"/>
        <v>0</v>
      </c>
      <c r="AO45" s="61">
        <f t="shared" si="8"/>
        <v>0</v>
      </c>
      <c r="AP45" s="61">
        <f t="shared" si="9"/>
        <v>0</v>
      </c>
    </row>
    <row r="46" spans="3:42" s="17" customFormat="1" x14ac:dyDescent="0.25">
      <c r="C46" s="216" t="s">
        <v>229</v>
      </c>
      <c r="D46" s="217"/>
      <c r="E46" s="90"/>
      <c r="F46" s="198"/>
      <c r="G46" s="214"/>
      <c r="H46" s="199"/>
      <c r="I46" s="78"/>
      <c r="J46" s="79"/>
      <c r="K46" s="78"/>
      <c r="L46" s="113"/>
      <c r="M46" s="155"/>
      <c r="N46" s="114" t="str">
        <f>IFERROR(MIN(VLOOKUP(ROUNDDOWN(M46,0),'Aide calcul'!$B$2:$C$282,2,FALSE),L46+1),"")</f>
        <v/>
      </c>
      <c r="O46" s="115" t="str">
        <f t="shared" si="10"/>
        <v/>
      </c>
      <c r="P46" s="173"/>
      <c r="Q46" s="173"/>
      <c r="R46" s="173"/>
      <c r="S46" s="173"/>
      <c r="T46" s="173"/>
      <c r="U46" s="173"/>
      <c r="V46" s="173"/>
      <c r="W46" s="78"/>
      <c r="X46" s="78"/>
      <c r="Y46" s="116" t="str">
        <f>IFERROR(ROUND('Informations générales'!$D$66*(AE46/SUM($AE$27:$AE$403))/12,0)*12,"")</f>
        <v/>
      </c>
      <c r="Z46" s="117"/>
      <c r="AA46" s="116" t="str">
        <f t="shared" si="11"/>
        <v/>
      </c>
      <c r="AB46" s="78"/>
      <c r="AC46" s="92"/>
      <c r="AD46" s="78"/>
      <c r="AE46" s="58">
        <f t="shared" si="12"/>
        <v>0</v>
      </c>
      <c r="AF46" s="58">
        <f t="shared" si="1"/>
        <v>0</v>
      </c>
      <c r="AG46" s="58">
        <f t="shared" si="2"/>
        <v>0</v>
      </c>
      <c r="AH46" s="58">
        <f t="shared" si="3"/>
        <v>0</v>
      </c>
      <c r="AI46" s="58">
        <f t="shared" si="4"/>
        <v>0</v>
      </c>
      <c r="AJ46" s="58">
        <f t="shared" si="5"/>
        <v>0</v>
      </c>
      <c r="AK46" s="58">
        <f t="shared" si="6"/>
        <v>0</v>
      </c>
      <c r="AL46" s="58">
        <f t="shared" si="7"/>
        <v>0</v>
      </c>
      <c r="AM46" s="58">
        <f t="shared" si="13"/>
        <v>0</v>
      </c>
      <c r="AN46" s="62">
        <f t="shared" si="14"/>
        <v>0</v>
      </c>
      <c r="AO46" s="61">
        <f t="shared" si="8"/>
        <v>0</v>
      </c>
      <c r="AP46" s="61">
        <f t="shared" si="9"/>
        <v>0</v>
      </c>
    </row>
    <row r="47" spans="3:42" s="17" customFormat="1" x14ac:dyDescent="0.25">
      <c r="C47" s="216" t="s">
        <v>229</v>
      </c>
      <c r="D47" s="217"/>
      <c r="E47" s="90"/>
      <c r="F47" s="198"/>
      <c r="G47" s="214"/>
      <c r="H47" s="199"/>
      <c r="I47" s="78"/>
      <c r="J47" s="79"/>
      <c r="K47" s="78"/>
      <c r="L47" s="113"/>
      <c r="M47" s="155"/>
      <c r="N47" s="114" t="str">
        <f>IFERROR(MIN(VLOOKUP(ROUNDDOWN(M47,0),'Aide calcul'!$B$2:$C$282,2,FALSE),L47+1),"")</f>
        <v/>
      </c>
      <c r="O47" s="115" t="str">
        <f t="shared" si="10"/>
        <v/>
      </c>
      <c r="P47" s="173"/>
      <c r="Q47" s="173"/>
      <c r="R47" s="173"/>
      <c r="S47" s="173"/>
      <c r="T47" s="173"/>
      <c r="U47" s="173"/>
      <c r="V47" s="173"/>
      <c r="W47" s="78"/>
      <c r="X47" s="78"/>
      <c r="Y47" s="116" t="str">
        <f>IFERROR(ROUND('Informations générales'!$D$66*(AE47/SUM($AE$27:$AE$403))/12,0)*12,"")</f>
        <v/>
      </c>
      <c r="Z47" s="117"/>
      <c r="AA47" s="116" t="str">
        <f t="shared" si="11"/>
        <v/>
      </c>
      <c r="AB47" s="78"/>
      <c r="AC47" s="92"/>
      <c r="AD47" s="78"/>
      <c r="AE47" s="58">
        <f t="shared" si="12"/>
        <v>0</v>
      </c>
      <c r="AF47" s="58">
        <f t="shared" si="1"/>
        <v>0</v>
      </c>
      <c r="AG47" s="58">
        <f t="shared" si="2"/>
        <v>0</v>
      </c>
      <c r="AH47" s="58">
        <f t="shared" si="3"/>
        <v>0</v>
      </c>
      <c r="AI47" s="58">
        <f t="shared" si="4"/>
        <v>0</v>
      </c>
      <c r="AJ47" s="58">
        <f t="shared" si="5"/>
        <v>0</v>
      </c>
      <c r="AK47" s="58">
        <f t="shared" si="6"/>
        <v>0</v>
      </c>
      <c r="AL47" s="58">
        <f t="shared" si="7"/>
        <v>0</v>
      </c>
      <c r="AM47" s="58">
        <f t="shared" si="13"/>
        <v>0</v>
      </c>
      <c r="AN47" s="62">
        <f t="shared" si="14"/>
        <v>0</v>
      </c>
      <c r="AO47" s="61">
        <f t="shared" si="8"/>
        <v>0</v>
      </c>
      <c r="AP47" s="61">
        <f t="shared" si="9"/>
        <v>0</v>
      </c>
    </row>
    <row r="48" spans="3:42" s="17" customFormat="1" x14ac:dyDescent="0.25">
      <c r="C48" s="216" t="s">
        <v>229</v>
      </c>
      <c r="D48" s="217"/>
      <c r="E48" s="90"/>
      <c r="F48" s="198"/>
      <c r="G48" s="214"/>
      <c r="H48" s="199"/>
      <c r="I48" s="78"/>
      <c r="J48" s="79"/>
      <c r="K48" s="78"/>
      <c r="L48" s="113"/>
      <c r="M48" s="155"/>
      <c r="N48" s="114" t="str">
        <f>IFERROR(MIN(VLOOKUP(ROUNDDOWN(M48,0),'Aide calcul'!$B$2:$C$282,2,FALSE),L48+1),"")</f>
        <v/>
      </c>
      <c r="O48" s="115" t="str">
        <f t="shared" si="10"/>
        <v/>
      </c>
      <c r="P48" s="173"/>
      <c r="Q48" s="173"/>
      <c r="R48" s="173"/>
      <c r="S48" s="173"/>
      <c r="T48" s="173"/>
      <c r="U48" s="173"/>
      <c r="V48" s="173"/>
      <c r="W48" s="78"/>
      <c r="X48" s="78"/>
      <c r="Y48" s="116" t="str">
        <f>IFERROR(ROUND('Informations générales'!$D$66*(AE48/SUM($AE$27:$AE$403))/12,0)*12,"")</f>
        <v/>
      </c>
      <c r="Z48" s="117"/>
      <c r="AA48" s="116" t="str">
        <f t="shared" si="11"/>
        <v/>
      </c>
      <c r="AB48" s="78"/>
      <c r="AC48" s="92"/>
      <c r="AD48" s="78"/>
      <c r="AE48" s="58">
        <f t="shared" si="12"/>
        <v>0</v>
      </c>
      <c r="AF48" s="58">
        <f t="shared" si="1"/>
        <v>0</v>
      </c>
      <c r="AG48" s="58">
        <f t="shared" si="2"/>
        <v>0</v>
      </c>
      <c r="AH48" s="58">
        <f t="shared" si="3"/>
        <v>0</v>
      </c>
      <c r="AI48" s="58">
        <f t="shared" si="4"/>
        <v>0</v>
      </c>
      <c r="AJ48" s="58">
        <f t="shared" si="5"/>
        <v>0</v>
      </c>
      <c r="AK48" s="58">
        <f t="shared" si="6"/>
        <v>0</v>
      </c>
      <c r="AL48" s="58">
        <f t="shared" si="7"/>
        <v>0</v>
      </c>
      <c r="AM48" s="58">
        <f t="shared" si="13"/>
        <v>0</v>
      </c>
      <c r="AN48" s="62">
        <f t="shared" si="14"/>
        <v>0</v>
      </c>
      <c r="AO48" s="61">
        <f t="shared" si="8"/>
        <v>0</v>
      </c>
      <c r="AP48" s="61">
        <f t="shared" si="9"/>
        <v>0</v>
      </c>
    </row>
    <row r="49" spans="3:42" s="17" customFormat="1" x14ac:dyDescent="0.25">
      <c r="C49" s="216" t="s">
        <v>229</v>
      </c>
      <c r="D49" s="217"/>
      <c r="E49" s="90"/>
      <c r="F49" s="198"/>
      <c r="G49" s="214"/>
      <c r="H49" s="199"/>
      <c r="I49" s="78"/>
      <c r="J49" s="79"/>
      <c r="K49" s="78"/>
      <c r="L49" s="113"/>
      <c r="M49" s="155"/>
      <c r="N49" s="114" t="str">
        <f>IFERROR(MIN(VLOOKUP(ROUNDDOWN(M49,0),'Aide calcul'!$B$2:$C$282,2,FALSE),L49+1),"")</f>
        <v/>
      </c>
      <c r="O49" s="115" t="str">
        <f t="shared" si="10"/>
        <v/>
      </c>
      <c r="P49" s="173"/>
      <c r="Q49" s="173"/>
      <c r="R49" s="173"/>
      <c r="S49" s="173"/>
      <c r="T49" s="173"/>
      <c r="U49" s="173"/>
      <c r="V49" s="173"/>
      <c r="W49" s="78"/>
      <c r="X49" s="78"/>
      <c r="Y49" s="116" t="str">
        <f>IFERROR(ROUND('Informations générales'!$D$66*(AE49/SUM($AE$27:$AE$403))/12,0)*12,"")</f>
        <v/>
      </c>
      <c r="Z49" s="117"/>
      <c r="AA49" s="116" t="str">
        <f t="shared" si="11"/>
        <v/>
      </c>
      <c r="AB49" s="78"/>
      <c r="AC49" s="92"/>
      <c r="AD49" s="78"/>
      <c r="AE49" s="58">
        <f t="shared" si="12"/>
        <v>0</v>
      </c>
      <c r="AF49" s="58">
        <f t="shared" si="1"/>
        <v>0</v>
      </c>
      <c r="AG49" s="58">
        <f t="shared" si="2"/>
        <v>0</v>
      </c>
      <c r="AH49" s="58">
        <f t="shared" si="3"/>
        <v>0</v>
      </c>
      <c r="AI49" s="58">
        <f t="shared" si="4"/>
        <v>0</v>
      </c>
      <c r="AJ49" s="58">
        <f t="shared" si="5"/>
        <v>0</v>
      </c>
      <c r="AK49" s="58">
        <f t="shared" si="6"/>
        <v>0</v>
      </c>
      <c r="AL49" s="58">
        <f t="shared" si="7"/>
        <v>0</v>
      </c>
      <c r="AM49" s="58">
        <f t="shared" si="13"/>
        <v>0</v>
      </c>
      <c r="AN49" s="62">
        <f t="shared" si="14"/>
        <v>0</v>
      </c>
      <c r="AO49" s="61">
        <f t="shared" si="8"/>
        <v>0</v>
      </c>
      <c r="AP49" s="61">
        <f t="shared" si="9"/>
        <v>0</v>
      </c>
    </row>
    <row r="50" spans="3:42" s="17" customFormat="1" x14ac:dyDescent="0.25">
      <c r="C50" s="216" t="s">
        <v>229</v>
      </c>
      <c r="D50" s="217"/>
      <c r="E50" s="90"/>
      <c r="F50" s="198"/>
      <c r="G50" s="214"/>
      <c r="H50" s="199"/>
      <c r="I50" s="78"/>
      <c r="J50" s="79"/>
      <c r="K50" s="78"/>
      <c r="L50" s="113"/>
      <c r="M50" s="155"/>
      <c r="N50" s="114" t="str">
        <f>IFERROR(MIN(VLOOKUP(ROUNDDOWN(M50,0),'Aide calcul'!$B$2:$C$282,2,FALSE),L50+1),"")</f>
        <v/>
      </c>
      <c r="O50" s="115" t="str">
        <f t="shared" si="10"/>
        <v/>
      </c>
      <c r="P50" s="173"/>
      <c r="Q50" s="173"/>
      <c r="R50" s="173"/>
      <c r="S50" s="173"/>
      <c r="T50" s="173"/>
      <c r="U50" s="173"/>
      <c r="V50" s="173"/>
      <c r="W50" s="78"/>
      <c r="X50" s="78"/>
      <c r="Y50" s="116" t="str">
        <f>IFERROR(ROUND('Informations générales'!$D$66*(AE50/SUM($AE$27:$AE$403))/12,0)*12,"")</f>
        <v/>
      </c>
      <c r="Z50" s="117"/>
      <c r="AA50" s="116" t="str">
        <f t="shared" si="11"/>
        <v/>
      </c>
      <c r="AB50" s="78"/>
      <c r="AC50" s="92"/>
      <c r="AD50" s="78"/>
      <c r="AE50" s="58">
        <f t="shared" si="12"/>
        <v>0</v>
      </c>
      <c r="AF50" s="58">
        <f t="shared" si="1"/>
        <v>0</v>
      </c>
      <c r="AG50" s="58">
        <f t="shared" si="2"/>
        <v>0</v>
      </c>
      <c r="AH50" s="58">
        <f t="shared" si="3"/>
        <v>0</v>
      </c>
      <c r="AI50" s="58">
        <f t="shared" si="4"/>
        <v>0</v>
      </c>
      <c r="AJ50" s="58">
        <f t="shared" si="5"/>
        <v>0</v>
      </c>
      <c r="AK50" s="58">
        <f t="shared" si="6"/>
        <v>0</v>
      </c>
      <c r="AL50" s="58">
        <f t="shared" si="7"/>
        <v>0</v>
      </c>
      <c r="AM50" s="58">
        <f t="shared" si="13"/>
        <v>0</v>
      </c>
      <c r="AN50" s="62">
        <f t="shared" si="14"/>
        <v>0</v>
      </c>
      <c r="AO50" s="61">
        <f t="shared" si="8"/>
        <v>0</v>
      </c>
      <c r="AP50" s="61">
        <f t="shared" si="9"/>
        <v>0</v>
      </c>
    </row>
    <row r="51" spans="3:42" s="17" customFormat="1" x14ac:dyDescent="0.25">
      <c r="C51" s="216" t="s">
        <v>229</v>
      </c>
      <c r="D51" s="217"/>
      <c r="E51" s="90"/>
      <c r="F51" s="198"/>
      <c r="G51" s="214"/>
      <c r="H51" s="199"/>
      <c r="I51" s="78"/>
      <c r="J51" s="79"/>
      <c r="K51" s="78"/>
      <c r="L51" s="113"/>
      <c r="M51" s="155"/>
      <c r="N51" s="114" t="str">
        <f>IFERROR(MIN(VLOOKUP(ROUNDDOWN(M51,0),'Aide calcul'!$B$2:$C$282,2,FALSE),L51+1),"")</f>
        <v/>
      </c>
      <c r="O51" s="115" t="str">
        <f t="shared" si="10"/>
        <v/>
      </c>
      <c r="P51" s="173"/>
      <c r="Q51" s="173"/>
      <c r="R51" s="173"/>
      <c r="S51" s="173"/>
      <c r="T51" s="173"/>
      <c r="U51" s="173"/>
      <c r="V51" s="173"/>
      <c r="W51" s="78"/>
      <c r="X51" s="78"/>
      <c r="Y51" s="116" t="str">
        <f>IFERROR(ROUND('Informations générales'!$D$66*(AE51/SUM($AE$27:$AE$403))/12,0)*12,"")</f>
        <v/>
      </c>
      <c r="Z51" s="117"/>
      <c r="AA51" s="116" t="str">
        <f t="shared" si="11"/>
        <v/>
      </c>
      <c r="AB51" s="78"/>
      <c r="AC51" s="92"/>
      <c r="AD51" s="78"/>
      <c r="AE51" s="58">
        <f t="shared" si="12"/>
        <v>0</v>
      </c>
      <c r="AF51" s="58">
        <f t="shared" si="1"/>
        <v>0</v>
      </c>
      <c r="AG51" s="58">
        <f t="shared" si="2"/>
        <v>0</v>
      </c>
      <c r="AH51" s="58">
        <f t="shared" si="3"/>
        <v>0</v>
      </c>
      <c r="AI51" s="58">
        <f t="shared" si="4"/>
        <v>0</v>
      </c>
      <c r="AJ51" s="58">
        <f t="shared" si="5"/>
        <v>0</v>
      </c>
      <c r="AK51" s="58">
        <f t="shared" si="6"/>
        <v>0</v>
      </c>
      <c r="AL51" s="58">
        <f t="shared" si="7"/>
        <v>0</v>
      </c>
      <c r="AM51" s="58">
        <f t="shared" si="13"/>
        <v>0</v>
      </c>
      <c r="AN51" s="62">
        <f t="shared" si="14"/>
        <v>0</v>
      </c>
      <c r="AO51" s="61">
        <f t="shared" si="8"/>
        <v>0</v>
      </c>
      <c r="AP51" s="61">
        <f t="shared" si="9"/>
        <v>0</v>
      </c>
    </row>
    <row r="52" spans="3:42" s="17" customFormat="1" x14ac:dyDescent="0.25">
      <c r="C52" s="216" t="s">
        <v>229</v>
      </c>
      <c r="D52" s="217"/>
      <c r="E52" s="90"/>
      <c r="F52" s="198"/>
      <c r="G52" s="214"/>
      <c r="H52" s="199"/>
      <c r="I52" s="78"/>
      <c r="J52" s="79"/>
      <c r="K52" s="78"/>
      <c r="L52" s="113"/>
      <c r="M52" s="155"/>
      <c r="N52" s="114" t="str">
        <f>IFERROR(MIN(VLOOKUP(ROUNDDOWN(M52,0),'Aide calcul'!$B$2:$C$282,2,FALSE),L52+1),"")</f>
        <v/>
      </c>
      <c r="O52" s="115" t="str">
        <f t="shared" si="10"/>
        <v/>
      </c>
      <c r="P52" s="173"/>
      <c r="Q52" s="173"/>
      <c r="R52" s="173"/>
      <c r="S52" s="173"/>
      <c r="T52" s="173"/>
      <c r="U52" s="173"/>
      <c r="V52" s="173"/>
      <c r="W52" s="78"/>
      <c r="X52" s="78"/>
      <c r="Y52" s="116" t="str">
        <f>IFERROR(ROUND('Informations générales'!$D$66*(AE52/SUM($AE$27:$AE$403))/12,0)*12,"")</f>
        <v/>
      </c>
      <c r="Z52" s="117"/>
      <c r="AA52" s="116" t="str">
        <f t="shared" si="11"/>
        <v/>
      </c>
      <c r="AB52" s="78"/>
      <c r="AC52" s="92"/>
      <c r="AD52" s="78"/>
      <c r="AE52" s="58">
        <f t="shared" si="12"/>
        <v>0</v>
      </c>
      <c r="AF52" s="58">
        <f t="shared" si="1"/>
        <v>0</v>
      </c>
      <c r="AG52" s="58">
        <f t="shared" si="2"/>
        <v>0</v>
      </c>
      <c r="AH52" s="58">
        <f t="shared" si="3"/>
        <v>0</v>
      </c>
      <c r="AI52" s="58">
        <f t="shared" si="4"/>
        <v>0</v>
      </c>
      <c r="AJ52" s="58">
        <f t="shared" si="5"/>
        <v>0</v>
      </c>
      <c r="AK52" s="58">
        <f t="shared" si="6"/>
        <v>0</v>
      </c>
      <c r="AL52" s="58">
        <f t="shared" si="7"/>
        <v>0</v>
      </c>
      <c r="AM52" s="58">
        <f t="shared" si="13"/>
        <v>0</v>
      </c>
      <c r="AN52" s="62">
        <f t="shared" si="14"/>
        <v>0</v>
      </c>
      <c r="AO52" s="61">
        <f t="shared" si="8"/>
        <v>0</v>
      </c>
      <c r="AP52" s="61">
        <f t="shared" si="9"/>
        <v>0</v>
      </c>
    </row>
    <row r="53" spans="3:42" s="17" customFormat="1" x14ac:dyDescent="0.25">
      <c r="C53" s="216" t="s">
        <v>229</v>
      </c>
      <c r="D53" s="217"/>
      <c r="E53" s="90"/>
      <c r="F53" s="198"/>
      <c r="G53" s="214"/>
      <c r="H53" s="199"/>
      <c r="I53" s="78"/>
      <c r="J53" s="79"/>
      <c r="K53" s="78"/>
      <c r="L53" s="113"/>
      <c r="M53" s="155"/>
      <c r="N53" s="114" t="str">
        <f>IFERROR(MIN(VLOOKUP(ROUNDDOWN(M53,0),'Aide calcul'!$B$2:$C$282,2,FALSE),L53+1),"")</f>
        <v/>
      </c>
      <c r="O53" s="115" t="str">
        <f t="shared" si="10"/>
        <v/>
      </c>
      <c r="P53" s="173"/>
      <c r="Q53" s="173"/>
      <c r="R53" s="173"/>
      <c r="S53" s="173"/>
      <c r="T53" s="173"/>
      <c r="U53" s="173"/>
      <c r="V53" s="173"/>
      <c r="W53" s="78"/>
      <c r="X53" s="78"/>
      <c r="Y53" s="116" t="str">
        <f>IFERROR(ROUND('Informations générales'!$D$66*(AE53/SUM($AE$27:$AE$403))/12,0)*12,"")</f>
        <v/>
      </c>
      <c r="Z53" s="117"/>
      <c r="AA53" s="116" t="str">
        <f t="shared" si="11"/>
        <v/>
      </c>
      <c r="AB53" s="78"/>
      <c r="AC53" s="92"/>
      <c r="AD53" s="78"/>
      <c r="AE53" s="58">
        <f t="shared" si="12"/>
        <v>0</v>
      </c>
      <c r="AF53" s="58">
        <f t="shared" si="1"/>
        <v>0</v>
      </c>
      <c r="AG53" s="58">
        <f t="shared" si="2"/>
        <v>0</v>
      </c>
      <c r="AH53" s="58">
        <f t="shared" si="3"/>
        <v>0</v>
      </c>
      <c r="AI53" s="58">
        <f t="shared" si="4"/>
        <v>0</v>
      </c>
      <c r="AJ53" s="58">
        <f t="shared" si="5"/>
        <v>0</v>
      </c>
      <c r="AK53" s="58">
        <f t="shared" si="6"/>
        <v>0</v>
      </c>
      <c r="AL53" s="58">
        <f t="shared" si="7"/>
        <v>0</v>
      </c>
      <c r="AM53" s="58">
        <f t="shared" si="13"/>
        <v>0</v>
      </c>
      <c r="AN53" s="62">
        <f t="shared" si="14"/>
        <v>0</v>
      </c>
      <c r="AO53" s="61">
        <f t="shared" si="8"/>
        <v>0</v>
      </c>
      <c r="AP53" s="61">
        <f t="shared" si="9"/>
        <v>0</v>
      </c>
    </row>
    <row r="54" spans="3:42" s="17" customFormat="1" x14ac:dyDescent="0.25">
      <c r="C54" s="216" t="s">
        <v>229</v>
      </c>
      <c r="D54" s="217"/>
      <c r="E54" s="90"/>
      <c r="F54" s="198"/>
      <c r="G54" s="214"/>
      <c r="H54" s="199"/>
      <c r="I54" s="78"/>
      <c r="J54" s="79"/>
      <c r="K54" s="78"/>
      <c r="L54" s="113"/>
      <c r="M54" s="155"/>
      <c r="N54" s="114" t="str">
        <f>IFERROR(MIN(VLOOKUP(ROUNDDOWN(M54,0),'Aide calcul'!$B$2:$C$282,2,FALSE),L54+1),"")</f>
        <v/>
      </c>
      <c r="O54" s="115" t="str">
        <f t="shared" si="10"/>
        <v/>
      </c>
      <c r="P54" s="173"/>
      <c r="Q54" s="173"/>
      <c r="R54" s="173"/>
      <c r="S54" s="173"/>
      <c r="T54" s="173"/>
      <c r="U54" s="173"/>
      <c r="V54" s="173"/>
      <c r="W54" s="78"/>
      <c r="X54" s="78"/>
      <c r="Y54" s="116" t="str">
        <f>IFERROR(ROUND('Informations générales'!$D$66*(AE54/SUM($AE$27:$AE$403))/12,0)*12,"")</f>
        <v/>
      </c>
      <c r="Z54" s="117"/>
      <c r="AA54" s="116" t="str">
        <f t="shared" si="11"/>
        <v/>
      </c>
      <c r="AB54" s="78"/>
      <c r="AC54" s="92"/>
      <c r="AD54" s="78"/>
      <c r="AE54" s="58">
        <f t="shared" si="12"/>
        <v>0</v>
      </c>
      <c r="AF54" s="58">
        <f t="shared" si="1"/>
        <v>0</v>
      </c>
      <c r="AG54" s="58">
        <f t="shared" si="2"/>
        <v>0</v>
      </c>
      <c r="AH54" s="58">
        <f t="shared" si="3"/>
        <v>0</v>
      </c>
      <c r="AI54" s="58">
        <f t="shared" si="4"/>
        <v>0</v>
      </c>
      <c r="AJ54" s="58">
        <f t="shared" si="5"/>
        <v>0</v>
      </c>
      <c r="AK54" s="58">
        <f t="shared" si="6"/>
        <v>0</v>
      </c>
      <c r="AL54" s="58">
        <f t="shared" si="7"/>
        <v>0</v>
      </c>
      <c r="AM54" s="58">
        <f t="shared" si="13"/>
        <v>0</v>
      </c>
      <c r="AN54" s="62">
        <f t="shared" si="14"/>
        <v>0</v>
      </c>
      <c r="AO54" s="61">
        <f t="shared" si="8"/>
        <v>0</v>
      </c>
      <c r="AP54" s="61">
        <f t="shared" si="9"/>
        <v>0</v>
      </c>
    </row>
    <row r="55" spans="3:42" s="17" customFormat="1" x14ac:dyDescent="0.25">
      <c r="C55" s="216" t="s">
        <v>229</v>
      </c>
      <c r="D55" s="217"/>
      <c r="E55" s="90"/>
      <c r="F55" s="198"/>
      <c r="G55" s="214"/>
      <c r="H55" s="199"/>
      <c r="I55" s="78"/>
      <c r="J55" s="79"/>
      <c r="K55" s="78"/>
      <c r="L55" s="113"/>
      <c r="M55" s="155"/>
      <c r="N55" s="114" t="str">
        <f>IFERROR(MIN(VLOOKUP(ROUNDDOWN(M55,0),'Aide calcul'!$B$2:$C$282,2,FALSE),L55+1),"")</f>
        <v/>
      </c>
      <c r="O55" s="115" t="str">
        <f t="shared" si="10"/>
        <v/>
      </c>
      <c r="P55" s="173"/>
      <c r="Q55" s="173"/>
      <c r="R55" s="173"/>
      <c r="S55" s="173"/>
      <c r="T55" s="173"/>
      <c r="U55" s="173"/>
      <c r="V55" s="173"/>
      <c r="W55" s="78"/>
      <c r="X55" s="78"/>
      <c r="Y55" s="116" t="str">
        <f>IFERROR(ROUND('Informations générales'!$D$66*(AE55/SUM($AE$27:$AE$403))/12,0)*12,"")</f>
        <v/>
      </c>
      <c r="Z55" s="117"/>
      <c r="AA55" s="116" t="str">
        <f t="shared" si="11"/>
        <v/>
      </c>
      <c r="AB55" s="78"/>
      <c r="AC55" s="92"/>
      <c r="AD55" s="78"/>
      <c r="AE55" s="58">
        <f t="shared" si="12"/>
        <v>0</v>
      </c>
      <c r="AF55" s="58">
        <f t="shared" si="1"/>
        <v>0</v>
      </c>
      <c r="AG55" s="58">
        <f t="shared" si="2"/>
        <v>0</v>
      </c>
      <c r="AH55" s="58">
        <f t="shared" si="3"/>
        <v>0</v>
      </c>
      <c r="AI55" s="58">
        <f t="shared" si="4"/>
        <v>0</v>
      </c>
      <c r="AJ55" s="58">
        <f t="shared" si="5"/>
        <v>0</v>
      </c>
      <c r="AK55" s="58">
        <f t="shared" si="6"/>
        <v>0</v>
      </c>
      <c r="AL55" s="58">
        <f t="shared" si="7"/>
        <v>0</v>
      </c>
      <c r="AM55" s="58">
        <f t="shared" si="13"/>
        <v>0</v>
      </c>
      <c r="AN55" s="62">
        <f t="shared" si="14"/>
        <v>0</v>
      </c>
      <c r="AO55" s="61">
        <f t="shared" si="8"/>
        <v>0</v>
      </c>
      <c r="AP55" s="61">
        <f t="shared" si="9"/>
        <v>0</v>
      </c>
    </row>
    <row r="56" spans="3:42" s="17" customFormat="1" x14ac:dyDescent="0.25">
      <c r="C56" s="216" t="s">
        <v>229</v>
      </c>
      <c r="D56" s="217"/>
      <c r="E56" s="90"/>
      <c r="F56" s="198"/>
      <c r="G56" s="214"/>
      <c r="H56" s="199"/>
      <c r="I56" s="78"/>
      <c r="J56" s="79"/>
      <c r="K56" s="78"/>
      <c r="L56" s="113"/>
      <c r="M56" s="155"/>
      <c r="N56" s="114" t="str">
        <f>IFERROR(MIN(VLOOKUP(ROUNDDOWN(M56,0),'Aide calcul'!$B$2:$C$282,2,FALSE),L56+1),"")</f>
        <v/>
      </c>
      <c r="O56" s="115" t="str">
        <f t="shared" si="10"/>
        <v/>
      </c>
      <c r="P56" s="173"/>
      <c r="Q56" s="173"/>
      <c r="R56" s="173"/>
      <c r="S56" s="173"/>
      <c r="T56" s="173"/>
      <c r="U56" s="173"/>
      <c r="V56" s="173"/>
      <c r="W56" s="78"/>
      <c r="X56" s="78"/>
      <c r="Y56" s="116" t="str">
        <f>IFERROR(ROUND('Informations générales'!$D$66*(AE56/SUM($AE$27:$AE$403))/12,0)*12,"")</f>
        <v/>
      </c>
      <c r="Z56" s="117"/>
      <c r="AA56" s="116" t="str">
        <f t="shared" si="11"/>
        <v/>
      </c>
      <c r="AB56" s="78"/>
      <c r="AC56" s="92"/>
      <c r="AD56" s="78"/>
      <c r="AE56" s="58">
        <f t="shared" si="12"/>
        <v>0</v>
      </c>
      <c r="AF56" s="58">
        <f t="shared" si="1"/>
        <v>0</v>
      </c>
      <c r="AG56" s="58">
        <f t="shared" si="2"/>
        <v>0</v>
      </c>
      <c r="AH56" s="58">
        <f t="shared" si="3"/>
        <v>0</v>
      </c>
      <c r="AI56" s="58">
        <f t="shared" si="4"/>
        <v>0</v>
      </c>
      <c r="AJ56" s="58">
        <f t="shared" si="5"/>
        <v>0</v>
      </c>
      <c r="AK56" s="58">
        <f t="shared" si="6"/>
        <v>0</v>
      </c>
      <c r="AL56" s="58">
        <f t="shared" si="7"/>
        <v>0</v>
      </c>
      <c r="AM56" s="58">
        <f t="shared" si="13"/>
        <v>0</v>
      </c>
      <c r="AN56" s="62">
        <f t="shared" si="14"/>
        <v>0</v>
      </c>
      <c r="AO56" s="61">
        <f t="shared" si="8"/>
        <v>0</v>
      </c>
      <c r="AP56" s="61">
        <f t="shared" si="9"/>
        <v>0</v>
      </c>
    </row>
    <row r="57" spans="3:42" s="17" customFormat="1" x14ac:dyDescent="0.25">
      <c r="C57" s="216" t="s">
        <v>229</v>
      </c>
      <c r="D57" s="217"/>
      <c r="E57" s="90"/>
      <c r="F57" s="198"/>
      <c r="G57" s="214"/>
      <c r="H57" s="199"/>
      <c r="I57" s="78"/>
      <c r="J57" s="79"/>
      <c r="K57" s="78"/>
      <c r="L57" s="113"/>
      <c r="M57" s="155"/>
      <c r="N57" s="114" t="str">
        <f>IFERROR(MIN(VLOOKUP(ROUNDDOWN(M57,0),'Aide calcul'!$B$2:$C$282,2,FALSE),L57+1),"")</f>
        <v/>
      </c>
      <c r="O57" s="115" t="str">
        <f t="shared" si="10"/>
        <v/>
      </c>
      <c r="P57" s="173"/>
      <c r="Q57" s="173"/>
      <c r="R57" s="173"/>
      <c r="S57" s="173"/>
      <c r="T57" s="173"/>
      <c r="U57" s="173"/>
      <c r="V57" s="173"/>
      <c r="W57" s="78"/>
      <c r="X57" s="78"/>
      <c r="Y57" s="116" t="str">
        <f>IFERROR(ROUND('Informations générales'!$D$66*(AE57/SUM($AE$27:$AE$403))/12,0)*12,"")</f>
        <v/>
      </c>
      <c r="Z57" s="117"/>
      <c r="AA57" s="116" t="str">
        <f t="shared" si="11"/>
        <v/>
      </c>
      <c r="AB57" s="78"/>
      <c r="AC57" s="92"/>
      <c r="AD57" s="78"/>
      <c r="AE57" s="58">
        <f t="shared" si="12"/>
        <v>0</v>
      </c>
      <c r="AF57" s="58">
        <f t="shared" si="1"/>
        <v>0</v>
      </c>
      <c r="AG57" s="58">
        <f t="shared" si="2"/>
        <v>0</v>
      </c>
      <c r="AH57" s="58">
        <f t="shared" si="3"/>
        <v>0</v>
      </c>
      <c r="AI57" s="58">
        <f t="shared" si="4"/>
        <v>0</v>
      </c>
      <c r="AJ57" s="58">
        <f t="shared" si="5"/>
        <v>0</v>
      </c>
      <c r="AK57" s="58">
        <f t="shared" si="6"/>
        <v>0</v>
      </c>
      <c r="AL57" s="58">
        <f t="shared" si="7"/>
        <v>0</v>
      </c>
      <c r="AM57" s="58">
        <f t="shared" si="13"/>
        <v>0</v>
      </c>
      <c r="AN57" s="62">
        <f t="shared" si="14"/>
        <v>0</v>
      </c>
      <c r="AO57" s="61">
        <f t="shared" si="8"/>
        <v>0</v>
      </c>
      <c r="AP57" s="61">
        <f t="shared" si="9"/>
        <v>0</v>
      </c>
    </row>
    <row r="58" spans="3:42" s="17" customFormat="1" x14ac:dyDescent="0.25">
      <c r="C58" s="216" t="s">
        <v>229</v>
      </c>
      <c r="D58" s="217"/>
      <c r="E58" s="90"/>
      <c r="F58" s="198"/>
      <c r="G58" s="214"/>
      <c r="H58" s="199"/>
      <c r="I58" s="78"/>
      <c r="J58" s="79"/>
      <c r="K58" s="78"/>
      <c r="L58" s="113"/>
      <c r="M58" s="155"/>
      <c r="N58" s="114" t="str">
        <f>IFERROR(MIN(VLOOKUP(ROUNDDOWN(M58,0),'Aide calcul'!$B$2:$C$282,2,FALSE),L58+1),"")</f>
        <v/>
      </c>
      <c r="O58" s="115" t="str">
        <f t="shared" si="10"/>
        <v/>
      </c>
      <c r="P58" s="173"/>
      <c r="Q58" s="173"/>
      <c r="R58" s="173"/>
      <c r="S58" s="173"/>
      <c r="T58" s="173"/>
      <c r="U58" s="173"/>
      <c r="V58" s="173"/>
      <c r="W58" s="78"/>
      <c r="X58" s="78"/>
      <c r="Y58" s="116" t="str">
        <f>IFERROR(ROUND('Informations générales'!$D$66*(AE58/SUM($AE$27:$AE$403))/12,0)*12,"")</f>
        <v/>
      </c>
      <c r="Z58" s="117"/>
      <c r="AA58" s="116" t="str">
        <f t="shared" si="11"/>
        <v/>
      </c>
      <c r="AB58" s="78"/>
      <c r="AC58" s="92"/>
      <c r="AD58" s="78"/>
      <c r="AE58" s="58">
        <f t="shared" si="12"/>
        <v>0</v>
      </c>
      <c r="AF58" s="58">
        <f t="shared" si="1"/>
        <v>0</v>
      </c>
      <c r="AG58" s="58">
        <f t="shared" si="2"/>
        <v>0</v>
      </c>
      <c r="AH58" s="58">
        <f t="shared" si="3"/>
        <v>0</v>
      </c>
      <c r="AI58" s="58">
        <f t="shared" si="4"/>
        <v>0</v>
      </c>
      <c r="AJ58" s="58">
        <f t="shared" si="5"/>
        <v>0</v>
      </c>
      <c r="AK58" s="58">
        <f t="shared" si="6"/>
        <v>0</v>
      </c>
      <c r="AL58" s="58">
        <f t="shared" si="7"/>
        <v>0</v>
      </c>
      <c r="AM58" s="58">
        <f t="shared" si="13"/>
        <v>0</v>
      </c>
      <c r="AN58" s="62">
        <f t="shared" si="14"/>
        <v>0</v>
      </c>
      <c r="AO58" s="61">
        <f t="shared" si="8"/>
        <v>0</v>
      </c>
      <c r="AP58" s="61">
        <f t="shared" si="9"/>
        <v>0</v>
      </c>
    </row>
    <row r="59" spans="3:42" s="17" customFormat="1" x14ac:dyDescent="0.25">
      <c r="C59" s="216" t="s">
        <v>229</v>
      </c>
      <c r="D59" s="217"/>
      <c r="E59" s="90"/>
      <c r="F59" s="198"/>
      <c r="G59" s="214"/>
      <c r="H59" s="199"/>
      <c r="I59" s="78"/>
      <c r="J59" s="79"/>
      <c r="K59" s="78"/>
      <c r="L59" s="113"/>
      <c r="M59" s="155"/>
      <c r="N59" s="114" t="str">
        <f>IFERROR(MIN(VLOOKUP(ROUNDDOWN(M59,0),'Aide calcul'!$B$2:$C$282,2,FALSE),L59+1),"")</f>
        <v/>
      </c>
      <c r="O59" s="115" t="str">
        <f t="shared" si="10"/>
        <v/>
      </c>
      <c r="P59" s="173"/>
      <c r="Q59" s="173"/>
      <c r="R59" s="173"/>
      <c r="S59" s="173"/>
      <c r="T59" s="173"/>
      <c r="U59" s="173"/>
      <c r="V59" s="173"/>
      <c r="W59" s="78"/>
      <c r="X59" s="78"/>
      <c r="Y59" s="116" t="str">
        <f>IFERROR(ROUND('Informations générales'!$D$66*(AE59/SUM($AE$27:$AE$403))/12,0)*12,"")</f>
        <v/>
      </c>
      <c r="Z59" s="117"/>
      <c r="AA59" s="116" t="str">
        <f t="shared" si="11"/>
        <v/>
      </c>
      <c r="AB59" s="78"/>
      <c r="AC59" s="92"/>
      <c r="AD59" s="78"/>
      <c r="AE59" s="58">
        <f t="shared" si="12"/>
        <v>0</v>
      </c>
      <c r="AF59" s="58">
        <f t="shared" si="1"/>
        <v>0</v>
      </c>
      <c r="AG59" s="58">
        <f t="shared" si="2"/>
        <v>0</v>
      </c>
      <c r="AH59" s="58">
        <f t="shared" si="3"/>
        <v>0</v>
      </c>
      <c r="AI59" s="58">
        <f t="shared" si="4"/>
        <v>0</v>
      </c>
      <c r="AJ59" s="58">
        <f t="shared" si="5"/>
        <v>0</v>
      </c>
      <c r="AK59" s="58">
        <f t="shared" si="6"/>
        <v>0</v>
      </c>
      <c r="AL59" s="58">
        <f t="shared" si="7"/>
        <v>0</v>
      </c>
      <c r="AM59" s="58">
        <f t="shared" si="13"/>
        <v>0</v>
      </c>
      <c r="AN59" s="62">
        <f t="shared" si="14"/>
        <v>0</v>
      </c>
      <c r="AO59" s="61">
        <f t="shared" si="8"/>
        <v>0</v>
      </c>
      <c r="AP59" s="61">
        <f t="shared" si="9"/>
        <v>0</v>
      </c>
    </row>
    <row r="60" spans="3:42" s="17" customFormat="1" x14ac:dyDescent="0.25">
      <c r="C60" s="216" t="s">
        <v>229</v>
      </c>
      <c r="D60" s="217"/>
      <c r="E60" s="90"/>
      <c r="F60" s="198"/>
      <c r="G60" s="214"/>
      <c r="H60" s="199"/>
      <c r="I60" s="78"/>
      <c r="J60" s="79"/>
      <c r="K60" s="78"/>
      <c r="L60" s="113"/>
      <c r="M60" s="155"/>
      <c r="N60" s="114" t="str">
        <f>IFERROR(MIN(VLOOKUP(ROUNDDOWN(M60,0),'Aide calcul'!$B$2:$C$282,2,FALSE),L60+1),"")</f>
        <v/>
      </c>
      <c r="O60" s="115" t="str">
        <f t="shared" si="10"/>
        <v/>
      </c>
      <c r="P60" s="173"/>
      <c r="Q60" s="173"/>
      <c r="R60" s="173"/>
      <c r="S60" s="173"/>
      <c r="T60" s="173"/>
      <c r="U60" s="173"/>
      <c r="V60" s="173"/>
      <c r="W60" s="78"/>
      <c r="X60" s="78"/>
      <c r="Y60" s="116" t="str">
        <f>IFERROR(ROUND('Informations générales'!$D$66*(AE60/SUM($AE$27:$AE$403))/12,0)*12,"")</f>
        <v/>
      </c>
      <c r="Z60" s="117"/>
      <c r="AA60" s="116" t="str">
        <f t="shared" si="11"/>
        <v/>
      </c>
      <c r="AB60" s="78"/>
      <c r="AC60" s="92"/>
      <c r="AD60" s="78"/>
      <c r="AE60" s="58">
        <f t="shared" si="12"/>
        <v>0</v>
      </c>
      <c r="AF60" s="58">
        <f t="shared" si="1"/>
        <v>0</v>
      </c>
      <c r="AG60" s="58">
        <f t="shared" si="2"/>
        <v>0</v>
      </c>
      <c r="AH60" s="58">
        <f t="shared" si="3"/>
        <v>0</v>
      </c>
      <c r="AI60" s="58">
        <f t="shared" si="4"/>
        <v>0</v>
      </c>
      <c r="AJ60" s="58">
        <f t="shared" si="5"/>
        <v>0</v>
      </c>
      <c r="AK60" s="58">
        <f t="shared" si="6"/>
        <v>0</v>
      </c>
      <c r="AL60" s="58">
        <f t="shared" si="7"/>
        <v>0</v>
      </c>
      <c r="AM60" s="58">
        <f t="shared" si="13"/>
        <v>0</v>
      </c>
      <c r="AN60" s="62">
        <f t="shared" si="14"/>
        <v>0</v>
      </c>
      <c r="AO60" s="61">
        <f t="shared" si="8"/>
        <v>0</v>
      </c>
      <c r="AP60" s="61">
        <f t="shared" si="9"/>
        <v>0</v>
      </c>
    </row>
    <row r="61" spans="3:42" s="17" customFormat="1" x14ac:dyDescent="0.25">
      <c r="C61" s="216" t="s">
        <v>229</v>
      </c>
      <c r="D61" s="217"/>
      <c r="E61" s="90"/>
      <c r="F61" s="198"/>
      <c r="G61" s="214"/>
      <c r="H61" s="199"/>
      <c r="I61" s="78"/>
      <c r="J61" s="79"/>
      <c r="K61" s="78"/>
      <c r="L61" s="113"/>
      <c r="M61" s="155"/>
      <c r="N61" s="114" t="str">
        <f>IFERROR(MIN(VLOOKUP(ROUNDDOWN(M61,0),'Aide calcul'!$B$2:$C$282,2,FALSE),L61+1),"")</f>
        <v/>
      </c>
      <c r="O61" s="115" t="str">
        <f t="shared" si="10"/>
        <v/>
      </c>
      <c r="P61" s="173"/>
      <c r="Q61" s="173"/>
      <c r="R61" s="173"/>
      <c r="S61" s="173"/>
      <c r="T61" s="173"/>
      <c r="U61" s="173"/>
      <c r="V61" s="173"/>
      <c r="W61" s="78"/>
      <c r="X61" s="78"/>
      <c r="Y61" s="116" t="str">
        <f>IFERROR(ROUND('Informations générales'!$D$66*(AE61/SUM($AE$27:$AE$403))/12,0)*12,"")</f>
        <v/>
      </c>
      <c r="Z61" s="117"/>
      <c r="AA61" s="116" t="str">
        <f t="shared" si="11"/>
        <v/>
      </c>
      <c r="AB61" s="78"/>
      <c r="AC61" s="92"/>
      <c r="AD61" s="78"/>
      <c r="AE61" s="58">
        <f t="shared" si="12"/>
        <v>0</v>
      </c>
      <c r="AF61" s="58">
        <f t="shared" si="1"/>
        <v>0</v>
      </c>
      <c r="AG61" s="58">
        <f t="shared" si="2"/>
        <v>0</v>
      </c>
      <c r="AH61" s="58">
        <f t="shared" si="3"/>
        <v>0</v>
      </c>
      <c r="AI61" s="58">
        <f t="shared" si="4"/>
        <v>0</v>
      </c>
      <c r="AJ61" s="58">
        <f t="shared" si="5"/>
        <v>0</v>
      </c>
      <c r="AK61" s="58">
        <f t="shared" si="6"/>
        <v>0</v>
      </c>
      <c r="AL61" s="58">
        <f t="shared" si="7"/>
        <v>0</v>
      </c>
      <c r="AM61" s="58">
        <f t="shared" si="13"/>
        <v>0</v>
      </c>
      <c r="AN61" s="62">
        <f t="shared" si="14"/>
        <v>0</v>
      </c>
      <c r="AO61" s="61">
        <f t="shared" si="8"/>
        <v>0</v>
      </c>
      <c r="AP61" s="61">
        <f t="shared" si="9"/>
        <v>0</v>
      </c>
    </row>
    <row r="62" spans="3:42" s="17" customFormat="1" x14ac:dyDescent="0.25">
      <c r="C62" s="216" t="s">
        <v>229</v>
      </c>
      <c r="D62" s="217"/>
      <c r="E62" s="90"/>
      <c r="F62" s="198"/>
      <c r="G62" s="214"/>
      <c r="H62" s="199"/>
      <c r="I62" s="78"/>
      <c r="J62" s="79"/>
      <c r="K62" s="78"/>
      <c r="L62" s="113"/>
      <c r="M62" s="155"/>
      <c r="N62" s="114" t="str">
        <f>IFERROR(MIN(VLOOKUP(ROUNDDOWN(M62,0),'Aide calcul'!$B$2:$C$282,2,FALSE),L62+1),"")</f>
        <v/>
      </c>
      <c r="O62" s="115" t="str">
        <f t="shared" si="10"/>
        <v/>
      </c>
      <c r="P62" s="173"/>
      <c r="Q62" s="173"/>
      <c r="R62" s="173"/>
      <c r="S62" s="173"/>
      <c r="T62" s="173"/>
      <c r="U62" s="173"/>
      <c r="V62" s="173"/>
      <c r="W62" s="78"/>
      <c r="X62" s="78"/>
      <c r="Y62" s="116" t="str">
        <f>IFERROR(ROUND('Informations générales'!$D$66*(AE62/SUM($AE$27:$AE$403))/12,0)*12,"")</f>
        <v/>
      </c>
      <c r="Z62" s="117"/>
      <c r="AA62" s="116" t="str">
        <f t="shared" si="11"/>
        <v/>
      </c>
      <c r="AB62" s="78"/>
      <c r="AC62" s="92"/>
      <c r="AD62" s="78"/>
      <c r="AE62" s="58">
        <f t="shared" si="12"/>
        <v>0</v>
      </c>
      <c r="AF62" s="58">
        <f t="shared" si="1"/>
        <v>0</v>
      </c>
      <c r="AG62" s="58">
        <f t="shared" si="2"/>
        <v>0</v>
      </c>
      <c r="AH62" s="58">
        <f t="shared" si="3"/>
        <v>0</v>
      </c>
      <c r="AI62" s="58">
        <f t="shared" si="4"/>
        <v>0</v>
      </c>
      <c r="AJ62" s="58">
        <f t="shared" si="5"/>
        <v>0</v>
      </c>
      <c r="AK62" s="58">
        <f t="shared" si="6"/>
        <v>0</v>
      </c>
      <c r="AL62" s="58">
        <f t="shared" si="7"/>
        <v>0</v>
      </c>
      <c r="AM62" s="58">
        <f t="shared" si="13"/>
        <v>0</v>
      </c>
      <c r="AN62" s="62">
        <f t="shared" si="14"/>
        <v>0</v>
      </c>
      <c r="AO62" s="61">
        <f t="shared" si="8"/>
        <v>0</v>
      </c>
      <c r="AP62" s="61">
        <f t="shared" si="9"/>
        <v>0</v>
      </c>
    </row>
    <row r="63" spans="3:42" s="17" customFormat="1" x14ac:dyDescent="0.25">
      <c r="C63" s="216" t="s">
        <v>229</v>
      </c>
      <c r="D63" s="217"/>
      <c r="E63" s="90"/>
      <c r="F63" s="198"/>
      <c r="G63" s="214"/>
      <c r="H63" s="199"/>
      <c r="I63" s="78"/>
      <c r="J63" s="79"/>
      <c r="K63" s="78"/>
      <c r="L63" s="113"/>
      <c r="M63" s="155"/>
      <c r="N63" s="114" t="str">
        <f>IFERROR(MIN(VLOOKUP(ROUNDDOWN(M63,0),'Aide calcul'!$B$2:$C$282,2,FALSE),L63+1),"")</f>
        <v/>
      </c>
      <c r="O63" s="115" t="str">
        <f t="shared" si="10"/>
        <v/>
      </c>
      <c r="P63" s="173"/>
      <c r="Q63" s="173"/>
      <c r="R63" s="173"/>
      <c r="S63" s="173"/>
      <c r="T63" s="173"/>
      <c r="U63" s="173"/>
      <c r="V63" s="173"/>
      <c r="W63" s="78"/>
      <c r="X63" s="78"/>
      <c r="Y63" s="116" t="str">
        <f>IFERROR(ROUND('Informations générales'!$D$66*(AE63/SUM($AE$27:$AE$403))/12,0)*12,"")</f>
        <v/>
      </c>
      <c r="Z63" s="117"/>
      <c r="AA63" s="116" t="str">
        <f t="shared" si="11"/>
        <v/>
      </c>
      <c r="AB63" s="78"/>
      <c r="AC63" s="92"/>
      <c r="AD63" s="78"/>
      <c r="AE63" s="58">
        <f t="shared" si="12"/>
        <v>0</v>
      </c>
      <c r="AF63" s="58">
        <f t="shared" si="1"/>
        <v>0</v>
      </c>
      <c r="AG63" s="58">
        <f t="shared" si="2"/>
        <v>0</v>
      </c>
      <c r="AH63" s="58">
        <f t="shared" si="3"/>
        <v>0</v>
      </c>
      <c r="AI63" s="58">
        <f t="shared" si="4"/>
        <v>0</v>
      </c>
      <c r="AJ63" s="58">
        <f t="shared" si="5"/>
        <v>0</v>
      </c>
      <c r="AK63" s="58">
        <f t="shared" si="6"/>
        <v>0</v>
      </c>
      <c r="AL63" s="58">
        <f t="shared" si="7"/>
        <v>0</v>
      </c>
      <c r="AM63" s="58">
        <f t="shared" si="13"/>
        <v>0</v>
      </c>
      <c r="AN63" s="62">
        <f t="shared" si="14"/>
        <v>0</v>
      </c>
      <c r="AO63" s="61">
        <f t="shared" si="8"/>
        <v>0</v>
      </c>
      <c r="AP63" s="61">
        <f t="shared" si="9"/>
        <v>0</v>
      </c>
    </row>
    <row r="64" spans="3:42" s="17" customFormat="1" x14ac:dyDescent="0.25">
      <c r="C64" s="216" t="s">
        <v>229</v>
      </c>
      <c r="D64" s="217"/>
      <c r="E64" s="90"/>
      <c r="F64" s="198"/>
      <c r="G64" s="214"/>
      <c r="H64" s="199"/>
      <c r="I64" s="78"/>
      <c r="J64" s="79"/>
      <c r="K64" s="78"/>
      <c r="L64" s="113"/>
      <c r="M64" s="155"/>
      <c r="N64" s="114" t="str">
        <f>IFERROR(MIN(VLOOKUP(ROUNDDOWN(M64,0),'Aide calcul'!$B$2:$C$282,2,FALSE),L64+1),"")</f>
        <v/>
      </c>
      <c r="O64" s="115" t="str">
        <f t="shared" si="10"/>
        <v/>
      </c>
      <c r="P64" s="173"/>
      <c r="Q64" s="173"/>
      <c r="R64" s="173"/>
      <c r="S64" s="173"/>
      <c r="T64" s="173"/>
      <c r="U64" s="173"/>
      <c r="V64" s="173"/>
      <c r="W64" s="78"/>
      <c r="X64" s="78"/>
      <c r="Y64" s="116" t="str">
        <f>IFERROR(ROUND('Informations générales'!$D$66*(AE64/SUM($AE$27:$AE$403))/12,0)*12,"")</f>
        <v/>
      </c>
      <c r="Z64" s="117"/>
      <c r="AA64" s="116" t="str">
        <f t="shared" si="11"/>
        <v/>
      </c>
      <c r="AB64" s="78"/>
      <c r="AC64" s="92"/>
      <c r="AD64" s="78"/>
      <c r="AE64" s="58">
        <f t="shared" si="12"/>
        <v>0</v>
      </c>
      <c r="AF64" s="58">
        <f t="shared" si="1"/>
        <v>0</v>
      </c>
      <c r="AG64" s="58">
        <f t="shared" si="2"/>
        <v>0</v>
      </c>
      <c r="AH64" s="58">
        <f t="shared" si="3"/>
        <v>0</v>
      </c>
      <c r="AI64" s="58">
        <f t="shared" si="4"/>
        <v>0</v>
      </c>
      <c r="AJ64" s="58">
        <f t="shared" si="5"/>
        <v>0</v>
      </c>
      <c r="AK64" s="58">
        <f t="shared" si="6"/>
        <v>0</v>
      </c>
      <c r="AL64" s="58">
        <f t="shared" si="7"/>
        <v>0</v>
      </c>
      <c r="AM64" s="58">
        <f t="shared" si="13"/>
        <v>0</v>
      </c>
      <c r="AN64" s="62">
        <f t="shared" si="14"/>
        <v>0</v>
      </c>
      <c r="AO64" s="61">
        <f t="shared" si="8"/>
        <v>0</v>
      </c>
      <c r="AP64" s="61">
        <f t="shared" si="9"/>
        <v>0</v>
      </c>
    </row>
    <row r="65" spans="3:42" s="17" customFormat="1" x14ac:dyDescent="0.25">
      <c r="C65" s="216" t="s">
        <v>229</v>
      </c>
      <c r="D65" s="217"/>
      <c r="E65" s="90"/>
      <c r="F65" s="198"/>
      <c r="G65" s="214"/>
      <c r="H65" s="199"/>
      <c r="I65" s="78"/>
      <c r="J65" s="79"/>
      <c r="K65" s="78"/>
      <c r="L65" s="113"/>
      <c r="M65" s="155"/>
      <c r="N65" s="114" t="str">
        <f>IFERROR(MIN(VLOOKUP(ROUNDDOWN(M65,0),'Aide calcul'!$B$2:$C$282,2,FALSE),L65+1),"")</f>
        <v/>
      </c>
      <c r="O65" s="115" t="str">
        <f t="shared" si="10"/>
        <v/>
      </c>
      <c r="P65" s="173"/>
      <c r="Q65" s="173"/>
      <c r="R65" s="173"/>
      <c r="S65" s="173"/>
      <c r="T65" s="173"/>
      <c r="U65" s="173"/>
      <c r="V65" s="173"/>
      <c r="W65" s="78"/>
      <c r="X65" s="78"/>
      <c r="Y65" s="116" t="str">
        <f>IFERROR(ROUND('Informations générales'!$D$66*(AE65/SUM($AE$27:$AE$403))/12,0)*12,"")</f>
        <v/>
      </c>
      <c r="Z65" s="117"/>
      <c r="AA65" s="116" t="str">
        <f t="shared" si="11"/>
        <v/>
      </c>
      <c r="AB65" s="78"/>
      <c r="AC65" s="92"/>
      <c r="AD65" s="78"/>
      <c r="AE65" s="58">
        <f t="shared" si="12"/>
        <v>0</v>
      </c>
      <c r="AF65" s="58">
        <f t="shared" si="1"/>
        <v>0</v>
      </c>
      <c r="AG65" s="58">
        <f t="shared" si="2"/>
        <v>0</v>
      </c>
      <c r="AH65" s="58">
        <f t="shared" si="3"/>
        <v>0</v>
      </c>
      <c r="AI65" s="58">
        <f t="shared" si="4"/>
        <v>0</v>
      </c>
      <c r="AJ65" s="58">
        <f t="shared" si="5"/>
        <v>0</v>
      </c>
      <c r="AK65" s="58">
        <f t="shared" si="6"/>
        <v>0</v>
      </c>
      <c r="AL65" s="58">
        <f t="shared" si="7"/>
        <v>0</v>
      </c>
      <c r="AM65" s="58">
        <f t="shared" si="13"/>
        <v>0</v>
      </c>
      <c r="AN65" s="62">
        <f t="shared" si="14"/>
        <v>0</v>
      </c>
      <c r="AO65" s="61">
        <f t="shared" si="8"/>
        <v>0</v>
      </c>
      <c r="AP65" s="61">
        <f t="shared" si="9"/>
        <v>0</v>
      </c>
    </row>
    <row r="66" spans="3:42" s="17" customFormat="1" x14ac:dyDescent="0.25">
      <c r="C66" s="216" t="s">
        <v>229</v>
      </c>
      <c r="D66" s="217"/>
      <c r="E66" s="90"/>
      <c r="F66" s="198"/>
      <c r="G66" s="214"/>
      <c r="H66" s="199"/>
      <c r="I66" s="78"/>
      <c r="J66" s="79"/>
      <c r="K66" s="78"/>
      <c r="L66" s="113"/>
      <c r="M66" s="155"/>
      <c r="N66" s="114" t="str">
        <f>IFERROR(MIN(VLOOKUP(ROUNDDOWN(M66,0),'Aide calcul'!$B$2:$C$282,2,FALSE),L66+1),"")</f>
        <v/>
      </c>
      <c r="O66" s="115" t="str">
        <f t="shared" si="10"/>
        <v/>
      </c>
      <c r="P66" s="173"/>
      <c r="Q66" s="173"/>
      <c r="R66" s="173"/>
      <c r="S66" s="173"/>
      <c r="T66" s="173"/>
      <c r="U66" s="173"/>
      <c r="V66" s="173"/>
      <c r="W66" s="78"/>
      <c r="X66" s="78"/>
      <c r="Y66" s="116" t="str">
        <f>IFERROR(ROUND('Informations générales'!$D$66*(AE66/SUM($AE$27:$AE$403))/12,0)*12,"")</f>
        <v/>
      </c>
      <c r="Z66" s="117"/>
      <c r="AA66" s="116" t="str">
        <f t="shared" si="11"/>
        <v/>
      </c>
      <c r="AB66" s="78"/>
      <c r="AC66" s="92"/>
      <c r="AD66" s="78"/>
      <c r="AE66" s="58">
        <f t="shared" si="12"/>
        <v>0</v>
      </c>
      <c r="AF66" s="58">
        <f t="shared" si="1"/>
        <v>0</v>
      </c>
      <c r="AG66" s="58">
        <f t="shared" si="2"/>
        <v>0</v>
      </c>
      <c r="AH66" s="58">
        <f t="shared" si="3"/>
        <v>0</v>
      </c>
      <c r="AI66" s="58">
        <f t="shared" si="4"/>
        <v>0</v>
      </c>
      <c r="AJ66" s="58">
        <f t="shared" si="5"/>
        <v>0</v>
      </c>
      <c r="AK66" s="58">
        <f t="shared" si="6"/>
        <v>0</v>
      </c>
      <c r="AL66" s="58">
        <f t="shared" si="7"/>
        <v>0</v>
      </c>
      <c r="AM66" s="58">
        <f t="shared" si="13"/>
        <v>0</v>
      </c>
      <c r="AN66" s="62">
        <f t="shared" si="14"/>
        <v>0</v>
      </c>
      <c r="AO66" s="61">
        <f t="shared" si="8"/>
        <v>0</v>
      </c>
      <c r="AP66" s="61">
        <f t="shared" si="9"/>
        <v>0</v>
      </c>
    </row>
    <row r="67" spans="3:42" s="17" customFormat="1" x14ac:dyDescent="0.25">
      <c r="C67" s="216" t="s">
        <v>229</v>
      </c>
      <c r="D67" s="217"/>
      <c r="E67" s="90"/>
      <c r="F67" s="198"/>
      <c r="G67" s="214"/>
      <c r="H67" s="199"/>
      <c r="I67" s="78"/>
      <c r="J67" s="79"/>
      <c r="K67" s="78"/>
      <c r="L67" s="113"/>
      <c r="M67" s="155"/>
      <c r="N67" s="114" t="str">
        <f>IFERROR(MIN(VLOOKUP(ROUNDDOWN(M67,0),'Aide calcul'!$B$2:$C$282,2,FALSE),L67+1),"")</f>
        <v/>
      </c>
      <c r="O67" s="115" t="str">
        <f t="shared" si="10"/>
        <v/>
      </c>
      <c r="P67" s="173"/>
      <c r="Q67" s="173"/>
      <c r="R67" s="173"/>
      <c r="S67" s="173"/>
      <c r="T67" s="173"/>
      <c r="U67" s="173"/>
      <c r="V67" s="173"/>
      <c r="W67" s="78"/>
      <c r="X67" s="78"/>
      <c r="Y67" s="116" t="str">
        <f>IFERROR(ROUND('Informations générales'!$D$66*(AE67/SUM($AE$27:$AE$403))/12,0)*12,"")</f>
        <v/>
      </c>
      <c r="Z67" s="117"/>
      <c r="AA67" s="116" t="str">
        <f t="shared" si="11"/>
        <v/>
      </c>
      <c r="AB67" s="78"/>
      <c r="AC67" s="92"/>
      <c r="AD67" s="78"/>
      <c r="AE67" s="58">
        <f t="shared" si="12"/>
        <v>0</v>
      </c>
      <c r="AF67" s="58">
        <f t="shared" si="1"/>
        <v>0</v>
      </c>
      <c r="AG67" s="58">
        <f t="shared" si="2"/>
        <v>0</v>
      </c>
      <c r="AH67" s="58">
        <f t="shared" si="3"/>
        <v>0</v>
      </c>
      <c r="AI67" s="58">
        <f t="shared" si="4"/>
        <v>0</v>
      </c>
      <c r="AJ67" s="58">
        <f t="shared" si="5"/>
        <v>0</v>
      </c>
      <c r="AK67" s="58">
        <f t="shared" si="6"/>
        <v>0</v>
      </c>
      <c r="AL67" s="58">
        <f t="shared" si="7"/>
        <v>0</v>
      </c>
      <c r="AM67" s="58">
        <f t="shared" si="13"/>
        <v>0</v>
      </c>
      <c r="AN67" s="62">
        <f t="shared" si="14"/>
        <v>0</v>
      </c>
      <c r="AO67" s="61">
        <f t="shared" si="8"/>
        <v>0</v>
      </c>
      <c r="AP67" s="61">
        <f t="shared" si="9"/>
        <v>0</v>
      </c>
    </row>
    <row r="68" spans="3:42" s="17" customFormat="1" x14ac:dyDescent="0.25">
      <c r="C68" s="216" t="s">
        <v>229</v>
      </c>
      <c r="D68" s="217"/>
      <c r="E68" s="90"/>
      <c r="F68" s="198"/>
      <c r="G68" s="214"/>
      <c r="H68" s="199"/>
      <c r="I68" s="78"/>
      <c r="J68" s="79"/>
      <c r="K68" s="78"/>
      <c r="L68" s="113"/>
      <c r="M68" s="155"/>
      <c r="N68" s="114" t="str">
        <f>IFERROR(MIN(VLOOKUP(ROUNDDOWN(M68,0),'Aide calcul'!$B$2:$C$282,2,FALSE),L68+1),"")</f>
        <v/>
      </c>
      <c r="O68" s="115" t="str">
        <f t="shared" si="10"/>
        <v/>
      </c>
      <c r="P68" s="173"/>
      <c r="Q68" s="173"/>
      <c r="R68" s="173"/>
      <c r="S68" s="173"/>
      <c r="T68" s="173"/>
      <c r="U68" s="173"/>
      <c r="V68" s="173"/>
      <c r="W68" s="78"/>
      <c r="X68" s="78"/>
      <c r="Y68" s="116" t="str">
        <f>IFERROR(ROUND('Informations générales'!$D$66*(AE68/SUM($AE$27:$AE$403))/12,0)*12,"")</f>
        <v/>
      </c>
      <c r="Z68" s="117"/>
      <c r="AA68" s="116" t="str">
        <f t="shared" si="11"/>
        <v/>
      </c>
      <c r="AB68" s="78"/>
      <c r="AC68" s="92"/>
      <c r="AD68" s="78"/>
      <c r="AE68" s="58">
        <f t="shared" si="12"/>
        <v>0</v>
      </c>
      <c r="AF68" s="58">
        <f t="shared" si="1"/>
        <v>0</v>
      </c>
      <c r="AG68" s="58">
        <f t="shared" si="2"/>
        <v>0</v>
      </c>
      <c r="AH68" s="58">
        <f t="shared" si="3"/>
        <v>0</v>
      </c>
      <c r="AI68" s="58">
        <f t="shared" si="4"/>
        <v>0</v>
      </c>
      <c r="AJ68" s="58">
        <f t="shared" si="5"/>
        <v>0</v>
      </c>
      <c r="AK68" s="58">
        <f t="shared" si="6"/>
        <v>0</v>
      </c>
      <c r="AL68" s="58">
        <f t="shared" si="7"/>
        <v>0</v>
      </c>
      <c r="AM68" s="58">
        <f t="shared" si="13"/>
        <v>0</v>
      </c>
      <c r="AN68" s="62">
        <f t="shared" si="14"/>
        <v>0</v>
      </c>
      <c r="AO68" s="61">
        <f t="shared" si="8"/>
        <v>0</v>
      </c>
      <c r="AP68" s="61">
        <f t="shared" si="9"/>
        <v>0</v>
      </c>
    </row>
    <row r="69" spans="3:42" s="17" customFormat="1" x14ac:dyDescent="0.25">
      <c r="C69" s="216" t="s">
        <v>229</v>
      </c>
      <c r="D69" s="217"/>
      <c r="E69" s="90"/>
      <c r="F69" s="198"/>
      <c r="G69" s="214"/>
      <c r="H69" s="199"/>
      <c r="I69" s="78"/>
      <c r="J69" s="79"/>
      <c r="K69" s="78"/>
      <c r="L69" s="113"/>
      <c r="M69" s="155"/>
      <c r="N69" s="114" t="str">
        <f>IFERROR(MIN(VLOOKUP(ROUNDDOWN(M69,0),'Aide calcul'!$B$2:$C$282,2,FALSE),L69+1),"")</f>
        <v/>
      </c>
      <c r="O69" s="115" t="str">
        <f t="shared" si="10"/>
        <v/>
      </c>
      <c r="P69" s="173"/>
      <c r="Q69" s="173"/>
      <c r="R69" s="173"/>
      <c r="S69" s="173"/>
      <c r="T69" s="173"/>
      <c r="U69" s="173"/>
      <c r="V69" s="173"/>
      <c r="W69" s="78"/>
      <c r="X69" s="78"/>
      <c r="Y69" s="116" t="str">
        <f>IFERROR(ROUND('Informations générales'!$D$66*(AE69/SUM($AE$27:$AE$403))/12,0)*12,"")</f>
        <v/>
      </c>
      <c r="Z69" s="117"/>
      <c r="AA69" s="116" t="str">
        <f t="shared" si="11"/>
        <v/>
      </c>
      <c r="AB69" s="78"/>
      <c r="AC69" s="92"/>
      <c r="AD69" s="78"/>
      <c r="AE69" s="58">
        <f t="shared" si="12"/>
        <v>0</v>
      </c>
      <c r="AF69" s="58">
        <f t="shared" si="1"/>
        <v>0</v>
      </c>
      <c r="AG69" s="58">
        <f t="shared" si="2"/>
        <v>0</v>
      </c>
      <c r="AH69" s="58">
        <f t="shared" si="3"/>
        <v>0</v>
      </c>
      <c r="AI69" s="58">
        <f t="shared" si="4"/>
        <v>0</v>
      </c>
      <c r="AJ69" s="58">
        <f t="shared" si="5"/>
        <v>0</v>
      </c>
      <c r="AK69" s="58">
        <f t="shared" si="6"/>
        <v>0</v>
      </c>
      <c r="AL69" s="58">
        <f t="shared" si="7"/>
        <v>0</v>
      </c>
      <c r="AM69" s="58">
        <f t="shared" si="13"/>
        <v>0</v>
      </c>
      <c r="AN69" s="62">
        <f t="shared" si="14"/>
        <v>0</v>
      </c>
      <c r="AO69" s="61">
        <f t="shared" si="8"/>
        <v>0</v>
      </c>
      <c r="AP69" s="61">
        <f t="shared" si="9"/>
        <v>0</v>
      </c>
    </row>
    <row r="70" spans="3:42" s="17" customFormat="1" x14ac:dyDescent="0.25">
      <c r="C70" s="216" t="s">
        <v>229</v>
      </c>
      <c r="D70" s="217"/>
      <c r="E70" s="90"/>
      <c r="F70" s="198"/>
      <c r="G70" s="214"/>
      <c r="H70" s="199"/>
      <c r="I70" s="78"/>
      <c r="J70" s="79"/>
      <c r="K70" s="78"/>
      <c r="L70" s="113"/>
      <c r="M70" s="155"/>
      <c r="N70" s="114" t="str">
        <f>IFERROR(MIN(VLOOKUP(ROUNDDOWN(M70,0),'Aide calcul'!$B$2:$C$282,2,FALSE),L70+1),"")</f>
        <v/>
      </c>
      <c r="O70" s="115" t="str">
        <f t="shared" si="10"/>
        <v/>
      </c>
      <c r="P70" s="173"/>
      <c r="Q70" s="173"/>
      <c r="R70" s="173"/>
      <c r="S70" s="173"/>
      <c r="T70" s="173"/>
      <c r="U70" s="173"/>
      <c r="V70" s="173"/>
      <c r="W70" s="78"/>
      <c r="X70" s="78"/>
      <c r="Y70" s="116" t="str">
        <f>IFERROR(ROUND('Informations générales'!$D$66*(AE70/SUM($AE$27:$AE$403))/12,0)*12,"")</f>
        <v/>
      </c>
      <c r="Z70" s="117"/>
      <c r="AA70" s="116" t="str">
        <f t="shared" si="11"/>
        <v/>
      </c>
      <c r="AB70" s="78"/>
      <c r="AC70" s="92"/>
      <c r="AD70" s="78"/>
      <c r="AE70" s="58">
        <f t="shared" si="12"/>
        <v>0</v>
      </c>
      <c r="AF70" s="58">
        <f t="shared" si="1"/>
        <v>0</v>
      </c>
      <c r="AG70" s="58">
        <f t="shared" si="2"/>
        <v>0</v>
      </c>
      <c r="AH70" s="58">
        <f t="shared" si="3"/>
        <v>0</v>
      </c>
      <c r="AI70" s="58">
        <f t="shared" si="4"/>
        <v>0</v>
      </c>
      <c r="AJ70" s="58">
        <f t="shared" si="5"/>
        <v>0</v>
      </c>
      <c r="AK70" s="58">
        <f t="shared" si="6"/>
        <v>0</v>
      </c>
      <c r="AL70" s="58">
        <f t="shared" si="7"/>
        <v>0</v>
      </c>
      <c r="AM70" s="58">
        <f t="shared" si="13"/>
        <v>0</v>
      </c>
      <c r="AN70" s="62">
        <f t="shared" si="14"/>
        <v>0</v>
      </c>
      <c r="AO70" s="61">
        <f t="shared" si="8"/>
        <v>0</v>
      </c>
      <c r="AP70" s="61">
        <f t="shared" si="9"/>
        <v>0</v>
      </c>
    </row>
    <row r="71" spans="3:42" s="17" customFormat="1" x14ac:dyDescent="0.25">
      <c r="C71" s="216" t="s">
        <v>229</v>
      </c>
      <c r="D71" s="217"/>
      <c r="E71" s="90"/>
      <c r="F71" s="198"/>
      <c r="G71" s="214"/>
      <c r="H71" s="199"/>
      <c r="I71" s="78"/>
      <c r="J71" s="79"/>
      <c r="K71" s="78"/>
      <c r="L71" s="113"/>
      <c r="M71" s="155"/>
      <c r="N71" s="114" t="str">
        <f>IFERROR(MIN(VLOOKUP(ROUNDDOWN(M71,0),'Aide calcul'!$B$2:$C$282,2,FALSE),L71+1),"")</f>
        <v/>
      </c>
      <c r="O71" s="115" t="str">
        <f t="shared" si="10"/>
        <v/>
      </c>
      <c r="P71" s="173"/>
      <c r="Q71" s="173"/>
      <c r="R71" s="173"/>
      <c r="S71" s="173"/>
      <c r="T71" s="173"/>
      <c r="U71" s="173"/>
      <c r="V71" s="173"/>
      <c r="W71" s="78"/>
      <c r="X71" s="78"/>
      <c r="Y71" s="116" t="str">
        <f>IFERROR(ROUND('Informations générales'!$D$66*(AE71/SUM($AE$27:$AE$403))/12,0)*12,"")</f>
        <v/>
      </c>
      <c r="Z71" s="117"/>
      <c r="AA71" s="116" t="str">
        <f t="shared" si="11"/>
        <v/>
      </c>
      <c r="AB71" s="78"/>
      <c r="AC71" s="92"/>
      <c r="AD71" s="78"/>
      <c r="AE71" s="58">
        <f t="shared" si="12"/>
        <v>0</v>
      </c>
      <c r="AF71" s="58">
        <f t="shared" si="1"/>
        <v>0</v>
      </c>
      <c r="AG71" s="58">
        <f t="shared" si="2"/>
        <v>0</v>
      </c>
      <c r="AH71" s="58">
        <f t="shared" si="3"/>
        <v>0</v>
      </c>
      <c r="AI71" s="58">
        <f t="shared" si="4"/>
        <v>0</v>
      </c>
      <c r="AJ71" s="58">
        <f t="shared" si="5"/>
        <v>0</v>
      </c>
      <c r="AK71" s="58">
        <f t="shared" si="6"/>
        <v>0</v>
      </c>
      <c r="AL71" s="58">
        <f t="shared" si="7"/>
        <v>0</v>
      </c>
      <c r="AM71" s="58">
        <f t="shared" si="13"/>
        <v>0</v>
      </c>
      <c r="AN71" s="62">
        <f t="shared" si="14"/>
        <v>0</v>
      </c>
      <c r="AO71" s="61">
        <f t="shared" si="8"/>
        <v>0</v>
      </c>
      <c r="AP71" s="61">
        <f t="shared" si="9"/>
        <v>0</v>
      </c>
    </row>
    <row r="72" spans="3:42" s="17" customFormat="1" x14ac:dyDescent="0.25">
      <c r="C72" s="216" t="s">
        <v>229</v>
      </c>
      <c r="D72" s="217"/>
      <c r="E72" s="90"/>
      <c r="F72" s="198"/>
      <c r="G72" s="214"/>
      <c r="H72" s="199"/>
      <c r="I72" s="78"/>
      <c r="J72" s="79"/>
      <c r="K72" s="78"/>
      <c r="L72" s="113"/>
      <c r="M72" s="155"/>
      <c r="N72" s="114" t="str">
        <f>IFERROR(MIN(VLOOKUP(ROUNDDOWN(M72,0),'Aide calcul'!$B$2:$C$282,2,FALSE),L72+1),"")</f>
        <v/>
      </c>
      <c r="O72" s="115" t="str">
        <f t="shared" si="10"/>
        <v/>
      </c>
      <c r="P72" s="173"/>
      <c r="Q72" s="173"/>
      <c r="R72" s="173"/>
      <c r="S72" s="173"/>
      <c r="T72" s="173"/>
      <c r="U72" s="173"/>
      <c r="V72" s="173"/>
      <c r="W72" s="78"/>
      <c r="X72" s="78"/>
      <c r="Y72" s="116" t="str">
        <f>IFERROR(ROUND('Informations générales'!$D$66*(AE72/SUM($AE$27:$AE$403))/12,0)*12,"")</f>
        <v/>
      </c>
      <c r="Z72" s="117"/>
      <c r="AA72" s="116" t="str">
        <f t="shared" si="11"/>
        <v/>
      </c>
      <c r="AB72" s="78"/>
      <c r="AC72" s="92"/>
      <c r="AD72" s="78"/>
      <c r="AE72" s="58">
        <f t="shared" si="12"/>
        <v>0</v>
      </c>
      <c r="AF72" s="58">
        <f t="shared" si="1"/>
        <v>0</v>
      </c>
      <c r="AG72" s="58">
        <f t="shared" si="2"/>
        <v>0</v>
      </c>
      <c r="AH72" s="58">
        <f t="shared" si="3"/>
        <v>0</v>
      </c>
      <c r="AI72" s="58">
        <f t="shared" si="4"/>
        <v>0</v>
      </c>
      <c r="AJ72" s="58">
        <f t="shared" si="5"/>
        <v>0</v>
      </c>
      <c r="AK72" s="58">
        <f t="shared" si="6"/>
        <v>0</v>
      </c>
      <c r="AL72" s="58">
        <f t="shared" si="7"/>
        <v>0</v>
      </c>
      <c r="AM72" s="58">
        <f t="shared" si="13"/>
        <v>0</v>
      </c>
      <c r="AN72" s="62">
        <f t="shared" si="14"/>
        <v>0</v>
      </c>
      <c r="AO72" s="61">
        <f t="shared" si="8"/>
        <v>0</v>
      </c>
      <c r="AP72" s="61">
        <f t="shared" si="9"/>
        <v>0</v>
      </c>
    </row>
    <row r="73" spans="3:42" s="17" customFormat="1" x14ac:dyDescent="0.25">
      <c r="C73" s="216" t="s">
        <v>229</v>
      </c>
      <c r="D73" s="217"/>
      <c r="E73" s="90"/>
      <c r="F73" s="198"/>
      <c r="G73" s="214"/>
      <c r="H73" s="199"/>
      <c r="I73" s="78"/>
      <c r="J73" s="79"/>
      <c r="K73" s="78"/>
      <c r="L73" s="113"/>
      <c r="M73" s="155"/>
      <c r="N73" s="114" t="str">
        <f>IFERROR(MIN(VLOOKUP(ROUNDDOWN(M73,0),'Aide calcul'!$B$2:$C$282,2,FALSE),L73+1),"")</f>
        <v/>
      </c>
      <c r="O73" s="115" t="str">
        <f t="shared" si="10"/>
        <v/>
      </c>
      <c r="P73" s="173"/>
      <c r="Q73" s="173"/>
      <c r="R73" s="173"/>
      <c r="S73" s="173"/>
      <c r="T73" s="173"/>
      <c r="U73" s="173"/>
      <c r="V73" s="173"/>
      <c r="W73" s="78"/>
      <c r="X73" s="78"/>
      <c r="Y73" s="116" t="str">
        <f>IFERROR(ROUND('Informations générales'!$D$66*(AE73/SUM($AE$27:$AE$403))/12,0)*12,"")</f>
        <v/>
      </c>
      <c r="Z73" s="117"/>
      <c r="AA73" s="116" t="str">
        <f t="shared" si="11"/>
        <v/>
      </c>
      <c r="AB73" s="78"/>
      <c r="AC73" s="92"/>
      <c r="AD73" s="78"/>
      <c r="AE73" s="58">
        <f t="shared" si="12"/>
        <v>0</v>
      </c>
      <c r="AF73" s="58">
        <f t="shared" si="1"/>
        <v>0</v>
      </c>
      <c r="AG73" s="58">
        <f t="shared" si="2"/>
        <v>0</v>
      </c>
      <c r="AH73" s="58">
        <f t="shared" si="3"/>
        <v>0</v>
      </c>
      <c r="AI73" s="58">
        <f t="shared" si="4"/>
        <v>0</v>
      </c>
      <c r="AJ73" s="58">
        <f t="shared" si="5"/>
        <v>0</v>
      </c>
      <c r="AK73" s="58">
        <f t="shared" si="6"/>
        <v>0</v>
      </c>
      <c r="AL73" s="58">
        <f t="shared" si="7"/>
        <v>0</v>
      </c>
      <c r="AM73" s="58">
        <f t="shared" si="13"/>
        <v>0</v>
      </c>
      <c r="AN73" s="62">
        <f t="shared" si="14"/>
        <v>0</v>
      </c>
      <c r="AO73" s="61">
        <f t="shared" si="8"/>
        <v>0</v>
      </c>
      <c r="AP73" s="61">
        <f t="shared" si="9"/>
        <v>0</v>
      </c>
    </row>
    <row r="74" spans="3:42" s="17" customFormat="1" x14ac:dyDescent="0.25">
      <c r="C74" s="216" t="s">
        <v>229</v>
      </c>
      <c r="D74" s="217"/>
      <c r="E74" s="90"/>
      <c r="F74" s="198"/>
      <c r="G74" s="214"/>
      <c r="H74" s="199"/>
      <c r="I74" s="78"/>
      <c r="J74" s="79"/>
      <c r="K74" s="78"/>
      <c r="L74" s="113"/>
      <c r="M74" s="155"/>
      <c r="N74" s="114" t="str">
        <f>IFERROR(MIN(VLOOKUP(ROUNDDOWN(M74,0),'Aide calcul'!$B$2:$C$282,2,FALSE),L74+1),"")</f>
        <v/>
      </c>
      <c r="O74" s="115" t="str">
        <f t="shared" si="10"/>
        <v/>
      </c>
      <c r="P74" s="173"/>
      <c r="Q74" s="173"/>
      <c r="R74" s="173"/>
      <c r="S74" s="173"/>
      <c r="T74" s="173"/>
      <c r="U74" s="173"/>
      <c r="V74" s="173"/>
      <c r="W74" s="78"/>
      <c r="X74" s="78"/>
      <c r="Y74" s="116" t="str">
        <f>IFERROR(ROUND('Informations générales'!$D$66*(AE74/SUM($AE$27:$AE$403))/12,0)*12,"")</f>
        <v/>
      </c>
      <c r="Z74" s="117"/>
      <c r="AA74" s="116" t="str">
        <f t="shared" si="11"/>
        <v/>
      </c>
      <c r="AB74" s="78"/>
      <c r="AC74" s="92"/>
      <c r="AD74" s="78"/>
      <c r="AE74" s="58">
        <f t="shared" si="12"/>
        <v>0</v>
      </c>
      <c r="AF74" s="58">
        <f t="shared" si="1"/>
        <v>0</v>
      </c>
      <c r="AG74" s="58">
        <f t="shared" si="2"/>
        <v>0</v>
      </c>
      <c r="AH74" s="58">
        <f t="shared" si="3"/>
        <v>0</v>
      </c>
      <c r="AI74" s="58">
        <f t="shared" si="4"/>
        <v>0</v>
      </c>
      <c r="AJ74" s="58">
        <f t="shared" si="5"/>
        <v>0</v>
      </c>
      <c r="AK74" s="58">
        <f t="shared" si="6"/>
        <v>0</v>
      </c>
      <c r="AL74" s="58">
        <f t="shared" si="7"/>
        <v>0</v>
      </c>
      <c r="AM74" s="58">
        <f t="shared" si="13"/>
        <v>0</v>
      </c>
      <c r="AN74" s="62">
        <f t="shared" si="14"/>
        <v>0</v>
      </c>
      <c r="AO74" s="61">
        <f t="shared" si="8"/>
        <v>0</v>
      </c>
      <c r="AP74" s="61">
        <f t="shared" si="9"/>
        <v>0</v>
      </c>
    </row>
    <row r="75" spans="3:42" s="17" customFormat="1" x14ac:dyDescent="0.25">
      <c r="C75" s="216" t="s">
        <v>229</v>
      </c>
      <c r="D75" s="217"/>
      <c r="E75" s="90"/>
      <c r="F75" s="198"/>
      <c r="G75" s="214"/>
      <c r="H75" s="199"/>
      <c r="I75" s="78"/>
      <c r="J75" s="79"/>
      <c r="K75" s="78"/>
      <c r="L75" s="113"/>
      <c r="M75" s="155"/>
      <c r="N75" s="114" t="str">
        <f>IFERROR(MIN(VLOOKUP(ROUNDDOWN(M75,0),'Aide calcul'!$B$2:$C$282,2,FALSE),L75+1),"")</f>
        <v/>
      </c>
      <c r="O75" s="115" t="str">
        <f t="shared" si="10"/>
        <v/>
      </c>
      <c r="P75" s="173"/>
      <c r="Q75" s="173"/>
      <c r="R75" s="173"/>
      <c r="S75" s="173"/>
      <c r="T75" s="173"/>
      <c r="U75" s="173"/>
      <c r="V75" s="173"/>
      <c r="W75" s="78"/>
      <c r="X75" s="78"/>
      <c r="Y75" s="116" t="str">
        <f>IFERROR(ROUND('Informations générales'!$D$66*(AE75/SUM($AE$27:$AE$403))/12,0)*12,"")</f>
        <v/>
      </c>
      <c r="Z75" s="117"/>
      <c r="AA75" s="116" t="str">
        <f t="shared" si="11"/>
        <v/>
      </c>
      <c r="AB75" s="78"/>
      <c r="AC75" s="92"/>
      <c r="AD75" s="78"/>
      <c r="AE75" s="58">
        <f t="shared" si="12"/>
        <v>0</v>
      </c>
      <c r="AF75" s="58">
        <f t="shared" si="1"/>
        <v>0</v>
      </c>
      <c r="AG75" s="58">
        <f t="shared" si="2"/>
        <v>0</v>
      </c>
      <c r="AH75" s="58">
        <f t="shared" si="3"/>
        <v>0</v>
      </c>
      <c r="AI75" s="58">
        <f t="shared" si="4"/>
        <v>0</v>
      </c>
      <c r="AJ75" s="58">
        <f t="shared" si="5"/>
        <v>0</v>
      </c>
      <c r="AK75" s="58">
        <f t="shared" si="6"/>
        <v>0</v>
      </c>
      <c r="AL75" s="58">
        <f t="shared" si="7"/>
        <v>0</v>
      </c>
      <c r="AM75" s="58">
        <f t="shared" si="13"/>
        <v>0</v>
      </c>
      <c r="AN75" s="62">
        <f t="shared" si="14"/>
        <v>0</v>
      </c>
      <c r="AO75" s="61">
        <f t="shared" si="8"/>
        <v>0</v>
      </c>
      <c r="AP75" s="61">
        <f t="shared" si="9"/>
        <v>0</v>
      </c>
    </row>
    <row r="76" spans="3:42" s="17" customFormat="1" x14ac:dyDescent="0.25">
      <c r="C76" s="216" t="s">
        <v>229</v>
      </c>
      <c r="D76" s="217"/>
      <c r="E76" s="90"/>
      <c r="F76" s="198"/>
      <c r="G76" s="214"/>
      <c r="H76" s="199"/>
      <c r="I76" s="78"/>
      <c r="J76" s="79"/>
      <c r="K76" s="78"/>
      <c r="L76" s="113"/>
      <c r="M76" s="155"/>
      <c r="N76" s="114" t="str">
        <f>IFERROR(MIN(VLOOKUP(ROUNDDOWN(M76,0),'Aide calcul'!$B$2:$C$282,2,FALSE),L76+1),"")</f>
        <v/>
      </c>
      <c r="O76" s="115" t="str">
        <f t="shared" si="10"/>
        <v/>
      </c>
      <c r="P76" s="173"/>
      <c r="Q76" s="173"/>
      <c r="R76" s="173"/>
      <c r="S76" s="173"/>
      <c r="T76" s="173"/>
      <c r="U76" s="173"/>
      <c r="V76" s="173"/>
      <c r="W76" s="78"/>
      <c r="X76" s="78"/>
      <c r="Y76" s="116" t="str">
        <f>IFERROR(ROUND('Informations générales'!$D$66*(AE76/SUM($AE$27:$AE$403))/12,0)*12,"")</f>
        <v/>
      </c>
      <c r="Z76" s="117"/>
      <c r="AA76" s="116" t="str">
        <f t="shared" si="11"/>
        <v/>
      </c>
      <c r="AB76" s="78"/>
      <c r="AC76" s="92"/>
      <c r="AD76" s="78"/>
      <c r="AE76" s="58">
        <f t="shared" si="12"/>
        <v>0</v>
      </c>
      <c r="AF76" s="58">
        <f t="shared" si="1"/>
        <v>0</v>
      </c>
      <c r="AG76" s="58">
        <f t="shared" si="2"/>
        <v>0</v>
      </c>
      <c r="AH76" s="58">
        <f t="shared" si="3"/>
        <v>0</v>
      </c>
      <c r="AI76" s="58">
        <f t="shared" si="4"/>
        <v>0</v>
      </c>
      <c r="AJ76" s="58">
        <f t="shared" si="5"/>
        <v>0</v>
      </c>
      <c r="AK76" s="58">
        <f t="shared" si="6"/>
        <v>0</v>
      </c>
      <c r="AL76" s="58">
        <f t="shared" si="7"/>
        <v>0</v>
      </c>
      <c r="AM76" s="58">
        <f t="shared" si="13"/>
        <v>0</v>
      </c>
      <c r="AN76" s="62">
        <f t="shared" si="14"/>
        <v>0</v>
      </c>
      <c r="AO76" s="61">
        <f t="shared" si="8"/>
        <v>0</v>
      </c>
      <c r="AP76" s="61">
        <f t="shared" si="9"/>
        <v>0</v>
      </c>
    </row>
    <row r="77" spans="3:42" s="17" customFormat="1" x14ac:dyDescent="0.25">
      <c r="C77" s="216" t="s">
        <v>229</v>
      </c>
      <c r="D77" s="217"/>
      <c r="E77" s="90"/>
      <c r="F77" s="198"/>
      <c r="G77" s="214"/>
      <c r="H77" s="199"/>
      <c r="I77" s="78"/>
      <c r="J77" s="79"/>
      <c r="K77" s="78"/>
      <c r="L77" s="113"/>
      <c r="M77" s="155"/>
      <c r="N77" s="114" t="str">
        <f>IFERROR(MIN(VLOOKUP(ROUNDDOWN(M77,0),'Aide calcul'!$B$2:$C$282,2,FALSE),L77+1),"")</f>
        <v/>
      </c>
      <c r="O77" s="115" t="str">
        <f t="shared" si="10"/>
        <v/>
      </c>
      <c r="P77" s="173"/>
      <c r="Q77" s="173"/>
      <c r="R77" s="173"/>
      <c r="S77" s="173"/>
      <c r="T77" s="173"/>
      <c r="U77" s="173"/>
      <c r="V77" s="173"/>
      <c r="W77" s="78"/>
      <c r="X77" s="78"/>
      <c r="Y77" s="116" t="str">
        <f>IFERROR(ROUND('Informations générales'!$D$66*(AE77/SUM($AE$27:$AE$403))/12,0)*12,"")</f>
        <v/>
      </c>
      <c r="Z77" s="117"/>
      <c r="AA77" s="116" t="str">
        <f t="shared" si="11"/>
        <v/>
      </c>
      <c r="AB77" s="78"/>
      <c r="AC77" s="92"/>
      <c r="AD77" s="78"/>
      <c r="AE77" s="58">
        <f t="shared" si="12"/>
        <v>0</v>
      </c>
      <c r="AF77" s="58">
        <f t="shared" si="1"/>
        <v>0</v>
      </c>
      <c r="AG77" s="58">
        <f t="shared" si="2"/>
        <v>0</v>
      </c>
      <c r="AH77" s="58">
        <f t="shared" si="3"/>
        <v>0</v>
      </c>
      <c r="AI77" s="58">
        <f t="shared" si="4"/>
        <v>0</v>
      </c>
      <c r="AJ77" s="58">
        <f t="shared" si="5"/>
        <v>0</v>
      </c>
      <c r="AK77" s="58">
        <f t="shared" si="6"/>
        <v>0</v>
      </c>
      <c r="AL77" s="58">
        <f t="shared" si="7"/>
        <v>0</v>
      </c>
      <c r="AM77" s="58">
        <f t="shared" si="13"/>
        <v>0</v>
      </c>
      <c r="AN77" s="62">
        <f t="shared" si="14"/>
        <v>0</v>
      </c>
      <c r="AO77" s="61">
        <f t="shared" si="8"/>
        <v>0</v>
      </c>
      <c r="AP77" s="61">
        <f t="shared" si="9"/>
        <v>0</v>
      </c>
    </row>
    <row r="78" spans="3:42" s="17" customFormat="1" x14ac:dyDescent="0.25">
      <c r="C78" s="216" t="s">
        <v>229</v>
      </c>
      <c r="D78" s="217"/>
      <c r="E78" s="90"/>
      <c r="F78" s="198"/>
      <c r="G78" s="214"/>
      <c r="H78" s="199"/>
      <c r="I78" s="78"/>
      <c r="J78" s="79"/>
      <c r="K78" s="78"/>
      <c r="L78" s="113"/>
      <c r="M78" s="155"/>
      <c r="N78" s="114" t="str">
        <f>IFERROR(MIN(VLOOKUP(ROUNDDOWN(M78,0),'Aide calcul'!$B$2:$C$282,2,FALSE),L78+1),"")</f>
        <v/>
      </c>
      <c r="O78" s="115" t="str">
        <f t="shared" si="10"/>
        <v/>
      </c>
      <c r="P78" s="173"/>
      <c r="Q78" s="173"/>
      <c r="R78" s="173"/>
      <c r="S78" s="173"/>
      <c r="T78" s="173"/>
      <c r="U78" s="173"/>
      <c r="V78" s="173"/>
      <c r="W78" s="78"/>
      <c r="X78" s="78"/>
      <c r="Y78" s="116" t="str">
        <f>IFERROR(ROUND('Informations générales'!$D$66*(AE78/SUM($AE$27:$AE$403))/12,0)*12,"")</f>
        <v/>
      </c>
      <c r="Z78" s="117"/>
      <c r="AA78" s="116" t="str">
        <f t="shared" si="11"/>
        <v/>
      </c>
      <c r="AB78" s="78"/>
      <c r="AC78" s="92"/>
      <c r="AD78" s="78"/>
      <c r="AE78" s="58">
        <f t="shared" si="12"/>
        <v>0</v>
      </c>
      <c r="AF78" s="58">
        <f t="shared" si="1"/>
        <v>0</v>
      </c>
      <c r="AG78" s="58">
        <f t="shared" si="2"/>
        <v>0</v>
      </c>
      <c r="AH78" s="58">
        <f t="shared" si="3"/>
        <v>0</v>
      </c>
      <c r="AI78" s="58">
        <f t="shared" si="4"/>
        <v>0</v>
      </c>
      <c r="AJ78" s="58">
        <f t="shared" si="5"/>
        <v>0</v>
      </c>
      <c r="AK78" s="58">
        <f t="shared" si="6"/>
        <v>0</v>
      </c>
      <c r="AL78" s="58">
        <f t="shared" si="7"/>
        <v>0</v>
      </c>
      <c r="AM78" s="58">
        <f t="shared" si="13"/>
        <v>0</v>
      </c>
      <c r="AN78" s="62">
        <f t="shared" si="14"/>
        <v>0</v>
      </c>
      <c r="AO78" s="61">
        <f t="shared" si="8"/>
        <v>0</v>
      </c>
      <c r="AP78" s="61">
        <f t="shared" si="9"/>
        <v>0</v>
      </c>
    </row>
    <row r="79" spans="3:42" s="17" customFormat="1" x14ac:dyDescent="0.25">
      <c r="C79" s="216" t="s">
        <v>229</v>
      </c>
      <c r="D79" s="217"/>
      <c r="E79" s="90"/>
      <c r="F79" s="198"/>
      <c r="G79" s="214"/>
      <c r="H79" s="199"/>
      <c r="I79" s="78"/>
      <c r="J79" s="79"/>
      <c r="K79" s="78"/>
      <c r="L79" s="113"/>
      <c r="M79" s="155"/>
      <c r="N79" s="114" t="str">
        <f>IFERROR(MIN(VLOOKUP(ROUNDDOWN(M79,0),'Aide calcul'!$B$2:$C$282,2,FALSE),L79+1),"")</f>
        <v/>
      </c>
      <c r="O79" s="115" t="str">
        <f t="shared" si="10"/>
        <v/>
      </c>
      <c r="P79" s="173"/>
      <c r="Q79" s="173"/>
      <c r="R79" s="173"/>
      <c r="S79" s="173"/>
      <c r="T79" s="173"/>
      <c r="U79" s="173"/>
      <c r="V79" s="173"/>
      <c r="W79" s="78"/>
      <c r="X79" s="78"/>
      <c r="Y79" s="116" t="str">
        <f>IFERROR(ROUND('Informations générales'!$D$66*(AE79/SUM($AE$27:$AE$403))/12,0)*12,"")</f>
        <v/>
      </c>
      <c r="Z79" s="117"/>
      <c r="AA79" s="116" t="str">
        <f t="shared" si="11"/>
        <v/>
      </c>
      <c r="AB79" s="78"/>
      <c r="AC79" s="92"/>
      <c r="AD79" s="78"/>
      <c r="AE79" s="58">
        <f t="shared" si="12"/>
        <v>0</v>
      </c>
      <c r="AF79" s="58">
        <f t="shared" si="1"/>
        <v>0</v>
      </c>
      <c r="AG79" s="58">
        <f t="shared" si="2"/>
        <v>0</v>
      </c>
      <c r="AH79" s="58">
        <f t="shared" si="3"/>
        <v>0</v>
      </c>
      <c r="AI79" s="58">
        <f t="shared" si="4"/>
        <v>0</v>
      </c>
      <c r="AJ79" s="58">
        <f t="shared" si="5"/>
        <v>0</v>
      </c>
      <c r="AK79" s="58">
        <f t="shared" si="6"/>
        <v>0</v>
      </c>
      <c r="AL79" s="58">
        <f t="shared" si="7"/>
        <v>0</v>
      </c>
      <c r="AM79" s="58">
        <f t="shared" si="13"/>
        <v>0</v>
      </c>
      <c r="AN79" s="62">
        <f t="shared" si="14"/>
        <v>0</v>
      </c>
      <c r="AO79" s="61">
        <f t="shared" si="8"/>
        <v>0</v>
      </c>
      <c r="AP79" s="61">
        <f t="shared" si="9"/>
        <v>0</v>
      </c>
    </row>
    <row r="80" spans="3:42" s="17" customFormat="1" x14ac:dyDescent="0.25">
      <c r="C80" s="216" t="s">
        <v>229</v>
      </c>
      <c r="D80" s="217"/>
      <c r="E80" s="90"/>
      <c r="F80" s="198"/>
      <c r="G80" s="214"/>
      <c r="H80" s="199"/>
      <c r="I80" s="78"/>
      <c r="J80" s="79"/>
      <c r="K80" s="78"/>
      <c r="L80" s="113"/>
      <c r="M80" s="155"/>
      <c r="N80" s="114" t="str">
        <f>IFERROR(MIN(VLOOKUP(ROUNDDOWN(M80,0),'Aide calcul'!$B$2:$C$282,2,FALSE),L80+1),"")</f>
        <v/>
      </c>
      <c r="O80" s="115" t="str">
        <f t="shared" si="10"/>
        <v/>
      </c>
      <c r="P80" s="173"/>
      <c r="Q80" s="173"/>
      <c r="R80" s="173"/>
      <c r="S80" s="173"/>
      <c r="T80" s="173"/>
      <c r="U80" s="173"/>
      <c r="V80" s="173"/>
      <c r="W80" s="78"/>
      <c r="X80" s="78"/>
      <c r="Y80" s="116" t="str">
        <f>IFERROR(ROUND('Informations générales'!$D$66*(AE80/SUM($AE$27:$AE$403))/12,0)*12,"")</f>
        <v/>
      </c>
      <c r="Z80" s="117"/>
      <c r="AA80" s="116" t="str">
        <f t="shared" si="11"/>
        <v/>
      </c>
      <c r="AB80" s="78"/>
      <c r="AC80" s="92"/>
      <c r="AD80" s="78"/>
      <c r="AE80" s="58">
        <f t="shared" si="12"/>
        <v>0</v>
      </c>
      <c r="AF80" s="58">
        <f t="shared" si="1"/>
        <v>0</v>
      </c>
      <c r="AG80" s="58">
        <f t="shared" si="2"/>
        <v>0</v>
      </c>
      <c r="AH80" s="58">
        <f t="shared" si="3"/>
        <v>0</v>
      </c>
      <c r="AI80" s="58">
        <f t="shared" si="4"/>
        <v>0</v>
      </c>
      <c r="AJ80" s="58">
        <f t="shared" si="5"/>
        <v>0</v>
      </c>
      <c r="AK80" s="58">
        <f t="shared" si="6"/>
        <v>0</v>
      </c>
      <c r="AL80" s="58">
        <f t="shared" si="7"/>
        <v>0</v>
      </c>
      <c r="AM80" s="58">
        <f t="shared" si="13"/>
        <v>0</v>
      </c>
      <c r="AN80" s="62">
        <f t="shared" si="14"/>
        <v>0</v>
      </c>
      <c r="AO80" s="61">
        <f t="shared" si="8"/>
        <v>0</v>
      </c>
      <c r="AP80" s="61">
        <f t="shared" si="9"/>
        <v>0</v>
      </c>
    </row>
    <row r="81" spans="3:42" s="17" customFormat="1" x14ac:dyDescent="0.25">
      <c r="C81" s="216" t="s">
        <v>229</v>
      </c>
      <c r="D81" s="217"/>
      <c r="E81" s="90"/>
      <c r="F81" s="198"/>
      <c r="G81" s="214"/>
      <c r="H81" s="199"/>
      <c r="I81" s="78"/>
      <c r="J81" s="79"/>
      <c r="K81" s="78"/>
      <c r="L81" s="113"/>
      <c r="M81" s="155"/>
      <c r="N81" s="114" t="str">
        <f>IFERROR(MIN(VLOOKUP(ROUNDDOWN(M81,0),'Aide calcul'!$B$2:$C$282,2,FALSE),L81+1),"")</f>
        <v/>
      </c>
      <c r="O81" s="115" t="str">
        <f t="shared" si="10"/>
        <v/>
      </c>
      <c r="P81" s="173"/>
      <c r="Q81" s="173"/>
      <c r="R81" s="173"/>
      <c r="S81" s="173"/>
      <c r="T81" s="173"/>
      <c r="U81" s="173"/>
      <c r="V81" s="173"/>
      <c r="W81" s="78"/>
      <c r="X81" s="78"/>
      <c r="Y81" s="116" t="str">
        <f>IFERROR(ROUND('Informations générales'!$D$66*(AE81/SUM($AE$27:$AE$403))/12,0)*12,"")</f>
        <v/>
      </c>
      <c r="Z81" s="117"/>
      <c r="AA81" s="116" t="str">
        <f t="shared" si="11"/>
        <v/>
      </c>
      <c r="AB81" s="78"/>
      <c r="AC81" s="92"/>
      <c r="AD81" s="78"/>
      <c r="AE81" s="58">
        <f t="shared" si="12"/>
        <v>0</v>
      </c>
      <c r="AF81" s="58">
        <f t="shared" si="1"/>
        <v>0</v>
      </c>
      <c r="AG81" s="58">
        <f t="shared" si="2"/>
        <v>0</v>
      </c>
      <c r="AH81" s="58">
        <f t="shared" si="3"/>
        <v>0</v>
      </c>
      <c r="AI81" s="58">
        <f t="shared" si="4"/>
        <v>0</v>
      </c>
      <c r="AJ81" s="58">
        <f t="shared" si="5"/>
        <v>0</v>
      </c>
      <c r="AK81" s="58">
        <f t="shared" si="6"/>
        <v>0</v>
      </c>
      <c r="AL81" s="58">
        <f t="shared" si="7"/>
        <v>0</v>
      </c>
      <c r="AM81" s="58">
        <f t="shared" si="13"/>
        <v>0</v>
      </c>
      <c r="AN81" s="62">
        <f t="shared" si="14"/>
        <v>0</v>
      </c>
      <c r="AO81" s="61">
        <f t="shared" si="8"/>
        <v>0</v>
      </c>
      <c r="AP81" s="61">
        <f t="shared" si="9"/>
        <v>0</v>
      </c>
    </row>
    <row r="82" spans="3:42" s="17" customFormat="1" x14ac:dyDescent="0.25">
      <c r="C82" s="216" t="s">
        <v>229</v>
      </c>
      <c r="D82" s="217"/>
      <c r="E82" s="90"/>
      <c r="F82" s="198"/>
      <c r="G82" s="214"/>
      <c r="H82" s="199"/>
      <c r="I82" s="78"/>
      <c r="J82" s="79"/>
      <c r="K82" s="78"/>
      <c r="L82" s="113"/>
      <c r="M82" s="155"/>
      <c r="N82" s="114" t="str">
        <f>IFERROR(MIN(VLOOKUP(ROUNDDOWN(M82,0),'Aide calcul'!$B$2:$C$282,2,FALSE),L82+1),"")</f>
        <v/>
      </c>
      <c r="O82" s="115" t="str">
        <f t="shared" si="10"/>
        <v/>
      </c>
      <c r="P82" s="173"/>
      <c r="Q82" s="173"/>
      <c r="R82" s="173"/>
      <c r="S82" s="173"/>
      <c r="T82" s="173"/>
      <c r="U82" s="173"/>
      <c r="V82" s="173"/>
      <c r="W82" s="78"/>
      <c r="X82" s="78"/>
      <c r="Y82" s="116" t="str">
        <f>IFERROR(ROUND('Informations générales'!$D$66*(AE82/SUM($AE$27:$AE$403))/12,0)*12,"")</f>
        <v/>
      </c>
      <c r="Z82" s="117"/>
      <c r="AA82" s="116" t="str">
        <f t="shared" si="11"/>
        <v/>
      </c>
      <c r="AB82" s="78"/>
      <c r="AC82" s="92"/>
      <c r="AD82" s="78"/>
      <c r="AE82" s="58">
        <f t="shared" si="12"/>
        <v>0</v>
      </c>
      <c r="AF82" s="58">
        <f t="shared" si="1"/>
        <v>0</v>
      </c>
      <c r="AG82" s="58">
        <f t="shared" si="2"/>
        <v>0</v>
      </c>
      <c r="AH82" s="58">
        <f t="shared" si="3"/>
        <v>0</v>
      </c>
      <c r="AI82" s="58">
        <f t="shared" si="4"/>
        <v>0</v>
      </c>
      <c r="AJ82" s="58">
        <f t="shared" si="5"/>
        <v>0</v>
      </c>
      <c r="AK82" s="58">
        <f t="shared" si="6"/>
        <v>0</v>
      </c>
      <c r="AL82" s="58">
        <f t="shared" si="7"/>
        <v>0</v>
      </c>
      <c r="AM82" s="58">
        <f t="shared" si="13"/>
        <v>0</v>
      </c>
      <c r="AN82" s="62">
        <f t="shared" si="14"/>
        <v>0</v>
      </c>
      <c r="AO82" s="61">
        <f t="shared" si="8"/>
        <v>0</v>
      </c>
      <c r="AP82" s="61">
        <f t="shared" si="9"/>
        <v>0</v>
      </c>
    </row>
    <row r="83" spans="3:42" s="17" customFormat="1" x14ac:dyDescent="0.25">
      <c r="C83" s="216" t="s">
        <v>229</v>
      </c>
      <c r="D83" s="217"/>
      <c r="E83" s="90"/>
      <c r="F83" s="198"/>
      <c r="G83" s="214"/>
      <c r="H83" s="199"/>
      <c r="I83" s="78"/>
      <c r="J83" s="79"/>
      <c r="K83" s="78"/>
      <c r="L83" s="113"/>
      <c r="M83" s="155"/>
      <c r="N83" s="114" t="str">
        <f>IFERROR(MIN(VLOOKUP(ROUNDDOWN(M83,0),'Aide calcul'!$B$2:$C$282,2,FALSE),L83+1),"")</f>
        <v/>
      </c>
      <c r="O83" s="115" t="str">
        <f t="shared" si="10"/>
        <v/>
      </c>
      <c r="P83" s="173"/>
      <c r="Q83" s="173"/>
      <c r="R83" s="173"/>
      <c r="S83" s="173"/>
      <c r="T83" s="173"/>
      <c r="U83" s="173"/>
      <c r="V83" s="173"/>
      <c r="W83" s="78"/>
      <c r="X83" s="78"/>
      <c r="Y83" s="116" t="str">
        <f>IFERROR(ROUND('Informations générales'!$D$66*(AE83/SUM($AE$27:$AE$403))/12,0)*12,"")</f>
        <v/>
      </c>
      <c r="Z83" s="117"/>
      <c r="AA83" s="116" t="str">
        <f t="shared" si="11"/>
        <v/>
      </c>
      <c r="AB83" s="78"/>
      <c r="AC83" s="92"/>
      <c r="AD83" s="78"/>
      <c r="AE83" s="58">
        <f t="shared" si="12"/>
        <v>0</v>
      </c>
      <c r="AF83" s="58">
        <f t="shared" si="1"/>
        <v>0</v>
      </c>
      <c r="AG83" s="58">
        <f t="shared" si="2"/>
        <v>0</v>
      </c>
      <c r="AH83" s="58">
        <f t="shared" si="3"/>
        <v>0</v>
      </c>
      <c r="AI83" s="58">
        <f t="shared" si="4"/>
        <v>0</v>
      </c>
      <c r="AJ83" s="58">
        <f t="shared" si="5"/>
        <v>0</v>
      </c>
      <c r="AK83" s="58">
        <f t="shared" si="6"/>
        <v>0</v>
      </c>
      <c r="AL83" s="58">
        <f t="shared" si="7"/>
        <v>0</v>
      </c>
      <c r="AM83" s="58">
        <f t="shared" si="13"/>
        <v>0</v>
      </c>
      <c r="AN83" s="62">
        <f t="shared" si="14"/>
        <v>0</v>
      </c>
      <c r="AO83" s="61">
        <f t="shared" si="8"/>
        <v>0</v>
      </c>
      <c r="AP83" s="61">
        <f t="shared" si="9"/>
        <v>0</v>
      </c>
    </row>
    <row r="84" spans="3:42" s="17" customFormat="1" x14ac:dyDescent="0.25">
      <c r="C84" s="216" t="s">
        <v>229</v>
      </c>
      <c r="D84" s="217"/>
      <c r="E84" s="90"/>
      <c r="F84" s="198"/>
      <c r="G84" s="214"/>
      <c r="H84" s="199"/>
      <c r="I84" s="78"/>
      <c r="J84" s="79"/>
      <c r="K84" s="78"/>
      <c r="L84" s="113"/>
      <c r="M84" s="155"/>
      <c r="N84" s="114" t="str">
        <f>IFERROR(MIN(VLOOKUP(ROUNDDOWN(M84,0),'Aide calcul'!$B$2:$C$282,2,FALSE),L84+1),"")</f>
        <v/>
      </c>
      <c r="O84" s="115" t="str">
        <f t="shared" si="10"/>
        <v/>
      </c>
      <c r="P84" s="173"/>
      <c r="Q84" s="173"/>
      <c r="R84" s="173"/>
      <c r="S84" s="173"/>
      <c r="T84" s="173"/>
      <c r="U84" s="173"/>
      <c r="V84" s="173"/>
      <c r="W84" s="78"/>
      <c r="X84" s="78"/>
      <c r="Y84" s="116" t="str">
        <f>IFERROR(ROUND('Informations générales'!$D$66*(AE84/SUM($AE$27:$AE$403))/12,0)*12,"")</f>
        <v/>
      </c>
      <c r="Z84" s="117"/>
      <c r="AA84" s="116" t="str">
        <f t="shared" si="11"/>
        <v/>
      </c>
      <c r="AB84" s="78"/>
      <c r="AC84" s="92"/>
      <c r="AD84" s="78"/>
      <c r="AE84" s="58">
        <f t="shared" si="12"/>
        <v>0</v>
      </c>
      <c r="AF84" s="58">
        <f t="shared" si="1"/>
        <v>0</v>
      </c>
      <c r="AG84" s="58">
        <f t="shared" si="2"/>
        <v>0</v>
      </c>
      <c r="AH84" s="58">
        <f t="shared" si="3"/>
        <v>0</v>
      </c>
      <c r="AI84" s="58">
        <f t="shared" si="4"/>
        <v>0</v>
      </c>
      <c r="AJ84" s="58">
        <f t="shared" si="5"/>
        <v>0</v>
      </c>
      <c r="AK84" s="58">
        <f t="shared" si="6"/>
        <v>0</v>
      </c>
      <c r="AL84" s="58">
        <f t="shared" si="7"/>
        <v>0</v>
      </c>
      <c r="AM84" s="58">
        <f t="shared" si="13"/>
        <v>0</v>
      </c>
      <c r="AN84" s="62">
        <f t="shared" si="14"/>
        <v>0</v>
      </c>
      <c r="AO84" s="61">
        <f t="shared" si="8"/>
        <v>0</v>
      </c>
      <c r="AP84" s="61">
        <f t="shared" si="9"/>
        <v>0</v>
      </c>
    </row>
    <row r="85" spans="3:42" s="17" customFormat="1" x14ac:dyDescent="0.25">
      <c r="C85" s="216" t="s">
        <v>229</v>
      </c>
      <c r="D85" s="217"/>
      <c r="E85" s="90"/>
      <c r="F85" s="198"/>
      <c r="G85" s="214"/>
      <c r="H85" s="199"/>
      <c r="I85" s="78"/>
      <c r="J85" s="79"/>
      <c r="K85" s="78"/>
      <c r="L85" s="113"/>
      <c r="M85" s="155"/>
      <c r="N85" s="114" t="str">
        <f>IFERROR(MIN(VLOOKUP(ROUNDDOWN(M85,0),'Aide calcul'!$B$2:$C$282,2,FALSE),L85+1),"")</f>
        <v/>
      </c>
      <c r="O85" s="115" t="str">
        <f t="shared" si="10"/>
        <v/>
      </c>
      <c r="P85" s="173"/>
      <c r="Q85" s="173"/>
      <c r="R85" s="173"/>
      <c r="S85" s="173"/>
      <c r="T85" s="173"/>
      <c r="U85" s="173"/>
      <c r="V85" s="173"/>
      <c r="W85" s="78"/>
      <c r="X85" s="78"/>
      <c r="Y85" s="116" t="str">
        <f>IFERROR(ROUND('Informations générales'!$D$66*(AE85/SUM($AE$27:$AE$403))/12,0)*12,"")</f>
        <v/>
      </c>
      <c r="Z85" s="117"/>
      <c r="AA85" s="116" t="str">
        <f t="shared" si="11"/>
        <v/>
      </c>
      <c r="AB85" s="78"/>
      <c r="AC85" s="92"/>
      <c r="AD85" s="78"/>
      <c r="AE85" s="58">
        <f t="shared" si="12"/>
        <v>0</v>
      </c>
      <c r="AF85" s="58">
        <f t="shared" si="1"/>
        <v>0</v>
      </c>
      <c r="AG85" s="58">
        <f t="shared" si="2"/>
        <v>0</v>
      </c>
      <c r="AH85" s="58">
        <f t="shared" si="3"/>
        <v>0</v>
      </c>
      <c r="AI85" s="58">
        <f t="shared" si="4"/>
        <v>0</v>
      </c>
      <c r="AJ85" s="58">
        <f t="shared" si="5"/>
        <v>0</v>
      </c>
      <c r="AK85" s="58">
        <f t="shared" si="6"/>
        <v>0</v>
      </c>
      <c r="AL85" s="58">
        <f t="shared" si="7"/>
        <v>0</v>
      </c>
      <c r="AM85" s="58">
        <f t="shared" si="13"/>
        <v>0</v>
      </c>
      <c r="AN85" s="62">
        <f t="shared" si="14"/>
        <v>0</v>
      </c>
      <c r="AO85" s="61">
        <f t="shared" si="8"/>
        <v>0</v>
      </c>
      <c r="AP85" s="61">
        <f t="shared" si="9"/>
        <v>0</v>
      </c>
    </row>
    <row r="86" spans="3:42" s="17" customFormat="1" x14ac:dyDescent="0.25">
      <c r="C86" s="216" t="s">
        <v>229</v>
      </c>
      <c r="D86" s="217"/>
      <c r="E86" s="90"/>
      <c r="F86" s="198"/>
      <c r="G86" s="214"/>
      <c r="H86" s="199"/>
      <c r="I86" s="78"/>
      <c r="J86" s="79"/>
      <c r="K86" s="78"/>
      <c r="L86" s="113"/>
      <c r="M86" s="155"/>
      <c r="N86" s="114" t="str">
        <f>IFERROR(MIN(VLOOKUP(ROUNDDOWN(M86,0),'Aide calcul'!$B$2:$C$282,2,FALSE),L86+1),"")</f>
        <v/>
      </c>
      <c r="O86" s="115" t="str">
        <f t="shared" si="10"/>
        <v/>
      </c>
      <c r="P86" s="173"/>
      <c r="Q86" s="173"/>
      <c r="R86" s="173"/>
      <c r="S86" s="173"/>
      <c r="T86" s="173"/>
      <c r="U86" s="173"/>
      <c r="V86" s="173"/>
      <c r="W86" s="78"/>
      <c r="X86" s="78"/>
      <c r="Y86" s="116" t="str">
        <f>IFERROR(ROUND('Informations générales'!$D$66*(AE86/SUM($AE$27:$AE$403))/12,0)*12,"")</f>
        <v/>
      </c>
      <c r="Z86" s="117"/>
      <c r="AA86" s="116" t="str">
        <f t="shared" si="11"/>
        <v/>
      </c>
      <c r="AB86" s="78"/>
      <c r="AC86" s="92"/>
      <c r="AD86" s="78"/>
      <c r="AE86" s="58">
        <f t="shared" si="12"/>
        <v>0</v>
      </c>
      <c r="AF86" s="58">
        <f t="shared" si="1"/>
        <v>0</v>
      </c>
      <c r="AG86" s="58">
        <f t="shared" si="2"/>
        <v>0</v>
      </c>
      <c r="AH86" s="58">
        <f t="shared" si="3"/>
        <v>0</v>
      </c>
      <c r="AI86" s="58">
        <f t="shared" si="4"/>
        <v>0</v>
      </c>
      <c r="AJ86" s="58">
        <f t="shared" si="5"/>
        <v>0</v>
      </c>
      <c r="AK86" s="58">
        <f t="shared" si="6"/>
        <v>0</v>
      </c>
      <c r="AL86" s="58">
        <f t="shared" si="7"/>
        <v>0</v>
      </c>
      <c r="AM86" s="58">
        <f t="shared" si="13"/>
        <v>0</v>
      </c>
      <c r="AN86" s="62">
        <f t="shared" si="14"/>
        <v>0</v>
      </c>
      <c r="AO86" s="61">
        <f t="shared" si="8"/>
        <v>0</v>
      </c>
      <c r="AP86" s="61">
        <f t="shared" si="9"/>
        <v>0</v>
      </c>
    </row>
    <row r="87" spans="3:42" s="17" customFormat="1" x14ac:dyDescent="0.25">
      <c r="C87" s="216" t="s">
        <v>229</v>
      </c>
      <c r="D87" s="217"/>
      <c r="E87" s="90"/>
      <c r="F87" s="198"/>
      <c r="G87" s="214"/>
      <c r="H87" s="199"/>
      <c r="I87" s="78"/>
      <c r="J87" s="79"/>
      <c r="K87" s="78"/>
      <c r="L87" s="113"/>
      <c r="M87" s="155"/>
      <c r="N87" s="114" t="str">
        <f>IFERROR(MIN(VLOOKUP(ROUNDDOWN(M87,0),'Aide calcul'!$B$2:$C$282,2,FALSE),L87+1),"")</f>
        <v/>
      </c>
      <c r="O87" s="115" t="str">
        <f t="shared" si="10"/>
        <v/>
      </c>
      <c r="P87" s="173"/>
      <c r="Q87" s="173"/>
      <c r="R87" s="173"/>
      <c r="S87" s="173"/>
      <c r="T87" s="173"/>
      <c r="U87" s="173"/>
      <c r="V87" s="173"/>
      <c r="W87" s="78"/>
      <c r="X87" s="78"/>
      <c r="Y87" s="116" t="str">
        <f>IFERROR(ROUND('Informations générales'!$D$66*(AE87/SUM($AE$27:$AE$403))/12,0)*12,"")</f>
        <v/>
      </c>
      <c r="Z87" s="117"/>
      <c r="AA87" s="116" t="str">
        <f t="shared" si="11"/>
        <v/>
      </c>
      <c r="AB87" s="78"/>
      <c r="AC87" s="92"/>
      <c r="AD87" s="78"/>
      <c r="AE87" s="58">
        <f t="shared" si="12"/>
        <v>0</v>
      </c>
      <c r="AF87" s="58">
        <f t="shared" si="1"/>
        <v>0</v>
      </c>
      <c r="AG87" s="58">
        <f t="shared" si="2"/>
        <v>0</v>
      </c>
      <c r="AH87" s="58">
        <f t="shared" si="3"/>
        <v>0</v>
      </c>
      <c r="AI87" s="58">
        <f t="shared" si="4"/>
        <v>0</v>
      </c>
      <c r="AJ87" s="58">
        <f t="shared" si="5"/>
        <v>0</v>
      </c>
      <c r="AK87" s="58">
        <f t="shared" si="6"/>
        <v>0</v>
      </c>
      <c r="AL87" s="58">
        <f t="shared" si="7"/>
        <v>0</v>
      </c>
      <c r="AM87" s="58">
        <f t="shared" si="13"/>
        <v>0</v>
      </c>
      <c r="AN87" s="62">
        <f t="shared" si="14"/>
        <v>0</v>
      </c>
      <c r="AO87" s="61">
        <f t="shared" si="8"/>
        <v>0</v>
      </c>
      <c r="AP87" s="61">
        <f t="shared" si="9"/>
        <v>0</v>
      </c>
    </row>
    <row r="88" spans="3:42" s="17" customFormat="1" x14ac:dyDescent="0.25">
      <c r="C88" s="216" t="s">
        <v>229</v>
      </c>
      <c r="D88" s="217"/>
      <c r="E88" s="90"/>
      <c r="F88" s="198"/>
      <c r="G88" s="214"/>
      <c r="H88" s="199"/>
      <c r="I88" s="78"/>
      <c r="J88" s="79"/>
      <c r="K88" s="78"/>
      <c r="L88" s="113"/>
      <c r="M88" s="155"/>
      <c r="N88" s="114" t="str">
        <f>IFERROR(MIN(VLOOKUP(ROUNDDOWN(M88,0),'Aide calcul'!$B$2:$C$282,2,FALSE),L88+1),"")</f>
        <v/>
      </c>
      <c r="O88" s="115" t="str">
        <f t="shared" si="10"/>
        <v/>
      </c>
      <c r="P88" s="173"/>
      <c r="Q88" s="173"/>
      <c r="R88" s="173"/>
      <c r="S88" s="173"/>
      <c r="T88" s="173"/>
      <c r="U88" s="173"/>
      <c r="V88" s="173"/>
      <c r="W88" s="78"/>
      <c r="X88" s="78"/>
      <c r="Y88" s="116" t="str">
        <f>IFERROR(ROUND('Informations générales'!$D$66*(AE88/SUM($AE$27:$AE$403))/12,0)*12,"")</f>
        <v/>
      </c>
      <c r="Z88" s="117"/>
      <c r="AA88" s="116" t="str">
        <f t="shared" si="11"/>
        <v/>
      </c>
      <c r="AB88" s="78"/>
      <c r="AC88" s="92"/>
      <c r="AD88" s="78"/>
      <c r="AE88" s="58">
        <f t="shared" si="12"/>
        <v>0</v>
      </c>
      <c r="AF88" s="58">
        <f t="shared" si="1"/>
        <v>0</v>
      </c>
      <c r="AG88" s="58">
        <f t="shared" si="2"/>
        <v>0</v>
      </c>
      <c r="AH88" s="58">
        <f t="shared" si="3"/>
        <v>0</v>
      </c>
      <c r="AI88" s="58">
        <f t="shared" si="4"/>
        <v>0</v>
      </c>
      <c r="AJ88" s="58">
        <f t="shared" si="5"/>
        <v>0</v>
      </c>
      <c r="AK88" s="58">
        <f t="shared" si="6"/>
        <v>0</v>
      </c>
      <c r="AL88" s="58">
        <f t="shared" si="7"/>
        <v>0</v>
      </c>
      <c r="AM88" s="58">
        <f t="shared" si="13"/>
        <v>0</v>
      </c>
      <c r="AN88" s="62">
        <f t="shared" si="14"/>
        <v>0</v>
      </c>
      <c r="AO88" s="61">
        <f t="shared" si="8"/>
        <v>0</v>
      </c>
      <c r="AP88" s="61">
        <f t="shared" si="9"/>
        <v>0</v>
      </c>
    </row>
    <row r="89" spans="3:42" s="17" customFormat="1" x14ac:dyDescent="0.25">
      <c r="C89" s="216" t="s">
        <v>229</v>
      </c>
      <c r="D89" s="217"/>
      <c r="E89" s="90"/>
      <c r="F89" s="198"/>
      <c r="G89" s="214"/>
      <c r="H89" s="199"/>
      <c r="I89" s="78"/>
      <c r="J89" s="79"/>
      <c r="K89" s="78"/>
      <c r="L89" s="113"/>
      <c r="M89" s="155"/>
      <c r="N89" s="114" t="str">
        <f>IFERROR(MIN(VLOOKUP(ROUNDDOWN(M89,0),'Aide calcul'!$B$2:$C$282,2,FALSE),L89+1),"")</f>
        <v/>
      </c>
      <c r="O89" s="115" t="str">
        <f t="shared" si="10"/>
        <v/>
      </c>
      <c r="P89" s="173"/>
      <c r="Q89" s="173"/>
      <c r="R89" s="173"/>
      <c r="S89" s="173"/>
      <c r="T89" s="173"/>
      <c r="U89" s="173"/>
      <c r="V89" s="173"/>
      <c r="W89" s="78"/>
      <c r="X89" s="78"/>
      <c r="Y89" s="116" t="str">
        <f>IFERROR(ROUND('Informations générales'!$D$66*(AE89/SUM($AE$27:$AE$403))/12,0)*12,"")</f>
        <v/>
      </c>
      <c r="Z89" s="117"/>
      <c r="AA89" s="116" t="str">
        <f t="shared" si="11"/>
        <v/>
      </c>
      <c r="AB89" s="78"/>
      <c r="AC89" s="92"/>
      <c r="AD89" s="78"/>
      <c r="AE89" s="58">
        <f t="shared" si="12"/>
        <v>0</v>
      </c>
      <c r="AF89" s="58">
        <f t="shared" si="1"/>
        <v>0</v>
      </c>
      <c r="AG89" s="58">
        <f t="shared" si="2"/>
        <v>0</v>
      </c>
      <c r="AH89" s="58">
        <f t="shared" si="3"/>
        <v>0</v>
      </c>
      <c r="AI89" s="58">
        <f t="shared" si="4"/>
        <v>0</v>
      </c>
      <c r="AJ89" s="58">
        <f t="shared" si="5"/>
        <v>0</v>
      </c>
      <c r="AK89" s="58">
        <f t="shared" si="6"/>
        <v>0</v>
      </c>
      <c r="AL89" s="58">
        <f t="shared" si="7"/>
        <v>0</v>
      </c>
      <c r="AM89" s="58">
        <f t="shared" si="13"/>
        <v>0</v>
      </c>
      <c r="AN89" s="62">
        <f t="shared" si="14"/>
        <v>0</v>
      </c>
      <c r="AO89" s="61">
        <f t="shared" si="8"/>
        <v>0</v>
      </c>
      <c r="AP89" s="61">
        <f t="shared" si="9"/>
        <v>0</v>
      </c>
    </row>
    <row r="90" spans="3:42" s="17" customFormat="1" x14ac:dyDescent="0.25">
      <c r="C90" s="216" t="s">
        <v>229</v>
      </c>
      <c r="D90" s="217"/>
      <c r="E90" s="90"/>
      <c r="F90" s="198"/>
      <c r="G90" s="214"/>
      <c r="H90" s="199"/>
      <c r="I90" s="78"/>
      <c r="J90" s="79"/>
      <c r="K90" s="78"/>
      <c r="L90" s="113"/>
      <c r="M90" s="155"/>
      <c r="N90" s="114" t="str">
        <f>IFERROR(MIN(VLOOKUP(ROUNDDOWN(M90,0),'Aide calcul'!$B$2:$C$282,2,FALSE),L90+1),"")</f>
        <v/>
      </c>
      <c r="O90" s="115" t="str">
        <f t="shared" si="10"/>
        <v/>
      </c>
      <c r="P90" s="173"/>
      <c r="Q90" s="173"/>
      <c r="R90" s="173"/>
      <c r="S90" s="173"/>
      <c r="T90" s="173"/>
      <c r="U90" s="173"/>
      <c r="V90" s="173"/>
      <c r="W90" s="78"/>
      <c r="X90" s="78"/>
      <c r="Y90" s="116" t="str">
        <f>IFERROR(ROUND('Informations générales'!$D$66*(AE90/SUM($AE$27:$AE$403))/12,0)*12,"")</f>
        <v/>
      </c>
      <c r="Z90" s="117"/>
      <c r="AA90" s="116" t="str">
        <f t="shared" si="11"/>
        <v/>
      </c>
      <c r="AB90" s="78"/>
      <c r="AC90" s="92"/>
      <c r="AD90" s="78"/>
      <c r="AE90" s="58">
        <f t="shared" si="12"/>
        <v>0</v>
      </c>
      <c r="AF90" s="58">
        <f t="shared" si="1"/>
        <v>0</v>
      </c>
      <c r="AG90" s="58">
        <f t="shared" si="2"/>
        <v>0</v>
      </c>
      <c r="AH90" s="58">
        <f t="shared" si="3"/>
        <v>0</v>
      </c>
      <c r="AI90" s="58">
        <f t="shared" si="4"/>
        <v>0</v>
      </c>
      <c r="AJ90" s="58">
        <f t="shared" si="5"/>
        <v>0</v>
      </c>
      <c r="AK90" s="58">
        <f t="shared" si="6"/>
        <v>0</v>
      </c>
      <c r="AL90" s="58">
        <f t="shared" si="7"/>
        <v>0</v>
      </c>
      <c r="AM90" s="58">
        <f t="shared" si="13"/>
        <v>0</v>
      </c>
      <c r="AN90" s="62">
        <f t="shared" si="14"/>
        <v>0</v>
      </c>
      <c r="AO90" s="61">
        <f t="shared" si="8"/>
        <v>0</v>
      </c>
      <c r="AP90" s="61">
        <f t="shared" si="9"/>
        <v>0</v>
      </c>
    </row>
    <row r="91" spans="3:42" s="17" customFormat="1" x14ac:dyDescent="0.25">
      <c r="C91" s="216" t="s">
        <v>229</v>
      </c>
      <c r="D91" s="217"/>
      <c r="E91" s="90"/>
      <c r="F91" s="198"/>
      <c r="G91" s="214"/>
      <c r="H91" s="199"/>
      <c r="I91" s="78"/>
      <c r="J91" s="79"/>
      <c r="K91" s="78"/>
      <c r="L91" s="113"/>
      <c r="M91" s="155"/>
      <c r="N91" s="114" t="str">
        <f>IFERROR(MIN(VLOOKUP(ROUNDDOWN(M91,0),'Aide calcul'!$B$2:$C$282,2,FALSE),L91+1),"")</f>
        <v/>
      </c>
      <c r="O91" s="115" t="str">
        <f t="shared" si="10"/>
        <v/>
      </c>
      <c r="P91" s="173"/>
      <c r="Q91" s="173"/>
      <c r="R91" s="173"/>
      <c r="S91" s="173"/>
      <c r="T91" s="173"/>
      <c r="U91" s="173"/>
      <c r="V91" s="173"/>
      <c r="W91" s="78"/>
      <c r="X91" s="78"/>
      <c r="Y91" s="116" t="str">
        <f>IFERROR(ROUND('Informations générales'!$D$66*(AE91/SUM($AE$27:$AE$403))/12,0)*12,"")</f>
        <v/>
      </c>
      <c r="Z91" s="117"/>
      <c r="AA91" s="116" t="str">
        <f t="shared" si="11"/>
        <v/>
      </c>
      <c r="AB91" s="78"/>
      <c r="AC91" s="92"/>
      <c r="AD91" s="78"/>
      <c r="AE91" s="58">
        <f t="shared" si="12"/>
        <v>0</v>
      </c>
      <c r="AF91" s="58">
        <f t="shared" ref="AF91:AF154" si="15">P91*$E$13</f>
        <v>0</v>
      </c>
      <c r="AG91" s="58">
        <f t="shared" ref="AG91:AG154" si="16">Q91*$E$14</f>
        <v>0</v>
      </c>
      <c r="AH91" s="58">
        <f t="shared" ref="AH91:AH154" si="17">R91*$E$15</f>
        <v>0</v>
      </c>
      <c r="AI91" s="58">
        <f t="shared" ref="AI91:AI154" si="18">S91*$E$16</f>
        <v>0</v>
      </c>
      <c r="AJ91" s="58">
        <f t="shared" ref="AJ91:AJ154" si="19">T91*$E$17</f>
        <v>0</v>
      </c>
      <c r="AK91" s="58">
        <f t="shared" ref="AK91:AK154" si="20">U91*$E$18</f>
        <v>0</v>
      </c>
      <c r="AL91" s="58">
        <f t="shared" ref="AL91:AL154" si="21">V91*$E$19</f>
        <v>0</v>
      </c>
      <c r="AM91" s="58">
        <f t="shared" si="13"/>
        <v>0</v>
      </c>
      <c r="AN91" s="62">
        <f t="shared" si="14"/>
        <v>0</v>
      </c>
      <c r="AO91" s="61">
        <f t="shared" ref="AO91:AO154" si="22">IFERROR(VLOOKUP(W91,$H$12:$I$22,2,FALSE),0)</f>
        <v>0</v>
      </c>
      <c r="AP91" s="61">
        <f t="shared" ref="AP91:AP154" si="23">IFERROR(VLOOKUP(X91,$L$12:$N$19,3,FALSE),0)</f>
        <v>0</v>
      </c>
    </row>
    <row r="92" spans="3:42" s="17" customFormat="1" x14ac:dyDescent="0.25">
      <c r="C92" s="216" t="s">
        <v>229</v>
      </c>
      <c r="D92" s="217"/>
      <c r="E92" s="90"/>
      <c r="F92" s="198"/>
      <c r="G92" s="214"/>
      <c r="H92" s="199"/>
      <c r="I92" s="78"/>
      <c r="J92" s="79"/>
      <c r="K92" s="78"/>
      <c r="L92" s="113"/>
      <c r="M92" s="155"/>
      <c r="N92" s="114" t="str">
        <f>IFERROR(MIN(VLOOKUP(ROUNDDOWN(M92,0),'Aide calcul'!$B$2:$C$282,2,FALSE),L92+1),"")</f>
        <v/>
      </c>
      <c r="O92" s="115" t="str">
        <f t="shared" ref="O92:O155" si="24">IFERROR(TRUNC(N92-0.5),"")</f>
        <v/>
      </c>
      <c r="P92" s="173"/>
      <c r="Q92" s="173"/>
      <c r="R92" s="173"/>
      <c r="S92" s="173"/>
      <c r="T92" s="173"/>
      <c r="U92" s="173"/>
      <c r="V92" s="173"/>
      <c r="W92" s="78"/>
      <c r="X92" s="78"/>
      <c r="Y92" s="116" t="str">
        <f>IFERROR(ROUND('Informations générales'!$D$66*(AE92/SUM($AE$27:$AE$403))/12,0)*12,"")</f>
        <v/>
      </c>
      <c r="Z92" s="117"/>
      <c r="AA92" s="116" t="str">
        <f t="shared" ref="AA92:AA155" si="25">IFERROR(Y92/AM92,"")</f>
        <v/>
      </c>
      <c r="AB92" s="78"/>
      <c r="AC92" s="92"/>
      <c r="AD92" s="78"/>
      <c r="AE92" s="58">
        <f t="shared" ref="AE92:AE155" si="26">AM92*(SUM(1,AN92,AO92,AP92))</f>
        <v>0</v>
      </c>
      <c r="AF92" s="58">
        <f t="shared" si="15"/>
        <v>0</v>
      </c>
      <c r="AG92" s="58">
        <f t="shared" si="16"/>
        <v>0</v>
      </c>
      <c r="AH92" s="58">
        <f t="shared" si="17"/>
        <v>0</v>
      </c>
      <c r="AI92" s="58">
        <f t="shared" si="18"/>
        <v>0</v>
      </c>
      <c r="AJ92" s="58">
        <f t="shared" si="19"/>
        <v>0</v>
      </c>
      <c r="AK92" s="58">
        <f t="shared" si="20"/>
        <v>0</v>
      </c>
      <c r="AL92" s="58">
        <f t="shared" si="21"/>
        <v>0</v>
      </c>
      <c r="AM92" s="58">
        <f t="shared" ref="AM92:AM155" si="27">SUM(AF92:AL92)</f>
        <v>0</v>
      </c>
      <c r="AN92" s="62">
        <f t="shared" ref="AN92:AN155" si="28">IFERROR(I92*$E$12,0)</f>
        <v>0</v>
      </c>
      <c r="AO92" s="61">
        <f t="shared" si="22"/>
        <v>0</v>
      </c>
      <c r="AP92" s="61">
        <f t="shared" si="23"/>
        <v>0</v>
      </c>
    </row>
    <row r="93" spans="3:42" s="17" customFormat="1" x14ac:dyDescent="0.25">
      <c r="C93" s="216" t="s">
        <v>229</v>
      </c>
      <c r="D93" s="217"/>
      <c r="E93" s="90"/>
      <c r="F93" s="198"/>
      <c r="G93" s="214"/>
      <c r="H93" s="199"/>
      <c r="I93" s="78"/>
      <c r="J93" s="79"/>
      <c r="K93" s="78"/>
      <c r="L93" s="113"/>
      <c r="M93" s="155"/>
      <c r="N93" s="114" t="str">
        <f>IFERROR(MIN(VLOOKUP(ROUNDDOWN(M93,0),'Aide calcul'!$B$2:$C$282,2,FALSE),L93+1),"")</f>
        <v/>
      </c>
      <c r="O93" s="115" t="str">
        <f t="shared" si="24"/>
        <v/>
      </c>
      <c r="P93" s="173"/>
      <c r="Q93" s="173"/>
      <c r="R93" s="173"/>
      <c r="S93" s="173"/>
      <c r="T93" s="173"/>
      <c r="U93" s="173"/>
      <c r="V93" s="173"/>
      <c r="W93" s="78"/>
      <c r="X93" s="78"/>
      <c r="Y93" s="116" t="str">
        <f>IFERROR(ROUND('Informations générales'!$D$66*(AE93/SUM($AE$27:$AE$403))/12,0)*12,"")</f>
        <v/>
      </c>
      <c r="Z93" s="117"/>
      <c r="AA93" s="116" t="str">
        <f t="shared" si="25"/>
        <v/>
      </c>
      <c r="AB93" s="78"/>
      <c r="AC93" s="92"/>
      <c r="AD93" s="78"/>
      <c r="AE93" s="58">
        <f t="shared" si="26"/>
        <v>0</v>
      </c>
      <c r="AF93" s="58">
        <f t="shared" si="15"/>
        <v>0</v>
      </c>
      <c r="AG93" s="58">
        <f t="shared" si="16"/>
        <v>0</v>
      </c>
      <c r="AH93" s="58">
        <f t="shared" si="17"/>
        <v>0</v>
      </c>
      <c r="AI93" s="58">
        <f t="shared" si="18"/>
        <v>0</v>
      </c>
      <c r="AJ93" s="58">
        <f t="shared" si="19"/>
        <v>0</v>
      </c>
      <c r="AK93" s="58">
        <f t="shared" si="20"/>
        <v>0</v>
      </c>
      <c r="AL93" s="58">
        <f t="shared" si="21"/>
        <v>0</v>
      </c>
      <c r="AM93" s="58">
        <f t="shared" si="27"/>
        <v>0</v>
      </c>
      <c r="AN93" s="62">
        <f t="shared" si="28"/>
        <v>0</v>
      </c>
      <c r="AO93" s="61">
        <f t="shared" si="22"/>
        <v>0</v>
      </c>
      <c r="AP93" s="61">
        <f t="shared" si="23"/>
        <v>0</v>
      </c>
    </row>
    <row r="94" spans="3:42" s="17" customFormat="1" x14ac:dyDescent="0.25">
      <c r="C94" s="216" t="s">
        <v>229</v>
      </c>
      <c r="D94" s="217"/>
      <c r="E94" s="90"/>
      <c r="F94" s="198"/>
      <c r="G94" s="214"/>
      <c r="H94" s="199"/>
      <c r="I94" s="78"/>
      <c r="J94" s="79"/>
      <c r="K94" s="78"/>
      <c r="L94" s="113"/>
      <c r="M94" s="155"/>
      <c r="N94" s="114" t="str">
        <f>IFERROR(MIN(VLOOKUP(ROUNDDOWN(M94,0),'Aide calcul'!$B$2:$C$282,2,FALSE),L94+1),"")</f>
        <v/>
      </c>
      <c r="O94" s="115" t="str">
        <f t="shared" si="24"/>
        <v/>
      </c>
      <c r="P94" s="173"/>
      <c r="Q94" s="173"/>
      <c r="R94" s="173"/>
      <c r="S94" s="173"/>
      <c r="T94" s="173"/>
      <c r="U94" s="173"/>
      <c r="V94" s="173"/>
      <c r="W94" s="78"/>
      <c r="X94" s="78"/>
      <c r="Y94" s="116" t="str">
        <f>IFERROR(ROUND('Informations générales'!$D$66*(AE94/SUM($AE$27:$AE$403))/12,0)*12,"")</f>
        <v/>
      </c>
      <c r="Z94" s="117"/>
      <c r="AA94" s="116" t="str">
        <f t="shared" si="25"/>
        <v/>
      </c>
      <c r="AB94" s="78"/>
      <c r="AC94" s="92"/>
      <c r="AD94" s="78"/>
      <c r="AE94" s="58">
        <f t="shared" si="26"/>
        <v>0</v>
      </c>
      <c r="AF94" s="58">
        <f t="shared" si="15"/>
        <v>0</v>
      </c>
      <c r="AG94" s="58">
        <f t="shared" si="16"/>
        <v>0</v>
      </c>
      <c r="AH94" s="58">
        <f t="shared" si="17"/>
        <v>0</v>
      </c>
      <c r="AI94" s="58">
        <f t="shared" si="18"/>
        <v>0</v>
      </c>
      <c r="AJ94" s="58">
        <f t="shared" si="19"/>
        <v>0</v>
      </c>
      <c r="AK94" s="58">
        <f t="shared" si="20"/>
        <v>0</v>
      </c>
      <c r="AL94" s="58">
        <f t="shared" si="21"/>
        <v>0</v>
      </c>
      <c r="AM94" s="58">
        <f t="shared" si="27"/>
        <v>0</v>
      </c>
      <c r="AN94" s="62">
        <f t="shared" si="28"/>
        <v>0</v>
      </c>
      <c r="AO94" s="61">
        <f t="shared" si="22"/>
        <v>0</v>
      </c>
      <c r="AP94" s="61">
        <f t="shared" si="23"/>
        <v>0</v>
      </c>
    </row>
    <row r="95" spans="3:42" s="17" customFormat="1" x14ac:dyDescent="0.25">
      <c r="C95" s="216" t="s">
        <v>229</v>
      </c>
      <c r="D95" s="217"/>
      <c r="E95" s="90"/>
      <c r="F95" s="198"/>
      <c r="G95" s="214"/>
      <c r="H95" s="199"/>
      <c r="I95" s="78"/>
      <c r="J95" s="79"/>
      <c r="K95" s="78"/>
      <c r="L95" s="113"/>
      <c r="M95" s="155"/>
      <c r="N95" s="114" t="str">
        <f>IFERROR(MIN(VLOOKUP(ROUNDDOWN(M95,0),'Aide calcul'!$B$2:$C$282,2,FALSE),L95+1),"")</f>
        <v/>
      </c>
      <c r="O95" s="115" t="str">
        <f t="shared" si="24"/>
        <v/>
      </c>
      <c r="P95" s="173"/>
      <c r="Q95" s="173"/>
      <c r="R95" s="173"/>
      <c r="S95" s="173"/>
      <c r="T95" s="173"/>
      <c r="U95" s="173"/>
      <c r="V95" s="173"/>
      <c r="W95" s="78"/>
      <c r="X95" s="78"/>
      <c r="Y95" s="116" t="str">
        <f>IFERROR(ROUND('Informations générales'!$D$66*(AE95/SUM($AE$27:$AE$403))/12,0)*12,"")</f>
        <v/>
      </c>
      <c r="Z95" s="117"/>
      <c r="AA95" s="116" t="str">
        <f t="shared" si="25"/>
        <v/>
      </c>
      <c r="AB95" s="78"/>
      <c r="AC95" s="92"/>
      <c r="AD95" s="78"/>
      <c r="AE95" s="58">
        <f t="shared" si="26"/>
        <v>0</v>
      </c>
      <c r="AF95" s="58">
        <f t="shared" si="15"/>
        <v>0</v>
      </c>
      <c r="AG95" s="58">
        <f t="shared" si="16"/>
        <v>0</v>
      </c>
      <c r="AH95" s="58">
        <f t="shared" si="17"/>
        <v>0</v>
      </c>
      <c r="AI95" s="58">
        <f t="shared" si="18"/>
        <v>0</v>
      </c>
      <c r="AJ95" s="58">
        <f t="shared" si="19"/>
        <v>0</v>
      </c>
      <c r="AK95" s="58">
        <f t="shared" si="20"/>
        <v>0</v>
      </c>
      <c r="AL95" s="58">
        <f t="shared" si="21"/>
        <v>0</v>
      </c>
      <c r="AM95" s="58">
        <f t="shared" si="27"/>
        <v>0</v>
      </c>
      <c r="AN95" s="62">
        <f t="shared" si="28"/>
        <v>0</v>
      </c>
      <c r="AO95" s="61">
        <f t="shared" si="22"/>
        <v>0</v>
      </c>
      <c r="AP95" s="61">
        <f t="shared" si="23"/>
        <v>0</v>
      </c>
    </row>
    <row r="96" spans="3:42" s="17" customFormat="1" x14ac:dyDescent="0.25">
      <c r="C96" s="216" t="s">
        <v>229</v>
      </c>
      <c r="D96" s="217"/>
      <c r="E96" s="90"/>
      <c r="F96" s="198"/>
      <c r="G96" s="214"/>
      <c r="H96" s="199"/>
      <c r="I96" s="78"/>
      <c r="J96" s="79"/>
      <c r="K96" s="78"/>
      <c r="L96" s="113"/>
      <c r="M96" s="155"/>
      <c r="N96" s="114" t="str">
        <f>IFERROR(MIN(VLOOKUP(ROUNDDOWN(M96,0),'Aide calcul'!$B$2:$C$282,2,FALSE),L96+1),"")</f>
        <v/>
      </c>
      <c r="O96" s="115" t="str">
        <f t="shared" si="24"/>
        <v/>
      </c>
      <c r="P96" s="173"/>
      <c r="Q96" s="173"/>
      <c r="R96" s="173"/>
      <c r="S96" s="173"/>
      <c r="T96" s="173"/>
      <c r="U96" s="173"/>
      <c r="V96" s="173"/>
      <c r="W96" s="78"/>
      <c r="X96" s="78"/>
      <c r="Y96" s="116" t="str">
        <f>IFERROR(ROUND('Informations générales'!$D$66*(AE96/SUM($AE$27:$AE$403))/12,0)*12,"")</f>
        <v/>
      </c>
      <c r="Z96" s="117"/>
      <c r="AA96" s="116" t="str">
        <f t="shared" si="25"/>
        <v/>
      </c>
      <c r="AB96" s="78"/>
      <c r="AC96" s="92"/>
      <c r="AD96" s="78"/>
      <c r="AE96" s="58">
        <f t="shared" si="26"/>
        <v>0</v>
      </c>
      <c r="AF96" s="58">
        <f t="shared" si="15"/>
        <v>0</v>
      </c>
      <c r="AG96" s="58">
        <f t="shared" si="16"/>
        <v>0</v>
      </c>
      <c r="AH96" s="58">
        <f t="shared" si="17"/>
        <v>0</v>
      </c>
      <c r="AI96" s="58">
        <f t="shared" si="18"/>
        <v>0</v>
      </c>
      <c r="AJ96" s="58">
        <f t="shared" si="19"/>
        <v>0</v>
      </c>
      <c r="AK96" s="58">
        <f t="shared" si="20"/>
        <v>0</v>
      </c>
      <c r="AL96" s="58">
        <f t="shared" si="21"/>
        <v>0</v>
      </c>
      <c r="AM96" s="58">
        <f t="shared" si="27"/>
        <v>0</v>
      </c>
      <c r="AN96" s="62">
        <f t="shared" si="28"/>
        <v>0</v>
      </c>
      <c r="AO96" s="61">
        <f t="shared" si="22"/>
        <v>0</v>
      </c>
      <c r="AP96" s="61">
        <f t="shared" si="23"/>
        <v>0</v>
      </c>
    </row>
    <row r="97" spans="3:42" s="17" customFormat="1" x14ac:dyDescent="0.25">
      <c r="C97" s="216" t="s">
        <v>229</v>
      </c>
      <c r="D97" s="217"/>
      <c r="E97" s="90"/>
      <c r="F97" s="198"/>
      <c r="G97" s="214"/>
      <c r="H97" s="199"/>
      <c r="I97" s="78"/>
      <c r="J97" s="79"/>
      <c r="K97" s="78"/>
      <c r="L97" s="113"/>
      <c r="M97" s="155"/>
      <c r="N97" s="114" t="str">
        <f>IFERROR(MIN(VLOOKUP(ROUNDDOWN(M97,0),'Aide calcul'!$B$2:$C$282,2,FALSE),L97+1),"")</f>
        <v/>
      </c>
      <c r="O97" s="115" t="str">
        <f t="shared" si="24"/>
        <v/>
      </c>
      <c r="P97" s="173"/>
      <c r="Q97" s="173"/>
      <c r="R97" s="173"/>
      <c r="S97" s="173"/>
      <c r="T97" s="173"/>
      <c r="U97" s="173"/>
      <c r="V97" s="173"/>
      <c r="W97" s="78"/>
      <c r="X97" s="78"/>
      <c r="Y97" s="116" t="str">
        <f>IFERROR(ROUND('Informations générales'!$D$66*(AE97/SUM($AE$27:$AE$403))/12,0)*12,"")</f>
        <v/>
      </c>
      <c r="Z97" s="117"/>
      <c r="AA97" s="116" t="str">
        <f t="shared" si="25"/>
        <v/>
      </c>
      <c r="AB97" s="78"/>
      <c r="AC97" s="92"/>
      <c r="AD97" s="78"/>
      <c r="AE97" s="58">
        <f t="shared" si="26"/>
        <v>0</v>
      </c>
      <c r="AF97" s="58">
        <f t="shared" si="15"/>
        <v>0</v>
      </c>
      <c r="AG97" s="58">
        <f t="shared" si="16"/>
        <v>0</v>
      </c>
      <c r="AH97" s="58">
        <f t="shared" si="17"/>
        <v>0</v>
      </c>
      <c r="AI97" s="58">
        <f t="shared" si="18"/>
        <v>0</v>
      </c>
      <c r="AJ97" s="58">
        <f t="shared" si="19"/>
        <v>0</v>
      </c>
      <c r="AK97" s="58">
        <f t="shared" si="20"/>
        <v>0</v>
      </c>
      <c r="AL97" s="58">
        <f t="shared" si="21"/>
        <v>0</v>
      </c>
      <c r="AM97" s="58">
        <f t="shared" si="27"/>
        <v>0</v>
      </c>
      <c r="AN97" s="62">
        <f t="shared" si="28"/>
        <v>0</v>
      </c>
      <c r="AO97" s="61">
        <f t="shared" si="22"/>
        <v>0</v>
      </c>
      <c r="AP97" s="61">
        <f t="shared" si="23"/>
        <v>0</v>
      </c>
    </row>
    <row r="98" spans="3:42" s="17" customFormat="1" x14ac:dyDescent="0.25">
      <c r="C98" s="216" t="s">
        <v>229</v>
      </c>
      <c r="D98" s="217"/>
      <c r="E98" s="90"/>
      <c r="F98" s="198"/>
      <c r="G98" s="214"/>
      <c r="H98" s="199"/>
      <c r="I98" s="78"/>
      <c r="J98" s="79"/>
      <c r="K98" s="78"/>
      <c r="L98" s="113"/>
      <c r="M98" s="155"/>
      <c r="N98" s="114" t="str">
        <f>IFERROR(MIN(VLOOKUP(ROUNDDOWN(M98,0),'Aide calcul'!$B$2:$C$282,2,FALSE),L98+1),"")</f>
        <v/>
      </c>
      <c r="O98" s="115" t="str">
        <f t="shared" si="24"/>
        <v/>
      </c>
      <c r="P98" s="173"/>
      <c r="Q98" s="173"/>
      <c r="R98" s="173"/>
      <c r="S98" s="173"/>
      <c r="T98" s="173"/>
      <c r="U98" s="173"/>
      <c r="V98" s="173"/>
      <c r="W98" s="78"/>
      <c r="X98" s="78"/>
      <c r="Y98" s="116" t="str">
        <f>IFERROR(ROUND('Informations générales'!$D$66*(AE98/SUM($AE$27:$AE$403))/12,0)*12,"")</f>
        <v/>
      </c>
      <c r="Z98" s="117"/>
      <c r="AA98" s="116" t="str">
        <f t="shared" si="25"/>
        <v/>
      </c>
      <c r="AB98" s="78"/>
      <c r="AC98" s="92"/>
      <c r="AD98" s="78"/>
      <c r="AE98" s="58">
        <f t="shared" si="26"/>
        <v>0</v>
      </c>
      <c r="AF98" s="58">
        <f t="shared" si="15"/>
        <v>0</v>
      </c>
      <c r="AG98" s="58">
        <f t="shared" si="16"/>
        <v>0</v>
      </c>
      <c r="AH98" s="58">
        <f t="shared" si="17"/>
        <v>0</v>
      </c>
      <c r="AI98" s="58">
        <f t="shared" si="18"/>
        <v>0</v>
      </c>
      <c r="AJ98" s="58">
        <f t="shared" si="19"/>
        <v>0</v>
      </c>
      <c r="AK98" s="58">
        <f t="shared" si="20"/>
        <v>0</v>
      </c>
      <c r="AL98" s="58">
        <f t="shared" si="21"/>
        <v>0</v>
      </c>
      <c r="AM98" s="58">
        <f t="shared" si="27"/>
        <v>0</v>
      </c>
      <c r="AN98" s="62">
        <f t="shared" si="28"/>
        <v>0</v>
      </c>
      <c r="AO98" s="61">
        <f t="shared" si="22"/>
        <v>0</v>
      </c>
      <c r="AP98" s="61">
        <f t="shared" si="23"/>
        <v>0</v>
      </c>
    </row>
    <row r="99" spans="3:42" s="17" customFormat="1" x14ac:dyDescent="0.25">
      <c r="C99" s="216" t="s">
        <v>229</v>
      </c>
      <c r="D99" s="217"/>
      <c r="E99" s="90"/>
      <c r="F99" s="198"/>
      <c r="G99" s="214"/>
      <c r="H99" s="199"/>
      <c r="I99" s="78"/>
      <c r="J99" s="79"/>
      <c r="K99" s="78"/>
      <c r="L99" s="113"/>
      <c r="M99" s="155"/>
      <c r="N99" s="114" t="str">
        <f>IFERROR(MIN(VLOOKUP(ROUNDDOWN(M99,0),'Aide calcul'!$B$2:$C$282,2,FALSE),L99+1),"")</f>
        <v/>
      </c>
      <c r="O99" s="115" t="str">
        <f t="shared" si="24"/>
        <v/>
      </c>
      <c r="P99" s="173"/>
      <c r="Q99" s="173"/>
      <c r="R99" s="173"/>
      <c r="S99" s="173"/>
      <c r="T99" s="173"/>
      <c r="U99" s="173"/>
      <c r="V99" s="173"/>
      <c r="W99" s="78"/>
      <c r="X99" s="78"/>
      <c r="Y99" s="116" t="str">
        <f>IFERROR(ROUND('Informations générales'!$D$66*(AE99/SUM($AE$27:$AE$403))/12,0)*12,"")</f>
        <v/>
      </c>
      <c r="Z99" s="117"/>
      <c r="AA99" s="116" t="str">
        <f t="shared" si="25"/>
        <v/>
      </c>
      <c r="AB99" s="78"/>
      <c r="AC99" s="92"/>
      <c r="AD99" s="78"/>
      <c r="AE99" s="58">
        <f t="shared" si="26"/>
        <v>0</v>
      </c>
      <c r="AF99" s="58">
        <f t="shared" si="15"/>
        <v>0</v>
      </c>
      <c r="AG99" s="58">
        <f t="shared" si="16"/>
        <v>0</v>
      </c>
      <c r="AH99" s="58">
        <f t="shared" si="17"/>
        <v>0</v>
      </c>
      <c r="AI99" s="58">
        <f t="shared" si="18"/>
        <v>0</v>
      </c>
      <c r="AJ99" s="58">
        <f t="shared" si="19"/>
        <v>0</v>
      </c>
      <c r="AK99" s="58">
        <f t="shared" si="20"/>
        <v>0</v>
      </c>
      <c r="AL99" s="58">
        <f t="shared" si="21"/>
        <v>0</v>
      </c>
      <c r="AM99" s="58">
        <f t="shared" si="27"/>
        <v>0</v>
      </c>
      <c r="AN99" s="62">
        <f t="shared" si="28"/>
        <v>0</v>
      </c>
      <c r="AO99" s="61">
        <f t="shared" si="22"/>
        <v>0</v>
      </c>
      <c r="AP99" s="61">
        <f t="shared" si="23"/>
        <v>0</v>
      </c>
    </row>
    <row r="100" spans="3:42" s="17" customFormat="1" x14ac:dyDescent="0.25">
      <c r="C100" s="216" t="s">
        <v>229</v>
      </c>
      <c r="D100" s="217"/>
      <c r="E100" s="90"/>
      <c r="F100" s="198"/>
      <c r="G100" s="214"/>
      <c r="H100" s="199"/>
      <c r="I100" s="78"/>
      <c r="J100" s="79"/>
      <c r="K100" s="78"/>
      <c r="L100" s="113"/>
      <c r="M100" s="155"/>
      <c r="N100" s="114" t="str">
        <f>IFERROR(MIN(VLOOKUP(ROUNDDOWN(M100,0),'Aide calcul'!$B$2:$C$282,2,FALSE),L100+1),"")</f>
        <v/>
      </c>
      <c r="O100" s="115" t="str">
        <f t="shared" si="24"/>
        <v/>
      </c>
      <c r="P100" s="173"/>
      <c r="Q100" s="173"/>
      <c r="R100" s="173"/>
      <c r="S100" s="173"/>
      <c r="T100" s="173"/>
      <c r="U100" s="173"/>
      <c r="V100" s="173"/>
      <c r="W100" s="78"/>
      <c r="X100" s="78"/>
      <c r="Y100" s="116" t="str">
        <f>IFERROR(ROUND('Informations générales'!$D$66*(AE100/SUM($AE$27:$AE$403))/12,0)*12,"")</f>
        <v/>
      </c>
      <c r="Z100" s="117"/>
      <c r="AA100" s="116" t="str">
        <f t="shared" si="25"/>
        <v/>
      </c>
      <c r="AB100" s="78"/>
      <c r="AC100" s="92"/>
      <c r="AD100" s="78"/>
      <c r="AE100" s="58">
        <f t="shared" si="26"/>
        <v>0</v>
      </c>
      <c r="AF100" s="58">
        <f t="shared" si="15"/>
        <v>0</v>
      </c>
      <c r="AG100" s="58">
        <f t="shared" si="16"/>
        <v>0</v>
      </c>
      <c r="AH100" s="58">
        <f t="shared" si="17"/>
        <v>0</v>
      </c>
      <c r="AI100" s="58">
        <f t="shared" si="18"/>
        <v>0</v>
      </c>
      <c r="AJ100" s="58">
        <f t="shared" si="19"/>
        <v>0</v>
      </c>
      <c r="AK100" s="58">
        <f t="shared" si="20"/>
        <v>0</v>
      </c>
      <c r="AL100" s="58">
        <f t="shared" si="21"/>
        <v>0</v>
      </c>
      <c r="AM100" s="58">
        <f t="shared" si="27"/>
        <v>0</v>
      </c>
      <c r="AN100" s="62">
        <f t="shared" si="28"/>
        <v>0</v>
      </c>
      <c r="AO100" s="61">
        <f t="shared" si="22"/>
        <v>0</v>
      </c>
      <c r="AP100" s="61">
        <f t="shared" si="23"/>
        <v>0</v>
      </c>
    </row>
    <row r="101" spans="3:42" s="17" customFormat="1" x14ac:dyDescent="0.25">
      <c r="C101" s="216" t="s">
        <v>229</v>
      </c>
      <c r="D101" s="217"/>
      <c r="E101" s="90"/>
      <c r="F101" s="198"/>
      <c r="G101" s="214"/>
      <c r="H101" s="199"/>
      <c r="I101" s="78"/>
      <c r="J101" s="79"/>
      <c r="K101" s="78"/>
      <c r="L101" s="113"/>
      <c r="M101" s="155"/>
      <c r="N101" s="114" t="str">
        <f>IFERROR(MIN(VLOOKUP(ROUNDDOWN(M101,0),'Aide calcul'!$B$2:$C$282,2,FALSE),L101+1),"")</f>
        <v/>
      </c>
      <c r="O101" s="115" t="str">
        <f t="shared" si="24"/>
        <v/>
      </c>
      <c r="P101" s="173"/>
      <c r="Q101" s="173"/>
      <c r="R101" s="173"/>
      <c r="S101" s="173"/>
      <c r="T101" s="173"/>
      <c r="U101" s="173"/>
      <c r="V101" s="173"/>
      <c r="W101" s="78"/>
      <c r="X101" s="78"/>
      <c r="Y101" s="116" t="str">
        <f>IFERROR(ROUND('Informations générales'!$D$66*(AE101/SUM($AE$27:$AE$403))/12,0)*12,"")</f>
        <v/>
      </c>
      <c r="Z101" s="117"/>
      <c r="AA101" s="116" t="str">
        <f t="shared" si="25"/>
        <v/>
      </c>
      <c r="AB101" s="78"/>
      <c r="AC101" s="92"/>
      <c r="AD101" s="78"/>
      <c r="AE101" s="58">
        <f t="shared" si="26"/>
        <v>0</v>
      </c>
      <c r="AF101" s="58">
        <f t="shared" si="15"/>
        <v>0</v>
      </c>
      <c r="AG101" s="58">
        <f t="shared" si="16"/>
        <v>0</v>
      </c>
      <c r="AH101" s="58">
        <f t="shared" si="17"/>
        <v>0</v>
      </c>
      <c r="AI101" s="58">
        <f t="shared" si="18"/>
        <v>0</v>
      </c>
      <c r="AJ101" s="58">
        <f t="shared" si="19"/>
        <v>0</v>
      </c>
      <c r="AK101" s="58">
        <f t="shared" si="20"/>
        <v>0</v>
      </c>
      <c r="AL101" s="58">
        <f t="shared" si="21"/>
        <v>0</v>
      </c>
      <c r="AM101" s="58">
        <f t="shared" si="27"/>
        <v>0</v>
      </c>
      <c r="AN101" s="62">
        <f t="shared" si="28"/>
        <v>0</v>
      </c>
      <c r="AO101" s="61">
        <f t="shared" si="22"/>
        <v>0</v>
      </c>
      <c r="AP101" s="61">
        <f t="shared" si="23"/>
        <v>0</v>
      </c>
    </row>
    <row r="102" spans="3:42" s="17" customFormat="1" x14ac:dyDescent="0.25">
      <c r="C102" s="216" t="s">
        <v>229</v>
      </c>
      <c r="D102" s="217"/>
      <c r="E102" s="90"/>
      <c r="F102" s="198"/>
      <c r="G102" s="214"/>
      <c r="H102" s="199"/>
      <c r="I102" s="78"/>
      <c r="J102" s="79"/>
      <c r="K102" s="78"/>
      <c r="L102" s="113"/>
      <c r="M102" s="155"/>
      <c r="N102" s="114" t="str">
        <f>IFERROR(MIN(VLOOKUP(ROUNDDOWN(M102,0),'Aide calcul'!$B$2:$C$282,2,FALSE),L102+1),"")</f>
        <v/>
      </c>
      <c r="O102" s="115" t="str">
        <f t="shared" si="24"/>
        <v/>
      </c>
      <c r="P102" s="173"/>
      <c r="Q102" s="173"/>
      <c r="R102" s="173"/>
      <c r="S102" s="173"/>
      <c r="T102" s="173"/>
      <c r="U102" s="173"/>
      <c r="V102" s="173"/>
      <c r="W102" s="78"/>
      <c r="X102" s="78"/>
      <c r="Y102" s="116" t="str">
        <f>IFERROR(ROUND('Informations générales'!$D$66*(AE102/SUM($AE$27:$AE$403))/12,0)*12,"")</f>
        <v/>
      </c>
      <c r="Z102" s="117"/>
      <c r="AA102" s="116" t="str">
        <f t="shared" si="25"/>
        <v/>
      </c>
      <c r="AB102" s="78"/>
      <c r="AC102" s="92"/>
      <c r="AD102" s="78"/>
      <c r="AE102" s="58">
        <f t="shared" si="26"/>
        <v>0</v>
      </c>
      <c r="AF102" s="58">
        <f t="shared" si="15"/>
        <v>0</v>
      </c>
      <c r="AG102" s="58">
        <f t="shared" si="16"/>
        <v>0</v>
      </c>
      <c r="AH102" s="58">
        <f t="shared" si="17"/>
        <v>0</v>
      </c>
      <c r="AI102" s="58">
        <f t="shared" si="18"/>
        <v>0</v>
      </c>
      <c r="AJ102" s="58">
        <f t="shared" si="19"/>
        <v>0</v>
      </c>
      <c r="AK102" s="58">
        <f t="shared" si="20"/>
        <v>0</v>
      </c>
      <c r="AL102" s="58">
        <f t="shared" si="21"/>
        <v>0</v>
      </c>
      <c r="AM102" s="58">
        <f t="shared" si="27"/>
        <v>0</v>
      </c>
      <c r="AN102" s="62">
        <f t="shared" si="28"/>
        <v>0</v>
      </c>
      <c r="AO102" s="61">
        <f t="shared" si="22"/>
        <v>0</v>
      </c>
      <c r="AP102" s="61">
        <f t="shared" si="23"/>
        <v>0</v>
      </c>
    </row>
    <row r="103" spans="3:42" s="17" customFormat="1" x14ac:dyDescent="0.25">
      <c r="C103" s="216" t="s">
        <v>229</v>
      </c>
      <c r="D103" s="217"/>
      <c r="E103" s="90"/>
      <c r="F103" s="198"/>
      <c r="G103" s="214"/>
      <c r="H103" s="199"/>
      <c r="I103" s="78"/>
      <c r="J103" s="79"/>
      <c r="K103" s="78"/>
      <c r="L103" s="113"/>
      <c r="M103" s="155"/>
      <c r="N103" s="114" t="str">
        <f>IFERROR(MIN(VLOOKUP(ROUNDDOWN(M103,0),'Aide calcul'!$B$2:$C$282,2,FALSE),L103+1),"")</f>
        <v/>
      </c>
      <c r="O103" s="115" t="str">
        <f t="shared" si="24"/>
        <v/>
      </c>
      <c r="P103" s="173"/>
      <c r="Q103" s="173"/>
      <c r="R103" s="173"/>
      <c r="S103" s="173"/>
      <c r="T103" s="173"/>
      <c r="U103" s="173"/>
      <c r="V103" s="173"/>
      <c r="W103" s="78"/>
      <c r="X103" s="78"/>
      <c r="Y103" s="116" t="str">
        <f>IFERROR(ROUND('Informations générales'!$D$66*(AE103/SUM($AE$27:$AE$403))/12,0)*12,"")</f>
        <v/>
      </c>
      <c r="Z103" s="117"/>
      <c r="AA103" s="116" t="str">
        <f t="shared" si="25"/>
        <v/>
      </c>
      <c r="AB103" s="78"/>
      <c r="AC103" s="92"/>
      <c r="AD103" s="78"/>
      <c r="AE103" s="58">
        <f t="shared" si="26"/>
        <v>0</v>
      </c>
      <c r="AF103" s="58">
        <f t="shared" si="15"/>
        <v>0</v>
      </c>
      <c r="AG103" s="58">
        <f t="shared" si="16"/>
        <v>0</v>
      </c>
      <c r="AH103" s="58">
        <f t="shared" si="17"/>
        <v>0</v>
      </c>
      <c r="AI103" s="58">
        <f t="shared" si="18"/>
        <v>0</v>
      </c>
      <c r="AJ103" s="58">
        <f t="shared" si="19"/>
        <v>0</v>
      </c>
      <c r="AK103" s="58">
        <f t="shared" si="20"/>
        <v>0</v>
      </c>
      <c r="AL103" s="58">
        <f t="shared" si="21"/>
        <v>0</v>
      </c>
      <c r="AM103" s="58">
        <f t="shared" si="27"/>
        <v>0</v>
      </c>
      <c r="AN103" s="62">
        <f t="shared" si="28"/>
        <v>0</v>
      </c>
      <c r="AO103" s="61">
        <f t="shared" si="22"/>
        <v>0</v>
      </c>
      <c r="AP103" s="61">
        <f t="shared" si="23"/>
        <v>0</v>
      </c>
    </row>
    <row r="104" spans="3:42" s="17" customFormat="1" x14ac:dyDescent="0.25">
      <c r="C104" s="216" t="s">
        <v>229</v>
      </c>
      <c r="D104" s="217"/>
      <c r="E104" s="90"/>
      <c r="F104" s="198"/>
      <c r="G104" s="214"/>
      <c r="H104" s="199"/>
      <c r="I104" s="78"/>
      <c r="J104" s="79"/>
      <c r="K104" s="78"/>
      <c r="L104" s="113"/>
      <c r="M104" s="155"/>
      <c r="N104" s="114" t="str">
        <f>IFERROR(MIN(VLOOKUP(ROUNDDOWN(M104,0),'Aide calcul'!$B$2:$C$282,2,FALSE),L104+1),"")</f>
        <v/>
      </c>
      <c r="O104" s="115" t="str">
        <f t="shared" si="24"/>
        <v/>
      </c>
      <c r="P104" s="173"/>
      <c r="Q104" s="173"/>
      <c r="R104" s="173"/>
      <c r="S104" s="173"/>
      <c r="T104" s="173"/>
      <c r="U104" s="173"/>
      <c r="V104" s="173"/>
      <c r="W104" s="78"/>
      <c r="X104" s="78"/>
      <c r="Y104" s="116" t="str">
        <f>IFERROR(ROUND('Informations générales'!$D$66*(AE104/SUM($AE$27:$AE$403))/12,0)*12,"")</f>
        <v/>
      </c>
      <c r="Z104" s="117"/>
      <c r="AA104" s="116" t="str">
        <f t="shared" si="25"/>
        <v/>
      </c>
      <c r="AB104" s="78"/>
      <c r="AC104" s="92"/>
      <c r="AD104" s="78"/>
      <c r="AE104" s="58">
        <f t="shared" si="26"/>
        <v>0</v>
      </c>
      <c r="AF104" s="58">
        <f t="shared" si="15"/>
        <v>0</v>
      </c>
      <c r="AG104" s="58">
        <f t="shared" si="16"/>
        <v>0</v>
      </c>
      <c r="AH104" s="58">
        <f t="shared" si="17"/>
        <v>0</v>
      </c>
      <c r="AI104" s="58">
        <f t="shared" si="18"/>
        <v>0</v>
      </c>
      <c r="AJ104" s="58">
        <f t="shared" si="19"/>
        <v>0</v>
      </c>
      <c r="AK104" s="58">
        <f t="shared" si="20"/>
        <v>0</v>
      </c>
      <c r="AL104" s="58">
        <f t="shared" si="21"/>
        <v>0</v>
      </c>
      <c r="AM104" s="58">
        <f t="shared" si="27"/>
        <v>0</v>
      </c>
      <c r="AN104" s="62">
        <f t="shared" si="28"/>
        <v>0</v>
      </c>
      <c r="AO104" s="61">
        <f t="shared" si="22"/>
        <v>0</v>
      </c>
      <c r="AP104" s="61">
        <f t="shared" si="23"/>
        <v>0</v>
      </c>
    </row>
    <row r="105" spans="3:42" s="17" customFormat="1" x14ac:dyDescent="0.25">
      <c r="C105" s="216" t="s">
        <v>229</v>
      </c>
      <c r="D105" s="217"/>
      <c r="E105" s="90"/>
      <c r="F105" s="198"/>
      <c r="G105" s="214"/>
      <c r="H105" s="199"/>
      <c r="I105" s="78"/>
      <c r="J105" s="79"/>
      <c r="K105" s="78"/>
      <c r="L105" s="113"/>
      <c r="M105" s="155"/>
      <c r="N105" s="114" t="str">
        <f>IFERROR(MIN(VLOOKUP(ROUNDDOWN(M105,0),'Aide calcul'!$B$2:$C$282,2,FALSE),L105+1),"")</f>
        <v/>
      </c>
      <c r="O105" s="115" t="str">
        <f t="shared" si="24"/>
        <v/>
      </c>
      <c r="P105" s="173"/>
      <c r="Q105" s="173"/>
      <c r="R105" s="173"/>
      <c r="S105" s="173"/>
      <c r="T105" s="173"/>
      <c r="U105" s="173"/>
      <c r="V105" s="173"/>
      <c r="W105" s="78"/>
      <c r="X105" s="78"/>
      <c r="Y105" s="116" t="str">
        <f>IFERROR(ROUND('Informations générales'!$D$66*(AE105/SUM($AE$27:$AE$403))/12,0)*12,"")</f>
        <v/>
      </c>
      <c r="Z105" s="117"/>
      <c r="AA105" s="116" t="str">
        <f t="shared" si="25"/>
        <v/>
      </c>
      <c r="AB105" s="78"/>
      <c r="AC105" s="92"/>
      <c r="AD105" s="78"/>
      <c r="AE105" s="58">
        <f t="shared" si="26"/>
        <v>0</v>
      </c>
      <c r="AF105" s="58">
        <f t="shared" si="15"/>
        <v>0</v>
      </c>
      <c r="AG105" s="58">
        <f t="shared" si="16"/>
        <v>0</v>
      </c>
      <c r="AH105" s="58">
        <f t="shared" si="17"/>
        <v>0</v>
      </c>
      <c r="AI105" s="58">
        <f t="shared" si="18"/>
        <v>0</v>
      </c>
      <c r="AJ105" s="58">
        <f t="shared" si="19"/>
        <v>0</v>
      </c>
      <c r="AK105" s="58">
        <f t="shared" si="20"/>
        <v>0</v>
      </c>
      <c r="AL105" s="58">
        <f t="shared" si="21"/>
        <v>0</v>
      </c>
      <c r="AM105" s="58">
        <f t="shared" si="27"/>
        <v>0</v>
      </c>
      <c r="AN105" s="62">
        <f t="shared" si="28"/>
        <v>0</v>
      </c>
      <c r="AO105" s="61">
        <f t="shared" si="22"/>
        <v>0</v>
      </c>
      <c r="AP105" s="61">
        <f t="shared" si="23"/>
        <v>0</v>
      </c>
    </row>
    <row r="106" spans="3:42" s="17" customFormat="1" x14ac:dyDescent="0.25">
      <c r="C106" s="216" t="s">
        <v>229</v>
      </c>
      <c r="D106" s="217"/>
      <c r="E106" s="90"/>
      <c r="F106" s="198"/>
      <c r="G106" s="214"/>
      <c r="H106" s="199"/>
      <c r="I106" s="78"/>
      <c r="J106" s="79"/>
      <c r="K106" s="78"/>
      <c r="L106" s="113"/>
      <c r="M106" s="155"/>
      <c r="N106" s="114" t="str">
        <f>IFERROR(MIN(VLOOKUP(ROUNDDOWN(M106,0),'Aide calcul'!$B$2:$C$282,2,FALSE),L106+1),"")</f>
        <v/>
      </c>
      <c r="O106" s="115" t="str">
        <f t="shared" si="24"/>
        <v/>
      </c>
      <c r="P106" s="173"/>
      <c r="Q106" s="173"/>
      <c r="R106" s="173"/>
      <c r="S106" s="173"/>
      <c r="T106" s="173"/>
      <c r="U106" s="173"/>
      <c r="V106" s="173"/>
      <c r="W106" s="78"/>
      <c r="X106" s="78"/>
      <c r="Y106" s="116" t="str">
        <f>IFERROR(ROUND('Informations générales'!$D$66*(AE106/SUM($AE$27:$AE$403))/12,0)*12,"")</f>
        <v/>
      </c>
      <c r="Z106" s="117"/>
      <c r="AA106" s="116" t="str">
        <f t="shared" si="25"/>
        <v/>
      </c>
      <c r="AB106" s="78"/>
      <c r="AC106" s="92"/>
      <c r="AD106" s="78"/>
      <c r="AE106" s="58">
        <f t="shared" si="26"/>
        <v>0</v>
      </c>
      <c r="AF106" s="58">
        <f t="shared" si="15"/>
        <v>0</v>
      </c>
      <c r="AG106" s="58">
        <f t="shared" si="16"/>
        <v>0</v>
      </c>
      <c r="AH106" s="58">
        <f t="shared" si="17"/>
        <v>0</v>
      </c>
      <c r="AI106" s="58">
        <f t="shared" si="18"/>
        <v>0</v>
      </c>
      <c r="AJ106" s="58">
        <f t="shared" si="19"/>
        <v>0</v>
      </c>
      <c r="AK106" s="58">
        <f t="shared" si="20"/>
        <v>0</v>
      </c>
      <c r="AL106" s="58">
        <f t="shared" si="21"/>
        <v>0</v>
      </c>
      <c r="AM106" s="58">
        <f t="shared" si="27"/>
        <v>0</v>
      </c>
      <c r="AN106" s="62">
        <f t="shared" si="28"/>
        <v>0</v>
      </c>
      <c r="AO106" s="61">
        <f t="shared" si="22"/>
        <v>0</v>
      </c>
      <c r="AP106" s="61">
        <f t="shared" si="23"/>
        <v>0</v>
      </c>
    </row>
    <row r="107" spans="3:42" s="17" customFormat="1" x14ac:dyDescent="0.25">
      <c r="C107" s="216" t="s">
        <v>229</v>
      </c>
      <c r="D107" s="217"/>
      <c r="E107" s="90"/>
      <c r="F107" s="198"/>
      <c r="G107" s="214"/>
      <c r="H107" s="199"/>
      <c r="I107" s="78"/>
      <c r="J107" s="79"/>
      <c r="K107" s="78"/>
      <c r="L107" s="113"/>
      <c r="M107" s="155"/>
      <c r="N107" s="114" t="str">
        <f>IFERROR(MIN(VLOOKUP(ROUNDDOWN(M107,0),'Aide calcul'!$B$2:$C$282,2,FALSE),L107+1),"")</f>
        <v/>
      </c>
      <c r="O107" s="115" t="str">
        <f t="shared" si="24"/>
        <v/>
      </c>
      <c r="P107" s="173"/>
      <c r="Q107" s="173"/>
      <c r="R107" s="173"/>
      <c r="S107" s="173"/>
      <c r="T107" s="173"/>
      <c r="U107" s="173"/>
      <c r="V107" s="173"/>
      <c r="W107" s="78"/>
      <c r="X107" s="78"/>
      <c r="Y107" s="116" t="str">
        <f>IFERROR(ROUND('Informations générales'!$D$66*(AE107/SUM($AE$27:$AE$403))/12,0)*12,"")</f>
        <v/>
      </c>
      <c r="Z107" s="117"/>
      <c r="AA107" s="116" t="str">
        <f t="shared" si="25"/>
        <v/>
      </c>
      <c r="AB107" s="78"/>
      <c r="AC107" s="92"/>
      <c r="AD107" s="78"/>
      <c r="AE107" s="58">
        <f t="shared" si="26"/>
        <v>0</v>
      </c>
      <c r="AF107" s="58">
        <f t="shared" si="15"/>
        <v>0</v>
      </c>
      <c r="AG107" s="58">
        <f t="shared" si="16"/>
        <v>0</v>
      </c>
      <c r="AH107" s="58">
        <f t="shared" si="17"/>
        <v>0</v>
      </c>
      <c r="AI107" s="58">
        <f t="shared" si="18"/>
        <v>0</v>
      </c>
      <c r="AJ107" s="58">
        <f t="shared" si="19"/>
        <v>0</v>
      </c>
      <c r="AK107" s="58">
        <f t="shared" si="20"/>
        <v>0</v>
      </c>
      <c r="AL107" s="58">
        <f t="shared" si="21"/>
        <v>0</v>
      </c>
      <c r="AM107" s="58">
        <f t="shared" si="27"/>
        <v>0</v>
      </c>
      <c r="AN107" s="62">
        <f t="shared" si="28"/>
        <v>0</v>
      </c>
      <c r="AO107" s="61">
        <f t="shared" si="22"/>
        <v>0</v>
      </c>
      <c r="AP107" s="61">
        <f t="shared" si="23"/>
        <v>0</v>
      </c>
    </row>
    <row r="108" spans="3:42" s="17" customFormat="1" x14ac:dyDescent="0.25">
      <c r="C108" s="216" t="s">
        <v>229</v>
      </c>
      <c r="D108" s="217"/>
      <c r="E108" s="90"/>
      <c r="F108" s="198"/>
      <c r="G108" s="214"/>
      <c r="H108" s="199"/>
      <c r="I108" s="78"/>
      <c r="J108" s="79"/>
      <c r="K108" s="78"/>
      <c r="L108" s="113"/>
      <c r="M108" s="155"/>
      <c r="N108" s="114" t="str">
        <f>IFERROR(MIN(VLOOKUP(ROUNDDOWN(M108,0),'Aide calcul'!$B$2:$C$282,2,FALSE),L108+1),"")</f>
        <v/>
      </c>
      <c r="O108" s="115" t="str">
        <f t="shared" si="24"/>
        <v/>
      </c>
      <c r="P108" s="173"/>
      <c r="Q108" s="173"/>
      <c r="R108" s="173"/>
      <c r="S108" s="173"/>
      <c r="T108" s="173"/>
      <c r="U108" s="173"/>
      <c r="V108" s="173"/>
      <c r="W108" s="78"/>
      <c r="X108" s="78"/>
      <c r="Y108" s="116" t="str">
        <f>IFERROR(ROUND('Informations générales'!$D$66*(AE108/SUM($AE$27:$AE$403))/12,0)*12,"")</f>
        <v/>
      </c>
      <c r="Z108" s="117"/>
      <c r="AA108" s="116" t="str">
        <f t="shared" si="25"/>
        <v/>
      </c>
      <c r="AB108" s="78"/>
      <c r="AC108" s="92"/>
      <c r="AD108" s="78"/>
      <c r="AE108" s="58">
        <f t="shared" si="26"/>
        <v>0</v>
      </c>
      <c r="AF108" s="58">
        <f t="shared" si="15"/>
        <v>0</v>
      </c>
      <c r="AG108" s="58">
        <f t="shared" si="16"/>
        <v>0</v>
      </c>
      <c r="AH108" s="58">
        <f t="shared" si="17"/>
        <v>0</v>
      </c>
      <c r="AI108" s="58">
        <f t="shared" si="18"/>
        <v>0</v>
      </c>
      <c r="AJ108" s="58">
        <f t="shared" si="19"/>
        <v>0</v>
      </c>
      <c r="AK108" s="58">
        <f t="shared" si="20"/>
        <v>0</v>
      </c>
      <c r="AL108" s="58">
        <f t="shared" si="21"/>
        <v>0</v>
      </c>
      <c r="AM108" s="58">
        <f t="shared" si="27"/>
        <v>0</v>
      </c>
      <c r="AN108" s="62">
        <f t="shared" si="28"/>
        <v>0</v>
      </c>
      <c r="AO108" s="61">
        <f t="shared" si="22"/>
        <v>0</v>
      </c>
      <c r="AP108" s="61">
        <f t="shared" si="23"/>
        <v>0</v>
      </c>
    </row>
    <row r="109" spans="3:42" s="17" customFormat="1" x14ac:dyDescent="0.25">
      <c r="C109" s="216" t="s">
        <v>229</v>
      </c>
      <c r="D109" s="217"/>
      <c r="E109" s="90"/>
      <c r="F109" s="198"/>
      <c r="G109" s="214"/>
      <c r="H109" s="199"/>
      <c r="I109" s="78"/>
      <c r="J109" s="79"/>
      <c r="K109" s="78"/>
      <c r="L109" s="113"/>
      <c r="M109" s="155"/>
      <c r="N109" s="114" t="str">
        <f>IFERROR(MIN(VLOOKUP(ROUNDDOWN(M109,0),'Aide calcul'!$B$2:$C$282,2,FALSE),L109+1),"")</f>
        <v/>
      </c>
      <c r="O109" s="115" t="str">
        <f t="shared" si="24"/>
        <v/>
      </c>
      <c r="P109" s="173"/>
      <c r="Q109" s="173"/>
      <c r="R109" s="173"/>
      <c r="S109" s="173"/>
      <c r="T109" s="173"/>
      <c r="U109" s="173"/>
      <c r="V109" s="173"/>
      <c r="W109" s="78"/>
      <c r="X109" s="78"/>
      <c r="Y109" s="116" t="str">
        <f>IFERROR(ROUND('Informations générales'!$D$66*(AE109/SUM($AE$27:$AE$403))/12,0)*12,"")</f>
        <v/>
      </c>
      <c r="Z109" s="117"/>
      <c r="AA109" s="116" t="str">
        <f t="shared" si="25"/>
        <v/>
      </c>
      <c r="AB109" s="78"/>
      <c r="AC109" s="92"/>
      <c r="AD109" s="78"/>
      <c r="AE109" s="58">
        <f t="shared" si="26"/>
        <v>0</v>
      </c>
      <c r="AF109" s="58">
        <f t="shared" si="15"/>
        <v>0</v>
      </c>
      <c r="AG109" s="58">
        <f t="shared" si="16"/>
        <v>0</v>
      </c>
      <c r="AH109" s="58">
        <f t="shared" si="17"/>
        <v>0</v>
      </c>
      <c r="AI109" s="58">
        <f t="shared" si="18"/>
        <v>0</v>
      </c>
      <c r="AJ109" s="58">
        <f t="shared" si="19"/>
        <v>0</v>
      </c>
      <c r="AK109" s="58">
        <f t="shared" si="20"/>
        <v>0</v>
      </c>
      <c r="AL109" s="58">
        <f t="shared" si="21"/>
        <v>0</v>
      </c>
      <c r="AM109" s="58">
        <f t="shared" si="27"/>
        <v>0</v>
      </c>
      <c r="AN109" s="62">
        <f t="shared" si="28"/>
        <v>0</v>
      </c>
      <c r="AO109" s="61">
        <f t="shared" si="22"/>
        <v>0</v>
      </c>
      <c r="AP109" s="61">
        <f t="shared" si="23"/>
        <v>0</v>
      </c>
    </row>
    <row r="110" spans="3:42" s="17" customFormat="1" x14ac:dyDescent="0.25">
      <c r="C110" s="216" t="s">
        <v>229</v>
      </c>
      <c r="D110" s="217"/>
      <c r="E110" s="90"/>
      <c r="F110" s="198"/>
      <c r="G110" s="214"/>
      <c r="H110" s="199"/>
      <c r="I110" s="78"/>
      <c r="J110" s="79"/>
      <c r="K110" s="78"/>
      <c r="L110" s="113"/>
      <c r="M110" s="155"/>
      <c r="N110" s="114" t="str">
        <f>IFERROR(MIN(VLOOKUP(ROUNDDOWN(M110,0),'Aide calcul'!$B$2:$C$282,2,FALSE),L110+1),"")</f>
        <v/>
      </c>
      <c r="O110" s="115" t="str">
        <f t="shared" si="24"/>
        <v/>
      </c>
      <c r="P110" s="173"/>
      <c r="Q110" s="173"/>
      <c r="R110" s="173"/>
      <c r="S110" s="173"/>
      <c r="T110" s="173"/>
      <c r="U110" s="173"/>
      <c r="V110" s="173"/>
      <c r="W110" s="78"/>
      <c r="X110" s="78"/>
      <c r="Y110" s="116" t="str">
        <f>IFERROR(ROUND('Informations générales'!$D$66*(AE110/SUM($AE$27:$AE$403))/12,0)*12,"")</f>
        <v/>
      </c>
      <c r="Z110" s="117"/>
      <c r="AA110" s="116" t="str">
        <f t="shared" si="25"/>
        <v/>
      </c>
      <c r="AB110" s="78"/>
      <c r="AC110" s="92"/>
      <c r="AD110" s="78"/>
      <c r="AE110" s="58">
        <f t="shared" si="26"/>
        <v>0</v>
      </c>
      <c r="AF110" s="58">
        <f t="shared" si="15"/>
        <v>0</v>
      </c>
      <c r="AG110" s="58">
        <f t="shared" si="16"/>
        <v>0</v>
      </c>
      <c r="AH110" s="58">
        <f t="shared" si="17"/>
        <v>0</v>
      </c>
      <c r="AI110" s="58">
        <f t="shared" si="18"/>
        <v>0</v>
      </c>
      <c r="AJ110" s="58">
        <f t="shared" si="19"/>
        <v>0</v>
      </c>
      <c r="AK110" s="58">
        <f t="shared" si="20"/>
        <v>0</v>
      </c>
      <c r="AL110" s="58">
        <f t="shared" si="21"/>
        <v>0</v>
      </c>
      <c r="AM110" s="58">
        <f t="shared" si="27"/>
        <v>0</v>
      </c>
      <c r="AN110" s="62">
        <f t="shared" si="28"/>
        <v>0</v>
      </c>
      <c r="AO110" s="61">
        <f t="shared" si="22"/>
        <v>0</v>
      </c>
      <c r="AP110" s="61">
        <f t="shared" si="23"/>
        <v>0</v>
      </c>
    </row>
    <row r="111" spans="3:42" s="17" customFormat="1" x14ac:dyDescent="0.25">
      <c r="C111" s="216" t="s">
        <v>229</v>
      </c>
      <c r="D111" s="217"/>
      <c r="E111" s="90"/>
      <c r="F111" s="198"/>
      <c r="G111" s="214"/>
      <c r="H111" s="199"/>
      <c r="I111" s="78"/>
      <c r="J111" s="79"/>
      <c r="K111" s="78"/>
      <c r="L111" s="113"/>
      <c r="M111" s="155"/>
      <c r="N111" s="114" t="str">
        <f>IFERROR(MIN(VLOOKUP(ROUNDDOWN(M111,0),'Aide calcul'!$B$2:$C$282,2,FALSE),L111+1),"")</f>
        <v/>
      </c>
      <c r="O111" s="115" t="str">
        <f t="shared" si="24"/>
        <v/>
      </c>
      <c r="P111" s="173"/>
      <c r="Q111" s="173"/>
      <c r="R111" s="173"/>
      <c r="S111" s="173"/>
      <c r="T111" s="173"/>
      <c r="U111" s="173"/>
      <c r="V111" s="173"/>
      <c r="W111" s="78"/>
      <c r="X111" s="78"/>
      <c r="Y111" s="116" t="str">
        <f>IFERROR(ROUND('Informations générales'!$D$66*(AE111/SUM($AE$27:$AE$403))/12,0)*12,"")</f>
        <v/>
      </c>
      <c r="Z111" s="117"/>
      <c r="AA111" s="116" t="str">
        <f t="shared" si="25"/>
        <v/>
      </c>
      <c r="AB111" s="78"/>
      <c r="AC111" s="92"/>
      <c r="AD111" s="78"/>
      <c r="AE111" s="58">
        <f t="shared" si="26"/>
        <v>0</v>
      </c>
      <c r="AF111" s="58">
        <f t="shared" si="15"/>
        <v>0</v>
      </c>
      <c r="AG111" s="58">
        <f t="shared" si="16"/>
        <v>0</v>
      </c>
      <c r="AH111" s="58">
        <f t="shared" si="17"/>
        <v>0</v>
      </c>
      <c r="AI111" s="58">
        <f t="shared" si="18"/>
        <v>0</v>
      </c>
      <c r="AJ111" s="58">
        <f t="shared" si="19"/>
        <v>0</v>
      </c>
      <c r="AK111" s="58">
        <f t="shared" si="20"/>
        <v>0</v>
      </c>
      <c r="AL111" s="58">
        <f t="shared" si="21"/>
        <v>0</v>
      </c>
      <c r="AM111" s="58">
        <f t="shared" si="27"/>
        <v>0</v>
      </c>
      <c r="AN111" s="62">
        <f t="shared" si="28"/>
        <v>0</v>
      </c>
      <c r="AO111" s="61">
        <f t="shared" si="22"/>
        <v>0</v>
      </c>
      <c r="AP111" s="61">
        <f t="shared" si="23"/>
        <v>0</v>
      </c>
    </row>
    <row r="112" spans="3:42" s="17" customFormat="1" x14ac:dyDescent="0.25">
      <c r="C112" s="216" t="s">
        <v>229</v>
      </c>
      <c r="D112" s="217"/>
      <c r="E112" s="90"/>
      <c r="F112" s="198"/>
      <c r="G112" s="214"/>
      <c r="H112" s="199"/>
      <c r="I112" s="78"/>
      <c r="J112" s="79"/>
      <c r="K112" s="78"/>
      <c r="L112" s="113"/>
      <c r="M112" s="155"/>
      <c r="N112" s="114" t="str">
        <f>IFERROR(MIN(VLOOKUP(ROUNDDOWN(M112,0),'Aide calcul'!$B$2:$C$282,2,FALSE),L112+1),"")</f>
        <v/>
      </c>
      <c r="O112" s="115" t="str">
        <f t="shared" si="24"/>
        <v/>
      </c>
      <c r="P112" s="173"/>
      <c r="Q112" s="173"/>
      <c r="R112" s="173"/>
      <c r="S112" s="173"/>
      <c r="T112" s="173"/>
      <c r="U112" s="173"/>
      <c r="V112" s="173"/>
      <c r="W112" s="78"/>
      <c r="X112" s="78"/>
      <c r="Y112" s="116" t="str">
        <f>IFERROR(ROUND('Informations générales'!$D$66*(AE112/SUM($AE$27:$AE$403))/12,0)*12,"")</f>
        <v/>
      </c>
      <c r="Z112" s="117"/>
      <c r="AA112" s="116" t="str">
        <f t="shared" si="25"/>
        <v/>
      </c>
      <c r="AB112" s="78"/>
      <c r="AC112" s="92"/>
      <c r="AD112" s="78"/>
      <c r="AE112" s="58">
        <f t="shared" si="26"/>
        <v>0</v>
      </c>
      <c r="AF112" s="58">
        <f t="shared" si="15"/>
        <v>0</v>
      </c>
      <c r="AG112" s="58">
        <f t="shared" si="16"/>
        <v>0</v>
      </c>
      <c r="AH112" s="58">
        <f t="shared" si="17"/>
        <v>0</v>
      </c>
      <c r="AI112" s="58">
        <f t="shared" si="18"/>
        <v>0</v>
      </c>
      <c r="AJ112" s="58">
        <f t="shared" si="19"/>
        <v>0</v>
      </c>
      <c r="AK112" s="58">
        <f t="shared" si="20"/>
        <v>0</v>
      </c>
      <c r="AL112" s="58">
        <f t="shared" si="21"/>
        <v>0</v>
      </c>
      <c r="AM112" s="58">
        <f t="shared" si="27"/>
        <v>0</v>
      </c>
      <c r="AN112" s="62">
        <f t="shared" si="28"/>
        <v>0</v>
      </c>
      <c r="AO112" s="61">
        <f t="shared" si="22"/>
        <v>0</v>
      </c>
      <c r="AP112" s="61">
        <f t="shared" si="23"/>
        <v>0</v>
      </c>
    </row>
    <row r="113" spans="3:42" s="17" customFormat="1" x14ac:dyDescent="0.25">
      <c r="C113" s="216" t="s">
        <v>229</v>
      </c>
      <c r="D113" s="217"/>
      <c r="E113" s="90"/>
      <c r="F113" s="198"/>
      <c r="G113" s="214"/>
      <c r="H113" s="199"/>
      <c r="I113" s="78"/>
      <c r="J113" s="79"/>
      <c r="K113" s="78"/>
      <c r="L113" s="113"/>
      <c r="M113" s="155"/>
      <c r="N113" s="114" t="str">
        <f>IFERROR(MIN(VLOOKUP(ROUNDDOWN(M113,0),'Aide calcul'!$B$2:$C$282,2,FALSE),L113+1),"")</f>
        <v/>
      </c>
      <c r="O113" s="115" t="str">
        <f t="shared" si="24"/>
        <v/>
      </c>
      <c r="P113" s="173"/>
      <c r="Q113" s="173"/>
      <c r="R113" s="173"/>
      <c r="S113" s="173"/>
      <c r="T113" s="173"/>
      <c r="U113" s="173"/>
      <c r="V113" s="173"/>
      <c r="W113" s="78"/>
      <c r="X113" s="78"/>
      <c r="Y113" s="116" t="str">
        <f>IFERROR(ROUND('Informations générales'!$D$66*(AE113/SUM($AE$27:$AE$403))/12,0)*12,"")</f>
        <v/>
      </c>
      <c r="Z113" s="117"/>
      <c r="AA113" s="116" t="str">
        <f t="shared" si="25"/>
        <v/>
      </c>
      <c r="AB113" s="78"/>
      <c r="AC113" s="92"/>
      <c r="AD113" s="78"/>
      <c r="AE113" s="58">
        <f t="shared" si="26"/>
        <v>0</v>
      </c>
      <c r="AF113" s="58">
        <f t="shared" si="15"/>
        <v>0</v>
      </c>
      <c r="AG113" s="58">
        <f t="shared" si="16"/>
        <v>0</v>
      </c>
      <c r="AH113" s="58">
        <f t="shared" si="17"/>
        <v>0</v>
      </c>
      <c r="AI113" s="58">
        <f t="shared" si="18"/>
        <v>0</v>
      </c>
      <c r="AJ113" s="58">
        <f t="shared" si="19"/>
        <v>0</v>
      </c>
      <c r="AK113" s="58">
        <f t="shared" si="20"/>
        <v>0</v>
      </c>
      <c r="AL113" s="58">
        <f t="shared" si="21"/>
        <v>0</v>
      </c>
      <c r="AM113" s="58">
        <f t="shared" si="27"/>
        <v>0</v>
      </c>
      <c r="AN113" s="62">
        <f t="shared" si="28"/>
        <v>0</v>
      </c>
      <c r="AO113" s="61">
        <f t="shared" si="22"/>
        <v>0</v>
      </c>
      <c r="AP113" s="61">
        <f t="shared" si="23"/>
        <v>0</v>
      </c>
    </row>
    <row r="114" spans="3:42" s="17" customFormat="1" x14ac:dyDescent="0.25">
      <c r="C114" s="216" t="s">
        <v>229</v>
      </c>
      <c r="D114" s="217"/>
      <c r="E114" s="90"/>
      <c r="F114" s="198"/>
      <c r="G114" s="214"/>
      <c r="H114" s="199"/>
      <c r="I114" s="78"/>
      <c r="J114" s="79"/>
      <c r="K114" s="78"/>
      <c r="L114" s="113"/>
      <c r="M114" s="155"/>
      <c r="N114" s="114" t="str">
        <f>IFERROR(MIN(VLOOKUP(ROUNDDOWN(M114,0),'Aide calcul'!$B$2:$C$282,2,FALSE),L114+1),"")</f>
        <v/>
      </c>
      <c r="O114" s="115" t="str">
        <f t="shared" si="24"/>
        <v/>
      </c>
      <c r="P114" s="173"/>
      <c r="Q114" s="173"/>
      <c r="R114" s="173"/>
      <c r="S114" s="173"/>
      <c r="T114" s="173"/>
      <c r="U114" s="173"/>
      <c r="V114" s="173"/>
      <c r="W114" s="78"/>
      <c r="X114" s="78"/>
      <c r="Y114" s="116" t="str">
        <f>IFERROR(ROUND('Informations générales'!$D$66*(AE114/SUM($AE$27:$AE$403))/12,0)*12,"")</f>
        <v/>
      </c>
      <c r="Z114" s="117"/>
      <c r="AA114" s="116" t="str">
        <f t="shared" si="25"/>
        <v/>
      </c>
      <c r="AB114" s="78"/>
      <c r="AC114" s="92"/>
      <c r="AD114" s="78"/>
      <c r="AE114" s="58">
        <f t="shared" si="26"/>
        <v>0</v>
      </c>
      <c r="AF114" s="58">
        <f t="shared" si="15"/>
        <v>0</v>
      </c>
      <c r="AG114" s="58">
        <f t="shared" si="16"/>
        <v>0</v>
      </c>
      <c r="AH114" s="58">
        <f t="shared" si="17"/>
        <v>0</v>
      </c>
      <c r="AI114" s="58">
        <f t="shared" si="18"/>
        <v>0</v>
      </c>
      <c r="AJ114" s="58">
        <f t="shared" si="19"/>
        <v>0</v>
      </c>
      <c r="AK114" s="58">
        <f t="shared" si="20"/>
        <v>0</v>
      </c>
      <c r="AL114" s="58">
        <f t="shared" si="21"/>
        <v>0</v>
      </c>
      <c r="AM114" s="58">
        <f t="shared" si="27"/>
        <v>0</v>
      </c>
      <c r="AN114" s="62">
        <f t="shared" si="28"/>
        <v>0</v>
      </c>
      <c r="AO114" s="61">
        <f t="shared" si="22"/>
        <v>0</v>
      </c>
      <c r="AP114" s="61">
        <f t="shared" si="23"/>
        <v>0</v>
      </c>
    </row>
    <row r="115" spans="3:42" s="17" customFormat="1" x14ac:dyDescent="0.25">
      <c r="C115" s="216" t="s">
        <v>229</v>
      </c>
      <c r="D115" s="217"/>
      <c r="E115" s="90"/>
      <c r="F115" s="198"/>
      <c r="G115" s="214"/>
      <c r="H115" s="199"/>
      <c r="I115" s="78"/>
      <c r="J115" s="79"/>
      <c r="K115" s="78"/>
      <c r="L115" s="113"/>
      <c r="M115" s="155"/>
      <c r="N115" s="114" t="str">
        <f>IFERROR(MIN(VLOOKUP(ROUNDDOWN(M115,0),'Aide calcul'!$B$2:$C$282,2,FALSE),L115+1),"")</f>
        <v/>
      </c>
      <c r="O115" s="115" t="str">
        <f t="shared" si="24"/>
        <v/>
      </c>
      <c r="P115" s="173"/>
      <c r="Q115" s="173"/>
      <c r="R115" s="173"/>
      <c r="S115" s="173"/>
      <c r="T115" s="173"/>
      <c r="U115" s="173"/>
      <c r="V115" s="173"/>
      <c r="W115" s="78"/>
      <c r="X115" s="78"/>
      <c r="Y115" s="116" t="str">
        <f>IFERROR(ROUND('Informations générales'!$D$66*(AE115/SUM($AE$27:$AE$403))/12,0)*12,"")</f>
        <v/>
      </c>
      <c r="Z115" s="117"/>
      <c r="AA115" s="116" t="str">
        <f t="shared" si="25"/>
        <v/>
      </c>
      <c r="AB115" s="78"/>
      <c r="AC115" s="92"/>
      <c r="AD115" s="78"/>
      <c r="AE115" s="58">
        <f t="shared" si="26"/>
        <v>0</v>
      </c>
      <c r="AF115" s="58">
        <f t="shared" si="15"/>
        <v>0</v>
      </c>
      <c r="AG115" s="58">
        <f t="shared" si="16"/>
        <v>0</v>
      </c>
      <c r="AH115" s="58">
        <f t="shared" si="17"/>
        <v>0</v>
      </c>
      <c r="AI115" s="58">
        <f t="shared" si="18"/>
        <v>0</v>
      </c>
      <c r="AJ115" s="58">
        <f t="shared" si="19"/>
        <v>0</v>
      </c>
      <c r="AK115" s="58">
        <f t="shared" si="20"/>
        <v>0</v>
      </c>
      <c r="AL115" s="58">
        <f t="shared" si="21"/>
        <v>0</v>
      </c>
      <c r="AM115" s="58">
        <f t="shared" si="27"/>
        <v>0</v>
      </c>
      <c r="AN115" s="62">
        <f t="shared" si="28"/>
        <v>0</v>
      </c>
      <c r="AO115" s="61">
        <f t="shared" si="22"/>
        <v>0</v>
      </c>
      <c r="AP115" s="61">
        <f t="shared" si="23"/>
        <v>0</v>
      </c>
    </row>
    <row r="116" spans="3:42" s="17" customFormat="1" x14ac:dyDescent="0.25">
      <c r="C116" s="216" t="s">
        <v>229</v>
      </c>
      <c r="D116" s="217"/>
      <c r="E116" s="90"/>
      <c r="F116" s="198"/>
      <c r="G116" s="214"/>
      <c r="H116" s="199"/>
      <c r="I116" s="78"/>
      <c r="J116" s="79"/>
      <c r="K116" s="78"/>
      <c r="L116" s="113"/>
      <c r="M116" s="155"/>
      <c r="N116" s="114" t="str">
        <f>IFERROR(MIN(VLOOKUP(ROUNDDOWN(M116,0),'Aide calcul'!$B$2:$C$282,2,FALSE),L116+1),"")</f>
        <v/>
      </c>
      <c r="O116" s="115" t="str">
        <f t="shared" si="24"/>
        <v/>
      </c>
      <c r="P116" s="173"/>
      <c r="Q116" s="173"/>
      <c r="R116" s="173"/>
      <c r="S116" s="173"/>
      <c r="T116" s="173"/>
      <c r="U116" s="173"/>
      <c r="V116" s="173"/>
      <c r="W116" s="78"/>
      <c r="X116" s="78"/>
      <c r="Y116" s="116" t="str">
        <f>IFERROR(ROUND('Informations générales'!$D$66*(AE116/SUM($AE$27:$AE$403))/12,0)*12,"")</f>
        <v/>
      </c>
      <c r="Z116" s="117"/>
      <c r="AA116" s="116" t="str">
        <f t="shared" si="25"/>
        <v/>
      </c>
      <c r="AB116" s="78"/>
      <c r="AC116" s="92"/>
      <c r="AD116" s="78"/>
      <c r="AE116" s="58">
        <f t="shared" si="26"/>
        <v>0</v>
      </c>
      <c r="AF116" s="58">
        <f t="shared" si="15"/>
        <v>0</v>
      </c>
      <c r="AG116" s="58">
        <f t="shared" si="16"/>
        <v>0</v>
      </c>
      <c r="AH116" s="58">
        <f t="shared" si="17"/>
        <v>0</v>
      </c>
      <c r="AI116" s="58">
        <f t="shared" si="18"/>
        <v>0</v>
      </c>
      <c r="AJ116" s="58">
        <f t="shared" si="19"/>
        <v>0</v>
      </c>
      <c r="AK116" s="58">
        <f t="shared" si="20"/>
        <v>0</v>
      </c>
      <c r="AL116" s="58">
        <f t="shared" si="21"/>
        <v>0</v>
      </c>
      <c r="AM116" s="58">
        <f t="shared" si="27"/>
        <v>0</v>
      </c>
      <c r="AN116" s="62">
        <f t="shared" si="28"/>
        <v>0</v>
      </c>
      <c r="AO116" s="61">
        <f t="shared" si="22"/>
        <v>0</v>
      </c>
      <c r="AP116" s="61">
        <f t="shared" si="23"/>
        <v>0</v>
      </c>
    </row>
    <row r="117" spans="3:42" s="17" customFormat="1" x14ac:dyDescent="0.25">
      <c r="C117" s="216" t="s">
        <v>229</v>
      </c>
      <c r="D117" s="217"/>
      <c r="E117" s="90"/>
      <c r="F117" s="198"/>
      <c r="G117" s="214"/>
      <c r="H117" s="199"/>
      <c r="I117" s="78"/>
      <c r="J117" s="79"/>
      <c r="K117" s="78"/>
      <c r="L117" s="113"/>
      <c r="M117" s="155"/>
      <c r="N117" s="114" t="str">
        <f>IFERROR(MIN(VLOOKUP(ROUNDDOWN(M117,0),'Aide calcul'!$B$2:$C$282,2,FALSE),L117+1),"")</f>
        <v/>
      </c>
      <c r="O117" s="115" t="str">
        <f t="shared" si="24"/>
        <v/>
      </c>
      <c r="P117" s="173"/>
      <c r="Q117" s="173"/>
      <c r="R117" s="173"/>
      <c r="S117" s="173"/>
      <c r="T117" s="173"/>
      <c r="U117" s="173"/>
      <c r="V117" s="173"/>
      <c r="W117" s="78"/>
      <c r="X117" s="78"/>
      <c r="Y117" s="116" t="str">
        <f>IFERROR(ROUND('Informations générales'!$D$66*(AE117/SUM($AE$27:$AE$403))/12,0)*12,"")</f>
        <v/>
      </c>
      <c r="Z117" s="117"/>
      <c r="AA117" s="116" t="str">
        <f t="shared" si="25"/>
        <v/>
      </c>
      <c r="AB117" s="78"/>
      <c r="AC117" s="92"/>
      <c r="AD117" s="78"/>
      <c r="AE117" s="58">
        <f t="shared" si="26"/>
        <v>0</v>
      </c>
      <c r="AF117" s="58">
        <f t="shared" si="15"/>
        <v>0</v>
      </c>
      <c r="AG117" s="58">
        <f t="shared" si="16"/>
        <v>0</v>
      </c>
      <c r="AH117" s="58">
        <f t="shared" si="17"/>
        <v>0</v>
      </c>
      <c r="AI117" s="58">
        <f t="shared" si="18"/>
        <v>0</v>
      </c>
      <c r="AJ117" s="58">
        <f t="shared" si="19"/>
        <v>0</v>
      </c>
      <c r="AK117" s="58">
        <f t="shared" si="20"/>
        <v>0</v>
      </c>
      <c r="AL117" s="58">
        <f t="shared" si="21"/>
        <v>0</v>
      </c>
      <c r="AM117" s="58">
        <f t="shared" si="27"/>
        <v>0</v>
      </c>
      <c r="AN117" s="62">
        <f t="shared" si="28"/>
        <v>0</v>
      </c>
      <c r="AO117" s="61">
        <f t="shared" si="22"/>
        <v>0</v>
      </c>
      <c r="AP117" s="61">
        <f t="shared" si="23"/>
        <v>0</v>
      </c>
    </row>
    <row r="118" spans="3:42" s="17" customFormat="1" x14ac:dyDescent="0.25">
      <c r="C118" s="216" t="s">
        <v>229</v>
      </c>
      <c r="D118" s="217"/>
      <c r="E118" s="90"/>
      <c r="F118" s="198"/>
      <c r="G118" s="214"/>
      <c r="H118" s="199"/>
      <c r="I118" s="78"/>
      <c r="J118" s="79"/>
      <c r="K118" s="78"/>
      <c r="L118" s="113"/>
      <c r="M118" s="155"/>
      <c r="N118" s="114" t="str">
        <f>IFERROR(MIN(VLOOKUP(ROUNDDOWN(M118,0),'Aide calcul'!$B$2:$C$282,2,FALSE),L118+1),"")</f>
        <v/>
      </c>
      <c r="O118" s="115" t="str">
        <f t="shared" si="24"/>
        <v/>
      </c>
      <c r="P118" s="173"/>
      <c r="Q118" s="173"/>
      <c r="R118" s="173"/>
      <c r="S118" s="173"/>
      <c r="T118" s="173"/>
      <c r="U118" s="173"/>
      <c r="V118" s="173"/>
      <c r="W118" s="78"/>
      <c r="X118" s="78"/>
      <c r="Y118" s="116" t="str">
        <f>IFERROR(ROUND('Informations générales'!$D$66*(AE118/SUM($AE$27:$AE$403))/12,0)*12,"")</f>
        <v/>
      </c>
      <c r="Z118" s="117"/>
      <c r="AA118" s="116" t="str">
        <f t="shared" si="25"/>
        <v/>
      </c>
      <c r="AB118" s="78"/>
      <c r="AC118" s="92"/>
      <c r="AD118" s="78"/>
      <c r="AE118" s="58">
        <f t="shared" si="26"/>
        <v>0</v>
      </c>
      <c r="AF118" s="58">
        <f t="shared" si="15"/>
        <v>0</v>
      </c>
      <c r="AG118" s="58">
        <f t="shared" si="16"/>
        <v>0</v>
      </c>
      <c r="AH118" s="58">
        <f t="shared" si="17"/>
        <v>0</v>
      </c>
      <c r="AI118" s="58">
        <f t="shared" si="18"/>
        <v>0</v>
      </c>
      <c r="AJ118" s="58">
        <f t="shared" si="19"/>
        <v>0</v>
      </c>
      <c r="AK118" s="58">
        <f t="shared" si="20"/>
        <v>0</v>
      </c>
      <c r="AL118" s="58">
        <f t="shared" si="21"/>
        <v>0</v>
      </c>
      <c r="AM118" s="58">
        <f t="shared" si="27"/>
        <v>0</v>
      </c>
      <c r="AN118" s="62">
        <f t="shared" si="28"/>
        <v>0</v>
      </c>
      <c r="AO118" s="61">
        <f t="shared" si="22"/>
        <v>0</v>
      </c>
      <c r="AP118" s="61">
        <f t="shared" si="23"/>
        <v>0</v>
      </c>
    </row>
    <row r="119" spans="3:42" s="17" customFormat="1" x14ac:dyDescent="0.25">
      <c r="C119" s="216" t="s">
        <v>229</v>
      </c>
      <c r="D119" s="217"/>
      <c r="E119" s="90"/>
      <c r="F119" s="198"/>
      <c r="G119" s="214"/>
      <c r="H119" s="199"/>
      <c r="I119" s="78"/>
      <c r="J119" s="79"/>
      <c r="K119" s="78"/>
      <c r="L119" s="113"/>
      <c r="M119" s="155"/>
      <c r="N119" s="114" t="str">
        <f>IFERROR(MIN(VLOOKUP(ROUNDDOWN(M119,0),'Aide calcul'!$B$2:$C$282,2,FALSE),L119+1),"")</f>
        <v/>
      </c>
      <c r="O119" s="115" t="str">
        <f t="shared" si="24"/>
        <v/>
      </c>
      <c r="P119" s="173"/>
      <c r="Q119" s="173"/>
      <c r="R119" s="173"/>
      <c r="S119" s="173"/>
      <c r="T119" s="173"/>
      <c r="U119" s="173"/>
      <c r="V119" s="173"/>
      <c r="W119" s="78"/>
      <c r="X119" s="78"/>
      <c r="Y119" s="116" t="str">
        <f>IFERROR(ROUND('Informations générales'!$D$66*(AE119/SUM($AE$27:$AE$403))/12,0)*12,"")</f>
        <v/>
      </c>
      <c r="Z119" s="117"/>
      <c r="AA119" s="116" t="str">
        <f t="shared" si="25"/>
        <v/>
      </c>
      <c r="AB119" s="78"/>
      <c r="AC119" s="92"/>
      <c r="AD119" s="78"/>
      <c r="AE119" s="58">
        <f t="shared" si="26"/>
        <v>0</v>
      </c>
      <c r="AF119" s="58">
        <f t="shared" si="15"/>
        <v>0</v>
      </c>
      <c r="AG119" s="58">
        <f t="shared" si="16"/>
        <v>0</v>
      </c>
      <c r="AH119" s="58">
        <f t="shared" si="17"/>
        <v>0</v>
      </c>
      <c r="AI119" s="58">
        <f t="shared" si="18"/>
        <v>0</v>
      </c>
      <c r="AJ119" s="58">
        <f t="shared" si="19"/>
        <v>0</v>
      </c>
      <c r="AK119" s="58">
        <f t="shared" si="20"/>
        <v>0</v>
      </c>
      <c r="AL119" s="58">
        <f t="shared" si="21"/>
        <v>0</v>
      </c>
      <c r="AM119" s="58">
        <f t="shared" si="27"/>
        <v>0</v>
      </c>
      <c r="AN119" s="62">
        <f t="shared" si="28"/>
        <v>0</v>
      </c>
      <c r="AO119" s="61">
        <f t="shared" si="22"/>
        <v>0</v>
      </c>
      <c r="AP119" s="61">
        <f t="shared" si="23"/>
        <v>0</v>
      </c>
    </row>
    <row r="120" spans="3:42" s="17" customFormat="1" x14ac:dyDescent="0.25">
      <c r="C120" s="216" t="s">
        <v>229</v>
      </c>
      <c r="D120" s="217"/>
      <c r="E120" s="90"/>
      <c r="F120" s="198"/>
      <c r="G120" s="214"/>
      <c r="H120" s="199"/>
      <c r="I120" s="78"/>
      <c r="J120" s="79"/>
      <c r="K120" s="78"/>
      <c r="L120" s="113"/>
      <c r="M120" s="155"/>
      <c r="N120" s="114" t="str">
        <f>IFERROR(MIN(VLOOKUP(ROUNDDOWN(M120,0),'Aide calcul'!$B$2:$C$282,2,FALSE),L120+1),"")</f>
        <v/>
      </c>
      <c r="O120" s="115" t="str">
        <f t="shared" si="24"/>
        <v/>
      </c>
      <c r="P120" s="173"/>
      <c r="Q120" s="173"/>
      <c r="R120" s="173"/>
      <c r="S120" s="173"/>
      <c r="T120" s="173"/>
      <c r="U120" s="173"/>
      <c r="V120" s="173"/>
      <c r="W120" s="78"/>
      <c r="X120" s="78"/>
      <c r="Y120" s="116" t="str">
        <f>IFERROR(ROUND('Informations générales'!$D$66*(AE120/SUM($AE$27:$AE$403))/12,0)*12,"")</f>
        <v/>
      </c>
      <c r="Z120" s="117"/>
      <c r="AA120" s="116" t="str">
        <f t="shared" si="25"/>
        <v/>
      </c>
      <c r="AB120" s="78"/>
      <c r="AC120" s="92"/>
      <c r="AD120" s="78"/>
      <c r="AE120" s="58">
        <f t="shared" si="26"/>
        <v>0</v>
      </c>
      <c r="AF120" s="58">
        <f t="shared" si="15"/>
        <v>0</v>
      </c>
      <c r="AG120" s="58">
        <f t="shared" si="16"/>
        <v>0</v>
      </c>
      <c r="AH120" s="58">
        <f t="shared" si="17"/>
        <v>0</v>
      </c>
      <c r="AI120" s="58">
        <f t="shared" si="18"/>
        <v>0</v>
      </c>
      <c r="AJ120" s="58">
        <f t="shared" si="19"/>
        <v>0</v>
      </c>
      <c r="AK120" s="58">
        <f t="shared" si="20"/>
        <v>0</v>
      </c>
      <c r="AL120" s="58">
        <f t="shared" si="21"/>
        <v>0</v>
      </c>
      <c r="AM120" s="58">
        <f t="shared" si="27"/>
        <v>0</v>
      </c>
      <c r="AN120" s="62">
        <f t="shared" si="28"/>
        <v>0</v>
      </c>
      <c r="AO120" s="61">
        <f t="shared" si="22"/>
        <v>0</v>
      </c>
      <c r="AP120" s="61">
        <f t="shared" si="23"/>
        <v>0</v>
      </c>
    </row>
    <row r="121" spans="3:42" s="17" customFormat="1" x14ac:dyDescent="0.25">
      <c r="C121" s="216" t="s">
        <v>229</v>
      </c>
      <c r="D121" s="217"/>
      <c r="E121" s="90"/>
      <c r="F121" s="198"/>
      <c r="G121" s="214"/>
      <c r="H121" s="199"/>
      <c r="I121" s="78"/>
      <c r="J121" s="79"/>
      <c r="K121" s="78"/>
      <c r="L121" s="113"/>
      <c r="M121" s="155"/>
      <c r="N121" s="114" t="str">
        <f>IFERROR(MIN(VLOOKUP(ROUNDDOWN(M121,0),'Aide calcul'!$B$2:$C$282,2,FALSE),L121+1),"")</f>
        <v/>
      </c>
      <c r="O121" s="115" t="str">
        <f t="shared" si="24"/>
        <v/>
      </c>
      <c r="P121" s="173"/>
      <c r="Q121" s="173"/>
      <c r="R121" s="173"/>
      <c r="S121" s="173"/>
      <c r="T121" s="173"/>
      <c r="U121" s="173"/>
      <c r="V121" s="173"/>
      <c r="W121" s="78"/>
      <c r="X121" s="78"/>
      <c r="Y121" s="116" t="str">
        <f>IFERROR(ROUND('Informations générales'!$D$66*(AE121/SUM($AE$27:$AE$403))/12,0)*12,"")</f>
        <v/>
      </c>
      <c r="Z121" s="117"/>
      <c r="AA121" s="116" t="str">
        <f t="shared" si="25"/>
        <v/>
      </c>
      <c r="AB121" s="78"/>
      <c r="AC121" s="92"/>
      <c r="AD121" s="78"/>
      <c r="AE121" s="58">
        <f t="shared" si="26"/>
        <v>0</v>
      </c>
      <c r="AF121" s="58">
        <f t="shared" si="15"/>
        <v>0</v>
      </c>
      <c r="AG121" s="58">
        <f t="shared" si="16"/>
        <v>0</v>
      </c>
      <c r="AH121" s="58">
        <f t="shared" si="17"/>
        <v>0</v>
      </c>
      <c r="AI121" s="58">
        <f t="shared" si="18"/>
        <v>0</v>
      </c>
      <c r="AJ121" s="58">
        <f t="shared" si="19"/>
        <v>0</v>
      </c>
      <c r="AK121" s="58">
        <f t="shared" si="20"/>
        <v>0</v>
      </c>
      <c r="AL121" s="58">
        <f t="shared" si="21"/>
        <v>0</v>
      </c>
      <c r="AM121" s="58">
        <f t="shared" si="27"/>
        <v>0</v>
      </c>
      <c r="AN121" s="62">
        <f t="shared" si="28"/>
        <v>0</v>
      </c>
      <c r="AO121" s="61">
        <f t="shared" si="22"/>
        <v>0</v>
      </c>
      <c r="AP121" s="61">
        <f t="shared" si="23"/>
        <v>0</v>
      </c>
    </row>
    <row r="122" spans="3:42" s="17" customFormat="1" x14ac:dyDescent="0.25">
      <c r="C122" s="216" t="s">
        <v>229</v>
      </c>
      <c r="D122" s="217"/>
      <c r="E122" s="90"/>
      <c r="F122" s="198"/>
      <c r="G122" s="214"/>
      <c r="H122" s="199"/>
      <c r="I122" s="78"/>
      <c r="J122" s="79"/>
      <c r="K122" s="78"/>
      <c r="L122" s="113"/>
      <c r="M122" s="155"/>
      <c r="N122" s="114" t="str">
        <f>IFERROR(MIN(VLOOKUP(ROUNDDOWN(M122,0),'Aide calcul'!$B$2:$C$282,2,FALSE),L122+1),"")</f>
        <v/>
      </c>
      <c r="O122" s="115" t="str">
        <f t="shared" si="24"/>
        <v/>
      </c>
      <c r="P122" s="173"/>
      <c r="Q122" s="173"/>
      <c r="R122" s="173"/>
      <c r="S122" s="173"/>
      <c r="T122" s="173"/>
      <c r="U122" s="173"/>
      <c r="V122" s="173"/>
      <c r="W122" s="78"/>
      <c r="X122" s="78"/>
      <c r="Y122" s="116" t="str">
        <f>IFERROR(ROUND('Informations générales'!$D$66*(AE122/SUM($AE$27:$AE$403))/12,0)*12,"")</f>
        <v/>
      </c>
      <c r="Z122" s="117"/>
      <c r="AA122" s="116" t="str">
        <f t="shared" si="25"/>
        <v/>
      </c>
      <c r="AB122" s="78"/>
      <c r="AC122" s="92"/>
      <c r="AD122" s="78"/>
      <c r="AE122" s="58">
        <f t="shared" si="26"/>
        <v>0</v>
      </c>
      <c r="AF122" s="58">
        <f t="shared" si="15"/>
        <v>0</v>
      </c>
      <c r="AG122" s="58">
        <f t="shared" si="16"/>
        <v>0</v>
      </c>
      <c r="AH122" s="58">
        <f t="shared" si="17"/>
        <v>0</v>
      </c>
      <c r="AI122" s="58">
        <f t="shared" si="18"/>
        <v>0</v>
      </c>
      <c r="AJ122" s="58">
        <f t="shared" si="19"/>
        <v>0</v>
      </c>
      <c r="AK122" s="58">
        <f t="shared" si="20"/>
        <v>0</v>
      </c>
      <c r="AL122" s="58">
        <f t="shared" si="21"/>
        <v>0</v>
      </c>
      <c r="AM122" s="58">
        <f t="shared" si="27"/>
        <v>0</v>
      </c>
      <c r="AN122" s="62">
        <f t="shared" si="28"/>
        <v>0</v>
      </c>
      <c r="AO122" s="61">
        <f t="shared" si="22"/>
        <v>0</v>
      </c>
      <c r="AP122" s="61">
        <f t="shared" si="23"/>
        <v>0</v>
      </c>
    </row>
    <row r="123" spans="3:42" s="17" customFormat="1" x14ac:dyDescent="0.25">
      <c r="C123" s="216" t="s">
        <v>229</v>
      </c>
      <c r="D123" s="217"/>
      <c r="E123" s="90"/>
      <c r="F123" s="198"/>
      <c r="G123" s="214"/>
      <c r="H123" s="199"/>
      <c r="I123" s="78"/>
      <c r="J123" s="79"/>
      <c r="K123" s="78"/>
      <c r="L123" s="113"/>
      <c r="M123" s="155"/>
      <c r="N123" s="114" t="str">
        <f>IFERROR(MIN(VLOOKUP(ROUNDDOWN(M123,0),'Aide calcul'!$B$2:$C$282,2,FALSE),L123+1),"")</f>
        <v/>
      </c>
      <c r="O123" s="115" t="str">
        <f t="shared" si="24"/>
        <v/>
      </c>
      <c r="P123" s="173"/>
      <c r="Q123" s="173"/>
      <c r="R123" s="173"/>
      <c r="S123" s="173"/>
      <c r="T123" s="173"/>
      <c r="U123" s="173"/>
      <c r="V123" s="173"/>
      <c r="W123" s="78"/>
      <c r="X123" s="78"/>
      <c r="Y123" s="116" t="str">
        <f>IFERROR(ROUND('Informations générales'!$D$66*(AE123/SUM($AE$27:$AE$403))/12,0)*12,"")</f>
        <v/>
      </c>
      <c r="Z123" s="117"/>
      <c r="AA123" s="116" t="str">
        <f t="shared" si="25"/>
        <v/>
      </c>
      <c r="AB123" s="78"/>
      <c r="AC123" s="92"/>
      <c r="AD123" s="78"/>
      <c r="AE123" s="58">
        <f t="shared" si="26"/>
        <v>0</v>
      </c>
      <c r="AF123" s="58">
        <f t="shared" si="15"/>
        <v>0</v>
      </c>
      <c r="AG123" s="58">
        <f t="shared" si="16"/>
        <v>0</v>
      </c>
      <c r="AH123" s="58">
        <f t="shared" si="17"/>
        <v>0</v>
      </c>
      <c r="AI123" s="58">
        <f t="shared" si="18"/>
        <v>0</v>
      </c>
      <c r="AJ123" s="58">
        <f t="shared" si="19"/>
        <v>0</v>
      </c>
      <c r="AK123" s="58">
        <f t="shared" si="20"/>
        <v>0</v>
      </c>
      <c r="AL123" s="58">
        <f t="shared" si="21"/>
        <v>0</v>
      </c>
      <c r="AM123" s="58">
        <f t="shared" si="27"/>
        <v>0</v>
      </c>
      <c r="AN123" s="62">
        <f t="shared" si="28"/>
        <v>0</v>
      </c>
      <c r="AO123" s="61">
        <f t="shared" si="22"/>
        <v>0</v>
      </c>
      <c r="AP123" s="61">
        <f t="shared" si="23"/>
        <v>0</v>
      </c>
    </row>
    <row r="124" spans="3:42" s="17" customFormat="1" x14ac:dyDescent="0.25">
      <c r="C124" s="216" t="s">
        <v>229</v>
      </c>
      <c r="D124" s="217"/>
      <c r="E124" s="90"/>
      <c r="F124" s="198"/>
      <c r="G124" s="214"/>
      <c r="H124" s="199"/>
      <c r="I124" s="78"/>
      <c r="J124" s="79"/>
      <c r="K124" s="78"/>
      <c r="L124" s="113"/>
      <c r="M124" s="155"/>
      <c r="N124" s="114" t="str">
        <f>IFERROR(MIN(VLOOKUP(ROUNDDOWN(M124,0),'Aide calcul'!$B$2:$C$282,2,FALSE),L124+1),"")</f>
        <v/>
      </c>
      <c r="O124" s="115" t="str">
        <f t="shared" si="24"/>
        <v/>
      </c>
      <c r="P124" s="173"/>
      <c r="Q124" s="173"/>
      <c r="R124" s="173"/>
      <c r="S124" s="173"/>
      <c r="T124" s="173"/>
      <c r="U124" s="173"/>
      <c r="V124" s="173"/>
      <c r="W124" s="78"/>
      <c r="X124" s="78"/>
      <c r="Y124" s="116" t="str">
        <f>IFERROR(ROUND('Informations générales'!$D$66*(AE124/SUM($AE$27:$AE$403))/12,0)*12,"")</f>
        <v/>
      </c>
      <c r="Z124" s="117"/>
      <c r="AA124" s="116" t="str">
        <f t="shared" si="25"/>
        <v/>
      </c>
      <c r="AB124" s="78"/>
      <c r="AC124" s="92"/>
      <c r="AD124" s="78"/>
      <c r="AE124" s="58">
        <f t="shared" si="26"/>
        <v>0</v>
      </c>
      <c r="AF124" s="58">
        <f t="shared" si="15"/>
        <v>0</v>
      </c>
      <c r="AG124" s="58">
        <f t="shared" si="16"/>
        <v>0</v>
      </c>
      <c r="AH124" s="58">
        <f t="shared" si="17"/>
        <v>0</v>
      </c>
      <c r="AI124" s="58">
        <f t="shared" si="18"/>
        <v>0</v>
      </c>
      <c r="AJ124" s="58">
        <f t="shared" si="19"/>
        <v>0</v>
      </c>
      <c r="AK124" s="58">
        <f t="shared" si="20"/>
        <v>0</v>
      </c>
      <c r="AL124" s="58">
        <f t="shared" si="21"/>
        <v>0</v>
      </c>
      <c r="AM124" s="58">
        <f t="shared" si="27"/>
        <v>0</v>
      </c>
      <c r="AN124" s="62">
        <f t="shared" si="28"/>
        <v>0</v>
      </c>
      <c r="AO124" s="61">
        <f t="shared" si="22"/>
        <v>0</v>
      </c>
      <c r="AP124" s="61">
        <f t="shared" si="23"/>
        <v>0</v>
      </c>
    </row>
    <row r="125" spans="3:42" s="17" customFormat="1" x14ac:dyDescent="0.25">
      <c r="C125" s="216" t="s">
        <v>229</v>
      </c>
      <c r="D125" s="217"/>
      <c r="E125" s="90"/>
      <c r="F125" s="198"/>
      <c r="G125" s="214"/>
      <c r="H125" s="199"/>
      <c r="I125" s="78"/>
      <c r="J125" s="79"/>
      <c r="K125" s="78"/>
      <c r="L125" s="113"/>
      <c r="M125" s="155"/>
      <c r="N125" s="114" t="str">
        <f>IFERROR(MIN(VLOOKUP(ROUNDDOWN(M125,0),'Aide calcul'!$B$2:$C$282,2,FALSE),L125+1),"")</f>
        <v/>
      </c>
      <c r="O125" s="115" t="str">
        <f t="shared" si="24"/>
        <v/>
      </c>
      <c r="P125" s="173"/>
      <c r="Q125" s="173"/>
      <c r="R125" s="173"/>
      <c r="S125" s="173"/>
      <c r="T125" s="173"/>
      <c r="U125" s="173"/>
      <c r="V125" s="173"/>
      <c r="W125" s="78"/>
      <c r="X125" s="78"/>
      <c r="Y125" s="116" t="str">
        <f>IFERROR(ROUND('Informations générales'!$D$66*(AE125/SUM($AE$27:$AE$403))/12,0)*12,"")</f>
        <v/>
      </c>
      <c r="Z125" s="117"/>
      <c r="AA125" s="116" t="str">
        <f t="shared" si="25"/>
        <v/>
      </c>
      <c r="AB125" s="78"/>
      <c r="AC125" s="92"/>
      <c r="AD125" s="78"/>
      <c r="AE125" s="58">
        <f t="shared" si="26"/>
        <v>0</v>
      </c>
      <c r="AF125" s="58">
        <f t="shared" si="15"/>
        <v>0</v>
      </c>
      <c r="AG125" s="58">
        <f t="shared" si="16"/>
        <v>0</v>
      </c>
      <c r="AH125" s="58">
        <f t="shared" si="17"/>
        <v>0</v>
      </c>
      <c r="AI125" s="58">
        <f t="shared" si="18"/>
        <v>0</v>
      </c>
      <c r="AJ125" s="58">
        <f t="shared" si="19"/>
        <v>0</v>
      </c>
      <c r="AK125" s="58">
        <f t="shared" si="20"/>
        <v>0</v>
      </c>
      <c r="AL125" s="58">
        <f t="shared" si="21"/>
        <v>0</v>
      </c>
      <c r="AM125" s="58">
        <f t="shared" si="27"/>
        <v>0</v>
      </c>
      <c r="AN125" s="62">
        <f t="shared" si="28"/>
        <v>0</v>
      </c>
      <c r="AO125" s="61">
        <f t="shared" si="22"/>
        <v>0</v>
      </c>
      <c r="AP125" s="61">
        <f t="shared" si="23"/>
        <v>0</v>
      </c>
    </row>
    <row r="126" spans="3:42" s="17" customFormat="1" x14ac:dyDescent="0.25">
      <c r="C126" s="216" t="s">
        <v>229</v>
      </c>
      <c r="D126" s="217"/>
      <c r="E126" s="90"/>
      <c r="F126" s="198"/>
      <c r="G126" s="214"/>
      <c r="H126" s="199"/>
      <c r="I126" s="78"/>
      <c r="J126" s="79"/>
      <c r="K126" s="78"/>
      <c r="L126" s="113"/>
      <c r="M126" s="155"/>
      <c r="N126" s="114" t="str">
        <f>IFERROR(MIN(VLOOKUP(ROUNDDOWN(M126,0),'Aide calcul'!$B$2:$C$282,2,FALSE),L126+1),"")</f>
        <v/>
      </c>
      <c r="O126" s="115" t="str">
        <f t="shared" si="24"/>
        <v/>
      </c>
      <c r="P126" s="173"/>
      <c r="Q126" s="173"/>
      <c r="R126" s="173"/>
      <c r="S126" s="173"/>
      <c r="T126" s="173"/>
      <c r="U126" s="173"/>
      <c r="V126" s="173"/>
      <c r="W126" s="78"/>
      <c r="X126" s="78"/>
      <c r="Y126" s="116" t="str">
        <f>IFERROR(ROUND('Informations générales'!$D$66*(AE126/SUM($AE$27:$AE$403))/12,0)*12,"")</f>
        <v/>
      </c>
      <c r="Z126" s="117"/>
      <c r="AA126" s="116" t="str">
        <f t="shared" si="25"/>
        <v/>
      </c>
      <c r="AB126" s="78"/>
      <c r="AC126" s="92"/>
      <c r="AD126" s="78"/>
      <c r="AE126" s="58">
        <f t="shared" si="26"/>
        <v>0</v>
      </c>
      <c r="AF126" s="58">
        <f t="shared" si="15"/>
        <v>0</v>
      </c>
      <c r="AG126" s="58">
        <f t="shared" si="16"/>
        <v>0</v>
      </c>
      <c r="AH126" s="58">
        <f t="shared" si="17"/>
        <v>0</v>
      </c>
      <c r="AI126" s="58">
        <f t="shared" si="18"/>
        <v>0</v>
      </c>
      <c r="AJ126" s="58">
        <f t="shared" si="19"/>
        <v>0</v>
      </c>
      <c r="AK126" s="58">
        <f t="shared" si="20"/>
        <v>0</v>
      </c>
      <c r="AL126" s="58">
        <f t="shared" si="21"/>
        <v>0</v>
      </c>
      <c r="AM126" s="58">
        <f t="shared" si="27"/>
        <v>0</v>
      </c>
      <c r="AN126" s="62">
        <f t="shared" si="28"/>
        <v>0</v>
      </c>
      <c r="AO126" s="61">
        <f t="shared" si="22"/>
        <v>0</v>
      </c>
      <c r="AP126" s="61">
        <f t="shared" si="23"/>
        <v>0</v>
      </c>
    </row>
    <row r="127" spans="3:42" s="17" customFormat="1" x14ac:dyDescent="0.25">
      <c r="C127" s="216" t="s">
        <v>229</v>
      </c>
      <c r="D127" s="217"/>
      <c r="E127" s="90"/>
      <c r="F127" s="198"/>
      <c r="G127" s="214"/>
      <c r="H127" s="199"/>
      <c r="I127" s="78"/>
      <c r="J127" s="79"/>
      <c r="K127" s="78"/>
      <c r="L127" s="113"/>
      <c r="M127" s="155"/>
      <c r="N127" s="114" t="str">
        <f>IFERROR(MIN(VLOOKUP(ROUNDDOWN(M127,0),'Aide calcul'!$B$2:$C$282,2,FALSE),L127+1),"")</f>
        <v/>
      </c>
      <c r="O127" s="115" t="str">
        <f t="shared" si="24"/>
        <v/>
      </c>
      <c r="P127" s="173"/>
      <c r="Q127" s="173"/>
      <c r="R127" s="173"/>
      <c r="S127" s="173"/>
      <c r="T127" s="173"/>
      <c r="U127" s="173"/>
      <c r="V127" s="173"/>
      <c r="W127" s="78"/>
      <c r="X127" s="78"/>
      <c r="Y127" s="116" t="str">
        <f>IFERROR(ROUND('Informations générales'!$D$66*(AE127/SUM($AE$27:$AE$403))/12,0)*12,"")</f>
        <v/>
      </c>
      <c r="Z127" s="117"/>
      <c r="AA127" s="116" t="str">
        <f t="shared" si="25"/>
        <v/>
      </c>
      <c r="AB127" s="78"/>
      <c r="AC127" s="92"/>
      <c r="AD127" s="78"/>
      <c r="AE127" s="58">
        <f t="shared" si="26"/>
        <v>0</v>
      </c>
      <c r="AF127" s="58">
        <f t="shared" si="15"/>
        <v>0</v>
      </c>
      <c r="AG127" s="58">
        <f t="shared" si="16"/>
        <v>0</v>
      </c>
      <c r="AH127" s="58">
        <f t="shared" si="17"/>
        <v>0</v>
      </c>
      <c r="AI127" s="58">
        <f t="shared" si="18"/>
        <v>0</v>
      </c>
      <c r="AJ127" s="58">
        <f t="shared" si="19"/>
        <v>0</v>
      </c>
      <c r="AK127" s="58">
        <f t="shared" si="20"/>
        <v>0</v>
      </c>
      <c r="AL127" s="58">
        <f t="shared" si="21"/>
        <v>0</v>
      </c>
      <c r="AM127" s="58">
        <f t="shared" si="27"/>
        <v>0</v>
      </c>
      <c r="AN127" s="62">
        <f t="shared" si="28"/>
        <v>0</v>
      </c>
      <c r="AO127" s="61">
        <f t="shared" si="22"/>
        <v>0</v>
      </c>
      <c r="AP127" s="61">
        <f t="shared" si="23"/>
        <v>0</v>
      </c>
    </row>
    <row r="128" spans="3:42" s="17" customFormat="1" x14ac:dyDescent="0.25">
      <c r="C128" s="216" t="s">
        <v>229</v>
      </c>
      <c r="D128" s="217"/>
      <c r="E128" s="90"/>
      <c r="F128" s="198"/>
      <c r="G128" s="214"/>
      <c r="H128" s="199"/>
      <c r="I128" s="78"/>
      <c r="J128" s="79"/>
      <c r="K128" s="78"/>
      <c r="L128" s="113"/>
      <c r="M128" s="155"/>
      <c r="N128" s="114" t="str">
        <f>IFERROR(MIN(VLOOKUP(ROUNDDOWN(M128,0),'Aide calcul'!$B$2:$C$282,2,FALSE),L128+1),"")</f>
        <v/>
      </c>
      <c r="O128" s="115" t="str">
        <f t="shared" si="24"/>
        <v/>
      </c>
      <c r="P128" s="173"/>
      <c r="Q128" s="173"/>
      <c r="R128" s="173"/>
      <c r="S128" s="173"/>
      <c r="T128" s="173"/>
      <c r="U128" s="173"/>
      <c r="V128" s="173"/>
      <c r="W128" s="78"/>
      <c r="X128" s="78"/>
      <c r="Y128" s="116" t="str">
        <f>IFERROR(ROUND('Informations générales'!$D$66*(AE128/SUM($AE$27:$AE$403))/12,0)*12,"")</f>
        <v/>
      </c>
      <c r="Z128" s="117"/>
      <c r="AA128" s="116" t="str">
        <f t="shared" si="25"/>
        <v/>
      </c>
      <c r="AB128" s="78"/>
      <c r="AC128" s="92"/>
      <c r="AD128" s="78"/>
      <c r="AE128" s="58">
        <f t="shared" si="26"/>
        <v>0</v>
      </c>
      <c r="AF128" s="58">
        <f t="shared" si="15"/>
        <v>0</v>
      </c>
      <c r="AG128" s="58">
        <f t="shared" si="16"/>
        <v>0</v>
      </c>
      <c r="AH128" s="58">
        <f t="shared" si="17"/>
        <v>0</v>
      </c>
      <c r="AI128" s="58">
        <f t="shared" si="18"/>
        <v>0</v>
      </c>
      <c r="AJ128" s="58">
        <f t="shared" si="19"/>
        <v>0</v>
      </c>
      <c r="AK128" s="58">
        <f t="shared" si="20"/>
        <v>0</v>
      </c>
      <c r="AL128" s="58">
        <f t="shared" si="21"/>
        <v>0</v>
      </c>
      <c r="AM128" s="58">
        <f t="shared" si="27"/>
        <v>0</v>
      </c>
      <c r="AN128" s="62">
        <f t="shared" si="28"/>
        <v>0</v>
      </c>
      <c r="AO128" s="61">
        <f t="shared" si="22"/>
        <v>0</v>
      </c>
      <c r="AP128" s="61">
        <f t="shared" si="23"/>
        <v>0</v>
      </c>
    </row>
    <row r="129" spans="3:42" s="17" customFormat="1" x14ac:dyDescent="0.25">
      <c r="C129" s="216" t="s">
        <v>229</v>
      </c>
      <c r="D129" s="217"/>
      <c r="E129" s="90"/>
      <c r="F129" s="198"/>
      <c r="G129" s="214"/>
      <c r="H129" s="199"/>
      <c r="I129" s="78"/>
      <c r="J129" s="79"/>
      <c r="K129" s="78"/>
      <c r="L129" s="113"/>
      <c r="M129" s="155"/>
      <c r="N129" s="114" t="str">
        <f>IFERROR(MIN(VLOOKUP(ROUNDDOWN(M129,0),'Aide calcul'!$B$2:$C$282,2,FALSE),L129+1),"")</f>
        <v/>
      </c>
      <c r="O129" s="115" t="str">
        <f t="shared" si="24"/>
        <v/>
      </c>
      <c r="P129" s="173"/>
      <c r="Q129" s="173"/>
      <c r="R129" s="173"/>
      <c r="S129" s="173"/>
      <c r="T129" s="173"/>
      <c r="U129" s="173"/>
      <c r="V129" s="173"/>
      <c r="W129" s="78"/>
      <c r="X129" s="78"/>
      <c r="Y129" s="116" t="str">
        <f>IFERROR(ROUND('Informations générales'!$D$66*(AE129/SUM($AE$27:$AE$403))/12,0)*12,"")</f>
        <v/>
      </c>
      <c r="Z129" s="117"/>
      <c r="AA129" s="116" t="str">
        <f t="shared" si="25"/>
        <v/>
      </c>
      <c r="AB129" s="78"/>
      <c r="AC129" s="92"/>
      <c r="AD129" s="78"/>
      <c r="AE129" s="58">
        <f t="shared" si="26"/>
        <v>0</v>
      </c>
      <c r="AF129" s="58">
        <f t="shared" si="15"/>
        <v>0</v>
      </c>
      <c r="AG129" s="58">
        <f t="shared" si="16"/>
        <v>0</v>
      </c>
      <c r="AH129" s="58">
        <f t="shared" si="17"/>
        <v>0</v>
      </c>
      <c r="AI129" s="58">
        <f t="shared" si="18"/>
        <v>0</v>
      </c>
      <c r="AJ129" s="58">
        <f t="shared" si="19"/>
        <v>0</v>
      </c>
      <c r="AK129" s="58">
        <f t="shared" si="20"/>
        <v>0</v>
      </c>
      <c r="AL129" s="58">
        <f t="shared" si="21"/>
        <v>0</v>
      </c>
      <c r="AM129" s="58">
        <f t="shared" si="27"/>
        <v>0</v>
      </c>
      <c r="AN129" s="62">
        <f t="shared" si="28"/>
        <v>0</v>
      </c>
      <c r="AO129" s="61">
        <f t="shared" si="22"/>
        <v>0</v>
      </c>
      <c r="AP129" s="61">
        <f t="shared" si="23"/>
        <v>0</v>
      </c>
    </row>
    <row r="130" spans="3:42" s="17" customFormat="1" x14ac:dyDescent="0.25">
      <c r="C130" s="216" t="s">
        <v>229</v>
      </c>
      <c r="D130" s="217"/>
      <c r="E130" s="90"/>
      <c r="F130" s="198"/>
      <c r="G130" s="214"/>
      <c r="H130" s="199"/>
      <c r="I130" s="78"/>
      <c r="J130" s="79"/>
      <c r="K130" s="78"/>
      <c r="L130" s="113"/>
      <c r="M130" s="155"/>
      <c r="N130" s="114" t="str">
        <f>IFERROR(MIN(VLOOKUP(ROUNDDOWN(M130,0),'Aide calcul'!$B$2:$C$282,2,FALSE),L130+1),"")</f>
        <v/>
      </c>
      <c r="O130" s="115" t="str">
        <f t="shared" si="24"/>
        <v/>
      </c>
      <c r="P130" s="173"/>
      <c r="Q130" s="173"/>
      <c r="R130" s="173"/>
      <c r="S130" s="173"/>
      <c r="T130" s="173"/>
      <c r="U130" s="173"/>
      <c r="V130" s="173"/>
      <c r="W130" s="78"/>
      <c r="X130" s="78"/>
      <c r="Y130" s="116" t="str">
        <f>IFERROR(ROUND('Informations générales'!$D$66*(AE130/SUM($AE$27:$AE$403))/12,0)*12,"")</f>
        <v/>
      </c>
      <c r="Z130" s="117"/>
      <c r="AA130" s="116" t="str">
        <f t="shared" si="25"/>
        <v/>
      </c>
      <c r="AB130" s="78"/>
      <c r="AC130" s="92"/>
      <c r="AD130" s="78"/>
      <c r="AE130" s="58">
        <f t="shared" si="26"/>
        <v>0</v>
      </c>
      <c r="AF130" s="58">
        <f t="shared" si="15"/>
        <v>0</v>
      </c>
      <c r="AG130" s="58">
        <f t="shared" si="16"/>
        <v>0</v>
      </c>
      <c r="AH130" s="58">
        <f t="shared" si="17"/>
        <v>0</v>
      </c>
      <c r="AI130" s="58">
        <f t="shared" si="18"/>
        <v>0</v>
      </c>
      <c r="AJ130" s="58">
        <f t="shared" si="19"/>
        <v>0</v>
      </c>
      <c r="AK130" s="58">
        <f t="shared" si="20"/>
        <v>0</v>
      </c>
      <c r="AL130" s="58">
        <f t="shared" si="21"/>
        <v>0</v>
      </c>
      <c r="AM130" s="58">
        <f t="shared" si="27"/>
        <v>0</v>
      </c>
      <c r="AN130" s="62">
        <f t="shared" si="28"/>
        <v>0</v>
      </c>
      <c r="AO130" s="61">
        <f t="shared" si="22"/>
        <v>0</v>
      </c>
      <c r="AP130" s="61">
        <f t="shared" si="23"/>
        <v>0</v>
      </c>
    </row>
    <row r="131" spans="3:42" s="17" customFormat="1" x14ac:dyDescent="0.25">
      <c r="C131" s="216" t="s">
        <v>229</v>
      </c>
      <c r="D131" s="217"/>
      <c r="E131" s="90"/>
      <c r="F131" s="198"/>
      <c r="G131" s="214"/>
      <c r="H131" s="199"/>
      <c r="I131" s="78"/>
      <c r="J131" s="79"/>
      <c r="K131" s="78"/>
      <c r="L131" s="113"/>
      <c r="M131" s="155"/>
      <c r="N131" s="114" t="str">
        <f>IFERROR(MIN(VLOOKUP(ROUNDDOWN(M131,0),'Aide calcul'!$B$2:$C$282,2,FALSE),L131+1),"")</f>
        <v/>
      </c>
      <c r="O131" s="115" t="str">
        <f t="shared" si="24"/>
        <v/>
      </c>
      <c r="P131" s="173"/>
      <c r="Q131" s="173"/>
      <c r="R131" s="173"/>
      <c r="S131" s="173"/>
      <c r="T131" s="173"/>
      <c r="U131" s="173"/>
      <c r="V131" s="173"/>
      <c r="W131" s="78"/>
      <c r="X131" s="78"/>
      <c r="Y131" s="116" t="str">
        <f>IFERROR(ROUND('Informations générales'!$D$66*(AE131/SUM($AE$27:$AE$403))/12,0)*12,"")</f>
        <v/>
      </c>
      <c r="Z131" s="117"/>
      <c r="AA131" s="116" t="str">
        <f t="shared" si="25"/>
        <v/>
      </c>
      <c r="AB131" s="78"/>
      <c r="AC131" s="92"/>
      <c r="AD131" s="78"/>
      <c r="AE131" s="58">
        <f t="shared" si="26"/>
        <v>0</v>
      </c>
      <c r="AF131" s="58">
        <f t="shared" si="15"/>
        <v>0</v>
      </c>
      <c r="AG131" s="58">
        <f t="shared" si="16"/>
        <v>0</v>
      </c>
      <c r="AH131" s="58">
        <f t="shared" si="17"/>
        <v>0</v>
      </c>
      <c r="AI131" s="58">
        <f t="shared" si="18"/>
        <v>0</v>
      </c>
      <c r="AJ131" s="58">
        <f t="shared" si="19"/>
        <v>0</v>
      </c>
      <c r="AK131" s="58">
        <f t="shared" si="20"/>
        <v>0</v>
      </c>
      <c r="AL131" s="58">
        <f t="shared" si="21"/>
        <v>0</v>
      </c>
      <c r="AM131" s="58">
        <f t="shared" si="27"/>
        <v>0</v>
      </c>
      <c r="AN131" s="62">
        <f t="shared" si="28"/>
        <v>0</v>
      </c>
      <c r="AO131" s="61">
        <f t="shared" si="22"/>
        <v>0</v>
      </c>
      <c r="AP131" s="61">
        <f t="shared" si="23"/>
        <v>0</v>
      </c>
    </row>
    <row r="132" spans="3:42" s="17" customFormat="1" x14ac:dyDescent="0.25">
      <c r="C132" s="216" t="s">
        <v>229</v>
      </c>
      <c r="D132" s="217"/>
      <c r="E132" s="90"/>
      <c r="F132" s="198"/>
      <c r="G132" s="214"/>
      <c r="H132" s="199"/>
      <c r="I132" s="78"/>
      <c r="J132" s="79"/>
      <c r="K132" s="78"/>
      <c r="L132" s="113"/>
      <c r="M132" s="155"/>
      <c r="N132" s="114" t="str">
        <f>IFERROR(MIN(VLOOKUP(ROUNDDOWN(M132,0),'Aide calcul'!$B$2:$C$282,2,FALSE),L132+1),"")</f>
        <v/>
      </c>
      <c r="O132" s="115" t="str">
        <f t="shared" si="24"/>
        <v/>
      </c>
      <c r="P132" s="173"/>
      <c r="Q132" s="173"/>
      <c r="R132" s="173"/>
      <c r="S132" s="173"/>
      <c r="T132" s="173"/>
      <c r="U132" s="173"/>
      <c r="V132" s="173"/>
      <c r="W132" s="78"/>
      <c r="X132" s="78"/>
      <c r="Y132" s="116" t="str">
        <f>IFERROR(ROUND('Informations générales'!$D$66*(AE132/SUM($AE$27:$AE$403))/12,0)*12,"")</f>
        <v/>
      </c>
      <c r="Z132" s="117"/>
      <c r="AA132" s="116" t="str">
        <f t="shared" si="25"/>
        <v/>
      </c>
      <c r="AB132" s="78"/>
      <c r="AC132" s="92"/>
      <c r="AD132" s="78"/>
      <c r="AE132" s="58">
        <f t="shared" si="26"/>
        <v>0</v>
      </c>
      <c r="AF132" s="58">
        <f t="shared" si="15"/>
        <v>0</v>
      </c>
      <c r="AG132" s="58">
        <f t="shared" si="16"/>
        <v>0</v>
      </c>
      <c r="AH132" s="58">
        <f t="shared" si="17"/>
        <v>0</v>
      </c>
      <c r="AI132" s="58">
        <f t="shared" si="18"/>
        <v>0</v>
      </c>
      <c r="AJ132" s="58">
        <f t="shared" si="19"/>
        <v>0</v>
      </c>
      <c r="AK132" s="58">
        <f t="shared" si="20"/>
        <v>0</v>
      </c>
      <c r="AL132" s="58">
        <f t="shared" si="21"/>
        <v>0</v>
      </c>
      <c r="AM132" s="58">
        <f t="shared" si="27"/>
        <v>0</v>
      </c>
      <c r="AN132" s="62">
        <f t="shared" si="28"/>
        <v>0</v>
      </c>
      <c r="AO132" s="61">
        <f t="shared" si="22"/>
        <v>0</v>
      </c>
      <c r="AP132" s="61">
        <f t="shared" si="23"/>
        <v>0</v>
      </c>
    </row>
    <row r="133" spans="3:42" s="17" customFormat="1" x14ac:dyDescent="0.25">
      <c r="C133" s="216" t="s">
        <v>229</v>
      </c>
      <c r="D133" s="217"/>
      <c r="E133" s="90"/>
      <c r="F133" s="198"/>
      <c r="G133" s="214"/>
      <c r="H133" s="199"/>
      <c r="I133" s="78"/>
      <c r="J133" s="79"/>
      <c r="K133" s="78"/>
      <c r="L133" s="113"/>
      <c r="M133" s="155"/>
      <c r="N133" s="114" t="str">
        <f>IFERROR(MIN(VLOOKUP(ROUNDDOWN(M133,0),'Aide calcul'!$B$2:$C$282,2,FALSE),L133+1),"")</f>
        <v/>
      </c>
      <c r="O133" s="115" t="str">
        <f t="shared" si="24"/>
        <v/>
      </c>
      <c r="P133" s="173"/>
      <c r="Q133" s="173"/>
      <c r="R133" s="173"/>
      <c r="S133" s="173"/>
      <c r="T133" s="173"/>
      <c r="U133" s="173"/>
      <c r="V133" s="173"/>
      <c r="W133" s="78"/>
      <c r="X133" s="78"/>
      <c r="Y133" s="116" t="str">
        <f>IFERROR(ROUND('Informations générales'!$D$66*(AE133/SUM($AE$27:$AE$403))/12,0)*12,"")</f>
        <v/>
      </c>
      <c r="Z133" s="117"/>
      <c r="AA133" s="116" t="str">
        <f t="shared" si="25"/>
        <v/>
      </c>
      <c r="AB133" s="78"/>
      <c r="AC133" s="92"/>
      <c r="AD133" s="78"/>
      <c r="AE133" s="58">
        <f t="shared" si="26"/>
        <v>0</v>
      </c>
      <c r="AF133" s="58">
        <f t="shared" si="15"/>
        <v>0</v>
      </c>
      <c r="AG133" s="58">
        <f t="shared" si="16"/>
        <v>0</v>
      </c>
      <c r="AH133" s="58">
        <f t="shared" si="17"/>
        <v>0</v>
      </c>
      <c r="AI133" s="58">
        <f t="shared" si="18"/>
        <v>0</v>
      </c>
      <c r="AJ133" s="58">
        <f t="shared" si="19"/>
        <v>0</v>
      </c>
      <c r="AK133" s="58">
        <f t="shared" si="20"/>
        <v>0</v>
      </c>
      <c r="AL133" s="58">
        <f t="shared" si="21"/>
        <v>0</v>
      </c>
      <c r="AM133" s="58">
        <f t="shared" si="27"/>
        <v>0</v>
      </c>
      <c r="AN133" s="62">
        <f t="shared" si="28"/>
        <v>0</v>
      </c>
      <c r="AO133" s="61">
        <f t="shared" si="22"/>
        <v>0</v>
      </c>
      <c r="AP133" s="61">
        <f t="shared" si="23"/>
        <v>0</v>
      </c>
    </row>
    <row r="134" spans="3:42" s="17" customFormat="1" x14ac:dyDescent="0.25">
      <c r="C134" s="216" t="s">
        <v>229</v>
      </c>
      <c r="D134" s="217"/>
      <c r="E134" s="90"/>
      <c r="F134" s="198"/>
      <c r="G134" s="214"/>
      <c r="H134" s="199"/>
      <c r="I134" s="78"/>
      <c r="J134" s="79"/>
      <c r="K134" s="78"/>
      <c r="L134" s="113"/>
      <c r="M134" s="155"/>
      <c r="N134" s="114" t="str">
        <f>IFERROR(MIN(VLOOKUP(ROUNDDOWN(M134,0),'Aide calcul'!$B$2:$C$282,2,FALSE),L134+1),"")</f>
        <v/>
      </c>
      <c r="O134" s="115" t="str">
        <f t="shared" si="24"/>
        <v/>
      </c>
      <c r="P134" s="173"/>
      <c r="Q134" s="173"/>
      <c r="R134" s="173"/>
      <c r="S134" s="173"/>
      <c r="T134" s="173"/>
      <c r="U134" s="173"/>
      <c r="V134" s="173"/>
      <c r="W134" s="78"/>
      <c r="X134" s="78"/>
      <c r="Y134" s="116" t="str">
        <f>IFERROR(ROUND('Informations générales'!$D$66*(AE134/SUM($AE$27:$AE$403))/12,0)*12,"")</f>
        <v/>
      </c>
      <c r="Z134" s="117"/>
      <c r="AA134" s="116" t="str">
        <f t="shared" si="25"/>
        <v/>
      </c>
      <c r="AB134" s="78"/>
      <c r="AC134" s="92"/>
      <c r="AD134" s="78"/>
      <c r="AE134" s="58">
        <f t="shared" si="26"/>
        <v>0</v>
      </c>
      <c r="AF134" s="58">
        <f t="shared" si="15"/>
        <v>0</v>
      </c>
      <c r="AG134" s="58">
        <f t="shared" si="16"/>
        <v>0</v>
      </c>
      <c r="AH134" s="58">
        <f t="shared" si="17"/>
        <v>0</v>
      </c>
      <c r="AI134" s="58">
        <f t="shared" si="18"/>
        <v>0</v>
      </c>
      <c r="AJ134" s="58">
        <f t="shared" si="19"/>
        <v>0</v>
      </c>
      <c r="AK134" s="58">
        <f t="shared" si="20"/>
        <v>0</v>
      </c>
      <c r="AL134" s="58">
        <f t="shared" si="21"/>
        <v>0</v>
      </c>
      <c r="AM134" s="58">
        <f t="shared" si="27"/>
        <v>0</v>
      </c>
      <c r="AN134" s="62">
        <f t="shared" si="28"/>
        <v>0</v>
      </c>
      <c r="AO134" s="61">
        <f t="shared" si="22"/>
        <v>0</v>
      </c>
      <c r="AP134" s="61">
        <f t="shared" si="23"/>
        <v>0</v>
      </c>
    </row>
    <row r="135" spans="3:42" s="17" customFormat="1" x14ac:dyDescent="0.25">
      <c r="C135" s="216" t="s">
        <v>229</v>
      </c>
      <c r="D135" s="217"/>
      <c r="E135" s="90"/>
      <c r="F135" s="198"/>
      <c r="G135" s="214"/>
      <c r="H135" s="199"/>
      <c r="I135" s="78"/>
      <c r="J135" s="79"/>
      <c r="K135" s="78"/>
      <c r="L135" s="113"/>
      <c r="M135" s="155"/>
      <c r="N135" s="114" t="str">
        <f>IFERROR(MIN(VLOOKUP(ROUNDDOWN(M135,0),'Aide calcul'!$B$2:$C$282,2,FALSE),L135+1),"")</f>
        <v/>
      </c>
      <c r="O135" s="115" t="str">
        <f t="shared" si="24"/>
        <v/>
      </c>
      <c r="P135" s="173"/>
      <c r="Q135" s="173"/>
      <c r="R135" s="173"/>
      <c r="S135" s="173"/>
      <c r="T135" s="173"/>
      <c r="U135" s="173"/>
      <c r="V135" s="173"/>
      <c r="W135" s="78"/>
      <c r="X135" s="78"/>
      <c r="Y135" s="116" t="str">
        <f>IFERROR(ROUND('Informations générales'!$D$66*(AE135/SUM($AE$27:$AE$403))/12,0)*12,"")</f>
        <v/>
      </c>
      <c r="Z135" s="117"/>
      <c r="AA135" s="116" t="str">
        <f t="shared" si="25"/>
        <v/>
      </c>
      <c r="AB135" s="78"/>
      <c r="AC135" s="92"/>
      <c r="AD135" s="78"/>
      <c r="AE135" s="58">
        <f t="shared" si="26"/>
        <v>0</v>
      </c>
      <c r="AF135" s="58">
        <f t="shared" si="15"/>
        <v>0</v>
      </c>
      <c r="AG135" s="58">
        <f t="shared" si="16"/>
        <v>0</v>
      </c>
      <c r="AH135" s="58">
        <f t="shared" si="17"/>
        <v>0</v>
      </c>
      <c r="AI135" s="58">
        <f t="shared" si="18"/>
        <v>0</v>
      </c>
      <c r="AJ135" s="58">
        <f t="shared" si="19"/>
        <v>0</v>
      </c>
      <c r="AK135" s="58">
        <f t="shared" si="20"/>
        <v>0</v>
      </c>
      <c r="AL135" s="58">
        <f t="shared" si="21"/>
        <v>0</v>
      </c>
      <c r="AM135" s="58">
        <f t="shared" si="27"/>
        <v>0</v>
      </c>
      <c r="AN135" s="62">
        <f t="shared" si="28"/>
        <v>0</v>
      </c>
      <c r="AO135" s="61">
        <f t="shared" si="22"/>
        <v>0</v>
      </c>
      <c r="AP135" s="61">
        <f t="shared" si="23"/>
        <v>0</v>
      </c>
    </row>
    <row r="136" spans="3:42" s="17" customFormat="1" x14ac:dyDescent="0.25">
      <c r="C136" s="216" t="s">
        <v>229</v>
      </c>
      <c r="D136" s="217"/>
      <c r="E136" s="90"/>
      <c r="F136" s="198"/>
      <c r="G136" s="214"/>
      <c r="H136" s="199"/>
      <c r="I136" s="78"/>
      <c r="J136" s="79"/>
      <c r="K136" s="78"/>
      <c r="L136" s="113"/>
      <c r="M136" s="155"/>
      <c r="N136" s="114" t="str">
        <f>IFERROR(MIN(VLOOKUP(ROUNDDOWN(M136,0),'Aide calcul'!$B$2:$C$282,2,FALSE),L136+1),"")</f>
        <v/>
      </c>
      <c r="O136" s="115" t="str">
        <f t="shared" si="24"/>
        <v/>
      </c>
      <c r="P136" s="173"/>
      <c r="Q136" s="173"/>
      <c r="R136" s="173"/>
      <c r="S136" s="173"/>
      <c r="T136" s="173"/>
      <c r="U136" s="173"/>
      <c r="V136" s="173"/>
      <c r="W136" s="78"/>
      <c r="X136" s="78"/>
      <c r="Y136" s="116" t="str">
        <f>IFERROR(ROUND('Informations générales'!$D$66*(AE136/SUM($AE$27:$AE$403))/12,0)*12,"")</f>
        <v/>
      </c>
      <c r="Z136" s="117"/>
      <c r="AA136" s="116" t="str">
        <f t="shared" si="25"/>
        <v/>
      </c>
      <c r="AB136" s="78"/>
      <c r="AC136" s="92"/>
      <c r="AD136" s="78"/>
      <c r="AE136" s="58">
        <f t="shared" si="26"/>
        <v>0</v>
      </c>
      <c r="AF136" s="58">
        <f t="shared" si="15"/>
        <v>0</v>
      </c>
      <c r="AG136" s="58">
        <f t="shared" si="16"/>
        <v>0</v>
      </c>
      <c r="AH136" s="58">
        <f t="shared" si="17"/>
        <v>0</v>
      </c>
      <c r="AI136" s="58">
        <f t="shared" si="18"/>
        <v>0</v>
      </c>
      <c r="AJ136" s="58">
        <f t="shared" si="19"/>
        <v>0</v>
      </c>
      <c r="AK136" s="58">
        <f t="shared" si="20"/>
        <v>0</v>
      </c>
      <c r="AL136" s="58">
        <f t="shared" si="21"/>
        <v>0</v>
      </c>
      <c r="AM136" s="58">
        <f t="shared" si="27"/>
        <v>0</v>
      </c>
      <c r="AN136" s="62">
        <f t="shared" si="28"/>
        <v>0</v>
      </c>
      <c r="AO136" s="61">
        <f t="shared" si="22"/>
        <v>0</v>
      </c>
      <c r="AP136" s="61">
        <f t="shared" si="23"/>
        <v>0</v>
      </c>
    </row>
    <row r="137" spans="3:42" s="17" customFormat="1" x14ac:dyDescent="0.25">
      <c r="C137" s="216" t="s">
        <v>229</v>
      </c>
      <c r="D137" s="217"/>
      <c r="E137" s="90"/>
      <c r="F137" s="198"/>
      <c r="G137" s="214"/>
      <c r="H137" s="199"/>
      <c r="I137" s="78"/>
      <c r="J137" s="79"/>
      <c r="K137" s="78"/>
      <c r="L137" s="113"/>
      <c r="M137" s="155"/>
      <c r="N137" s="114" t="str">
        <f>IFERROR(MIN(VLOOKUP(ROUNDDOWN(M137,0),'Aide calcul'!$B$2:$C$282,2,FALSE),L137+1),"")</f>
        <v/>
      </c>
      <c r="O137" s="115" t="str">
        <f t="shared" si="24"/>
        <v/>
      </c>
      <c r="P137" s="173"/>
      <c r="Q137" s="173"/>
      <c r="R137" s="173"/>
      <c r="S137" s="173"/>
      <c r="T137" s="173"/>
      <c r="U137" s="173"/>
      <c r="V137" s="173"/>
      <c r="W137" s="78"/>
      <c r="X137" s="78"/>
      <c r="Y137" s="116" t="str">
        <f>IFERROR(ROUND('Informations générales'!$D$66*(AE137/SUM($AE$27:$AE$403))/12,0)*12,"")</f>
        <v/>
      </c>
      <c r="Z137" s="117"/>
      <c r="AA137" s="116" t="str">
        <f t="shared" si="25"/>
        <v/>
      </c>
      <c r="AB137" s="78"/>
      <c r="AC137" s="92"/>
      <c r="AD137" s="78"/>
      <c r="AE137" s="58">
        <f t="shared" si="26"/>
        <v>0</v>
      </c>
      <c r="AF137" s="58">
        <f t="shared" si="15"/>
        <v>0</v>
      </c>
      <c r="AG137" s="58">
        <f t="shared" si="16"/>
        <v>0</v>
      </c>
      <c r="AH137" s="58">
        <f t="shared" si="17"/>
        <v>0</v>
      </c>
      <c r="AI137" s="58">
        <f t="shared" si="18"/>
        <v>0</v>
      </c>
      <c r="AJ137" s="58">
        <f t="shared" si="19"/>
        <v>0</v>
      </c>
      <c r="AK137" s="58">
        <f t="shared" si="20"/>
        <v>0</v>
      </c>
      <c r="AL137" s="58">
        <f t="shared" si="21"/>
        <v>0</v>
      </c>
      <c r="AM137" s="58">
        <f t="shared" si="27"/>
        <v>0</v>
      </c>
      <c r="AN137" s="62">
        <f t="shared" si="28"/>
        <v>0</v>
      </c>
      <c r="AO137" s="61">
        <f t="shared" si="22"/>
        <v>0</v>
      </c>
      <c r="AP137" s="61">
        <f t="shared" si="23"/>
        <v>0</v>
      </c>
    </row>
    <row r="138" spans="3:42" s="17" customFormat="1" x14ac:dyDescent="0.25">
      <c r="C138" s="216" t="s">
        <v>229</v>
      </c>
      <c r="D138" s="217"/>
      <c r="E138" s="90"/>
      <c r="F138" s="198"/>
      <c r="G138" s="214"/>
      <c r="H138" s="199"/>
      <c r="I138" s="78"/>
      <c r="J138" s="79"/>
      <c r="K138" s="78"/>
      <c r="L138" s="113"/>
      <c r="M138" s="155"/>
      <c r="N138" s="114" t="str">
        <f>IFERROR(MIN(VLOOKUP(ROUNDDOWN(M138,0),'Aide calcul'!$B$2:$C$282,2,FALSE),L138+1),"")</f>
        <v/>
      </c>
      <c r="O138" s="115" t="str">
        <f t="shared" si="24"/>
        <v/>
      </c>
      <c r="P138" s="173"/>
      <c r="Q138" s="173"/>
      <c r="R138" s="173"/>
      <c r="S138" s="173"/>
      <c r="T138" s="173"/>
      <c r="U138" s="173"/>
      <c r="V138" s="173"/>
      <c r="W138" s="78"/>
      <c r="X138" s="78"/>
      <c r="Y138" s="116" t="str">
        <f>IFERROR(ROUND('Informations générales'!$D$66*(AE138/SUM($AE$27:$AE$403))/12,0)*12,"")</f>
        <v/>
      </c>
      <c r="Z138" s="117"/>
      <c r="AA138" s="116" t="str">
        <f t="shared" si="25"/>
        <v/>
      </c>
      <c r="AB138" s="78"/>
      <c r="AC138" s="92"/>
      <c r="AD138" s="78"/>
      <c r="AE138" s="58">
        <f t="shared" si="26"/>
        <v>0</v>
      </c>
      <c r="AF138" s="58">
        <f t="shared" si="15"/>
        <v>0</v>
      </c>
      <c r="AG138" s="58">
        <f t="shared" si="16"/>
        <v>0</v>
      </c>
      <c r="AH138" s="58">
        <f t="shared" si="17"/>
        <v>0</v>
      </c>
      <c r="AI138" s="58">
        <f t="shared" si="18"/>
        <v>0</v>
      </c>
      <c r="AJ138" s="58">
        <f t="shared" si="19"/>
        <v>0</v>
      </c>
      <c r="AK138" s="58">
        <f t="shared" si="20"/>
        <v>0</v>
      </c>
      <c r="AL138" s="58">
        <f t="shared" si="21"/>
        <v>0</v>
      </c>
      <c r="AM138" s="58">
        <f t="shared" si="27"/>
        <v>0</v>
      </c>
      <c r="AN138" s="62">
        <f t="shared" si="28"/>
        <v>0</v>
      </c>
      <c r="AO138" s="61">
        <f t="shared" si="22"/>
        <v>0</v>
      </c>
      <c r="AP138" s="61">
        <f t="shared" si="23"/>
        <v>0</v>
      </c>
    </row>
    <row r="139" spans="3:42" s="17" customFormat="1" x14ac:dyDescent="0.25">
      <c r="C139" s="216" t="s">
        <v>229</v>
      </c>
      <c r="D139" s="217"/>
      <c r="E139" s="90"/>
      <c r="F139" s="198"/>
      <c r="G139" s="214"/>
      <c r="H139" s="199"/>
      <c r="I139" s="78"/>
      <c r="J139" s="79"/>
      <c r="K139" s="78"/>
      <c r="L139" s="113"/>
      <c r="M139" s="155"/>
      <c r="N139" s="114" t="str">
        <f>IFERROR(MIN(VLOOKUP(ROUNDDOWN(M139,0),'Aide calcul'!$B$2:$C$282,2,FALSE),L139+1),"")</f>
        <v/>
      </c>
      <c r="O139" s="115" t="str">
        <f t="shared" si="24"/>
        <v/>
      </c>
      <c r="P139" s="173"/>
      <c r="Q139" s="173"/>
      <c r="R139" s="173"/>
      <c r="S139" s="173"/>
      <c r="T139" s="173"/>
      <c r="U139" s="173"/>
      <c r="V139" s="173"/>
      <c r="W139" s="78"/>
      <c r="X139" s="78"/>
      <c r="Y139" s="116" t="str">
        <f>IFERROR(ROUND('Informations générales'!$D$66*(AE139/SUM($AE$27:$AE$403))/12,0)*12,"")</f>
        <v/>
      </c>
      <c r="Z139" s="117"/>
      <c r="AA139" s="116" t="str">
        <f t="shared" si="25"/>
        <v/>
      </c>
      <c r="AB139" s="78"/>
      <c r="AC139" s="92"/>
      <c r="AD139" s="78"/>
      <c r="AE139" s="58">
        <f t="shared" si="26"/>
        <v>0</v>
      </c>
      <c r="AF139" s="58">
        <f t="shared" si="15"/>
        <v>0</v>
      </c>
      <c r="AG139" s="58">
        <f t="shared" si="16"/>
        <v>0</v>
      </c>
      <c r="AH139" s="58">
        <f t="shared" si="17"/>
        <v>0</v>
      </c>
      <c r="AI139" s="58">
        <f t="shared" si="18"/>
        <v>0</v>
      </c>
      <c r="AJ139" s="58">
        <f t="shared" si="19"/>
        <v>0</v>
      </c>
      <c r="AK139" s="58">
        <f t="shared" si="20"/>
        <v>0</v>
      </c>
      <c r="AL139" s="58">
        <f t="shared" si="21"/>
        <v>0</v>
      </c>
      <c r="AM139" s="58">
        <f t="shared" si="27"/>
        <v>0</v>
      </c>
      <c r="AN139" s="62">
        <f t="shared" si="28"/>
        <v>0</v>
      </c>
      <c r="AO139" s="61">
        <f t="shared" si="22"/>
        <v>0</v>
      </c>
      <c r="AP139" s="61">
        <f t="shared" si="23"/>
        <v>0</v>
      </c>
    </row>
    <row r="140" spans="3:42" s="17" customFormat="1" x14ac:dyDescent="0.25">
      <c r="C140" s="216" t="s">
        <v>229</v>
      </c>
      <c r="D140" s="217"/>
      <c r="E140" s="90"/>
      <c r="F140" s="198"/>
      <c r="G140" s="214"/>
      <c r="H140" s="199"/>
      <c r="I140" s="78"/>
      <c r="J140" s="79"/>
      <c r="K140" s="78"/>
      <c r="L140" s="113"/>
      <c r="M140" s="155"/>
      <c r="N140" s="114" t="str">
        <f>IFERROR(MIN(VLOOKUP(ROUNDDOWN(M140,0),'Aide calcul'!$B$2:$C$282,2,FALSE),L140+1),"")</f>
        <v/>
      </c>
      <c r="O140" s="115" t="str">
        <f t="shared" si="24"/>
        <v/>
      </c>
      <c r="P140" s="173"/>
      <c r="Q140" s="173"/>
      <c r="R140" s="173"/>
      <c r="S140" s="173"/>
      <c r="T140" s="173"/>
      <c r="U140" s="173"/>
      <c r="V140" s="173"/>
      <c r="W140" s="78"/>
      <c r="X140" s="78"/>
      <c r="Y140" s="116" t="str">
        <f>IFERROR(ROUND('Informations générales'!$D$66*(AE140/SUM($AE$27:$AE$403))/12,0)*12,"")</f>
        <v/>
      </c>
      <c r="Z140" s="117"/>
      <c r="AA140" s="116" t="str">
        <f t="shared" si="25"/>
        <v/>
      </c>
      <c r="AB140" s="78"/>
      <c r="AC140" s="92"/>
      <c r="AD140" s="78"/>
      <c r="AE140" s="58">
        <f t="shared" si="26"/>
        <v>0</v>
      </c>
      <c r="AF140" s="58">
        <f t="shared" si="15"/>
        <v>0</v>
      </c>
      <c r="AG140" s="58">
        <f t="shared" si="16"/>
        <v>0</v>
      </c>
      <c r="AH140" s="58">
        <f t="shared" si="17"/>
        <v>0</v>
      </c>
      <c r="AI140" s="58">
        <f t="shared" si="18"/>
        <v>0</v>
      </c>
      <c r="AJ140" s="58">
        <f t="shared" si="19"/>
        <v>0</v>
      </c>
      <c r="AK140" s="58">
        <f t="shared" si="20"/>
        <v>0</v>
      </c>
      <c r="AL140" s="58">
        <f t="shared" si="21"/>
        <v>0</v>
      </c>
      <c r="AM140" s="58">
        <f t="shared" si="27"/>
        <v>0</v>
      </c>
      <c r="AN140" s="62">
        <f t="shared" si="28"/>
        <v>0</v>
      </c>
      <c r="AO140" s="61">
        <f t="shared" si="22"/>
        <v>0</v>
      </c>
      <c r="AP140" s="61">
        <f t="shared" si="23"/>
        <v>0</v>
      </c>
    </row>
    <row r="141" spans="3:42" s="17" customFormat="1" x14ac:dyDescent="0.25">
      <c r="C141" s="216" t="s">
        <v>229</v>
      </c>
      <c r="D141" s="217"/>
      <c r="E141" s="90"/>
      <c r="F141" s="198"/>
      <c r="G141" s="214"/>
      <c r="H141" s="199"/>
      <c r="I141" s="78"/>
      <c r="J141" s="79"/>
      <c r="K141" s="78"/>
      <c r="L141" s="113"/>
      <c r="M141" s="155"/>
      <c r="N141" s="114" t="str">
        <f>IFERROR(MIN(VLOOKUP(ROUNDDOWN(M141,0),'Aide calcul'!$B$2:$C$282,2,FALSE),L141+1),"")</f>
        <v/>
      </c>
      <c r="O141" s="115" t="str">
        <f t="shared" si="24"/>
        <v/>
      </c>
      <c r="P141" s="173"/>
      <c r="Q141" s="173"/>
      <c r="R141" s="173"/>
      <c r="S141" s="173"/>
      <c r="T141" s="173"/>
      <c r="U141" s="173"/>
      <c r="V141" s="173"/>
      <c r="W141" s="78"/>
      <c r="X141" s="78"/>
      <c r="Y141" s="116" t="str">
        <f>IFERROR(ROUND('Informations générales'!$D$66*(AE141/SUM($AE$27:$AE$403))/12,0)*12,"")</f>
        <v/>
      </c>
      <c r="Z141" s="117"/>
      <c r="AA141" s="116" t="str">
        <f t="shared" si="25"/>
        <v/>
      </c>
      <c r="AB141" s="78"/>
      <c r="AC141" s="92"/>
      <c r="AD141" s="78"/>
      <c r="AE141" s="58">
        <f t="shared" si="26"/>
        <v>0</v>
      </c>
      <c r="AF141" s="58">
        <f t="shared" si="15"/>
        <v>0</v>
      </c>
      <c r="AG141" s="58">
        <f t="shared" si="16"/>
        <v>0</v>
      </c>
      <c r="AH141" s="58">
        <f t="shared" si="17"/>
        <v>0</v>
      </c>
      <c r="AI141" s="58">
        <f t="shared" si="18"/>
        <v>0</v>
      </c>
      <c r="AJ141" s="58">
        <f t="shared" si="19"/>
        <v>0</v>
      </c>
      <c r="AK141" s="58">
        <f t="shared" si="20"/>
        <v>0</v>
      </c>
      <c r="AL141" s="58">
        <f t="shared" si="21"/>
        <v>0</v>
      </c>
      <c r="AM141" s="58">
        <f t="shared" si="27"/>
        <v>0</v>
      </c>
      <c r="AN141" s="62">
        <f t="shared" si="28"/>
        <v>0</v>
      </c>
      <c r="AO141" s="61">
        <f t="shared" si="22"/>
        <v>0</v>
      </c>
      <c r="AP141" s="61">
        <f t="shared" si="23"/>
        <v>0</v>
      </c>
    </row>
    <row r="142" spans="3:42" s="17" customFormat="1" x14ac:dyDescent="0.25">
      <c r="C142" s="216" t="s">
        <v>229</v>
      </c>
      <c r="D142" s="217"/>
      <c r="E142" s="90"/>
      <c r="F142" s="198"/>
      <c r="G142" s="214"/>
      <c r="H142" s="199"/>
      <c r="I142" s="78"/>
      <c r="J142" s="79"/>
      <c r="K142" s="78"/>
      <c r="L142" s="113"/>
      <c r="M142" s="155"/>
      <c r="N142" s="114" t="str">
        <f>IFERROR(MIN(VLOOKUP(ROUNDDOWN(M142,0),'Aide calcul'!$B$2:$C$282,2,FALSE),L142+1),"")</f>
        <v/>
      </c>
      <c r="O142" s="115" t="str">
        <f t="shared" si="24"/>
        <v/>
      </c>
      <c r="P142" s="173"/>
      <c r="Q142" s="173"/>
      <c r="R142" s="173"/>
      <c r="S142" s="173"/>
      <c r="T142" s="173"/>
      <c r="U142" s="173"/>
      <c r="V142" s="173"/>
      <c r="W142" s="78"/>
      <c r="X142" s="78"/>
      <c r="Y142" s="116" t="str">
        <f>IFERROR(ROUND('Informations générales'!$D$66*(AE142/SUM($AE$27:$AE$403))/12,0)*12,"")</f>
        <v/>
      </c>
      <c r="Z142" s="117"/>
      <c r="AA142" s="116" t="str">
        <f t="shared" si="25"/>
        <v/>
      </c>
      <c r="AB142" s="78"/>
      <c r="AC142" s="92"/>
      <c r="AD142" s="78"/>
      <c r="AE142" s="58">
        <f t="shared" si="26"/>
        <v>0</v>
      </c>
      <c r="AF142" s="58">
        <f t="shared" si="15"/>
        <v>0</v>
      </c>
      <c r="AG142" s="58">
        <f t="shared" si="16"/>
        <v>0</v>
      </c>
      <c r="AH142" s="58">
        <f t="shared" si="17"/>
        <v>0</v>
      </c>
      <c r="AI142" s="58">
        <f t="shared" si="18"/>
        <v>0</v>
      </c>
      <c r="AJ142" s="58">
        <f t="shared" si="19"/>
        <v>0</v>
      </c>
      <c r="AK142" s="58">
        <f t="shared" si="20"/>
        <v>0</v>
      </c>
      <c r="AL142" s="58">
        <f t="shared" si="21"/>
        <v>0</v>
      </c>
      <c r="AM142" s="58">
        <f t="shared" si="27"/>
        <v>0</v>
      </c>
      <c r="AN142" s="62">
        <f t="shared" si="28"/>
        <v>0</v>
      </c>
      <c r="AO142" s="61">
        <f t="shared" si="22"/>
        <v>0</v>
      </c>
      <c r="AP142" s="61">
        <f t="shared" si="23"/>
        <v>0</v>
      </c>
    </row>
    <row r="143" spans="3:42" s="17" customFormat="1" x14ac:dyDescent="0.25">
      <c r="C143" s="216" t="s">
        <v>229</v>
      </c>
      <c r="D143" s="217"/>
      <c r="E143" s="90"/>
      <c r="F143" s="198"/>
      <c r="G143" s="214"/>
      <c r="H143" s="199"/>
      <c r="I143" s="78"/>
      <c r="J143" s="79"/>
      <c r="K143" s="78"/>
      <c r="L143" s="113"/>
      <c r="M143" s="155"/>
      <c r="N143" s="114" t="str">
        <f>IFERROR(MIN(VLOOKUP(ROUNDDOWN(M143,0),'Aide calcul'!$B$2:$C$282,2,FALSE),L143+1),"")</f>
        <v/>
      </c>
      <c r="O143" s="115" t="str">
        <f t="shared" si="24"/>
        <v/>
      </c>
      <c r="P143" s="173"/>
      <c r="Q143" s="173"/>
      <c r="R143" s="173"/>
      <c r="S143" s="173"/>
      <c r="T143" s="173"/>
      <c r="U143" s="173"/>
      <c r="V143" s="173"/>
      <c r="W143" s="78"/>
      <c r="X143" s="78"/>
      <c r="Y143" s="116" t="str">
        <f>IFERROR(ROUND('Informations générales'!$D$66*(AE143/SUM($AE$27:$AE$403))/12,0)*12,"")</f>
        <v/>
      </c>
      <c r="Z143" s="117"/>
      <c r="AA143" s="116" t="str">
        <f t="shared" si="25"/>
        <v/>
      </c>
      <c r="AB143" s="78"/>
      <c r="AC143" s="92"/>
      <c r="AD143" s="78"/>
      <c r="AE143" s="58">
        <f t="shared" si="26"/>
        <v>0</v>
      </c>
      <c r="AF143" s="58">
        <f t="shared" si="15"/>
        <v>0</v>
      </c>
      <c r="AG143" s="58">
        <f t="shared" si="16"/>
        <v>0</v>
      </c>
      <c r="AH143" s="58">
        <f t="shared" si="17"/>
        <v>0</v>
      </c>
      <c r="AI143" s="58">
        <f t="shared" si="18"/>
        <v>0</v>
      </c>
      <c r="AJ143" s="58">
        <f t="shared" si="19"/>
        <v>0</v>
      </c>
      <c r="AK143" s="58">
        <f t="shared" si="20"/>
        <v>0</v>
      </c>
      <c r="AL143" s="58">
        <f t="shared" si="21"/>
        <v>0</v>
      </c>
      <c r="AM143" s="58">
        <f t="shared" si="27"/>
        <v>0</v>
      </c>
      <c r="AN143" s="62">
        <f t="shared" si="28"/>
        <v>0</v>
      </c>
      <c r="AO143" s="61">
        <f t="shared" si="22"/>
        <v>0</v>
      </c>
      <c r="AP143" s="61">
        <f t="shared" si="23"/>
        <v>0</v>
      </c>
    </row>
    <row r="144" spans="3:42" s="17" customFormat="1" x14ac:dyDescent="0.25">
      <c r="C144" s="216" t="s">
        <v>229</v>
      </c>
      <c r="D144" s="217"/>
      <c r="E144" s="90"/>
      <c r="F144" s="198"/>
      <c r="G144" s="214"/>
      <c r="H144" s="199"/>
      <c r="I144" s="78"/>
      <c r="J144" s="79"/>
      <c r="K144" s="78"/>
      <c r="L144" s="113"/>
      <c r="M144" s="155"/>
      <c r="N144" s="114" t="str">
        <f>IFERROR(MIN(VLOOKUP(ROUNDDOWN(M144,0),'Aide calcul'!$B$2:$C$282,2,FALSE),L144+1),"")</f>
        <v/>
      </c>
      <c r="O144" s="115" t="str">
        <f t="shared" si="24"/>
        <v/>
      </c>
      <c r="P144" s="173"/>
      <c r="Q144" s="173"/>
      <c r="R144" s="173"/>
      <c r="S144" s="173"/>
      <c r="T144" s="173"/>
      <c r="U144" s="173"/>
      <c r="V144" s="173"/>
      <c r="W144" s="78"/>
      <c r="X144" s="78"/>
      <c r="Y144" s="116" t="str">
        <f>IFERROR(ROUND('Informations générales'!$D$66*(AE144/SUM($AE$27:$AE$403))/12,0)*12,"")</f>
        <v/>
      </c>
      <c r="Z144" s="117"/>
      <c r="AA144" s="116" t="str">
        <f t="shared" si="25"/>
        <v/>
      </c>
      <c r="AB144" s="78"/>
      <c r="AC144" s="92"/>
      <c r="AD144" s="78"/>
      <c r="AE144" s="58">
        <f t="shared" si="26"/>
        <v>0</v>
      </c>
      <c r="AF144" s="58">
        <f t="shared" si="15"/>
        <v>0</v>
      </c>
      <c r="AG144" s="58">
        <f t="shared" si="16"/>
        <v>0</v>
      </c>
      <c r="AH144" s="58">
        <f t="shared" si="17"/>
        <v>0</v>
      </c>
      <c r="AI144" s="58">
        <f t="shared" si="18"/>
        <v>0</v>
      </c>
      <c r="AJ144" s="58">
        <f t="shared" si="19"/>
        <v>0</v>
      </c>
      <c r="AK144" s="58">
        <f t="shared" si="20"/>
        <v>0</v>
      </c>
      <c r="AL144" s="58">
        <f t="shared" si="21"/>
        <v>0</v>
      </c>
      <c r="AM144" s="58">
        <f t="shared" si="27"/>
        <v>0</v>
      </c>
      <c r="AN144" s="62">
        <f t="shared" si="28"/>
        <v>0</v>
      </c>
      <c r="AO144" s="61">
        <f t="shared" si="22"/>
        <v>0</v>
      </c>
      <c r="AP144" s="61">
        <f t="shared" si="23"/>
        <v>0</v>
      </c>
    </row>
    <row r="145" spans="3:42" s="17" customFormat="1" x14ac:dyDescent="0.25">
      <c r="C145" s="216" t="s">
        <v>229</v>
      </c>
      <c r="D145" s="217"/>
      <c r="E145" s="90"/>
      <c r="F145" s="198"/>
      <c r="G145" s="214"/>
      <c r="H145" s="199"/>
      <c r="I145" s="78"/>
      <c r="J145" s="79"/>
      <c r="K145" s="78"/>
      <c r="L145" s="113"/>
      <c r="M145" s="155"/>
      <c r="N145" s="114" t="str">
        <f>IFERROR(MIN(VLOOKUP(ROUNDDOWN(M145,0),'Aide calcul'!$B$2:$C$282,2,FALSE),L145+1),"")</f>
        <v/>
      </c>
      <c r="O145" s="115" t="str">
        <f t="shared" si="24"/>
        <v/>
      </c>
      <c r="P145" s="173"/>
      <c r="Q145" s="173"/>
      <c r="R145" s="173"/>
      <c r="S145" s="173"/>
      <c r="T145" s="173"/>
      <c r="U145" s="173"/>
      <c r="V145" s="173"/>
      <c r="W145" s="78"/>
      <c r="X145" s="78"/>
      <c r="Y145" s="116" t="str">
        <f>IFERROR(ROUND('Informations générales'!$D$66*(AE145/SUM($AE$27:$AE$403))/12,0)*12,"")</f>
        <v/>
      </c>
      <c r="Z145" s="117"/>
      <c r="AA145" s="116" t="str">
        <f t="shared" si="25"/>
        <v/>
      </c>
      <c r="AB145" s="78"/>
      <c r="AC145" s="92"/>
      <c r="AD145" s="78"/>
      <c r="AE145" s="58">
        <f t="shared" si="26"/>
        <v>0</v>
      </c>
      <c r="AF145" s="58">
        <f t="shared" si="15"/>
        <v>0</v>
      </c>
      <c r="AG145" s="58">
        <f t="shared" si="16"/>
        <v>0</v>
      </c>
      <c r="AH145" s="58">
        <f t="shared" si="17"/>
        <v>0</v>
      </c>
      <c r="AI145" s="58">
        <f t="shared" si="18"/>
        <v>0</v>
      </c>
      <c r="AJ145" s="58">
        <f t="shared" si="19"/>
        <v>0</v>
      </c>
      <c r="AK145" s="58">
        <f t="shared" si="20"/>
        <v>0</v>
      </c>
      <c r="AL145" s="58">
        <f t="shared" si="21"/>
        <v>0</v>
      </c>
      <c r="AM145" s="58">
        <f t="shared" si="27"/>
        <v>0</v>
      </c>
      <c r="AN145" s="62">
        <f t="shared" si="28"/>
        <v>0</v>
      </c>
      <c r="AO145" s="61">
        <f t="shared" si="22"/>
        <v>0</v>
      </c>
      <c r="AP145" s="61">
        <f t="shared" si="23"/>
        <v>0</v>
      </c>
    </row>
    <row r="146" spans="3:42" s="17" customFormat="1" x14ac:dyDescent="0.25">
      <c r="C146" s="216" t="s">
        <v>229</v>
      </c>
      <c r="D146" s="217"/>
      <c r="E146" s="90"/>
      <c r="F146" s="198"/>
      <c r="G146" s="214"/>
      <c r="H146" s="199"/>
      <c r="I146" s="78"/>
      <c r="J146" s="79"/>
      <c r="K146" s="78"/>
      <c r="L146" s="113"/>
      <c r="M146" s="155"/>
      <c r="N146" s="114" t="str">
        <f>IFERROR(MIN(VLOOKUP(ROUNDDOWN(M146,0),'Aide calcul'!$B$2:$C$282,2,FALSE),L146+1),"")</f>
        <v/>
      </c>
      <c r="O146" s="115" t="str">
        <f t="shared" si="24"/>
        <v/>
      </c>
      <c r="P146" s="173"/>
      <c r="Q146" s="173"/>
      <c r="R146" s="173"/>
      <c r="S146" s="173"/>
      <c r="T146" s="173"/>
      <c r="U146" s="173"/>
      <c r="V146" s="173"/>
      <c r="W146" s="78"/>
      <c r="X146" s="78"/>
      <c r="Y146" s="116" t="str">
        <f>IFERROR(ROUND('Informations générales'!$D$66*(AE146/SUM($AE$27:$AE$403))/12,0)*12,"")</f>
        <v/>
      </c>
      <c r="Z146" s="117"/>
      <c r="AA146" s="116" t="str">
        <f t="shared" si="25"/>
        <v/>
      </c>
      <c r="AB146" s="78"/>
      <c r="AC146" s="92"/>
      <c r="AD146" s="78"/>
      <c r="AE146" s="58">
        <f t="shared" si="26"/>
        <v>0</v>
      </c>
      <c r="AF146" s="58">
        <f t="shared" si="15"/>
        <v>0</v>
      </c>
      <c r="AG146" s="58">
        <f t="shared" si="16"/>
        <v>0</v>
      </c>
      <c r="AH146" s="58">
        <f t="shared" si="17"/>
        <v>0</v>
      </c>
      <c r="AI146" s="58">
        <f t="shared" si="18"/>
        <v>0</v>
      </c>
      <c r="AJ146" s="58">
        <f t="shared" si="19"/>
        <v>0</v>
      </c>
      <c r="AK146" s="58">
        <f t="shared" si="20"/>
        <v>0</v>
      </c>
      <c r="AL146" s="58">
        <f t="shared" si="21"/>
        <v>0</v>
      </c>
      <c r="AM146" s="58">
        <f t="shared" si="27"/>
        <v>0</v>
      </c>
      <c r="AN146" s="62">
        <f t="shared" si="28"/>
        <v>0</v>
      </c>
      <c r="AO146" s="61">
        <f t="shared" si="22"/>
        <v>0</v>
      </c>
      <c r="AP146" s="61">
        <f t="shared" si="23"/>
        <v>0</v>
      </c>
    </row>
    <row r="147" spans="3:42" s="17" customFormat="1" x14ac:dyDescent="0.25">
      <c r="C147" s="216" t="s">
        <v>229</v>
      </c>
      <c r="D147" s="217"/>
      <c r="E147" s="90"/>
      <c r="F147" s="198"/>
      <c r="G147" s="214"/>
      <c r="H147" s="199"/>
      <c r="I147" s="78"/>
      <c r="J147" s="79"/>
      <c r="K147" s="78"/>
      <c r="L147" s="113"/>
      <c r="M147" s="155"/>
      <c r="N147" s="114" t="str">
        <f>IFERROR(MIN(VLOOKUP(ROUNDDOWN(M147,0),'Aide calcul'!$B$2:$C$282,2,FALSE),L147+1),"")</f>
        <v/>
      </c>
      <c r="O147" s="115" t="str">
        <f t="shared" si="24"/>
        <v/>
      </c>
      <c r="P147" s="173"/>
      <c r="Q147" s="173"/>
      <c r="R147" s="173"/>
      <c r="S147" s="173"/>
      <c r="T147" s="173"/>
      <c r="U147" s="173"/>
      <c r="V147" s="173"/>
      <c r="W147" s="78"/>
      <c r="X147" s="78"/>
      <c r="Y147" s="116" t="str">
        <f>IFERROR(ROUND('Informations générales'!$D$66*(AE147/SUM($AE$27:$AE$403))/12,0)*12,"")</f>
        <v/>
      </c>
      <c r="Z147" s="117"/>
      <c r="AA147" s="116" t="str">
        <f t="shared" si="25"/>
        <v/>
      </c>
      <c r="AB147" s="78"/>
      <c r="AC147" s="92"/>
      <c r="AD147" s="78"/>
      <c r="AE147" s="58">
        <f t="shared" si="26"/>
        <v>0</v>
      </c>
      <c r="AF147" s="58">
        <f t="shared" si="15"/>
        <v>0</v>
      </c>
      <c r="AG147" s="58">
        <f t="shared" si="16"/>
        <v>0</v>
      </c>
      <c r="AH147" s="58">
        <f t="shared" si="17"/>
        <v>0</v>
      </c>
      <c r="AI147" s="58">
        <f t="shared" si="18"/>
        <v>0</v>
      </c>
      <c r="AJ147" s="58">
        <f t="shared" si="19"/>
        <v>0</v>
      </c>
      <c r="AK147" s="58">
        <f t="shared" si="20"/>
        <v>0</v>
      </c>
      <c r="AL147" s="58">
        <f t="shared" si="21"/>
        <v>0</v>
      </c>
      <c r="AM147" s="58">
        <f t="shared" si="27"/>
        <v>0</v>
      </c>
      <c r="AN147" s="62">
        <f t="shared" si="28"/>
        <v>0</v>
      </c>
      <c r="AO147" s="61">
        <f t="shared" si="22"/>
        <v>0</v>
      </c>
      <c r="AP147" s="61">
        <f t="shared" si="23"/>
        <v>0</v>
      </c>
    </row>
    <row r="148" spans="3:42" s="17" customFormat="1" x14ac:dyDescent="0.25">
      <c r="C148" s="216" t="s">
        <v>229</v>
      </c>
      <c r="D148" s="217"/>
      <c r="E148" s="90"/>
      <c r="F148" s="198"/>
      <c r="G148" s="214"/>
      <c r="H148" s="199"/>
      <c r="I148" s="78"/>
      <c r="J148" s="79"/>
      <c r="K148" s="78"/>
      <c r="L148" s="113"/>
      <c r="M148" s="155"/>
      <c r="N148" s="114" t="str">
        <f>IFERROR(MIN(VLOOKUP(ROUNDDOWN(M148,0),'Aide calcul'!$B$2:$C$282,2,FALSE),L148+1),"")</f>
        <v/>
      </c>
      <c r="O148" s="115" t="str">
        <f t="shared" si="24"/>
        <v/>
      </c>
      <c r="P148" s="173"/>
      <c r="Q148" s="173"/>
      <c r="R148" s="173"/>
      <c r="S148" s="173"/>
      <c r="T148" s="173"/>
      <c r="U148" s="173"/>
      <c r="V148" s="173"/>
      <c r="W148" s="78"/>
      <c r="X148" s="78"/>
      <c r="Y148" s="116" t="str">
        <f>IFERROR(ROUND('Informations générales'!$D$66*(AE148/SUM($AE$27:$AE$403))/12,0)*12,"")</f>
        <v/>
      </c>
      <c r="Z148" s="117"/>
      <c r="AA148" s="116" t="str">
        <f t="shared" si="25"/>
        <v/>
      </c>
      <c r="AB148" s="78"/>
      <c r="AC148" s="92"/>
      <c r="AD148" s="78"/>
      <c r="AE148" s="58">
        <f t="shared" si="26"/>
        <v>0</v>
      </c>
      <c r="AF148" s="58">
        <f t="shared" si="15"/>
        <v>0</v>
      </c>
      <c r="AG148" s="58">
        <f t="shared" si="16"/>
        <v>0</v>
      </c>
      <c r="AH148" s="58">
        <f t="shared" si="17"/>
        <v>0</v>
      </c>
      <c r="AI148" s="58">
        <f t="shared" si="18"/>
        <v>0</v>
      </c>
      <c r="AJ148" s="58">
        <f t="shared" si="19"/>
        <v>0</v>
      </c>
      <c r="AK148" s="58">
        <f t="shared" si="20"/>
        <v>0</v>
      </c>
      <c r="AL148" s="58">
        <f t="shared" si="21"/>
        <v>0</v>
      </c>
      <c r="AM148" s="58">
        <f t="shared" si="27"/>
        <v>0</v>
      </c>
      <c r="AN148" s="62">
        <f t="shared" si="28"/>
        <v>0</v>
      </c>
      <c r="AO148" s="61">
        <f t="shared" si="22"/>
        <v>0</v>
      </c>
      <c r="AP148" s="61">
        <f t="shared" si="23"/>
        <v>0</v>
      </c>
    </row>
    <row r="149" spans="3:42" s="17" customFormat="1" x14ac:dyDescent="0.25">
      <c r="C149" s="216" t="s">
        <v>229</v>
      </c>
      <c r="D149" s="217"/>
      <c r="E149" s="90"/>
      <c r="F149" s="198"/>
      <c r="G149" s="214"/>
      <c r="H149" s="199"/>
      <c r="I149" s="78"/>
      <c r="J149" s="79"/>
      <c r="K149" s="78"/>
      <c r="L149" s="113"/>
      <c r="M149" s="155"/>
      <c r="N149" s="114" t="str">
        <f>IFERROR(MIN(VLOOKUP(ROUNDDOWN(M149,0),'Aide calcul'!$B$2:$C$282,2,FALSE),L149+1),"")</f>
        <v/>
      </c>
      <c r="O149" s="115" t="str">
        <f t="shared" si="24"/>
        <v/>
      </c>
      <c r="P149" s="173"/>
      <c r="Q149" s="173"/>
      <c r="R149" s="173"/>
      <c r="S149" s="173"/>
      <c r="T149" s="173"/>
      <c r="U149" s="173"/>
      <c r="V149" s="173"/>
      <c r="W149" s="78"/>
      <c r="X149" s="78"/>
      <c r="Y149" s="116" t="str">
        <f>IFERROR(ROUND('Informations générales'!$D$66*(AE149/SUM($AE$27:$AE$403))/12,0)*12,"")</f>
        <v/>
      </c>
      <c r="Z149" s="117"/>
      <c r="AA149" s="116" t="str">
        <f t="shared" si="25"/>
        <v/>
      </c>
      <c r="AB149" s="78"/>
      <c r="AC149" s="92"/>
      <c r="AD149" s="78"/>
      <c r="AE149" s="58">
        <f t="shared" si="26"/>
        <v>0</v>
      </c>
      <c r="AF149" s="58">
        <f t="shared" si="15"/>
        <v>0</v>
      </c>
      <c r="AG149" s="58">
        <f t="shared" si="16"/>
        <v>0</v>
      </c>
      <c r="AH149" s="58">
        <f t="shared" si="17"/>
        <v>0</v>
      </c>
      <c r="AI149" s="58">
        <f t="shared" si="18"/>
        <v>0</v>
      </c>
      <c r="AJ149" s="58">
        <f t="shared" si="19"/>
        <v>0</v>
      </c>
      <c r="AK149" s="58">
        <f t="shared" si="20"/>
        <v>0</v>
      </c>
      <c r="AL149" s="58">
        <f t="shared" si="21"/>
        <v>0</v>
      </c>
      <c r="AM149" s="58">
        <f t="shared" si="27"/>
        <v>0</v>
      </c>
      <c r="AN149" s="62">
        <f t="shared" si="28"/>
        <v>0</v>
      </c>
      <c r="AO149" s="61">
        <f t="shared" si="22"/>
        <v>0</v>
      </c>
      <c r="AP149" s="61">
        <f t="shared" si="23"/>
        <v>0</v>
      </c>
    </row>
    <row r="150" spans="3:42" s="17" customFormat="1" x14ac:dyDescent="0.25">
      <c r="C150" s="216" t="s">
        <v>229</v>
      </c>
      <c r="D150" s="217"/>
      <c r="E150" s="90"/>
      <c r="F150" s="198"/>
      <c r="G150" s="214"/>
      <c r="H150" s="199"/>
      <c r="I150" s="78"/>
      <c r="J150" s="79"/>
      <c r="K150" s="78"/>
      <c r="L150" s="113"/>
      <c r="M150" s="155"/>
      <c r="N150" s="114" t="str">
        <f>IFERROR(MIN(VLOOKUP(ROUNDDOWN(M150,0),'Aide calcul'!$B$2:$C$282,2,FALSE),L150+1),"")</f>
        <v/>
      </c>
      <c r="O150" s="115" t="str">
        <f t="shared" si="24"/>
        <v/>
      </c>
      <c r="P150" s="173"/>
      <c r="Q150" s="173"/>
      <c r="R150" s="173"/>
      <c r="S150" s="173"/>
      <c r="T150" s="173"/>
      <c r="U150" s="173"/>
      <c r="V150" s="173"/>
      <c r="W150" s="78"/>
      <c r="X150" s="78"/>
      <c r="Y150" s="116" t="str">
        <f>IFERROR(ROUND('Informations générales'!$D$66*(AE150/SUM($AE$27:$AE$403))/12,0)*12,"")</f>
        <v/>
      </c>
      <c r="Z150" s="117"/>
      <c r="AA150" s="116" t="str">
        <f t="shared" si="25"/>
        <v/>
      </c>
      <c r="AB150" s="78"/>
      <c r="AC150" s="92"/>
      <c r="AD150" s="78"/>
      <c r="AE150" s="58">
        <f t="shared" si="26"/>
        <v>0</v>
      </c>
      <c r="AF150" s="58">
        <f t="shared" si="15"/>
        <v>0</v>
      </c>
      <c r="AG150" s="58">
        <f t="shared" si="16"/>
        <v>0</v>
      </c>
      <c r="AH150" s="58">
        <f t="shared" si="17"/>
        <v>0</v>
      </c>
      <c r="AI150" s="58">
        <f t="shared" si="18"/>
        <v>0</v>
      </c>
      <c r="AJ150" s="58">
        <f t="shared" si="19"/>
        <v>0</v>
      </c>
      <c r="AK150" s="58">
        <f t="shared" si="20"/>
        <v>0</v>
      </c>
      <c r="AL150" s="58">
        <f t="shared" si="21"/>
        <v>0</v>
      </c>
      <c r="AM150" s="58">
        <f t="shared" si="27"/>
        <v>0</v>
      </c>
      <c r="AN150" s="62">
        <f t="shared" si="28"/>
        <v>0</v>
      </c>
      <c r="AO150" s="61">
        <f t="shared" si="22"/>
        <v>0</v>
      </c>
      <c r="AP150" s="61">
        <f t="shared" si="23"/>
        <v>0</v>
      </c>
    </row>
    <row r="151" spans="3:42" s="17" customFormat="1" x14ac:dyDescent="0.25">
      <c r="C151" s="216" t="s">
        <v>229</v>
      </c>
      <c r="D151" s="217"/>
      <c r="E151" s="90"/>
      <c r="F151" s="198"/>
      <c r="G151" s="214"/>
      <c r="H151" s="199"/>
      <c r="I151" s="78"/>
      <c r="J151" s="79"/>
      <c r="K151" s="78"/>
      <c r="L151" s="113"/>
      <c r="M151" s="155"/>
      <c r="N151" s="114" t="str">
        <f>IFERROR(MIN(VLOOKUP(ROUNDDOWN(M151,0),'Aide calcul'!$B$2:$C$282,2,FALSE),L151+1),"")</f>
        <v/>
      </c>
      <c r="O151" s="115" t="str">
        <f t="shared" si="24"/>
        <v/>
      </c>
      <c r="P151" s="173"/>
      <c r="Q151" s="173"/>
      <c r="R151" s="173"/>
      <c r="S151" s="173"/>
      <c r="T151" s="173"/>
      <c r="U151" s="173"/>
      <c r="V151" s="173"/>
      <c r="W151" s="78"/>
      <c r="X151" s="78"/>
      <c r="Y151" s="116" t="str">
        <f>IFERROR(ROUND('Informations générales'!$D$66*(AE151/SUM($AE$27:$AE$403))/12,0)*12,"")</f>
        <v/>
      </c>
      <c r="Z151" s="117"/>
      <c r="AA151" s="116" t="str">
        <f t="shared" si="25"/>
        <v/>
      </c>
      <c r="AB151" s="78"/>
      <c r="AC151" s="92"/>
      <c r="AD151" s="78"/>
      <c r="AE151" s="58">
        <f t="shared" si="26"/>
        <v>0</v>
      </c>
      <c r="AF151" s="58">
        <f t="shared" si="15"/>
        <v>0</v>
      </c>
      <c r="AG151" s="58">
        <f t="shared" si="16"/>
        <v>0</v>
      </c>
      <c r="AH151" s="58">
        <f t="shared" si="17"/>
        <v>0</v>
      </c>
      <c r="AI151" s="58">
        <f t="shared" si="18"/>
        <v>0</v>
      </c>
      <c r="AJ151" s="58">
        <f t="shared" si="19"/>
        <v>0</v>
      </c>
      <c r="AK151" s="58">
        <f t="shared" si="20"/>
        <v>0</v>
      </c>
      <c r="AL151" s="58">
        <f t="shared" si="21"/>
        <v>0</v>
      </c>
      <c r="AM151" s="58">
        <f t="shared" si="27"/>
        <v>0</v>
      </c>
      <c r="AN151" s="62">
        <f t="shared" si="28"/>
        <v>0</v>
      </c>
      <c r="AO151" s="61">
        <f t="shared" si="22"/>
        <v>0</v>
      </c>
      <c r="AP151" s="61">
        <f t="shared" si="23"/>
        <v>0</v>
      </c>
    </row>
    <row r="152" spans="3:42" s="17" customFormat="1" x14ac:dyDescent="0.25">
      <c r="C152" s="216" t="s">
        <v>229</v>
      </c>
      <c r="D152" s="217"/>
      <c r="E152" s="90"/>
      <c r="F152" s="198"/>
      <c r="G152" s="214"/>
      <c r="H152" s="199"/>
      <c r="I152" s="78"/>
      <c r="J152" s="79"/>
      <c r="K152" s="78"/>
      <c r="L152" s="113"/>
      <c r="M152" s="155"/>
      <c r="N152" s="114" t="str">
        <f>IFERROR(MIN(VLOOKUP(ROUNDDOWN(M152,0),'Aide calcul'!$B$2:$C$282,2,FALSE),L152+1),"")</f>
        <v/>
      </c>
      <c r="O152" s="115" t="str">
        <f t="shared" si="24"/>
        <v/>
      </c>
      <c r="P152" s="173"/>
      <c r="Q152" s="173"/>
      <c r="R152" s="173"/>
      <c r="S152" s="173"/>
      <c r="T152" s="173"/>
      <c r="U152" s="173"/>
      <c r="V152" s="173"/>
      <c r="W152" s="78"/>
      <c r="X152" s="78"/>
      <c r="Y152" s="116" t="str">
        <f>IFERROR(ROUND('Informations générales'!$D$66*(AE152/SUM($AE$27:$AE$403))/12,0)*12,"")</f>
        <v/>
      </c>
      <c r="Z152" s="117"/>
      <c r="AA152" s="116" t="str">
        <f t="shared" si="25"/>
        <v/>
      </c>
      <c r="AB152" s="78"/>
      <c r="AC152" s="92"/>
      <c r="AD152" s="78"/>
      <c r="AE152" s="58">
        <f t="shared" si="26"/>
        <v>0</v>
      </c>
      <c r="AF152" s="58">
        <f t="shared" si="15"/>
        <v>0</v>
      </c>
      <c r="AG152" s="58">
        <f t="shared" si="16"/>
        <v>0</v>
      </c>
      <c r="AH152" s="58">
        <f t="shared" si="17"/>
        <v>0</v>
      </c>
      <c r="AI152" s="58">
        <f t="shared" si="18"/>
        <v>0</v>
      </c>
      <c r="AJ152" s="58">
        <f t="shared" si="19"/>
        <v>0</v>
      </c>
      <c r="AK152" s="58">
        <f t="shared" si="20"/>
        <v>0</v>
      </c>
      <c r="AL152" s="58">
        <f t="shared" si="21"/>
        <v>0</v>
      </c>
      <c r="AM152" s="58">
        <f t="shared" si="27"/>
        <v>0</v>
      </c>
      <c r="AN152" s="62">
        <f t="shared" si="28"/>
        <v>0</v>
      </c>
      <c r="AO152" s="61">
        <f t="shared" si="22"/>
        <v>0</v>
      </c>
      <c r="AP152" s="61">
        <f t="shared" si="23"/>
        <v>0</v>
      </c>
    </row>
    <row r="153" spans="3:42" s="17" customFormat="1" x14ac:dyDescent="0.25">
      <c r="C153" s="216" t="s">
        <v>229</v>
      </c>
      <c r="D153" s="217"/>
      <c r="E153" s="90"/>
      <c r="F153" s="198"/>
      <c r="G153" s="214"/>
      <c r="H153" s="199"/>
      <c r="I153" s="78"/>
      <c r="J153" s="79"/>
      <c r="K153" s="78"/>
      <c r="L153" s="113"/>
      <c r="M153" s="155"/>
      <c r="N153" s="114" t="str">
        <f>IFERROR(MIN(VLOOKUP(ROUNDDOWN(M153,0),'Aide calcul'!$B$2:$C$282,2,FALSE),L153+1),"")</f>
        <v/>
      </c>
      <c r="O153" s="115" t="str">
        <f t="shared" si="24"/>
        <v/>
      </c>
      <c r="P153" s="173"/>
      <c r="Q153" s="173"/>
      <c r="R153" s="173"/>
      <c r="S153" s="173"/>
      <c r="T153" s="173"/>
      <c r="U153" s="173"/>
      <c r="V153" s="173"/>
      <c r="W153" s="78"/>
      <c r="X153" s="78"/>
      <c r="Y153" s="116" t="str">
        <f>IFERROR(ROUND('Informations générales'!$D$66*(AE153/SUM($AE$27:$AE$403))/12,0)*12,"")</f>
        <v/>
      </c>
      <c r="Z153" s="117"/>
      <c r="AA153" s="116" t="str">
        <f t="shared" si="25"/>
        <v/>
      </c>
      <c r="AB153" s="78"/>
      <c r="AC153" s="92"/>
      <c r="AD153" s="78"/>
      <c r="AE153" s="58">
        <f t="shared" si="26"/>
        <v>0</v>
      </c>
      <c r="AF153" s="58">
        <f t="shared" si="15"/>
        <v>0</v>
      </c>
      <c r="AG153" s="58">
        <f t="shared" si="16"/>
        <v>0</v>
      </c>
      <c r="AH153" s="58">
        <f t="shared" si="17"/>
        <v>0</v>
      </c>
      <c r="AI153" s="58">
        <f t="shared" si="18"/>
        <v>0</v>
      </c>
      <c r="AJ153" s="58">
        <f t="shared" si="19"/>
        <v>0</v>
      </c>
      <c r="AK153" s="58">
        <f t="shared" si="20"/>
        <v>0</v>
      </c>
      <c r="AL153" s="58">
        <f t="shared" si="21"/>
        <v>0</v>
      </c>
      <c r="AM153" s="58">
        <f t="shared" si="27"/>
        <v>0</v>
      </c>
      <c r="AN153" s="62">
        <f t="shared" si="28"/>
        <v>0</v>
      </c>
      <c r="AO153" s="61">
        <f t="shared" si="22"/>
        <v>0</v>
      </c>
      <c r="AP153" s="61">
        <f t="shared" si="23"/>
        <v>0</v>
      </c>
    </row>
    <row r="154" spans="3:42" s="17" customFormat="1" x14ac:dyDescent="0.25">
      <c r="C154" s="216" t="s">
        <v>229</v>
      </c>
      <c r="D154" s="217"/>
      <c r="E154" s="90"/>
      <c r="F154" s="198"/>
      <c r="G154" s="214"/>
      <c r="H154" s="199"/>
      <c r="I154" s="78"/>
      <c r="J154" s="79"/>
      <c r="K154" s="78"/>
      <c r="L154" s="113"/>
      <c r="M154" s="155"/>
      <c r="N154" s="114" t="str">
        <f>IFERROR(MIN(VLOOKUP(ROUNDDOWN(M154,0),'Aide calcul'!$B$2:$C$282,2,FALSE),L154+1),"")</f>
        <v/>
      </c>
      <c r="O154" s="115" t="str">
        <f t="shared" si="24"/>
        <v/>
      </c>
      <c r="P154" s="173"/>
      <c r="Q154" s="173"/>
      <c r="R154" s="173"/>
      <c r="S154" s="173"/>
      <c r="T154" s="173"/>
      <c r="U154" s="173"/>
      <c r="V154" s="173"/>
      <c r="W154" s="78"/>
      <c r="X154" s="78"/>
      <c r="Y154" s="116" t="str">
        <f>IFERROR(ROUND('Informations générales'!$D$66*(AE154/SUM($AE$27:$AE$403))/12,0)*12,"")</f>
        <v/>
      </c>
      <c r="Z154" s="117"/>
      <c r="AA154" s="116" t="str">
        <f t="shared" si="25"/>
        <v/>
      </c>
      <c r="AB154" s="78"/>
      <c r="AC154" s="92"/>
      <c r="AD154" s="78"/>
      <c r="AE154" s="58">
        <f t="shared" si="26"/>
        <v>0</v>
      </c>
      <c r="AF154" s="58">
        <f t="shared" si="15"/>
        <v>0</v>
      </c>
      <c r="AG154" s="58">
        <f t="shared" si="16"/>
        <v>0</v>
      </c>
      <c r="AH154" s="58">
        <f t="shared" si="17"/>
        <v>0</v>
      </c>
      <c r="AI154" s="58">
        <f t="shared" si="18"/>
        <v>0</v>
      </c>
      <c r="AJ154" s="58">
        <f t="shared" si="19"/>
        <v>0</v>
      </c>
      <c r="AK154" s="58">
        <f t="shared" si="20"/>
        <v>0</v>
      </c>
      <c r="AL154" s="58">
        <f t="shared" si="21"/>
        <v>0</v>
      </c>
      <c r="AM154" s="58">
        <f t="shared" si="27"/>
        <v>0</v>
      </c>
      <c r="AN154" s="62">
        <f t="shared" si="28"/>
        <v>0</v>
      </c>
      <c r="AO154" s="61">
        <f t="shared" si="22"/>
        <v>0</v>
      </c>
      <c r="AP154" s="61">
        <f t="shared" si="23"/>
        <v>0</v>
      </c>
    </row>
    <row r="155" spans="3:42" s="17" customFormat="1" x14ac:dyDescent="0.25">
      <c r="C155" s="216" t="s">
        <v>229</v>
      </c>
      <c r="D155" s="217"/>
      <c r="E155" s="90"/>
      <c r="F155" s="198"/>
      <c r="G155" s="214"/>
      <c r="H155" s="199"/>
      <c r="I155" s="78"/>
      <c r="J155" s="79"/>
      <c r="K155" s="78"/>
      <c r="L155" s="113"/>
      <c r="M155" s="155"/>
      <c r="N155" s="114" t="str">
        <f>IFERROR(MIN(VLOOKUP(ROUNDDOWN(M155,0),'Aide calcul'!$B$2:$C$282,2,FALSE),L155+1),"")</f>
        <v/>
      </c>
      <c r="O155" s="115" t="str">
        <f t="shared" si="24"/>
        <v/>
      </c>
      <c r="P155" s="173"/>
      <c r="Q155" s="173"/>
      <c r="R155" s="173"/>
      <c r="S155" s="173"/>
      <c r="T155" s="173"/>
      <c r="U155" s="173"/>
      <c r="V155" s="173"/>
      <c r="W155" s="78"/>
      <c r="X155" s="78"/>
      <c r="Y155" s="116" t="str">
        <f>IFERROR(ROUND('Informations générales'!$D$66*(AE155/SUM($AE$27:$AE$403))/12,0)*12,"")</f>
        <v/>
      </c>
      <c r="Z155" s="117"/>
      <c r="AA155" s="116" t="str">
        <f t="shared" si="25"/>
        <v/>
      </c>
      <c r="AB155" s="78"/>
      <c r="AC155" s="92"/>
      <c r="AD155" s="78"/>
      <c r="AE155" s="58">
        <f t="shared" si="26"/>
        <v>0</v>
      </c>
      <c r="AF155" s="58">
        <f t="shared" ref="AF155:AF218" si="29">P155*$E$13</f>
        <v>0</v>
      </c>
      <c r="AG155" s="58">
        <f t="shared" ref="AG155:AG218" si="30">Q155*$E$14</f>
        <v>0</v>
      </c>
      <c r="AH155" s="58">
        <f t="shared" ref="AH155:AH218" si="31">R155*$E$15</f>
        <v>0</v>
      </c>
      <c r="AI155" s="58">
        <f t="shared" ref="AI155:AI218" si="32">S155*$E$16</f>
        <v>0</v>
      </c>
      <c r="AJ155" s="58">
        <f t="shared" ref="AJ155:AJ218" si="33">T155*$E$17</f>
        <v>0</v>
      </c>
      <c r="AK155" s="58">
        <f t="shared" ref="AK155:AK218" si="34">U155*$E$18</f>
        <v>0</v>
      </c>
      <c r="AL155" s="58">
        <f t="shared" ref="AL155:AL218" si="35">V155*$E$19</f>
        <v>0</v>
      </c>
      <c r="AM155" s="58">
        <f t="shared" si="27"/>
        <v>0</v>
      </c>
      <c r="AN155" s="62">
        <f t="shared" si="28"/>
        <v>0</v>
      </c>
      <c r="AO155" s="61">
        <f t="shared" ref="AO155:AO218" si="36">IFERROR(VLOOKUP(W155,$H$12:$I$22,2,FALSE),0)</f>
        <v>0</v>
      </c>
      <c r="AP155" s="61">
        <f t="shared" ref="AP155:AP218" si="37">IFERROR(VLOOKUP(X155,$L$12:$N$19,3,FALSE),0)</f>
        <v>0</v>
      </c>
    </row>
    <row r="156" spans="3:42" s="17" customFormat="1" x14ac:dyDescent="0.25">
      <c r="C156" s="216" t="s">
        <v>229</v>
      </c>
      <c r="D156" s="217"/>
      <c r="E156" s="90"/>
      <c r="F156" s="198"/>
      <c r="G156" s="214"/>
      <c r="H156" s="199"/>
      <c r="I156" s="78"/>
      <c r="J156" s="79"/>
      <c r="K156" s="78"/>
      <c r="L156" s="113"/>
      <c r="M156" s="155"/>
      <c r="N156" s="114" t="str">
        <f>IFERROR(MIN(VLOOKUP(ROUNDDOWN(M156,0),'Aide calcul'!$B$2:$C$282,2,FALSE),L156+1),"")</f>
        <v/>
      </c>
      <c r="O156" s="115" t="str">
        <f t="shared" ref="O156:O219" si="38">IFERROR(TRUNC(N156-0.5),"")</f>
        <v/>
      </c>
      <c r="P156" s="173"/>
      <c r="Q156" s="173"/>
      <c r="R156" s="173"/>
      <c r="S156" s="173"/>
      <c r="T156" s="173"/>
      <c r="U156" s="173"/>
      <c r="V156" s="173"/>
      <c r="W156" s="78"/>
      <c r="X156" s="78"/>
      <c r="Y156" s="116" t="str">
        <f>IFERROR(ROUND('Informations générales'!$D$66*(AE156/SUM($AE$27:$AE$403))/12,0)*12,"")</f>
        <v/>
      </c>
      <c r="Z156" s="117"/>
      <c r="AA156" s="116" t="str">
        <f t="shared" ref="AA156:AA219" si="39">IFERROR(Y156/AM156,"")</f>
        <v/>
      </c>
      <c r="AB156" s="78"/>
      <c r="AC156" s="92"/>
      <c r="AD156" s="78"/>
      <c r="AE156" s="58">
        <f t="shared" ref="AE156:AE219" si="40">AM156*(SUM(1,AN156,AO156,AP156))</f>
        <v>0</v>
      </c>
      <c r="AF156" s="58">
        <f t="shared" si="29"/>
        <v>0</v>
      </c>
      <c r="AG156" s="58">
        <f t="shared" si="30"/>
        <v>0</v>
      </c>
      <c r="AH156" s="58">
        <f t="shared" si="31"/>
        <v>0</v>
      </c>
      <c r="AI156" s="58">
        <f t="shared" si="32"/>
        <v>0</v>
      </c>
      <c r="AJ156" s="58">
        <f t="shared" si="33"/>
        <v>0</v>
      </c>
      <c r="AK156" s="58">
        <f t="shared" si="34"/>
        <v>0</v>
      </c>
      <c r="AL156" s="58">
        <f t="shared" si="35"/>
        <v>0</v>
      </c>
      <c r="AM156" s="58">
        <f t="shared" ref="AM156:AM219" si="41">SUM(AF156:AL156)</f>
        <v>0</v>
      </c>
      <c r="AN156" s="62">
        <f t="shared" ref="AN156:AN219" si="42">IFERROR(I156*$E$12,0)</f>
        <v>0</v>
      </c>
      <c r="AO156" s="61">
        <f t="shared" si="36"/>
        <v>0</v>
      </c>
      <c r="AP156" s="61">
        <f t="shared" si="37"/>
        <v>0</v>
      </c>
    </row>
    <row r="157" spans="3:42" s="17" customFormat="1" x14ac:dyDescent="0.25">
      <c r="C157" s="216" t="s">
        <v>229</v>
      </c>
      <c r="D157" s="217"/>
      <c r="E157" s="90"/>
      <c r="F157" s="198"/>
      <c r="G157" s="214"/>
      <c r="H157" s="199"/>
      <c r="I157" s="78"/>
      <c r="J157" s="79"/>
      <c r="K157" s="78"/>
      <c r="L157" s="113"/>
      <c r="M157" s="155"/>
      <c r="N157" s="114" t="str">
        <f>IFERROR(MIN(VLOOKUP(ROUNDDOWN(M157,0),'Aide calcul'!$B$2:$C$282,2,FALSE),L157+1),"")</f>
        <v/>
      </c>
      <c r="O157" s="115" t="str">
        <f t="shared" si="38"/>
        <v/>
      </c>
      <c r="P157" s="173"/>
      <c r="Q157" s="173"/>
      <c r="R157" s="173"/>
      <c r="S157" s="173"/>
      <c r="T157" s="173"/>
      <c r="U157" s="173"/>
      <c r="V157" s="173"/>
      <c r="W157" s="78"/>
      <c r="X157" s="78"/>
      <c r="Y157" s="116" t="str">
        <f>IFERROR(ROUND('Informations générales'!$D$66*(AE157/SUM($AE$27:$AE$403))/12,0)*12,"")</f>
        <v/>
      </c>
      <c r="Z157" s="117"/>
      <c r="AA157" s="116" t="str">
        <f t="shared" si="39"/>
        <v/>
      </c>
      <c r="AB157" s="78"/>
      <c r="AC157" s="92"/>
      <c r="AD157" s="78"/>
      <c r="AE157" s="58">
        <f t="shared" si="40"/>
        <v>0</v>
      </c>
      <c r="AF157" s="58">
        <f t="shared" si="29"/>
        <v>0</v>
      </c>
      <c r="AG157" s="58">
        <f t="shared" si="30"/>
        <v>0</v>
      </c>
      <c r="AH157" s="58">
        <f t="shared" si="31"/>
        <v>0</v>
      </c>
      <c r="AI157" s="58">
        <f t="shared" si="32"/>
        <v>0</v>
      </c>
      <c r="AJ157" s="58">
        <f t="shared" si="33"/>
        <v>0</v>
      </c>
      <c r="AK157" s="58">
        <f t="shared" si="34"/>
        <v>0</v>
      </c>
      <c r="AL157" s="58">
        <f t="shared" si="35"/>
        <v>0</v>
      </c>
      <c r="AM157" s="58">
        <f t="shared" si="41"/>
        <v>0</v>
      </c>
      <c r="AN157" s="62">
        <f t="shared" si="42"/>
        <v>0</v>
      </c>
      <c r="AO157" s="61">
        <f t="shared" si="36"/>
        <v>0</v>
      </c>
      <c r="AP157" s="61">
        <f t="shared" si="37"/>
        <v>0</v>
      </c>
    </row>
    <row r="158" spans="3:42" s="17" customFormat="1" x14ac:dyDescent="0.25">
      <c r="C158" s="216" t="s">
        <v>229</v>
      </c>
      <c r="D158" s="217"/>
      <c r="E158" s="90"/>
      <c r="F158" s="198"/>
      <c r="G158" s="214"/>
      <c r="H158" s="199"/>
      <c r="I158" s="78"/>
      <c r="J158" s="79"/>
      <c r="K158" s="78"/>
      <c r="L158" s="113"/>
      <c r="M158" s="155"/>
      <c r="N158" s="114" t="str">
        <f>IFERROR(MIN(VLOOKUP(ROUNDDOWN(M158,0),'Aide calcul'!$B$2:$C$282,2,FALSE),L158+1),"")</f>
        <v/>
      </c>
      <c r="O158" s="115" t="str">
        <f t="shared" si="38"/>
        <v/>
      </c>
      <c r="P158" s="173"/>
      <c r="Q158" s="173"/>
      <c r="R158" s="173"/>
      <c r="S158" s="173"/>
      <c r="T158" s="173"/>
      <c r="U158" s="173"/>
      <c r="V158" s="173"/>
      <c r="W158" s="78"/>
      <c r="X158" s="78"/>
      <c r="Y158" s="116" t="str">
        <f>IFERROR(ROUND('Informations générales'!$D$66*(AE158/SUM($AE$27:$AE$403))/12,0)*12,"")</f>
        <v/>
      </c>
      <c r="Z158" s="117"/>
      <c r="AA158" s="116" t="str">
        <f t="shared" si="39"/>
        <v/>
      </c>
      <c r="AB158" s="78"/>
      <c r="AC158" s="92"/>
      <c r="AD158" s="78"/>
      <c r="AE158" s="58">
        <f t="shared" si="40"/>
        <v>0</v>
      </c>
      <c r="AF158" s="58">
        <f t="shared" si="29"/>
        <v>0</v>
      </c>
      <c r="AG158" s="58">
        <f t="shared" si="30"/>
        <v>0</v>
      </c>
      <c r="AH158" s="58">
        <f t="shared" si="31"/>
        <v>0</v>
      </c>
      <c r="AI158" s="58">
        <f t="shared" si="32"/>
        <v>0</v>
      </c>
      <c r="AJ158" s="58">
        <f t="shared" si="33"/>
        <v>0</v>
      </c>
      <c r="AK158" s="58">
        <f t="shared" si="34"/>
        <v>0</v>
      </c>
      <c r="AL158" s="58">
        <f t="shared" si="35"/>
        <v>0</v>
      </c>
      <c r="AM158" s="58">
        <f t="shared" si="41"/>
        <v>0</v>
      </c>
      <c r="AN158" s="62">
        <f t="shared" si="42"/>
        <v>0</v>
      </c>
      <c r="AO158" s="61">
        <f t="shared" si="36"/>
        <v>0</v>
      </c>
      <c r="AP158" s="61">
        <f t="shared" si="37"/>
        <v>0</v>
      </c>
    </row>
    <row r="159" spans="3:42" s="17" customFormat="1" x14ac:dyDescent="0.25">
      <c r="C159" s="216" t="s">
        <v>229</v>
      </c>
      <c r="D159" s="217"/>
      <c r="E159" s="90"/>
      <c r="F159" s="198"/>
      <c r="G159" s="214"/>
      <c r="H159" s="199"/>
      <c r="I159" s="78"/>
      <c r="J159" s="79"/>
      <c r="K159" s="78"/>
      <c r="L159" s="113"/>
      <c r="M159" s="155"/>
      <c r="N159" s="114" t="str">
        <f>IFERROR(MIN(VLOOKUP(ROUNDDOWN(M159,0),'Aide calcul'!$B$2:$C$282,2,FALSE),L159+1),"")</f>
        <v/>
      </c>
      <c r="O159" s="115" t="str">
        <f t="shared" si="38"/>
        <v/>
      </c>
      <c r="P159" s="173"/>
      <c r="Q159" s="173"/>
      <c r="R159" s="173"/>
      <c r="S159" s="173"/>
      <c r="T159" s="173"/>
      <c r="U159" s="173"/>
      <c r="V159" s="173"/>
      <c r="W159" s="78"/>
      <c r="X159" s="78"/>
      <c r="Y159" s="116" t="str">
        <f>IFERROR(ROUND('Informations générales'!$D$66*(AE159/SUM($AE$27:$AE$403))/12,0)*12,"")</f>
        <v/>
      </c>
      <c r="Z159" s="117"/>
      <c r="AA159" s="116" t="str">
        <f t="shared" si="39"/>
        <v/>
      </c>
      <c r="AB159" s="78"/>
      <c r="AC159" s="92"/>
      <c r="AD159" s="78"/>
      <c r="AE159" s="58">
        <f t="shared" si="40"/>
        <v>0</v>
      </c>
      <c r="AF159" s="58">
        <f t="shared" si="29"/>
        <v>0</v>
      </c>
      <c r="AG159" s="58">
        <f t="shared" si="30"/>
        <v>0</v>
      </c>
      <c r="AH159" s="58">
        <f t="shared" si="31"/>
        <v>0</v>
      </c>
      <c r="AI159" s="58">
        <f t="shared" si="32"/>
        <v>0</v>
      </c>
      <c r="AJ159" s="58">
        <f t="shared" si="33"/>
        <v>0</v>
      </c>
      <c r="AK159" s="58">
        <f t="shared" si="34"/>
        <v>0</v>
      </c>
      <c r="AL159" s="58">
        <f t="shared" si="35"/>
        <v>0</v>
      </c>
      <c r="AM159" s="58">
        <f t="shared" si="41"/>
        <v>0</v>
      </c>
      <c r="AN159" s="62">
        <f t="shared" si="42"/>
        <v>0</v>
      </c>
      <c r="AO159" s="61">
        <f t="shared" si="36"/>
        <v>0</v>
      </c>
      <c r="AP159" s="61">
        <f t="shared" si="37"/>
        <v>0</v>
      </c>
    </row>
    <row r="160" spans="3:42" s="17" customFormat="1" x14ac:dyDescent="0.25">
      <c r="C160" s="216" t="s">
        <v>229</v>
      </c>
      <c r="D160" s="217"/>
      <c r="E160" s="90"/>
      <c r="F160" s="198"/>
      <c r="G160" s="214"/>
      <c r="H160" s="199"/>
      <c r="I160" s="78"/>
      <c r="J160" s="79"/>
      <c r="K160" s="78"/>
      <c r="L160" s="113"/>
      <c r="M160" s="155"/>
      <c r="N160" s="114" t="str">
        <f>IFERROR(MIN(VLOOKUP(ROUNDDOWN(M160,0),'Aide calcul'!$B$2:$C$282,2,FALSE),L160+1),"")</f>
        <v/>
      </c>
      <c r="O160" s="115" t="str">
        <f t="shared" si="38"/>
        <v/>
      </c>
      <c r="P160" s="173"/>
      <c r="Q160" s="173"/>
      <c r="R160" s="173"/>
      <c r="S160" s="173"/>
      <c r="T160" s="173"/>
      <c r="U160" s="173"/>
      <c r="V160" s="173"/>
      <c r="W160" s="78"/>
      <c r="X160" s="78"/>
      <c r="Y160" s="116" t="str">
        <f>IFERROR(ROUND('Informations générales'!$D$66*(AE160/SUM($AE$27:$AE$403))/12,0)*12,"")</f>
        <v/>
      </c>
      <c r="Z160" s="117"/>
      <c r="AA160" s="116" t="str">
        <f t="shared" si="39"/>
        <v/>
      </c>
      <c r="AB160" s="78"/>
      <c r="AC160" s="92"/>
      <c r="AD160" s="78"/>
      <c r="AE160" s="58">
        <f t="shared" si="40"/>
        <v>0</v>
      </c>
      <c r="AF160" s="58">
        <f t="shared" si="29"/>
        <v>0</v>
      </c>
      <c r="AG160" s="58">
        <f t="shared" si="30"/>
        <v>0</v>
      </c>
      <c r="AH160" s="58">
        <f t="shared" si="31"/>
        <v>0</v>
      </c>
      <c r="AI160" s="58">
        <f t="shared" si="32"/>
        <v>0</v>
      </c>
      <c r="AJ160" s="58">
        <f t="shared" si="33"/>
        <v>0</v>
      </c>
      <c r="AK160" s="58">
        <f t="shared" si="34"/>
        <v>0</v>
      </c>
      <c r="AL160" s="58">
        <f t="shared" si="35"/>
        <v>0</v>
      </c>
      <c r="AM160" s="58">
        <f t="shared" si="41"/>
        <v>0</v>
      </c>
      <c r="AN160" s="62">
        <f t="shared" si="42"/>
        <v>0</v>
      </c>
      <c r="AO160" s="61">
        <f t="shared" si="36"/>
        <v>0</v>
      </c>
      <c r="AP160" s="61">
        <f t="shared" si="37"/>
        <v>0</v>
      </c>
    </row>
    <row r="161" spans="3:42" s="17" customFormat="1" x14ac:dyDescent="0.25">
      <c r="C161" s="216" t="s">
        <v>229</v>
      </c>
      <c r="D161" s="217"/>
      <c r="E161" s="90"/>
      <c r="F161" s="198"/>
      <c r="G161" s="214"/>
      <c r="H161" s="199"/>
      <c r="I161" s="78"/>
      <c r="J161" s="79"/>
      <c r="K161" s="78"/>
      <c r="L161" s="113"/>
      <c r="M161" s="155"/>
      <c r="N161" s="114" t="str">
        <f>IFERROR(MIN(VLOOKUP(ROUNDDOWN(M161,0),'Aide calcul'!$B$2:$C$282,2,FALSE),L161+1),"")</f>
        <v/>
      </c>
      <c r="O161" s="115" t="str">
        <f t="shared" si="38"/>
        <v/>
      </c>
      <c r="P161" s="173"/>
      <c r="Q161" s="173"/>
      <c r="R161" s="173"/>
      <c r="S161" s="173"/>
      <c r="T161" s="173"/>
      <c r="U161" s="173"/>
      <c r="V161" s="173"/>
      <c r="W161" s="78"/>
      <c r="X161" s="78"/>
      <c r="Y161" s="116" t="str">
        <f>IFERROR(ROUND('Informations générales'!$D$66*(AE161/SUM($AE$27:$AE$403))/12,0)*12,"")</f>
        <v/>
      </c>
      <c r="Z161" s="117"/>
      <c r="AA161" s="116" t="str">
        <f t="shared" si="39"/>
        <v/>
      </c>
      <c r="AB161" s="78"/>
      <c r="AC161" s="92"/>
      <c r="AD161" s="78"/>
      <c r="AE161" s="58">
        <f t="shared" si="40"/>
        <v>0</v>
      </c>
      <c r="AF161" s="58">
        <f t="shared" si="29"/>
        <v>0</v>
      </c>
      <c r="AG161" s="58">
        <f t="shared" si="30"/>
        <v>0</v>
      </c>
      <c r="AH161" s="58">
        <f t="shared" si="31"/>
        <v>0</v>
      </c>
      <c r="AI161" s="58">
        <f t="shared" si="32"/>
        <v>0</v>
      </c>
      <c r="AJ161" s="58">
        <f t="shared" si="33"/>
        <v>0</v>
      </c>
      <c r="AK161" s="58">
        <f t="shared" si="34"/>
        <v>0</v>
      </c>
      <c r="AL161" s="58">
        <f t="shared" si="35"/>
        <v>0</v>
      </c>
      <c r="AM161" s="58">
        <f t="shared" si="41"/>
        <v>0</v>
      </c>
      <c r="AN161" s="62">
        <f t="shared" si="42"/>
        <v>0</v>
      </c>
      <c r="AO161" s="61">
        <f t="shared" si="36"/>
        <v>0</v>
      </c>
      <c r="AP161" s="61">
        <f t="shared" si="37"/>
        <v>0</v>
      </c>
    </row>
    <row r="162" spans="3:42" s="17" customFormat="1" x14ac:dyDescent="0.25">
      <c r="C162" s="216" t="s">
        <v>229</v>
      </c>
      <c r="D162" s="217"/>
      <c r="E162" s="90"/>
      <c r="F162" s="198"/>
      <c r="G162" s="214"/>
      <c r="H162" s="199"/>
      <c r="I162" s="78"/>
      <c r="J162" s="79"/>
      <c r="K162" s="78"/>
      <c r="L162" s="113"/>
      <c r="M162" s="155"/>
      <c r="N162" s="114" t="str">
        <f>IFERROR(MIN(VLOOKUP(ROUNDDOWN(M162,0),'Aide calcul'!$B$2:$C$282,2,FALSE),L162+1),"")</f>
        <v/>
      </c>
      <c r="O162" s="115" t="str">
        <f t="shared" si="38"/>
        <v/>
      </c>
      <c r="P162" s="173"/>
      <c r="Q162" s="173"/>
      <c r="R162" s="173"/>
      <c r="S162" s="173"/>
      <c r="T162" s="173"/>
      <c r="U162" s="173"/>
      <c r="V162" s="173"/>
      <c r="W162" s="78"/>
      <c r="X162" s="78"/>
      <c r="Y162" s="116" t="str">
        <f>IFERROR(ROUND('Informations générales'!$D$66*(AE162/SUM($AE$27:$AE$403))/12,0)*12,"")</f>
        <v/>
      </c>
      <c r="Z162" s="117"/>
      <c r="AA162" s="116" t="str">
        <f t="shared" si="39"/>
        <v/>
      </c>
      <c r="AB162" s="78"/>
      <c r="AC162" s="92"/>
      <c r="AD162" s="78"/>
      <c r="AE162" s="58">
        <f t="shared" si="40"/>
        <v>0</v>
      </c>
      <c r="AF162" s="58">
        <f t="shared" si="29"/>
        <v>0</v>
      </c>
      <c r="AG162" s="58">
        <f t="shared" si="30"/>
        <v>0</v>
      </c>
      <c r="AH162" s="58">
        <f t="shared" si="31"/>
        <v>0</v>
      </c>
      <c r="AI162" s="58">
        <f t="shared" si="32"/>
        <v>0</v>
      </c>
      <c r="AJ162" s="58">
        <f t="shared" si="33"/>
        <v>0</v>
      </c>
      <c r="AK162" s="58">
        <f t="shared" si="34"/>
        <v>0</v>
      </c>
      <c r="AL162" s="58">
        <f t="shared" si="35"/>
        <v>0</v>
      </c>
      <c r="AM162" s="58">
        <f t="shared" si="41"/>
        <v>0</v>
      </c>
      <c r="AN162" s="62">
        <f t="shared" si="42"/>
        <v>0</v>
      </c>
      <c r="AO162" s="61">
        <f t="shared" si="36"/>
        <v>0</v>
      </c>
      <c r="AP162" s="61">
        <f t="shared" si="37"/>
        <v>0</v>
      </c>
    </row>
    <row r="163" spans="3:42" s="17" customFormat="1" x14ac:dyDescent="0.25">
      <c r="C163" s="216" t="s">
        <v>229</v>
      </c>
      <c r="D163" s="217"/>
      <c r="E163" s="90"/>
      <c r="F163" s="198"/>
      <c r="G163" s="214"/>
      <c r="H163" s="199"/>
      <c r="I163" s="78"/>
      <c r="J163" s="79"/>
      <c r="K163" s="78"/>
      <c r="L163" s="113"/>
      <c r="M163" s="155"/>
      <c r="N163" s="114" t="str">
        <f>IFERROR(MIN(VLOOKUP(ROUNDDOWN(M163,0),'Aide calcul'!$B$2:$C$282,2,FALSE),L163+1),"")</f>
        <v/>
      </c>
      <c r="O163" s="115" t="str">
        <f t="shared" si="38"/>
        <v/>
      </c>
      <c r="P163" s="173"/>
      <c r="Q163" s="173"/>
      <c r="R163" s="173"/>
      <c r="S163" s="173"/>
      <c r="T163" s="173"/>
      <c r="U163" s="173"/>
      <c r="V163" s="173"/>
      <c r="W163" s="78"/>
      <c r="X163" s="78"/>
      <c r="Y163" s="116" t="str">
        <f>IFERROR(ROUND('Informations générales'!$D$66*(AE163/SUM($AE$27:$AE$403))/12,0)*12,"")</f>
        <v/>
      </c>
      <c r="Z163" s="117"/>
      <c r="AA163" s="116" t="str">
        <f t="shared" si="39"/>
        <v/>
      </c>
      <c r="AB163" s="78"/>
      <c r="AC163" s="92"/>
      <c r="AD163" s="78"/>
      <c r="AE163" s="58">
        <f t="shared" si="40"/>
        <v>0</v>
      </c>
      <c r="AF163" s="58">
        <f t="shared" si="29"/>
        <v>0</v>
      </c>
      <c r="AG163" s="58">
        <f t="shared" si="30"/>
        <v>0</v>
      </c>
      <c r="AH163" s="58">
        <f t="shared" si="31"/>
        <v>0</v>
      </c>
      <c r="AI163" s="58">
        <f t="shared" si="32"/>
        <v>0</v>
      </c>
      <c r="AJ163" s="58">
        <f t="shared" si="33"/>
        <v>0</v>
      </c>
      <c r="AK163" s="58">
        <f t="shared" si="34"/>
        <v>0</v>
      </c>
      <c r="AL163" s="58">
        <f t="shared" si="35"/>
        <v>0</v>
      </c>
      <c r="AM163" s="58">
        <f t="shared" si="41"/>
        <v>0</v>
      </c>
      <c r="AN163" s="62">
        <f t="shared" si="42"/>
        <v>0</v>
      </c>
      <c r="AO163" s="61">
        <f t="shared" si="36"/>
        <v>0</v>
      </c>
      <c r="AP163" s="61">
        <f t="shared" si="37"/>
        <v>0</v>
      </c>
    </row>
    <row r="164" spans="3:42" s="17" customFormat="1" x14ac:dyDescent="0.25">
      <c r="C164" s="216" t="s">
        <v>229</v>
      </c>
      <c r="D164" s="217"/>
      <c r="E164" s="90"/>
      <c r="F164" s="198"/>
      <c r="G164" s="214"/>
      <c r="H164" s="199"/>
      <c r="I164" s="78"/>
      <c r="J164" s="79"/>
      <c r="K164" s="78"/>
      <c r="L164" s="113"/>
      <c r="M164" s="155"/>
      <c r="N164" s="114" t="str">
        <f>IFERROR(MIN(VLOOKUP(ROUNDDOWN(M164,0),'Aide calcul'!$B$2:$C$282,2,FALSE),L164+1),"")</f>
        <v/>
      </c>
      <c r="O164" s="115" t="str">
        <f t="shared" si="38"/>
        <v/>
      </c>
      <c r="P164" s="173"/>
      <c r="Q164" s="173"/>
      <c r="R164" s="173"/>
      <c r="S164" s="173"/>
      <c r="T164" s="173"/>
      <c r="U164" s="173"/>
      <c r="V164" s="173"/>
      <c r="W164" s="78"/>
      <c r="X164" s="78"/>
      <c r="Y164" s="116" t="str">
        <f>IFERROR(ROUND('Informations générales'!$D$66*(AE164/SUM($AE$27:$AE$403))/12,0)*12,"")</f>
        <v/>
      </c>
      <c r="Z164" s="117"/>
      <c r="AA164" s="116" t="str">
        <f t="shared" si="39"/>
        <v/>
      </c>
      <c r="AB164" s="78"/>
      <c r="AC164" s="92"/>
      <c r="AD164" s="78"/>
      <c r="AE164" s="58">
        <f t="shared" si="40"/>
        <v>0</v>
      </c>
      <c r="AF164" s="58">
        <f t="shared" si="29"/>
        <v>0</v>
      </c>
      <c r="AG164" s="58">
        <f t="shared" si="30"/>
        <v>0</v>
      </c>
      <c r="AH164" s="58">
        <f t="shared" si="31"/>
        <v>0</v>
      </c>
      <c r="AI164" s="58">
        <f t="shared" si="32"/>
        <v>0</v>
      </c>
      <c r="AJ164" s="58">
        <f t="shared" si="33"/>
        <v>0</v>
      </c>
      <c r="AK164" s="58">
        <f t="shared" si="34"/>
        <v>0</v>
      </c>
      <c r="AL164" s="58">
        <f t="shared" si="35"/>
        <v>0</v>
      </c>
      <c r="AM164" s="58">
        <f t="shared" si="41"/>
        <v>0</v>
      </c>
      <c r="AN164" s="62">
        <f t="shared" si="42"/>
        <v>0</v>
      </c>
      <c r="AO164" s="61">
        <f t="shared" si="36"/>
        <v>0</v>
      </c>
      <c r="AP164" s="61">
        <f t="shared" si="37"/>
        <v>0</v>
      </c>
    </row>
    <row r="165" spans="3:42" s="17" customFormat="1" x14ac:dyDescent="0.25">
      <c r="C165" s="216" t="s">
        <v>229</v>
      </c>
      <c r="D165" s="217"/>
      <c r="E165" s="90"/>
      <c r="F165" s="198"/>
      <c r="G165" s="214"/>
      <c r="H165" s="199"/>
      <c r="I165" s="78"/>
      <c r="J165" s="79"/>
      <c r="K165" s="78"/>
      <c r="L165" s="113"/>
      <c r="M165" s="155"/>
      <c r="N165" s="114" t="str">
        <f>IFERROR(MIN(VLOOKUP(ROUNDDOWN(M165,0),'Aide calcul'!$B$2:$C$282,2,FALSE),L165+1),"")</f>
        <v/>
      </c>
      <c r="O165" s="115" t="str">
        <f t="shared" si="38"/>
        <v/>
      </c>
      <c r="P165" s="173"/>
      <c r="Q165" s="173"/>
      <c r="R165" s="173"/>
      <c r="S165" s="173"/>
      <c r="T165" s="173"/>
      <c r="U165" s="173"/>
      <c r="V165" s="173"/>
      <c r="W165" s="78"/>
      <c r="X165" s="78"/>
      <c r="Y165" s="116" t="str">
        <f>IFERROR(ROUND('Informations générales'!$D$66*(AE165/SUM($AE$27:$AE$403))/12,0)*12,"")</f>
        <v/>
      </c>
      <c r="Z165" s="117"/>
      <c r="AA165" s="116" t="str">
        <f t="shared" si="39"/>
        <v/>
      </c>
      <c r="AB165" s="78"/>
      <c r="AC165" s="92"/>
      <c r="AD165" s="78"/>
      <c r="AE165" s="58">
        <f t="shared" si="40"/>
        <v>0</v>
      </c>
      <c r="AF165" s="58">
        <f t="shared" si="29"/>
        <v>0</v>
      </c>
      <c r="AG165" s="58">
        <f t="shared" si="30"/>
        <v>0</v>
      </c>
      <c r="AH165" s="58">
        <f t="shared" si="31"/>
        <v>0</v>
      </c>
      <c r="AI165" s="58">
        <f t="shared" si="32"/>
        <v>0</v>
      </c>
      <c r="AJ165" s="58">
        <f t="shared" si="33"/>
        <v>0</v>
      </c>
      <c r="AK165" s="58">
        <f t="shared" si="34"/>
        <v>0</v>
      </c>
      <c r="AL165" s="58">
        <f t="shared" si="35"/>
        <v>0</v>
      </c>
      <c r="AM165" s="58">
        <f t="shared" si="41"/>
        <v>0</v>
      </c>
      <c r="AN165" s="62">
        <f t="shared" si="42"/>
        <v>0</v>
      </c>
      <c r="AO165" s="61">
        <f t="shared" si="36"/>
        <v>0</v>
      </c>
      <c r="AP165" s="61">
        <f t="shared" si="37"/>
        <v>0</v>
      </c>
    </row>
    <row r="166" spans="3:42" s="17" customFormat="1" x14ac:dyDescent="0.25">
      <c r="C166" s="216" t="s">
        <v>229</v>
      </c>
      <c r="D166" s="217"/>
      <c r="E166" s="90"/>
      <c r="F166" s="198"/>
      <c r="G166" s="214"/>
      <c r="H166" s="199"/>
      <c r="I166" s="78"/>
      <c r="J166" s="79"/>
      <c r="K166" s="78"/>
      <c r="L166" s="113"/>
      <c r="M166" s="155"/>
      <c r="N166" s="114" t="str">
        <f>IFERROR(MIN(VLOOKUP(ROUNDDOWN(M166,0),'Aide calcul'!$B$2:$C$282,2,FALSE),L166+1),"")</f>
        <v/>
      </c>
      <c r="O166" s="115" t="str">
        <f t="shared" si="38"/>
        <v/>
      </c>
      <c r="P166" s="173"/>
      <c r="Q166" s="173"/>
      <c r="R166" s="173"/>
      <c r="S166" s="173"/>
      <c r="T166" s="173"/>
      <c r="U166" s="173"/>
      <c r="V166" s="173"/>
      <c r="W166" s="78"/>
      <c r="X166" s="78"/>
      <c r="Y166" s="116" t="str">
        <f>IFERROR(ROUND('Informations générales'!$D$66*(AE166/SUM($AE$27:$AE$403))/12,0)*12,"")</f>
        <v/>
      </c>
      <c r="Z166" s="117"/>
      <c r="AA166" s="116" t="str">
        <f t="shared" si="39"/>
        <v/>
      </c>
      <c r="AB166" s="78"/>
      <c r="AC166" s="92"/>
      <c r="AD166" s="78"/>
      <c r="AE166" s="58">
        <f t="shared" si="40"/>
        <v>0</v>
      </c>
      <c r="AF166" s="58">
        <f t="shared" si="29"/>
        <v>0</v>
      </c>
      <c r="AG166" s="58">
        <f t="shared" si="30"/>
        <v>0</v>
      </c>
      <c r="AH166" s="58">
        <f t="shared" si="31"/>
        <v>0</v>
      </c>
      <c r="AI166" s="58">
        <f t="shared" si="32"/>
        <v>0</v>
      </c>
      <c r="AJ166" s="58">
        <f t="shared" si="33"/>
        <v>0</v>
      </c>
      <c r="AK166" s="58">
        <f t="shared" si="34"/>
        <v>0</v>
      </c>
      <c r="AL166" s="58">
        <f t="shared" si="35"/>
        <v>0</v>
      </c>
      <c r="AM166" s="58">
        <f t="shared" si="41"/>
        <v>0</v>
      </c>
      <c r="AN166" s="62">
        <f t="shared" si="42"/>
        <v>0</v>
      </c>
      <c r="AO166" s="61">
        <f t="shared" si="36"/>
        <v>0</v>
      </c>
      <c r="AP166" s="61">
        <f t="shared" si="37"/>
        <v>0</v>
      </c>
    </row>
    <row r="167" spans="3:42" s="17" customFormat="1" x14ac:dyDescent="0.25">
      <c r="C167" s="216" t="s">
        <v>229</v>
      </c>
      <c r="D167" s="217"/>
      <c r="E167" s="90"/>
      <c r="F167" s="198"/>
      <c r="G167" s="214"/>
      <c r="H167" s="199"/>
      <c r="I167" s="78"/>
      <c r="J167" s="79"/>
      <c r="K167" s="78"/>
      <c r="L167" s="113"/>
      <c r="M167" s="155"/>
      <c r="N167" s="114" t="str">
        <f>IFERROR(MIN(VLOOKUP(ROUNDDOWN(M167,0),'Aide calcul'!$B$2:$C$282,2,FALSE),L167+1),"")</f>
        <v/>
      </c>
      <c r="O167" s="115" t="str">
        <f t="shared" si="38"/>
        <v/>
      </c>
      <c r="P167" s="173"/>
      <c r="Q167" s="173"/>
      <c r="R167" s="173"/>
      <c r="S167" s="173"/>
      <c r="T167" s="173"/>
      <c r="U167" s="173"/>
      <c r="V167" s="173"/>
      <c r="W167" s="78"/>
      <c r="X167" s="78"/>
      <c r="Y167" s="116" t="str">
        <f>IFERROR(ROUND('Informations générales'!$D$66*(AE167/SUM($AE$27:$AE$403))/12,0)*12,"")</f>
        <v/>
      </c>
      <c r="Z167" s="117"/>
      <c r="AA167" s="116" t="str">
        <f t="shared" si="39"/>
        <v/>
      </c>
      <c r="AB167" s="78"/>
      <c r="AC167" s="92"/>
      <c r="AD167" s="78"/>
      <c r="AE167" s="58">
        <f t="shared" si="40"/>
        <v>0</v>
      </c>
      <c r="AF167" s="58">
        <f t="shared" si="29"/>
        <v>0</v>
      </c>
      <c r="AG167" s="58">
        <f t="shared" si="30"/>
        <v>0</v>
      </c>
      <c r="AH167" s="58">
        <f t="shared" si="31"/>
        <v>0</v>
      </c>
      <c r="AI167" s="58">
        <f t="shared" si="32"/>
        <v>0</v>
      </c>
      <c r="AJ167" s="58">
        <f t="shared" si="33"/>
        <v>0</v>
      </c>
      <c r="AK167" s="58">
        <f t="shared" si="34"/>
        <v>0</v>
      </c>
      <c r="AL167" s="58">
        <f t="shared" si="35"/>
        <v>0</v>
      </c>
      <c r="AM167" s="58">
        <f t="shared" si="41"/>
        <v>0</v>
      </c>
      <c r="AN167" s="62">
        <f t="shared" si="42"/>
        <v>0</v>
      </c>
      <c r="AO167" s="61">
        <f t="shared" si="36"/>
        <v>0</v>
      </c>
      <c r="AP167" s="61">
        <f t="shared" si="37"/>
        <v>0</v>
      </c>
    </row>
    <row r="168" spans="3:42" s="17" customFormat="1" x14ac:dyDescent="0.25">
      <c r="C168" s="216" t="s">
        <v>229</v>
      </c>
      <c r="D168" s="217"/>
      <c r="E168" s="90"/>
      <c r="F168" s="198"/>
      <c r="G168" s="214"/>
      <c r="H168" s="199"/>
      <c r="I168" s="78"/>
      <c r="J168" s="79"/>
      <c r="K168" s="78"/>
      <c r="L168" s="113"/>
      <c r="M168" s="155"/>
      <c r="N168" s="114" t="str">
        <f>IFERROR(MIN(VLOOKUP(ROUNDDOWN(M168,0),'Aide calcul'!$B$2:$C$282,2,FALSE),L168+1),"")</f>
        <v/>
      </c>
      <c r="O168" s="115" t="str">
        <f t="shared" si="38"/>
        <v/>
      </c>
      <c r="P168" s="173"/>
      <c r="Q168" s="173"/>
      <c r="R168" s="173"/>
      <c r="S168" s="173"/>
      <c r="T168" s="173"/>
      <c r="U168" s="173"/>
      <c r="V168" s="173"/>
      <c r="W168" s="78"/>
      <c r="X168" s="78"/>
      <c r="Y168" s="116" t="str">
        <f>IFERROR(ROUND('Informations générales'!$D$66*(AE168/SUM($AE$27:$AE$403))/12,0)*12,"")</f>
        <v/>
      </c>
      <c r="Z168" s="117"/>
      <c r="AA168" s="116" t="str">
        <f t="shared" si="39"/>
        <v/>
      </c>
      <c r="AB168" s="78"/>
      <c r="AC168" s="92"/>
      <c r="AD168" s="78"/>
      <c r="AE168" s="58">
        <f t="shared" si="40"/>
        <v>0</v>
      </c>
      <c r="AF168" s="58">
        <f t="shared" si="29"/>
        <v>0</v>
      </c>
      <c r="AG168" s="58">
        <f t="shared" si="30"/>
        <v>0</v>
      </c>
      <c r="AH168" s="58">
        <f t="shared" si="31"/>
        <v>0</v>
      </c>
      <c r="AI168" s="58">
        <f t="shared" si="32"/>
        <v>0</v>
      </c>
      <c r="AJ168" s="58">
        <f t="shared" si="33"/>
        <v>0</v>
      </c>
      <c r="AK168" s="58">
        <f t="shared" si="34"/>
        <v>0</v>
      </c>
      <c r="AL168" s="58">
        <f t="shared" si="35"/>
        <v>0</v>
      </c>
      <c r="AM168" s="58">
        <f t="shared" si="41"/>
        <v>0</v>
      </c>
      <c r="AN168" s="62">
        <f t="shared" si="42"/>
        <v>0</v>
      </c>
      <c r="AO168" s="61">
        <f t="shared" si="36"/>
        <v>0</v>
      </c>
      <c r="AP168" s="61">
        <f t="shared" si="37"/>
        <v>0</v>
      </c>
    </row>
    <row r="169" spans="3:42" s="17" customFormat="1" x14ac:dyDescent="0.25">
      <c r="C169" s="216" t="s">
        <v>229</v>
      </c>
      <c r="D169" s="217"/>
      <c r="E169" s="90"/>
      <c r="F169" s="198"/>
      <c r="G169" s="214"/>
      <c r="H169" s="199"/>
      <c r="I169" s="78"/>
      <c r="J169" s="79"/>
      <c r="K169" s="78"/>
      <c r="L169" s="113"/>
      <c r="M169" s="155"/>
      <c r="N169" s="114" t="str">
        <f>IFERROR(MIN(VLOOKUP(ROUNDDOWN(M169,0),'Aide calcul'!$B$2:$C$282,2,FALSE),L169+1),"")</f>
        <v/>
      </c>
      <c r="O169" s="115" t="str">
        <f t="shared" si="38"/>
        <v/>
      </c>
      <c r="P169" s="173"/>
      <c r="Q169" s="173"/>
      <c r="R169" s="173"/>
      <c r="S169" s="173"/>
      <c r="T169" s="173"/>
      <c r="U169" s="173"/>
      <c r="V169" s="173"/>
      <c r="W169" s="78"/>
      <c r="X169" s="78"/>
      <c r="Y169" s="116" t="str">
        <f>IFERROR(ROUND('Informations générales'!$D$66*(AE169/SUM($AE$27:$AE$403))/12,0)*12,"")</f>
        <v/>
      </c>
      <c r="Z169" s="117"/>
      <c r="AA169" s="116" t="str">
        <f t="shared" si="39"/>
        <v/>
      </c>
      <c r="AB169" s="78"/>
      <c r="AC169" s="92"/>
      <c r="AD169" s="78"/>
      <c r="AE169" s="58">
        <f t="shared" si="40"/>
        <v>0</v>
      </c>
      <c r="AF169" s="58">
        <f t="shared" si="29"/>
        <v>0</v>
      </c>
      <c r="AG169" s="58">
        <f t="shared" si="30"/>
        <v>0</v>
      </c>
      <c r="AH169" s="58">
        <f t="shared" si="31"/>
        <v>0</v>
      </c>
      <c r="AI169" s="58">
        <f t="shared" si="32"/>
        <v>0</v>
      </c>
      <c r="AJ169" s="58">
        <f t="shared" si="33"/>
        <v>0</v>
      </c>
      <c r="AK169" s="58">
        <f t="shared" si="34"/>
        <v>0</v>
      </c>
      <c r="AL169" s="58">
        <f t="shared" si="35"/>
        <v>0</v>
      </c>
      <c r="AM169" s="58">
        <f t="shared" si="41"/>
        <v>0</v>
      </c>
      <c r="AN169" s="62">
        <f t="shared" si="42"/>
        <v>0</v>
      </c>
      <c r="AO169" s="61">
        <f t="shared" si="36"/>
        <v>0</v>
      </c>
      <c r="AP169" s="61">
        <f t="shared" si="37"/>
        <v>0</v>
      </c>
    </row>
    <row r="170" spans="3:42" s="17" customFormat="1" x14ac:dyDescent="0.25">
      <c r="C170" s="216" t="s">
        <v>229</v>
      </c>
      <c r="D170" s="217"/>
      <c r="E170" s="90"/>
      <c r="F170" s="198"/>
      <c r="G170" s="214"/>
      <c r="H170" s="199"/>
      <c r="I170" s="78"/>
      <c r="J170" s="79"/>
      <c r="K170" s="78"/>
      <c r="L170" s="113"/>
      <c r="M170" s="155"/>
      <c r="N170" s="114" t="str">
        <f>IFERROR(MIN(VLOOKUP(ROUNDDOWN(M170,0),'Aide calcul'!$B$2:$C$282,2,FALSE),L170+1),"")</f>
        <v/>
      </c>
      <c r="O170" s="115" t="str">
        <f t="shared" si="38"/>
        <v/>
      </c>
      <c r="P170" s="173"/>
      <c r="Q170" s="173"/>
      <c r="R170" s="173"/>
      <c r="S170" s="173"/>
      <c r="T170" s="173"/>
      <c r="U170" s="173"/>
      <c r="V170" s="173"/>
      <c r="W170" s="78"/>
      <c r="X170" s="78"/>
      <c r="Y170" s="116" t="str">
        <f>IFERROR(ROUND('Informations générales'!$D$66*(AE170/SUM($AE$27:$AE$403))/12,0)*12,"")</f>
        <v/>
      </c>
      <c r="Z170" s="117"/>
      <c r="AA170" s="116" t="str">
        <f t="shared" si="39"/>
        <v/>
      </c>
      <c r="AB170" s="78"/>
      <c r="AC170" s="92"/>
      <c r="AD170" s="78"/>
      <c r="AE170" s="58">
        <f t="shared" si="40"/>
        <v>0</v>
      </c>
      <c r="AF170" s="58">
        <f t="shared" si="29"/>
        <v>0</v>
      </c>
      <c r="AG170" s="58">
        <f t="shared" si="30"/>
        <v>0</v>
      </c>
      <c r="AH170" s="58">
        <f t="shared" si="31"/>
        <v>0</v>
      </c>
      <c r="AI170" s="58">
        <f t="shared" si="32"/>
        <v>0</v>
      </c>
      <c r="AJ170" s="58">
        <f t="shared" si="33"/>
        <v>0</v>
      </c>
      <c r="AK170" s="58">
        <f t="shared" si="34"/>
        <v>0</v>
      </c>
      <c r="AL170" s="58">
        <f t="shared" si="35"/>
        <v>0</v>
      </c>
      <c r="AM170" s="58">
        <f t="shared" si="41"/>
        <v>0</v>
      </c>
      <c r="AN170" s="62">
        <f t="shared" si="42"/>
        <v>0</v>
      </c>
      <c r="AO170" s="61">
        <f t="shared" si="36"/>
        <v>0</v>
      </c>
      <c r="AP170" s="61">
        <f t="shared" si="37"/>
        <v>0</v>
      </c>
    </row>
    <row r="171" spans="3:42" s="17" customFormat="1" x14ac:dyDescent="0.25">
      <c r="C171" s="216" t="s">
        <v>229</v>
      </c>
      <c r="D171" s="217"/>
      <c r="E171" s="90"/>
      <c r="F171" s="198"/>
      <c r="G171" s="214"/>
      <c r="H171" s="199"/>
      <c r="I171" s="78"/>
      <c r="J171" s="79"/>
      <c r="K171" s="78"/>
      <c r="L171" s="113"/>
      <c r="M171" s="155"/>
      <c r="N171" s="114" t="str">
        <f>IFERROR(MIN(VLOOKUP(ROUNDDOWN(M171,0),'Aide calcul'!$B$2:$C$282,2,FALSE),L171+1),"")</f>
        <v/>
      </c>
      <c r="O171" s="115" t="str">
        <f t="shared" si="38"/>
        <v/>
      </c>
      <c r="P171" s="173"/>
      <c r="Q171" s="173"/>
      <c r="R171" s="173"/>
      <c r="S171" s="173"/>
      <c r="T171" s="173"/>
      <c r="U171" s="173"/>
      <c r="V171" s="173"/>
      <c r="W171" s="78"/>
      <c r="X171" s="78"/>
      <c r="Y171" s="116" t="str">
        <f>IFERROR(ROUND('Informations générales'!$D$66*(AE171/SUM($AE$27:$AE$403))/12,0)*12,"")</f>
        <v/>
      </c>
      <c r="Z171" s="117"/>
      <c r="AA171" s="116" t="str">
        <f t="shared" si="39"/>
        <v/>
      </c>
      <c r="AB171" s="78"/>
      <c r="AC171" s="92"/>
      <c r="AD171" s="78"/>
      <c r="AE171" s="58">
        <f t="shared" si="40"/>
        <v>0</v>
      </c>
      <c r="AF171" s="58">
        <f t="shared" si="29"/>
        <v>0</v>
      </c>
      <c r="AG171" s="58">
        <f t="shared" si="30"/>
        <v>0</v>
      </c>
      <c r="AH171" s="58">
        <f t="shared" si="31"/>
        <v>0</v>
      </c>
      <c r="AI171" s="58">
        <f t="shared" si="32"/>
        <v>0</v>
      </c>
      <c r="AJ171" s="58">
        <f t="shared" si="33"/>
        <v>0</v>
      </c>
      <c r="AK171" s="58">
        <f t="shared" si="34"/>
        <v>0</v>
      </c>
      <c r="AL171" s="58">
        <f t="shared" si="35"/>
        <v>0</v>
      </c>
      <c r="AM171" s="58">
        <f t="shared" si="41"/>
        <v>0</v>
      </c>
      <c r="AN171" s="62">
        <f t="shared" si="42"/>
        <v>0</v>
      </c>
      <c r="AO171" s="61">
        <f t="shared" si="36"/>
        <v>0</v>
      </c>
      <c r="AP171" s="61">
        <f t="shared" si="37"/>
        <v>0</v>
      </c>
    </row>
    <row r="172" spans="3:42" s="17" customFormat="1" x14ac:dyDescent="0.25">
      <c r="C172" s="216" t="s">
        <v>229</v>
      </c>
      <c r="D172" s="217"/>
      <c r="E172" s="90"/>
      <c r="F172" s="198"/>
      <c r="G172" s="214"/>
      <c r="H172" s="199"/>
      <c r="I172" s="78"/>
      <c r="J172" s="79"/>
      <c r="K172" s="78"/>
      <c r="L172" s="113"/>
      <c r="M172" s="155"/>
      <c r="N172" s="114" t="str">
        <f>IFERROR(MIN(VLOOKUP(ROUNDDOWN(M172,0),'Aide calcul'!$B$2:$C$282,2,FALSE),L172+1),"")</f>
        <v/>
      </c>
      <c r="O172" s="115" t="str">
        <f t="shared" si="38"/>
        <v/>
      </c>
      <c r="P172" s="173"/>
      <c r="Q172" s="173"/>
      <c r="R172" s="173"/>
      <c r="S172" s="173"/>
      <c r="T172" s="173"/>
      <c r="U172" s="173"/>
      <c r="V172" s="173"/>
      <c r="W172" s="78"/>
      <c r="X172" s="78"/>
      <c r="Y172" s="116" t="str">
        <f>IFERROR(ROUND('Informations générales'!$D$66*(AE172/SUM($AE$27:$AE$403))/12,0)*12,"")</f>
        <v/>
      </c>
      <c r="Z172" s="117"/>
      <c r="AA172" s="116" t="str">
        <f t="shared" si="39"/>
        <v/>
      </c>
      <c r="AB172" s="78"/>
      <c r="AC172" s="92"/>
      <c r="AD172" s="78"/>
      <c r="AE172" s="58">
        <f t="shared" si="40"/>
        <v>0</v>
      </c>
      <c r="AF172" s="58">
        <f t="shared" si="29"/>
        <v>0</v>
      </c>
      <c r="AG172" s="58">
        <f t="shared" si="30"/>
        <v>0</v>
      </c>
      <c r="AH172" s="58">
        <f t="shared" si="31"/>
        <v>0</v>
      </c>
      <c r="AI172" s="58">
        <f t="shared" si="32"/>
        <v>0</v>
      </c>
      <c r="AJ172" s="58">
        <f t="shared" si="33"/>
        <v>0</v>
      </c>
      <c r="AK172" s="58">
        <f t="shared" si="34"/>
        <v>0</v>
      </c>
      <c r="AL172" s="58">
        <f t="shared" si="35"/>
        <v>0</v>
      </c>
      <c r="AM172" s="58">
        <f t="shared" si="41"/>
        <v>0</v>
      </c>
      <c r="AN172" s="62">
        <f t="shared" si="42"/>
        <v>0</v>
      </c>
      <c r="AO172" s="61">
        <f t="shared" si="36"/>
        <v>0</v>
      </c>
      <c r="AP172" s="61">
        <f t="shared" si="37"/>
        <v>0</v>
      </c>
    </row>
    <row r="173" spans="3:42" s="17" customFormat="1" x14ac:dyDescent="0.25">
      <c r="C173" s="216" t="s">
        <v>229</v>
      </c>
      <c r="D173" s="217"/>
      <c r="E173" s="90"/>
      <c r="F173" s="198"/>
      <c r="G173" s="214"/>
      <c r="H173" s="199"/>
      <c r="I173" s="78"/>
      <c r="J173" s="79"/>
      <c r="K173" s="78"/>
      <c r="L173" s="113"/>
      <c r="M173" s="155"/>
      <c r="N173" s="114" t="str">
        <f>IFERROR(MIN(VLOOKUP(ROUNDDOWN(M173,0),'Aide calcul'!$B$2:$C$282,2,FALSE),L173+1),"")</f>
        <v/>
      </c>
      <c r="O173" s="115" t="str">
        <f t="shared" si="38"/>
        <v/>
      </c>
      <c r="P173" s="173"/>
      <c r="Q173" s="173"/>
      <c r="R173" s="173"/>
      <c r="S173" s="173"/>
      <c r="T173" s="173"/>
      <c r="U173" s="173"/>
      <c r="V173" s="173"/>
      <c r="W173" s="78"/>
      <c r="X173" s="78"/>
      <c r="Y173" s="116" t="str">
        <f>IFERROR(ROUND('Informations générales'!$D$66*(AE173/SUM($AE$27:$AE$403))/12,0)*12,"")</f>
        <v/>
      </c>
      <c r="Z173" s="117"/>
      <c r="AA173" s="116" t="str">
        <f t="shared" si="39"/>
        <v/>
      </c>
      <c r="AB173" s="78"/>
      <c r="AC173" s="92"/>
      <c r="AD173" s="78"/>
      <c r="AE173" s="58">
        <f t="shared" si="40"/>
        <v>0</v>
      </c>
      <c r="AF173" s="58">
        <f t="shared" si="29"/>
        <v>0</v>
      </c>
      <c r="AG173" s="58">
        <f t="shared" si="30"/>
        <v>0</v>
      </c>
      <c r="AH173" s="58">
        <f t="shared" si="31"/>
        <v>0</v>
      </c>
      <c r="AI173" s="58">
        <f t="shared" si="32"/>
        <v>0</v>
      </c>
      <c r="AJ173" s="58">
        <f t="shared" si="33"/>
        <v>0</v>
      </c>
      <c r="AK173" s="58">
        <f t="shared" si="34"/>
        <v>0</v>
      </c>
      <c r="AL173" s="58">
        <f t="shared" si="35"/>
        <v>0</v>
      </c>
      <c r="AM173" s="58">
        <f t="shared" si="41"/>
        <v>0</v>
      </c>
      <c r="AN173" s="62">
        <f t="shared" si="42"/>
        <v>0</v>
      </c>
      <c r="AO173" s="61">
        <f t="shared" si="36"/>
        <v>0</v>
      </c>
      <c r="AP173" s="61">
        <f t="shared" si="37"/>
        <v>0</v>
      </c>
    </row>
    <row r="174" spans="3:42" s="17" customFormat="1" x14ac:dyDescent="0.25">
      <c r="C174" s="216" t="s">
        <v>229</v>
      </c>
      <c r="D174" s="217"/>
      <c r="E174" s="90"/>
      <c r="F174" s="198"/>
      <c r="G174" s="214"/>
      <c r="H174" s="199"/>
      <c r="I174" s="78"/>
      <c r="J174" s="79"/>
      <c r="K174" s="78"/>
      <c r="L174" s="113"/>
      <c r="M174" s="155"/>
      <c r="N174" s="114" t="str">
        <f>IFERROR(MIN(VLOOKUP(ROUNDDOWN(M174,0),'Aide calcul'!$B$2:$C$282,2,FALSE),L174+1),"")</f>
        <v/>
      </c>
      <c r="O174" s="115" t="str">
        <f t="shared" si="38"/>
        <v/>
      </c>
      <c r="P174" s="173"/>
      <c r="Q174" s="173"/>
      <c r="R174" s="173"/>
      <c r="S174" s="173"/>
      <c r="T174" s="173"/>
      <c r="U174" s="173"/>
      <c r="V174" s="173"/>
      <c r="W174" s="78"/>
      <c r="X174" s="78"/>
      <c r="Y174" s="116" t="str">
        <f>IFERROR(ROUND('Informations générales'!$D$66*(AE174/SUM($AE$27:$AE$403))/12,0)*12,"")</f>
        <v/>
      </c>
      <c r="Z174" s="117"/>
      <c r="AA174" s="116" t="str">
        <f t="shared" si="39"/>
        <v/>
      </c>
      <c r="AB174" s="78"/>
      <c r="AC174" s="92"/>
      <c r="AD174" s="78"/>
      <c r="AE174" s="58">
        <f t="shared" si="40"/>
        <v>0</v>
      </c>
      <c r="AF174" s="58">
        <f t="shared" si="29"/>
        <v>0</v>
      </c>
      <c r="AG174" s="58">
        <f t="shared" si="30"/>
        <v>0</v>
      </c>
      <c r="AH174" s="58">
        <f t="shared" si="31"/>
        <v>0</v>
      </c>
      <c r="AI174" s="58">
        <f t="shared" si="32"/>
        <v>0</v>
      </c>
      <c r="AJ174" s="58">
        <f t="shared" si="33"/>
        <v>0</v>
      </c>
      <c r="AK174" s="58">
        <f t="shared" si="34"/>
        <v>0</v>
      </c>
      <c r="AL174" s="58">
        <f t="shared" si="35"/>
        <v>0</v>
      </c>
      <c r="AM174" s="58">
        <f t="shared" si="41"/>
        <v>0</v>
      </c>
      <c r="AN174" s="62">
        <f t="shared" si="42"/>
        <v>0</v>
      </c>
      <c r="AO174" s="61">
        <f t="shared" si="36"/>
        <v>0</v>
      </c>
      <c r="AP174" s="61">
        <f t="shared" si="37"/>
        <v>0</v>
      </c>
    </row>
    <row r="175" spans="3:42" s="17" customFormat="1" x14ac:dyDescent="0.25">
      <c r="C175" s="216" t="s">
        <v>229</v>
      </c>
      <c r="D175" s="217"/>
      <c r="E175" s="90"/>
      <c r="F175" s="198"/>
      <c r="G175" s="214"/>
      <c r="H175" s="199"/>
      <c r="I175" s="78"/>
      <c r="J175" s="79"/>
      <c r="K175" s="78"/>
      <c r="L175" s="113"/>
      <c r="M175" s="155"/>
      <c r="N175" s="114" t="str">
        <f>IFERROR(MIN(VLOOKUP(ROUNDDOWN(M175,0),'Aide calcul'!$B$2:$C$282,2,FALSE),L175+1),"")</f>
        <v/>
      </c>
      <c r="O175" s="115" t="str">
        <f t="shared" si="38"/>
        <v/>
      </c>
      <c r="P175" s="173"/>
      <c r="Q175" s="173"/>
      <c r="R175" s="173"/>
      <c r="S175" s="173"/>
      <c r="T175" s="173"/>
      <c r="U175" s="173"/>
      <c r="V175" s="173"/>
      <c r="W175" s="78"/>
      <c r="X175" s="78"/>
      <c r="Y175" s="116" t="str">
        <f>IFERROR(ROUND('Informations générales'!$D$66*(AE175/SUM($AE$27:$AE$403))/12,0)*12,"")</f>
        <v/>
      </c>
      <c r="Z175" s="117"/>
      <c r="AA175" s="116" t="str">
        <f t="shared" si="39"/>
        <v/>
      </c>
      <c r="AB175" s="78"/>
      <c r="AC175" s="92"/>
      <c r="AD175" s="78"/>
      <c r="AE175" s="58">
        <f t="shared" si="40"/>
        <v>0</v>
      </c>
      <c r="AF175" s="58">
        <f t="shared" si="29"/>
        <v>0</v>
      </c>
      <c r="AG175" s="58">
        <f t="shared" si="30"/>
        <v>0</v>
      </c>
      <c r="AH175" s="58">
        <f t="shared" si="31"/>
        <v>0</v>
      </c>
      <c r="AI175" s="58">
        <f t="shared" si="32"/>
        <v>0</v>
      </c>
      <c r="AJ175" s="58">
        <f t="shared" si="33"/>
        <v>0</v>
      </c>
      <c r="AK175" s="58">
        <f t="shared" si="34"/>
        <v>0</v>
      </c>
      <c r="AL175" s="58">
        <f t="shared" si="35"/>
        <v>0</v>
      </c>
      <c r="AM175" s="58">
        <f t="shared" si="41"/>
        <v>0</v>
      </c>
      <c r="AN175" s="62">
        <f t="shared" si="42"/>
        <v>0</v>
      </c>
      <c r="AO175" s="61">
        <f t="shared" si="36"/>
        <v>0</v>
      </c>
      <c r="AP175" s="61">
        <f t="shared" si="37"/>
        <v>0</v>
      </c>
    </row>
    <row r="176" spans="3:42" s="17" customFormat="1" x14ac:dyDescent="0.25">
      <c r="C176" s="216" t="s">
        <v>229</v>
      </c>
      <c r="D176" s="217"/>
      <c r="E176" s="90"/>
      <c r="F176" s="198"/>
      <c r="G176" s="214"/>
      <c r="H176" s="199"/>
      <c r="I176" s="78"/>
      <c r="J176" s="79"/>
      <c r="K176" s="78"/>
      <c r="L176" s="113"/>
      <c r="M176" s="155"/>
      <c r="N176" s="114" t="str">
        <f>IFERROR(MIN(VLOOKUP(ROUNDDOWN(M176,0),'Aide calcul'!$B$2:$C$282,2,FALSE),L176+1),"")</f>
        <v/>
      </c>
      <c r="O176" s="115" t="str">
        <f t="shared" si="38"/>
        <v/>
      </c>
      <c r="P176" s="173"/>
      <c r="Q176" s="173"/>
      <c r="R176" s="173"/>
      <c r="S176" s="173"/>
      <c r="T176" s="173"/>
      <c r="U176" s="173"/>
      <c r="V176" s="173"/>
      <c r="W176" s="78"/>
      <c r="X176" s="78"/>
      <c r="Y176" s="116" t="str">
        <f>IFERROR(ROUND('Informations générales'!$D$66*(AE176/SUM($AE$27:$AE$403))/12,0)*12,"")</f>
        <v/>
      </c>
      <c r="Z176" s="117"/>
      <c r="AA176" s="116" t="str">
        <f t="shared" si="39"/>
        <v/>
      </c>
      <c r="AB176" s="78"/>
      <c r="AC176" s="92"/>
      <c r="AD176" s="78"/>
      <c r="AE176" s="58">
        <f t="shared" si="40"/>
        <v>0</v>
      </c>
      <c r="AF176" s="58">
        <f t="shared" si="29"/>
        <v>0</v>
      </c>
      <c r="AG176" s="58">
        <f t="shared" si="30"/>
        <v>0</v>
      </c>
      <c r="AH176" s="58">
        <f t="shared" si="31"/>
        <v>0</v>
      </c>
      <c r="AI176" s="58">
        <f t="shared" si="32"/>
        <v>0</v>
      </c>
      <c r="AJ176" s="58">
        <f t="shared" si="33"/>
        <v>0</v>
      </c>
      <c r="AK176" s="58">
        <f t="shared" si="34"/>
        <v>0</v>
      </c>
      <c r="AL176" s="58">
        <f t="shared" si="35"/>
        <v>0</v>
      </c>
      <c r="AM176" s="58">
        <f t="shared" si="41"/>
        <v>0</v>
      </c>
      <c r="AN176" s="62">
        <f t="shared" si="42"/>
        <v>0</v>
      </c>
      <c r="AO176" s="61">
        <f t="shared" si="36"/>
        <v>0</v>
      </c>
      <c r="AP176" s="61">
        <f t="shared" si="37"/>
        <v>0</v>
      </c>
    </row>
    <row r="177" spans="3:42" s="17" customFormat="1" x14ac:dyDescent="0.25">
      <c r="C177" s="216" t="s">
        <v>229</v>
      </c>
      <c r="D177" s="217"/>
      <c r="E177" s="90"/>
      <c r="F177" s="198"/>
      <c r="G177" s="214"/>
      <c r="H177" s="199"/>
      <c r="I177" s="78"/>
      <c r="J177" s="79"/>
      <c r="K177" s="78"/>
      <c r="L177" s="113"/>
      <c r="M177" s="155"/>
      <c r="N177" s="114" t="str">
        <f>IFERROR(MIN(VLOOKUP(ROUNDDOWN(M177,0),'Aide calcul'!$B$2:$C$282,2,FALSE),L177+1),"")</f>
        <v/>
      </c>
      <c r="O177" s="115" t="str">
        <f t="shared" si="38"/>
        <v/>
      </c>
      <c r="P177" s="173"/>
      <c r="Q177" s="173"/>
      <c r="R177" s="173"/>
      <c r="S177" s="173"/>
      <c r="T177" s="173"/>
      <c r="U177" s="173"/>
      <c r="V177" s="173"/>
      <c r="W177" s="78"/>
      <c r="X177" s="78"/>
      <c r="Y177" s="116" t="str">
        <f>IFERROR(ROUND('Informations générales'!$D$66*(AE177/SUM($AE$27:$AE$403))/12,0)*12,"")</f>
        <v/>
      </c>
      <c r="Z177" s="117"/>
      <c r="AA177" s="116" t="str">
        <f t="shared" si="39"/>
        <v/>
      </c>
      <c r="AB177" s="78"/>
      <c r="AC177" s="92"/>
      <c r="AD177" s="78"/>
      <c r="AE177" s="58">
        <f t="shared" si="40"/>
        <v>0</v>
      </c>
      <c r="AF177" s="58">
        <f t="shared" si="29"/>
        <v>0</v>
      </c>
      <c r="AG177" s="58">
        <f t="shared" si="30"/>
        <v>0</v>
      </c>
      <c r="AH177" s="58">
        <f t="shared" si="31"/>
        <v>0</v>
      </c>
      <c r="AI177" s="58">
        <f t="shared" si="32"/>
        <v>0</v>
      </c>
      <c r="AJ177" s="58">
        <f t="shared" si="33"/>
        <v>0</v>
      </c>
      <c r="AK177" s="58">
        <f t="shared" si="34"/>
        <v>0</v>
      </c>
      <c r="AL177" s="58">
        <f t="shared" si="35"/>
        <v>0</v>
      </c>
      <c r="AM177" s="58">
        <f t="shared" si="41"/>
        <v>0</v>
      </c>
      <c r="AN177" s="62">
        <f t="shared" si="42"/>
        <v>0</v>
      </c>
      <c r="AO177" s="61">
        <f t="shared" si="36"/>
        <v>0</v>
      </c>
      <c r="AP177" s="61">
        <f t="shared" si="37"/>
        <v>0</v>
      </c>
    </row>
    <row r="178" spans="3:42" s="17" customFormat="1" x14ac:dyDescent="0.25">
      <c r="C178" s="216" t="s">
        <v>229</v>
      </c>
      <c r="D178" s="217"/>
      <c r="E178" s="90"/>
      <c r="F178" s="198"/>
      <c r="G178" s="214"/>
      <c r="H178" s="199"/>
      <c r="I178" s="78"/>
      <c r="J178" s="79"/>
      <c r="K178" s="78"/>
      <c r="L178" s="113"/>
      <c r="M178" s="155"/>
      <c r="N178" s="114" t="str">
        <f>IFERROR(MIN(VLOOKUP(ROUNDDOWN(M178,0),'Aide calcul'!$B$2:$C$282,2,FALSE),L178+1),"")</f>
        <v/>
      </c>
      <c r="O178" s="115" t="str">
        <f t="shared" si="38"/>
        <v/>
      </c>
      <c r="P178" s="173"/>
      <c r="Q178" s="173"/>
      <c r="R178" s="173"/>
      <c r="S178" s="173"/>
      <c r="T178" s="173"/>
      <c r="U178" s="173"/>
      <c r="V178" s="173"/>
      <c r="W178" s="78"/>
      <c r="X178" s="78"/>
      <c r="Y178" s="116" t="str">
        <f>IFERROR(ROUND('Informations générales'!$D$66*(AE178/SUM($AE$27:$AE$403))/12,0)*12,"")</f>
        <v/>
      </c>
      <c r="Z178" s="117"/>
      <c r="AA178" s="116" t="str">
        <f t="shared" si="39"/>
        <v/>
      </c>
      <c r="AB178" s="78"/>
      <c r="AC178" s="92"/>
      <c r="AD178" s="78"/>
      <c r="AE178" s="58">
        <f t="shared" si="40"/>
        <v>0</v>
      </c>
      <c r="AF178" s="58">
        <f t="shared" si="29"/>
        <v>0</v>
      </c>
      <c r="AG178" s="58">
        <f t="shared" si="30"/>
        <v>0</v>
      </c>
      <c r="AH178" s="58">
        <f t="shared" si="31"/>
        <v>0</v>
      </c>
      <c r="AI178" s="58">
        <f t="shared" si="32"/>
        <v>0</v>
      </c>
      <c r="AJ178" s="58">
        <f t="shared" si="33"/>
        <v>0</v>
      </c>
      <c r="AK178" s="58">
        <f t="shared" si="34"/>
        <v>0</v>
      </c>
      <c r="AL178" s="58">
        <f t="shared" si="35"/>
        <v>0</v>
      </c>
      <c r="AM178" s="58">
        <f t="shared" si="41"/>
        <v>0</v>
      </c>
      <c r="AN178" s="62">
        <f t="shared" si="42"/>
        <v>0</v>
      </c>
      <c r="AO178" s="61">
        <f t="shared" si="36"/>
        <v>0</v>
      </c>
      <c r="AP178" s="61">
        <f t="shared" si="37"/>
        <v>0</v>
      </c>
    </row>
    <row r="179" spans="3:42" s="17" customFormat="1" x14ac:dyDescent="0.25">
      <c r="C179" s="216" t="s">
        <v>229</v>
      </c>
      <c r="D179" s="217"/>
      <c r="E179" s="90"/>
      <c r="F179" s="198"/>
      <c r="G179" s="214"/>
      <c r="H179" s="199"/>
      <c r="I179" s="78"/>
      <c r="J179" s="79"/>
      <c r="K179" s="78"/>
      <c r="L179" s="113"/>
      <c r="M179" s="155"/>
      <c r="N179" s="114" t="str">
        <f>IFERROR(MIN(VLOOKUP(ROUNDDOWN(M179,0),'Aide calcul'!$B$2:$C$282,2,FALSE),L179+1),"")</f>
        <v/>
      </c>
      <c r="O179" s="115" t="str">
        <f t="shared" si="38"/>
        <v/>
      </c>
      <c r="P179" s="173"/>
      <c r="Q179" s="173"/>
      <c r="R179" s="173"/>
      <c r="S179" s="173"/>
      <c r="T179" s="173"/>
      <c r="U179" s="173"/>
      <c r="V179" s="173"/>
      <c r="W179" s="78"/>
      <c r="X179" s="78"/>
      <c r="Y179" s="116" t="str">
        <f>IFERROR(ROUND('Informations générales'!$D$66*(AE179/SUM($AE$27:$AE$403))/12,0)*12,"")</f>
        <v/>
      </c>
      <c r="Z179" s="117"/>
      <c r="AA179" s="116" t="str">
        <f t="shared" si="39"/>
        <v/>
      </c>
      <c r="AB179" s="78"/>
      <c r="AC179" s="92"/>
      <c r="AD179" s="78"/>
      <c r="AE179" s="58">
        <f t="shared" si="40"/>
        <v>0</v>
      </c>
      <c r="AF179" s="58">
        <f t="shared" si="29"/>
        <v>0</v>
      </c>
      <c r="AG179" s="58">
        <f t="shared" si="30"/>
        <v>0</v>
      </c>
      <c r="AH179" s="58">
        <f t="shared" si="31"/>
        <v>0</v>
      </c>
      <c r="AI179" s="58">
        <f t="shared" si="32"/>
        <v>0</v>
      </c>
      <c r="AJ179" s="58">
        <f t="shared" si="33"/>
        <v>0</v>
      </c>
      <c r="AK179" s="58">
        <f t="shared" si="34"/>
        <v>0</v>
      </c>
      <c r="AL179" s="58">
        <f t="shared" si="35"/>
        <v>0</v>
      </c>
      <c r="AM179" s="58">
        <f t="shared" si="41"/>
        <v>0</v>
      </c>
      <c r="AN179" s="62">
        <f t="shared" si="42"/>
        <v>0</v>
      </c>
      <c r="AO179" s="61">
        <f t="shared" si="36"/>
        <v>0</v>
      </c>
      <c r="AP179" s="61">
        <f t="shared" si="37"/>
        <v>0</v>
      </c>
    </row>
    <row r="180" spans="3:42" s="17" customFormat="1" x14ac:dyDescent="0.25">
      <c r="C180" s="216" t="s">
        <v>229</v>
      </c>
      <c r="D180" s="217"/>
      <c r="E180" s="90"/>
      <c r="F180" s="198"/>
      <c r="G180" s="214"/>
      <c r="H180" s="199"/>
      <c r="I180" s="78"/>
      <c r="J180" s="79"/>
      <c r="K180" s="78"/>
      <c r="L180" s="113"/>
      <c r="M180" s="155"/>
      <c r="N180" s="114" t="str">
        <f>IFERROR(MIN(VLOOKUP(ROUNDDOWN(M180,0),'Aide calcul'!$B$2:$C$282,2,FALSE),L180+1),"")</f>
        <v/>
      </c>
      <c r="O180" s="115" t="str">
        <f t="shared" si="38"/>
        <v/>
      </c>
      <c r="P180" s="173"/>
      <c r="Q180" s="173"/>
      <c r="R180" s="173"/>
      <c r="S180" s="173"/>
      <c r="T180" s="173"/>
      <c r="U180" s="173"/>
      <c r="V180" s="173"/>
      <c r="W180" s="78"/>
      <c r="X180" s="78"/>
      <c r="Y180" s="116" t="str">
        <f>IFERROR(ROUND('Informations générales'!$D$66*(AE180/SUM($AE$27:$AE$403))/12,0)*12,"")</f>
        <v/>
      </c>
      <c r="Z180" s="117"/>
      <c r="AA180" s="116" t="str">
        <f t="shared" si="39"/>
        <v/>
      </c>
      <c r="AB180" s="78"/>
      <c r="AC180" s="92"/>
      <c r="AD180" s="78"/>
      <c r="AE180" s="58">
        <f t="shared" si="40"/>
        <v>0</v>
      </c>
      <c r="AF180" s="58">
        <f t="shared" si="29"/>
        <v>0</v>
      </c>
      <c r="AG180" s="58">
        <f t="shared" si="30"/>
        <v>0</v>
      </c>
      <c r="AH180" s="58">
        <f t="shared" si="31"/>
        <v>0</v>
      </c>
      <c r="AI180" s="58">
        <f t="shared" si="32"/>
        <v>0</v>
      </c>
      <c r="AJ180" s="58">
        <f t="shared" si="33"/>
        <v>0</v>
      </c>
      <c r="AK180" s="58">
        <f t="shared" si="34"/>
        <v>0</v>
      </c>
      <c r="AL180" s="58">
        <f t="shared" si="35"/>
        <v>0</v>
      </c>
      <c r="AM180" s="58">
        <f t="shared" si="41"/>
        <v>0</v>
      </c>
      <c r="AN180" s="62">
        <f t="shared" si="42"/>
        <v>0</v>
      </c>
      <c r="AO180" s="61">
        <f t="shared" si="36"/>
        <v>0</v>
      </c>
      <c r="AP180" s="61">
        <f t="shared" si="37"/>
        <v>0</v>
      </c>
    </row>
    <row r="181" spans="3:42" s="17" customFormat="1" x14ac:dyDescent="0.25">
      <c r="C181" s="216" t="s">
        <v>229</v>
      </c>
      <c r="D181" s="217"/>
      <c r="E181" s="90"/>
      <c r="F181" s="198"/>
      <c r="G181" s="214"/>
      <c r="H181" s="199"/>
      <c r="I181" s="78"/>
      <c r="J181" s="79"/>
      <c r="K181" s="78"/>
      <c r="L181" s="113"/>
      <c r="M181" s="155"/>
      <c r="N181" s="114" t="str">
        <f>IFERROR(MIN(VLOOKUP(ROUNDDOWN(M181,0),'Aide calcul'!$B$2:$C$282,2,FALSE),L181+1),"")</f>
        <v/>
      </c>
      <c r="O181" s="115" t="str">
        <f t="shared" si="38"/>
        <v/>
      </c>
      <c r="P181" s="173"/>
      <c r="Q181" s="173"/>
      <c r="R181" s="173"/>
      <c r="S181" s="173"/>
      <c r="T181" s="173"/>
      <c r="U181" s="173"/>
      <c r="V181" s="173"/>
      <c r="W181" s="78"/>
      <c r="X181" s="78"/>
      <c r="Y181" s="116" t="str">
        <f>IFERROR(ROUND('Informations générales'!$D$66*(AE181/SUM($AE$27:$AE$403))/12,0)*12,"")</f>
        <v/>
      </c>
      <c r="Z181" s="117"/>
      <c r="AA181" s="116" t="str">
        <f t="shared" si="39"/>
        <v/>
      </c>
      <c r="AB181" s="78"/>
      <c r="AC181" s="92"/>
      <c r="AD181" s="78"/>
      <c r="AE181" s="58">
        <f t="shared" si="40"/>
        <v>0</v>
      </c>
      <c r="AF181" s="58">
        <f t="shared" si="29"/>
        <v>0</v>
      </c>
      <c r="AG181" s="58">
        <f t="shared" si="30"/>
        <v>0</v>
      </c>
      <c r="AH181" s="58">
        <f t="shared" si="31"/>
        <v>0</v>
      </c>
      <c r="AI181" s="58">
        <f t="shared" si="32"/>
        <v>0</v>
      </c>
      <c r="AJ181" s="58">
        <f t="shared" si="33"/>
        <v>0</v>
      </c>
      <c r="AK181" s="58">
        <f t="shared" si="34"/>
        <v>0</v>
      </c>
      <c r="AL181" s="58">
        <f t="shared" si="35"/>
        <v>0</v>
      </c>
      <c r="AM181" s="58">
        <f t="shared" si="41"/>
        <v>0</v>
      </c>
      <c r="AN181" s="62">
        <f t="shared" si="42"/>
        <v>0</v>
      </c>
      <c r="AO181" s="61">
        <f t="shared" si="36"/>
        <v>0</v>
      </c>
      <c r="AP181" s="61">
        <f t="shared" si="37"/>
        <v>0</v>
      </c>
    </row>
    <row r="182" spans="3:42" s="17" customFormat="1" x14ac:dyDescent="0.25">
      <c r="C182" s="216" t="s">
        <v>229</v>
      </c>
      <c r="D182" s="217"/>
      <c r="E182" s="90"/>
      <c r="F182" s="198"/>
      <c r="G182" s="214"/>
      <c r="H182" s="199"/>
      <c r="I182" s="78"/>
      <c r="J182" s="79"/>
      <c r="K182" s="78"/>
      <c r="L182" s="113"/>
      <c r="M182" s="155"/>
      <c r="N182" s="114" t="str">
        <f>IFERROR(MIN(VLOOKUP(ROUNDDOWN(M182,0),'Aide calcul'!$B$2:$C$282,2,FALSE),L182+1),"")</f>
        <v/>
      </c>
      <c r="O182" s="115" t="str">
        <f t="shared" si="38"/>
        <v/>
      </c>
      <c r="P182" s="173"/>
      <c r="Q182" s="173"/>
      <c r="R182" s="173"/>
      <c r="S182" s="173"/>
      <c r="T182" s="173"/>
      <c r="U182" s="173"/>
      <c r="V182" s="173"/>
      <c r="W182" s="78"/>
      <c r="X182" s="78"/>
      <c r="Y182" s="116" t="str">
        <f>IFERROR(ROUND('Informations générales'!$D$66*(AE182/SUM($AE$27:$AE$403))/12,0)*12,"")</f>
        <v/>
      </c>
      <c r="Z182" s="117"/>
      <c r="AA182" s="116" t="str">
        <f t="shared" si="39"/>
        <v/>
      </c>
      <c r="AB182" s="78"/>
      <c r="AC182" s="92"/>
      <c r="AD182" s="78"/>
      <c r="AE182" s="58">
        <f t="shared" si="40"/>
        <v>0</v>
      </c>
      <c r="AF182" s="58">
        <f t="shared" si="29"/>
        <v>0</v>
      </c>
      <c r="AG182" s="58">
        <f t="shared" si="30"/>
        <v>0</v>
      </c>
      <c r="AH182" s="58">
        <f t="shared" si="31"/>
        <v>0</v>
      </c>
      <c r="AI182" s="58">
        <f t="shared" si="32"/>
        <v>0</v>
      </c>
      <c r="AJ182" s="58">
        <f t="shared" si="33"/>
        <v>0</v>
      </c>
      <c r="AK182" s="58">
        <f t="shared" si="34"/>
        <v>0</v>
      </c>
      <c r="AL182" s="58">
        <f t="shared" si="35"/>
        <v>0</v>
      </c>
      <c r="AM182" s="58">
        <f t="shared" si="41"/>
        <v>0</v>
      </c>
      <c r="AN182" s="62">
        <f t="shared" si="42"/>
        <v>0</v>
      </c>
      <c r="AO182" s="61">
        <f t="shared" si="36"/>
        <v>0</v>
      </c>
      <c r="AP182" s="61">
        <f t="shared" si="37"/>
        <v>0</v>
      </c>
    </row>
    <row r="183" spans="3:42" s="17" customFormat="1" x14ac:dyDescent="0.25">
      <c r="C183" s="216" t="s">
        <v>229</v>
      </c>
      <c r="D183" s="217"/>
      <c r="E183" s="90"/>
      <c r="F183" s="198"/>
      <c r="G183" s="214"/>
      <c r="H183" s="199"/>
      <c r="I183" s="78"/>
      <c r="J183" s="79"/>
      <c r="K183" s="78"/>
      <c r="L183" s="113"/>
      <c r="M183" s="155"/>
      <c r="N183" s="114" t="str">
        <f>IFERROR(MIN(VLOOKUP(ROUNDDOWN(M183,0),'Aide calcul'!$B$2:$C$282,2,FALSE),L183+1),"")</f>
        <v/>
      </c>
      <c r="O183" s="115" t="str">
        <f t="shared" si="38"/>
        <v/>
      </c>
      <c r="P183" s="173"/>
      <c r="Q183" s="173"/>
      <c r="R183" s="173"/>
      <c r="S183" s="173"/>
      <c r="T183" s="173"/>
      <c r="U183" s="173"/>
      <c r="V183" s="173"/>
      <c r="W183" s="78"/>
      <c r="X183" s="78"/>
      <c r="Y183" s="116" t="str">
        <f>IFERROR(ROUND('Informations générales'!$D$66*(AE183/SUM($AE$27:$AE$403))/12,0)*12,"")</f>
        <v/>
      </c>
      <c r="Z183" s="117"/>
      <c r="AA183" s="116" t="str">
        <f t="shared" si="39"/>
        <v/>
      </c>
      <c r="AB183" s="78"/>
      <c r="AC183" s="92"/>
      <c r="AD183" s="78"/>
      <c r="AE183" s="58">
        <f t="shared" si="40"/>
        <v>0</v>
      </c>
      <c r="AF183" s="58">
        <f t="shared" si="29"/>
        <v>0</v>
      </c>
      <c r="AG183" s="58">
        <f t="shared" si="30"/>
        <v>0</v>
      </c>
      <c r="AH183" s="58">
        <f t="shared" si="31"/>
        <v>0</v>
      </c>
      <c r="AI183" s="58">
        <f t="shared" si="32"/>
        <v>0</v>
      </c>
      <c r="AJ183" s="58">
        <f t="shared" si="33"/>
        <v>0</v>
      </c>
      <c r="AK183" s="58">
        <f t="shared" si="34"/>
        <v>0</v>
      </c>
      <c r="AL183" s="58">
        <f t="shared" si="35"/>
        <v>0</v>
      </c>
      <c r="AM183" s="58">
        <f t="shared" si="41"/>
        <v>0</v>
      </c>
      <c r="AN183" s="62">
        <f t="shared" si="42"/>
        <v>0</v>
      </c>
      <c r="AO183" s="61">
        <f t="shared" si="36"/>
        <v>0</v>
      </c>
      <c r="AP183" s="61">
        <f t="shared" si="37"/>
        <v>0</v>
      </c>
    </row>
    <row r="184" spans="3:42" s="17" customFormat="1" x14ac:dyDescent="0.25">
      <c r="C184" s="216" t="s">
        <v>229</v>
      </c>
      <c r="D184" s="217"/>
      <c r="E184" s="90"/>
      <c r="F184" s="198"/>
      <c r="G184" s="214"/>
      <c r="H184" s="199"/>
      <c r="I184" s="78"/>
      <c r="J184" s="79"/>
      <c r="K184" s="78"/>
      <c r="L184" s="113"/>
      <c r="M184" s="155"/>
      <c r="N184" s="114" t="str">
        <f>IFERROR(MIN(VLOOKUP(ROUNDDOWN(M184,0),'Aide calcul'!$B$2:$C$282,2,FALSE),L184+1),"")</f>
        <v/>
      </c>
      <c r="O184" s="115" t="str">
        <f t="shared" si="38"/>
        <v/>
      </c>
      <c r="P184" s="173"/>
      <c r="Q184" s="173"/>
      <c r="R184" s="173"/>
      <c r="S184" s="173"/>
      <c r="T184" s="173"/>
      <c r="U184" s="173"/>
      <c r="V184" s="173"/>
      <c r="W184" s="78"/>
      <c r="X184" s="78"/>
      <c r="Y184" s="116" t="str">
        <f>IFERROR(ROUND('Informations générales'!$D$66*(AE184/SUM($AE$27:$AE$403))/12,0)*12,"")</f>
        <v/>
      </c>
      <c r="Z184" s="117"/>
      <c r="AA184" s="116" t="str">
        <f t="shared" si="39"/>
        <v/>
      </c>
      <c r="AB184" s="78"/>
      <c r="AC184" s="92"/>
      <c r="AD184" s="78"/>
      <c r="AE184" s="58">
        <f t="shared" si="40"/>
        <v>0</v>
      </c>
      <c r="AF184" s="58">
        <f t="shared" si="29"/>
        <v>0</v>
      </c>
      <c r="AG184" s="58">
        <f t="shared" si="30"/>
        <v>0</v>
      </c>
      <c r="AH184" s="58">
        <f t="shared" si="31"/>
        <v>0</v>
      </c>
      <c r="AI184" s="58">
        <f t="shared" si="32"/>
        <v>0</v>
      </c>
      <c r="AJ184" s="58">
        <f t="shared" si="33"/>
        <v>0</v>
      </c>
      <c r="AK184" s="58">
        <f t="shared" si="34"/>
        <v>0</v>
      </c>
      <c r="AL184" s="58">
        <f t="shared" si="35"/>
        <v>0</v>
      </c>
      <c r="AM184" s="58">
        <f t="shared" si="41"/>
        <v>0</v>
      </c>
      <c r="AN184" s="62">
        <f t="shared" si="42"/>
        <v>0</v>
      </c>
      <c r="AO184" s="61">
        <f t="shared" si="36"/>
        <v>0</v>
      </c>
      <c r="AP184" s="61">
        <f t="shared" si="37"/>
        <v>0</v>
      </c>
    </row>
    <row r="185" spans="3:42" s="17" customFormat="1" x14ac:dyDescent="0.25">
      <c r="C185" s="216" t="s">
        <v>229</v>
      </c>
      <c r="D185" s="217"/>
      <c r="E185" s="90"/>
      <c r="F185" s="198"/>
      <c r="G185" s="214"/>
      <c r="H185" s="199"/>
      <c r="I185" s="78"/>
      <c r="J185" s="79"/>
      <c r="K185" s="78"/>
      <c r="L185" s="113"/>
      <c r="M185" s="155"/>
      <c r="N185" s="114" t="str">
        <f>IFERROR(MIN(VLOOKUP(ROUNDDOWN(M185,0),'Aide calcul'!$B$2:$C$282,2,FALSE),L185+1),"")</f>
        <v/>
      </c>
      <c r="O185" s="115" t="str">
        <f t="shared" si="38"/>
        <v/>
      </c>
      <c r="P185" s="173"/>
      <c r="Q185" s="173"/>
      <c r="R185" s="173"/>
      <c r="S185" s="173"/>
      <c r="T185" s="173"/>
      <c r="U185" s="173"/>
      <c r="V185" s="173"/>
      <c r="W185" s="78"/>
      <c r="X185" s="78"/>
      <c r="Y185" s="116" t="str">
        <f>IFERROR(ROUND('Informations générales'!$D$66*(AE185/SUM($AE$27:$AE$403))/12,0)*12,"")</f>
        <v/>
      </c>
      <c r="Z185" s="117"/>
      <c r="AA185" s="116" t="str">
        <f t="shared" si="39"/>
        <v/>
      </c>
      <c r="AB185" s="78"/>
      <c r="AC185" s="92"/>
      <c r="AD185" s="78"/>
      <c r="AE185" s="58">
        <f t="shared" si="40"/>
        <v>0</v>
      </c>
      <c r="AF185" s="58">
        <f t="shared" si="29"/>
        <v>0</v>
      </c>
      <c r="AG185" s="58">
        <f t="shared" si="30"/>
        <v>0</v>
      </c>
      <c r="AH185" s="58">
        <f t="shared" si="31"/>
        <v>0</v>
      </c>
      <c r="AI185" s="58">
        <f t="shared" si="32"/>
        <v>0</v>
      </c>
      <c r="AJ185" s="58">
        <f t="shared" si="33"/>
        <v>0</v>
      </c>
      <c r="AK185" s="58">
        <f t="shared" si="34"/>
        <v>0</v>
      </c>
      <c r="AL185" s="58">
        <f t="shared" si="35"/>
        <v>0</v>
      </c>
      <c r="AM185" s="58">
        <f t="shared" si="41"/>
        <v>0</v>
      </c>
      <c r="AN185" s="62">
        <f t="shared" si="42"/>
        <v>0</v>
      </c>
      <c r="AO185" s="61">
        <f t="shared" si="36"/>
        <v>0</v>
      </c>
      <c r="AP185" s="61">
        <f t="shared" si="37"/>
        <v>0</v>
      </c>
    </row>
    <row r="186" spans="3:42" s="17" customFormat="1" x14ac:dyDescent="0.25">
      <c r="C186" s="216" t="s">
        <v>229</v>
      </c>
      <c r="D186" s="217"/>
      <c r="E186" s="90"/>
      <c r="F186" s="198"/>
      <c r="G186" s="214"/>
      <c r="H186" s="199"/>
      <c r="I186" s="78"/>
      <c r="J186" s="79"/>
      <c r="K186" s="78"/>
      <c r="L186" s="113"/>
      <c r="M186" s="155"/>
      <c r="N186" s="114" t="str">
        <f>IFERROR(MIN(VLOOKUP(ROUNDDOWN(M186,0),'Aide calcul'!$B$2:$C$282,2,FALSE),L186+1),"")</f>
        <v/>
      </c>
      <c r="O186" s="115" t="str">
        <f t="shared" si="38"/>
        <v/>
      </c>
      <c r="P186" s="173"/>
      <c r="Q186" s="173"/>
      <c r="R186" s="173"/>
      <c r="S186" s="173"/>
      <c r="T186" s="173"/>
      <c r="U186" s="173"/>
      <c r="V186" s="173"/>
      <c r="W186" s="78"/>
      <c r="X186" s="78"/>
      <c r="Y186" s="116" t="str">
        <f>IFERROR(ROUND('Informations générales'!$D$66*(AE186/SUM($AE$27:$AE$403))/12,0)*12,"")</f>
        <v/>
      </c>
      <c r="Z186" s="117"/>
      <c r="AA186" s="116" t="str">
        <f t="shared" si="39"/>
        <v/>
      </c>
      <c r="AB186" s="78"/>
      <c r="AC186" s="92"/>
      <c r="AD186" s="78"/>
      <c r="AE186" s="58">
        <f t="shared" si="40"/>
        <v>0</v>
      </c>
      <c r="AF186" s="58">
        <f t="shared" si="29"/>
        <v>0</v>
      </c>
      <c r="AG186" s="58">
        <f t="shared" si="30"/>
        <v>0</v>
      </c>
      <c r="AH186" s="58">
        <f t="shared" si="31"/>
        <v>0</v>
      </c>
      <c r="AI186" s="58">
        <f t="shared" si="32"/>
        <v>0</v>
      </c>
      <c r="AJ186" s="58">
        <f t="shared" si="33"/>
        <v>0</v>
      </c>
      <c r="AK186" s="58">
        <f t="shared" si="34"/>
        <v>0</v>
      </c>
      <c r="AL186" s="58">
        <f t="shared" si="35"/>
        <v>0</v>
      </c>
      <c r="AM186" s="58">
        <f t="shared" si="41"/>
        <v>0</v>
      </c>
      <c r="AN186" s="62">
        <f t="shared" si="42"/>
        <v>0</v>
      </c>
      <c r="AO186" s="61">
        <f t="shared" si="36"/>
        <v>0</v>
      </c>
      <c r="AP186" s="61">
        <f t="shared" si="37"/>
        <v>0</v>
      </c>
    </row>
    <row r="187" spans="3:42" s="17" customFormat="1" x14ac:dyDescent="0.25">
      <c r="C187" s="216" t="s">
        <v>229</v>
      </c>
      <c r="D187" s="217"/>
      <c r="E187" s="90"/>
      <c r="F187" s="198"/>
      <c r="G187" s="214"/>
      <c r="H187" s="199"/>
      <c r="I187" s="78"/>
      <c r="J187" s="79"/>
      <c r="K187" s="78"/>
      <c r="L187" s="113"/>
      <c r="M187" s="155"/>
      <c r="N187" s="114" t="str">
        <f>IFERROR(MIN(VLOOKUP(ROUNDDOWN(M187,0),'Aide calcul'!$B$2:$C$282,2,FALSE),L187+1),"")</f>
        <v/>
      </c>
      <c r="O187" s="115" t="str">
        <f t="shared" si="38"/>
        <v/>
      </c>
      <c r="P187" s="173"/>
      <c r="Q187" s="173"/>
      <c r="R187" s="173"/>
      <c r="S187" s="173"/>
      <c r="T187" s="173"/>
      <c r="U187" s="173"/>
      <c r="V187" s="173"/>
      <c r="W187" s="78"/>
      <c r="X187" s="78"/>
      <c r="Y187" s="116" t="str">
        <f>IFERROR(ROUND('Informations générales'!$D$66*(AE187/SUM($AE$27:$AE$403))/12,0)*12,"")</f>
        <v/>
      </c>
      <c r="Z187" s="117"/>
      <c r="AA187" s="116" t="str">
        <f t="shared" si="39"/>
        <v/>
      </c>
      <c r="AB187" s="78"/>
      <c r="AC187" s="92"/>
      <c r="AD187" s="78"/>
      <c r="AE187" s="58">
        <f t="shared" si="40"/>
        <v>0</v>
      </c>
      <c r="AF187" s="58">
        <f t="shared" si="29"/>
        <v>0</v>
      </c>
      <c r="AG187" s="58">
        <f t="shared" si="30"/>
        <v>0</v>
      </c>
      <c r="AH187" s="58">
        <f t="shared" si="31"/>
        <v>0</v>
      </c>
      <c r="AI187" s="58">
        <f t="shared" si="32"/>
        <v>0</v>
      </c>
      <c r="AJ187" s="58">
        <f t="shared" si="33"/>
        <v>0</v>
      </c>
      <c r="AK187" s="58">
        <f t="shared" si="34"/>
        <v>0</v>
      </c>
      <c r="AL187" s="58">
        <f t="shared" si="35"/>
        <v>0</v>
      </c>
      <c r="AM187" s="58">
        <f t="shared" si="41"/>
        <v>0</v>
      </c>
      <c r="AN187" s="62">
        <f t="shared" si="42"/>
        <v>0</v>
      </c>
      <c r="AO187" s="61">
        <f t="shared" si="36"/>
        <v>0</v>
      </c>
      <c r="AP187" s="61">
        <f t="shared" si="37"/>
        <v>0</v>
      </c>
    </row>
    <row r="188" spans="3:42" s="17" customFormat="1" x14ac:dyDescent="0.25">
      <c r="C188" s="216" t="s">
        <v>229</v>
      </c>
      <c r="D188" s="217"/>
      <c r="E188" s="90"/>
      <c r="F188" s="198"/>
      <c r="G188" s="214"/>
      <c r="H188" s="199"/>
      <c r="I188" s="78"/>
      <c r="J188" s="79"/>
      <c r="K188" s="78"/>
      <c r="L188" s="113"/>
      <c r="M188" s="155"/>
      <c r="N188" s="114" t="str">
        <f>IFERROR(MIN(VLOOKUP(ROUNDDOWN(M188,0),'Aide calcul'!$B$2:$C$282,2,FALSE),L188+1),"")</f>
        <v/>
      </c>
      <c r="O188" s="115" t="str">
        <f t="shared" si="38"/>
        <v/>
      </c>
      <c r="P188" s="173"/>
      <c r="Q188" s="173"/>
      <c r="R188" s="173"/>
      <c r="S188" s="173"/>
      <c r="T188" s="173"/>
      <c r="U188" s="173"/>
      <c r="V188" s="173"/>
      <c r="W188" s="78"/>
      <c r="X188" s="78"/>
      <c r="Y188" s="116" t="str">
        <f>IFERROR(ROUND('Informations générales'!$D$66*(AE188/SUM($AE$27:$AE$403))/12,0)*12,"")</f>
        <v/>
      </c>
      <c r="Z188" s="117"/>
      <c r="AA188" s="116" t="str">
        <f t="shared" si="39"/>
        <v/>
      </c>
      <c r="AB188" s="78"/>
      <c r="AC188" s="92"/>
      <c r="AD188" s="78"/>
      <c r="AE188" s="58">
        <f t="shared" si="40"/>
        <v>0</v>
      </c>
      <c r="AF188" s="58">
        <f t="shared" si="29"/>
        <v>0</v>
      </c>
      <c r="AG188" s="58">
        <f t="shared" si="30"/>
        <v>0</v>
      </c>
      <c r="AH188" s="58">
        <f t="shared" si="31"/>
        <v>0</v>
      </c>
      <c r="AI188" s="58">
        <f t="shared" si="32"/>
        <v>0</v>
      </c>
      <c r="AJ188" s="58">
        <f t="shared" si="33"/>
        <v>0</v>
      </c>
      <c r="AK188" s="58">
        <f t="shared" si="34"/>
        <v>0</v>
      </c>
      <c r="AL188" s="58">
        <f t="shared" si="35"/>
        <v>0</v>
      </c>
      <c r="AM188" s="58">
        <f t="shared" si="41"/>
        <v>0</v>
      </c>
      <c r="AN188" s="62">
        <f t="shared" si="42"/>
        <v>0</v>
      </c>
      <c r="AO188" s="61">
        <f t="shared" si="36"/>
        <v>0</v>
      </c>
      <c r="AP188" s="61">
        <f t="shared" si="37"/>
        <v>0</v>
      </c>
    </row>
    <row r="189" spans="3:42" s="17" customFormat="1" x14ac:dyDescent="0.25">
      <c r="C189" s="216" t="s">
        <v>229</v>
      </c>
      <c r="D189" s="217"/>
      <c r="E189" s="90"/>
      <c r="F189" s="198"/>
      <c r="G189" s="214"/>
      <c r="H189" s="199"/>
      <c r="I189" s="78"/>
      <c r="J189" s="79"/>
      <c r="K189" s="78"/>
      <c r="L189" s="113"/>
      <c r="M189" s="155"/>
      <c r="N189" s="114" t="str">
        <f>IFERROR(MIN(VLOOKUP(ROUNDDOWN(M189,0),'Aide calcul'!$B$2:$C$282,2,FALSE),L189+1),"")</f>
        <v/>
      </c>
      <c r="O189" s="115" t="str">
        <f t="shared" si="38"/>
        <v/>
      </c>
      <c r="P189" s="173"/>
      <c r="Q189" s="173"/>
      <c r="R189" s="173"/>
      <c r="S189" s="173"/>
      <c r="T189" s="173"/>
      <c r="U189" s="173"/>
      <c r="V189" s="173"/>
      <c r="W189" s="78"/>
      <c r="X189" s="78"/>
      <c r="Y189" s="116" t="str">
        <f>IFERROR(ROUND('Informations générales'!$D$66*(AE189/SUM($AE$27:$AE$403))/12,0)*12,"")</f>
        <v/>
      </c>
      <c r="Z189" s="117"/>
      <c r="AA189" s="116" t="str">
        <f t="shared" si="39"/>
        <v/>
      </c>
      <c r="AB189" s="78"/>
      <c r="AC189" s="92"/>
      <c r="AD189" s="78"/>
      <c r="AE189" s="58">
        <f t="shared" si="40"/>
        <v>0</v>
      </c>
      <c r="AF189" s="58">
        <f t="shared" si="29"/>
        <v>0</v>
      </c>
      <c r="AG189" s="58">
        <f t="shared" si="30"/>
        <v>0</v>
      </c>
      <c r="AH189" s="58">
        <f t="shared" si="31"/>
        <v>0</v>
      </c>
      <c r="AI189" s="58">
        <f t="shared" si="32"/>
        <v>0</v>
      </c>
      <c r="AJ189" s="58">
        <f t="shared" si="33"/>
        <v>0</v>
      </c>
      <c r="AK189" s="58">
        <f t="shared" si="34"/>
        <v>0</v>
      </c>
      <c r="AL189" s="58">
        <f t="shared" si="35"/>
        <v>0</v>
      </c>
      <c r="AM189" s="58">
        <f t="shared" si="41"/>
        <v>0</v>
      </c>
      <c r="AN189" s="62">
        <f t="shared" si="42"/>
        <v>0</v>
      </c>
      <c r="AO189" s="61">
        <f t="shared" si="36"/>
        <v>0</v>
      </c>
      <c r="AP189" s="61">
        <f t="shared" si="37"/>
        <v>0</v>
      </c>
    </row>
    <row r="190" spans="3:42" s="17" customFormat="1" x14ac:dyDescent="0.25">
      <c r="C190" s="216" t="s">
        <v>229</v>
      </c>
      <c r="D190" s="217"/>
      <c r="E190" s="90"/>
      <c r="F190" s="198"/>
      <c r="G190" s="214"/>
      <c r="H190" s="199"/>
      <c r="I190" s="78"/>
      <c r="J190" s="79"/>
      <c r="K190" s="78"/>
      <c r="L190" s="113"/>
      <c r="M190" s="155"/>
      <c r="N190" s="114" t="str">
        <f>IFERROR(MIN(VLOOKUP(ROUNDDOWN(M190,0),'Aide calcul'!$B$2:$C$282,2,FALSE),L190+1),"")</f>
        <v/>
      </c>
      <c r="O190" s="115" t="str">
        <f t="shared" si="38"/>
        <v/>
      </c>
      <c r="P190" s="173"/>
      <c r="Q190" s="173"/>
      <c r="R190" s="173"/>
      <c r="S190" s="173"/>
      <c r="T190" s="173"/>
      <c r="U190" s="173"/>
      <c r="V190" s="173"/>
      <c r="W190" s="78"/>
      <c r="X190" s="78"/>
      <c r="Y190" s="116" t="str">
        <f>IFERROR(ROUND('Informations générales'!$D$66*(AE190/SUM($AE$27:$AE$403))/12,0)*12,"")</f>
        <v/>
      </c>
      <c r="Z190" s="117"/>
      <c r="AA190" s="116" t="str">
        <f t="shared" si="39"/>
        <v/>
      </c>
      <c r="AB190" s="78"/>
      <c r="AC190" s="92"/>
      <c r="AD190" s="78"/>
      <c r="AE190" s="58">
        <f t="shared" si="40"/>
        <v>0</v>
      </c>
      <c r="AF190" s="58">
        <f t="shared" si="29"/>
        <v>0</v>
      </c>
      <c r="AG190" s="58">
        <f t="shared" si="30"/>
        <v>0</v>
      </c>
      <c r="AH190" s="58">
        <f t="shared" si="31"/>
        <v>0</v>
      </c>
      <c r="AI190" s="58">
        <f t="shared" si="32"/>
        <v>0</v>
      </c>
      <c r="AJ190" s="58">
        <f t="shared" si="33"/>
        <v>0</v>
      </c>
      <c r="AK190" s="58">
        <f t="shared" si="34"/>
        <v>0</v>
      </c>
      <c r="AL190" s="58">
        <f t="shared" si="35"/>
        <v>0</v>
      </c>
      <c r="AM190" s="58">
        <f t="shared" si="41"/>
        <v>0</v>
      </c>
      <c r="AN190" s="62">
        <f t="shared" si="42"/>
        <v>0</v>
      </c>
      <c r="AO190" s="61">
        <f t="shared" si="36"/>
        <v>0</v>
      </c>
      <c r="AP190" s="61">
        <f t="shared" si="37"/>
        <v>0</v>
      </c>
    </row>
    <row r="191" spans="3:42" s="17" customFormat="1" x14ac:dyDescent="0.25">
      <c r="C191" s="216" t="s">
        <v>229</v>
      </c>
      <c r="D191" s="217"/>
      <c r="E191" s="90"/>
      <c r="F191" s="198"/>
      <c r="G191" s="214"/>
      <c r="H191" s="199"/>
      <c r="I191" s="78"/>
      <c r="J191" s="79"/>
      <c r="K191" s="78"/>
      <c r="L191" s="113"/>
      <c r="M191" s="155"/>
      <c r="N191" s="114" t="str">
        <f>IFERROR(MIN(VLOOKUP(ROUNDDOWN(M191,0),'Aide calcul'!$B$2:$C$282,2,FALSE),L191+1),"")</f>
        <v/>
      </c>
      <c r="O191" s="115" t="str">
        <f t="shared" si="38"/>
        <v/>
      </c>
      <c r="P191" s="173"/>
      <c r="Q191" s="173"/>
      <c r="R191" s="173"/>
      <c r="S191" s="173"/>
      <c r="T191" s="173"/>
      <c r="U191" s="173"/>
      <c r="V191" s="173"/>
      <c r="W191" s="78"/>
      <c r="X191" s="78"/>
      <c r="Y191" s="116" t="str">
        <f>IFERROR(ROUND('Informations générales'!$D$66*(AE191/SUM($AE$27:$AE$403))/12,0)*12,"")</f>
        <v/>
      </c>
      <c r="Z191" s="117"/>
      <c r="AA191" s="116" t="str">
        <f t="shared" si="39"/>
        <v/>
      </c>
      <c r="AB191" s="78"/>
      <c r="AC191" s="92"/>
      <c r="AD191" s="78"/>
      <c r="AE191" s="58">
        <f t="shared" si="40"/>
        <v>0</v>
      </c>
      <c r="AF191" s="58">
        <f t="shared" si="29"/>
        <v>0</v>
      </c>
      <c r="AG191" s="58">
        <f t="shared" si="30"/>
        <v>0</v>
      </c>
      <c r="AH191" s="58">
        <f t="shared" si="31"/>
        <v>0</v>
      </c>
      <c r="AI191" s="58">
        <f t="shared" si="32"/>
        <v>0</v>
      </c>
      <c r="AJ191" s="58">
        <f t="shared" si="33"/>
        <v>0</v>
      </c>
      <c r="AK191" s="58">
        <f t="shared" si="34"/>
        <v>0</v>
      </c>
      <c r="AL191" s="58">
        <f t="shared" si="35"/>
        <v>0</v>
      </c>
      <c r="AM191" s="58">
        <f t="shared" si="41"/>
        <v>0</v>
      </c>
      <c r="AN191" s="62">
        <f t="shared" si="42"/>
        <v>0</v>
      </c>
      <c r="AO191" s="61">
        <f t="shared" si="36"/>
        <v>0</v>
      </c>
      <c r="AP191" s="61">
        <f t="shared" si="37"/>
        <v>0</v>
      </c>
    </row>
    <row r="192" spans="3:42" s="17" customFormat="1" x14ac:dyDescent="0.25">
      <c r="C192" s="216" t="s">
        <v>229</v>
      </c>
      <c r="D192" s="217"/>
      <c r="E192" s="90"/>
      <c r="F192" s="198"/>
      <c r="G192" s="214"/>
      <c r="H192" s="199"/>
      <c r="I192" s="78"/>
      <c r="J192" s="79"/>
      <c r="K192" s="78"/>
      <c r="L192" s="113"/>
      <c r="M192" s="155"/>
      <c r="N192" s="114" t="str">
        <f>IFERROR(MIN(VLOOKUP(ROUNDDOWN(M192,0),'Aide calcul'!$B$2:$C$282,2,FALSE),L192+1),"")</f>
        <v/>
      </c>
      <c r="O192" s="115" t="str">
        <f t="shared" si="38"/>
        <v/>
      </c>
      <c r="P192" s="173"/>
      <c r="Q192" s="173"/>
      <c r="R192" s="173"/>
      <c r="S192" s="173"/>
      <c r="T192" s="173"/>
      <c r="U192" s="173"/>
      <c r="V192" s="173"/>
      <c r="W192" s="78"/>
      <c r="X192" s="78"/>
      <c r="Y192" s="116" t="str">
        <f>IFERROR(ROUND('Informations générales'!$D$66*(AE192/SUM($AE$27:$AE$403))/12,0)*12,"")</f>
        <v/>
      </c>
      <c r="Z192" s="117"/>
      <c r="AA192" s="116" t="str">
        <f t="shared" si="39"/>
        <v/>
      </c>
      <c r="AB192" s="78"/>
      <c r="AC192" s="92"/>
      <c r="AD192" s="78"/>
      <c r="AE192" s="58">
        <f t="shared" si="40"/>
        <v>0</v>
      </c>
      <c r="AF192" s="58">
        <f t="shared" si="29"/>
        <v>0</v>
      </c>
      <c r="AG192" s="58">
        <f t="shared" si="30"/>
        <v>0</v>
      </c>
      <c r="AH192" s="58">
        <f t="shared" si="31"/>
        <v>0</v>
      </c>
      <c r="AI192" s="58">
        <f t="shared" si="32"/>
        <v>0</v>
      </c>
      <c r="AJ192" s="58">
        <f t="shared" si="33"/>
        <v>0</v>
      </c>
      <c r="AK192" s="58">
        <f t="shared" si="34"/>
        <v>0</v>
      </c>
      <c r="AL192" s="58">
        <f t="shared" si="35"/>
        <v>0</v>
      </c>
      <c r="AM192" s="58">
        <f t="shared" si="41"/>
        <v>0</v>
      </c>
      <c r="AN192" s="62">
        <f t="shared" si="42"/>
        <v>0</v>
      </c>
      <c r="AO192" s="61">
        <f t="shared" si="36"/>
        <v>0</v>
      </c>
      <c r="AP192" s="61">
        <f t="shared" si="37"/>
        <v>0</v>
      </c>
    </row>
    <row r="193" spans="3:42" s="17" customFormat="1" x14ac:dyDescent="0.25">
      <c r="C193" s="216" t="s">
        <v>229</v>
      </c>
      <c r="D193" s="217"/>
      <c r="E193" s="90"/>
      <c r="F193" s="198"/>
      <c r="G193" s="214"/>
      <c r="H193" s="199"/>
      <c r="I193" s="78"/>
      <c r="J193" s="79"/>
      <c r="K193" s="78"/>
      <c r="L193" s="113"/>
      <c r="M193" s="155"/>
      <c r="N193" s="114" t="str">
        <f>IFERROR(MIN(VLOOKUP(ROUNDDOWN(M193,0),'Aide calcul'!$B$2:$C$282,2,FALSE),L193+1),"")</f>
        <v/>
      </c>
      <c r="O193" s="115" t="str">
        <f t="shared" si="38"/>
        <v/>
      </c>
      <c r="P193" s="173"/>
      <c r="Q193" s="173"/>
      <c r="R193" s="173"/>
      <c r="S193" s="173"/>
      <c r="T193" s="173"/>
      <c r="U193" s="173"/>
      <c r="V193" s="173"/>
      <c r="W193" s="78"/>
      <c r="X193" s="78"/>
      <c r="Y193" s="116" t="str">
        <f>IFERROR(ROUND('Informations générales'!$D$66*(AE193/SUM($AE$27:$AE$403))/12,0)*12,"")</f>
        <v/>
      </c>
      <c r="Z193" s="117"/>
      <c r="AA193" s="116" t="str">
        <f t="shared" si="39"/>
        <v/>
      </c>
      <c r="AB193" s="78"/>
      <c r="AC193" s="92"/>
      <c r="AD193" s="78"/>
      <c r="AE193" s="58">
        <f t="shared" si="40"/>
        <v>0</v>
      </c>
      <c r="AF193" s="58">
        <f t="shared" si="29"/>
        <v>0</v>
      </c>
      <c r="AG193" s="58">
        <f t="shared" si="30"/>
        <v>0</v>
      </c>
      <c r="AH193" s="58">
        <f t="shared" si="31"/>
        <v>0</v>
      </c>
      <c r="AI193" s="58">
        <f t="shared" si="32"/>
        <v>0</v>
      </c>
      <c r="AJ193" s="58">
        <f t="shared" si="33"/>
        <v>0</v>
      </c>
      <c r="AK193" s="58">
        <f t="shared" si="34"/>
        <v>0</v>
      </c>
      <c r="AL193" s="58">
        <f t="shared" si="35"/>
        <v>0</v>
      </c>
      <c r="AM193" s="58">
        <f t="shared" si="41"/>
        <v>0</v>
      </c>
      <c r="AN193" s="62">
        <f t="shared" si="42"/>
        <v>0</v>
      </c>
      <c r="AO193" s="61">
        <f t="shared" si="36"/>
        <v>0</v>
      </c>
      <c r="AP193" s="61">
        <f t="shared" si="37"/>
        <v>0</v>
      </c>
    </row>
    <row r="194" spans="3:42" s="17" customFormat="1" x14ac:dyDescent="0.25">
      <c r="C194" s="216" t="s">
        <v>229</v>
      </c>
      <c r="D194" s="217"/>
      <c r="E194" s="90"/>
      <c r="F194" s="198"/>
      <c r="G194" s="214"/>
      <c r="H194" s="199"/>
      <c r="I194" s="78"/>
      <c r="J194" s="79"/>
      <c r="K194" s="78"/>
      <c r="L194" s="113"/>
      <c r="M194" s="155"/>
      <c r="N194" s="114" t="str">
        <f>IFERROR(MIN(VLOOKUP(ROUNDDOWN(M194,0),'Aide calcul'!$B$2:$C$282,2,FALSE),L194+1),"")</f>
        <v/>
      </c>
      <c r="O194" s="115" t="str">
        <f t="shared" si="38"/>
        <v/>
      </c>
      <c r="P194" s="173"/>
      <c r="Q194" s="173"/>
      <c r="R194" s="173"/>
      <c r="S194" s="173"/>
      <c r="T194" s="173"/>
      <c r="U194" s="173"/>
      <c r="V194" s="173"/>
      <c r="W194" s="78"/>
      <c r="X194" s="78"/>
      <c r="Y194" s="116" t="str">
        <f>IFERROR(ROUND('Informations générales'!$D$66*(AE194/SUM($AE$27:$AE$403))/12,0)*12,"")</f>
        <v/>
      </c>
      <c r="Z194" s="117"/>
      <c r="AA194" s="116" t="str">
        <f t="shared" si="39"/>
        <v/>
      </c>
      <c r="AB194" s="78"/>
      <c r="AC194" s="92"/>
      <c r="AD194" s="78"/>
      <c r="AE194" s="58">
        <f t="shared" si="40"/>
        <v>0</v>
      </c>
      <c r="AF194" s="58">
        <f t="shared" si="29"/>
        <v>0</v>
      </c>
      <c r="AG194" s="58">
        <f t="shared" si="30"/>
        <v>0</v>
      </c>
      <c r="AH194" s="58">
        <f t="shared" si="31"/>
        <v>0</v>
      </c>
      <c r="AI194" s="58">
        <f t="shared" si="32"/>
        <v>0</v>
      </c>
      <c r="AJ194" s="58">
        <f t="shared" si="33"/>
        <v>0</v>
      </c>
      <c r="AK194" s="58">
        <f t="shared" si="34"/>
        <v>0</v>
      </c>
      <c r="AL194" s="58">
        <f t="shared" si="35"/>
        <v>0</v>
      </c>
      <c r="AM194" s="58">
        <f t="shared" si="41"/>
        <v>0</v>
      </c>
      <c r="AN194" s="62">
        <f t="shared" si="42"/>
        <v>0</v>
      </c>
      <c r="AO194" s="61">
        <f t="shared" si="36"/>
        <v>0</v>
      </c>
      <c r="AP194" s="61">
        <f t="shared" si="37"/>
        <v>0</v>
      </c>
    </row>
    <row r="195" spans="3:42" s="17" customFormat="1" x14ac:dyDescent="0.25">
      <c r="C195" s="216" t="s">
        <v>229</v>
      </c>
      <c r="D195" s="217"/>
      <c r="E195" s="90"/>
      <c r="F195" s="198"/>
      <c r="G195" s="214"/>
      <c r="H195" s="199"/>
      <c r="I195" s="78"/>
      <c r="J195" s="79"/>
      <c r="K195" s="78"/>
      <c r="L195" s="113"/>
      <c r="M195" s="155"/>
      <c r="N195" s="114" t="str">
        <f>IFERROR(MIN(VLOOKUP(ROUNDDOWN(M195,0),'Aide calcul'!$B$2:$C$282,2,FALSE),L195+1),"")</f>
        <v/>
      </c>
      <c r="O195" s="115" t="str">
        <f t="shared" si="38"/>
        <v/>
      </c>
      <c r="P195" s="173"/>
      <c r="Q195" s="173"/>
      <c r="R195" s="173"/>
      <c r="S195" s="173"/>
      <c r="T195" s="173"/>
      <c r="U195" s="173"/>
      <c r="V195" s="173"/>
      <c r="W195" s="78"/>
      <c r="X195" s="78"/>
      <c r="Y195" s="116" t="str">
        <f>IFERROR(ROUND('Informations générales'!$D$66*(AE195/SUM($AE$27:$AE$403))/12,0)*12,"")</f>
        <v/>
      </c>
      <c r="Z195" s="117"/>
      <c r="AA195" s="116" t="str">
        <f t="shared" si="39"/>
        <v/>
      </c>
      <c r="AB195" s="78"/>
      <c r="AC195" s="92"/>
      <c r="AD195" s="78"/>
      <c r="AE195" s="58">
        <f t="shared" si="40"/>
        <v>0</v>
      </c>
      <c r="AF195" s="58">
        <f t="shared" si="29"/>
        <v>0</v>
      </c>
      <c r="AG195" s="58">
        <f t="shared" si="30"/>
        <v>0</v>
      </c>
      <c r="AH195" s="58">
        <f t="shared" si="31"/>
        <v>0</v>
      </c>
      <c r="AI195" s="58">
        <f t="shared" si="32"/>
        <v>0</v>
      </c>
      <c r="AJ195" s="58">
        <f t="shared" si="33"/>
        <v>0</v>
      </c>
      <c r="AK195" s="58">
        <f t="shared" si="34"/>
        <v>0</v>
      </c>
      <c r="AL195" s="58">
        <f t="shared" si="35"/>
        <v>0</v>
      </c>
      <c r="AM195" s="58">
        <f t="shared" si="41"/>
        <v>0</v>
      </c>
      <c r="AN195" s="62">
        <f t="shared" si="42"/>
        <v>0</v>
      </c>
      <c r="AO195" s="61">
        <f t="shared" si="36"/>
        <v>0</v>
      </c>
      <c r="AP195" s="61">
        <f t="shared" si="37"/>
        <v>0</v>
      </c>
    </row>
    <row r="196" spans="3:42" s="17" customFormat="1" x14ac:dyDescent="0.25">
      <c r="C196" s="216" t="s">
        <v>229</v>
      </c>
      <c r="D196" s="217"/>
      <c r="E196" s="90"/>
      <c r="F196" s="198"/>
      <c r="G196" s="214"/>
      <c r="H196" s="199"/>
      <c r="I196" s="78"/>
      <c r="J196" s="79"/>
      <c r="K196" s="78"/>
      <c r="L196" s="113"/>
      <c r="M196" s="155"/>
      <c r="N196" s="114" t="str">
        <f>IFERROR(MIN(VLOOKUP(ROUNDDOWN(M196,0),'Aide calcul'!$B$2:$C$282,2,FALSE),L196+1),"")</f>
        <v/>
      </c>
      <c r="O196" s="115" t="str">
        <f t="shared" si="38"/>
        <v/>
      </c>
      <c r="P196" s="173"/>
      <c r="Q196" s="173"/>
      <c r="R196" s="173"/>
      <c r="S196" s="173"/>
      <c r="T196" s="173"/>
      <c r="U196" s="173"/>
      <c r="V196" s="173"/>
      <c r="W196" s="78"/>
      <c r="X196" s="78"/>
      <c r="Y196" s="116" t="str">
        <f>IFERROR(ROUND('Informations générales'!$D$66*(AE196/SUM($AE$27:$AE$403))/12,0)*12,"")</f>
        <v/>
      </c>
      <c r="Z196" s="117"/>
      <c r="AA196" s="116" t="str">
        <f t="shared" si="39"/>
        <v/>
      </c>
      <c r="AB196" s="78"/>
      <c r="AC196" s="92"/>
      <c r="AD196" s="78"/>
      <c r="AE196" s="58">
        <f t="shared" si="40"/>
        <v>0</v>
      </c>
      <c r="AF196" s="58">
        <f t="shared" si="29"/>
        <v>0</v>
      </c>
      <c r="AG196" s="58">
        <f t="shared" si="30"/>
        <v>0</v>
      </c>
      <c r="AH196" s="58">
        <f t="shared" si="31"/>
        <v>0</v>
      </c>
      <c r="AI196" s="58">
        <f t="shared" si="32"/>
        <v>0</v>
      </c>
      <c r="AJ196" s="58">
        <f t="shared" si="33"/>
        <v>0</v>
      </c>
      <c r="AK196" s="58">
        <f t="shared" si="34"/>
        <v>0</v>
      </c>
      <c r="AL196" s="58">
        <f t="shared" si="35"/>
        <v>0</v>
      </c>
      <c r="AM196" s="58">
        <f t="shared" si="41"/>
        <v>0</v>
      </c>
      <c r="AN196" s="62">
        <f t="shared" si="42"/>
        <v>0</v>
      </c>
      <c r="AO196" s="61">
        <f t="shared" si="36"/>
        <v>0</v>
      </c>
      <c r="AP196" s="61">
        <f t="shared" si="37"/>
        <v>0</v>
      </c>
    </row>
    <row r="197" spans="3:42" s="17" customFormat="1" x14ac:dyDescent="0.25">
      <c r="C197" s="216" t="s">
        <v>229</v>
      </c>
      <c r="D197" s="217"/>
      <c r="E197" s="90"/>
      <c r="F197" s="198"/>
      <c r="G197" s="214"/>
      <c r="H197" s="199"/>
      <c r="I197" s="78"/>
      <c r="J197" s="79"/>
      <c r="K197" s="78"/>
      <c r="L197" s="113"/>
      <c r="M197" s="155"/>
      <c r="N197" s="114" t="str">
        <f>IFERROR(MIN(VLOOKUP(ROUNDDOWN(M197,0),'Aide calcul'!$B$2:$C$282,2,FALSE),L197+1),"")</f>
        <v/>
      </c>
      <c r="O197" s="115" t="str">
        <f t="shared" si="38"/>
        <v/>
      </c>
      <c r="P197" s="173"/>
      <c r="Q197" s="173"/>
      <c r="R197" s="173"/>
      <c r="S197" s="173"/>
      <c r="T197" s="173"/>
      <c r="U197" s="173"/>
      <c r="V197" s="173"/>
      <c r="W197" s="78"/>
      <c r="X197" s="78"/>
      <c r="Y197" s="116" t="str">
        <f>IFERROR(ROUND('Informations générales'!$D$66*(AE197/SUM($AE$27:$AE$403))/12,0)*12,"")</f>
        <v/>
      </c>
      <c r="Z197" s="117"/>
      <c r="AA197" s="116" t="str">
        <f t="shared" si="39"/>
        <v/>
      </c>
      <c r="AB197" s="78"/>
      <c r="AC197" s="92"/>
      <c r="AD197" s="78"/>
      <c r="AE197" s="58">
        <f t="shared" si="40"/>
        <v>0</v>
      </c>
      <c r="AF197" s="58">
        <f t="shared" si="29"/>
        <v>0</v>
      </c>
      <c r="AG197" s="58">
        <f t="shared" si="30"/>
        <v>0</v>
      </c>
      <c r="AH197" s="58">
        <f t="shared" si="31"/>
        <v>0</v>
      </c>
      <c r="AI197" s="58">
        <f t="shared" si="32"/>
        <v>0</v>
      </c>
      <c r="AJ197" s="58">
        <f t="shared" si="33"/>
        <v>0</v>
      </c>
      <c r="AK197" s="58">
        <f t="shared" si="34"/>
        <v>0</v>
      </c>
      <c r="AL197" s="58">
        <f t="shared" si="35"/>
        <v>0</v>
      </c>
      <c r="AM197" s="58">
        <f t="shared" si="41"/>
        <v>0</v>
      </c>
      <c r="AN197" s="62">
        <f t="shared" si="42"/>
        <v>0</v>
      </c>
      <c r="AO197" s="61">
        <f t="shared" si="36"/>
        <v>0</v>
      </c>
      <c r="AP197" s="61">
        <f t="shared" si="37"/>
        <v>0</v>
      </c>
    </row>
    <row r="198" spans="3:42" s="17" customFormat="1" x14ac:dyDescent="0.25">
      <c r="C198" s="216" t="s">
        <v>229</v>
      </c>
      <c r="D198" s="217"/>
      <c r="E198" s="90"/>
      <c r="F198" s="198"/>
      <c r="G198" s="214"/>
      <c r="H198" s="199"/>
      <c r="I198" s="78"/>
      <c r="J198" s="79"/>
      <c r="K198" s="78"/>
      <c r="L198" s="113"/>
      <c r="M198" s="155"/>
      <c r="N198" s="114" t="str">
        <f>IFERROR(MIN(VLOOKUP(ROUNDDOWN(M198,0),'Aide calcul'!$B$2:$C$282,2,FALSE),L198+1),"")</f>
        <v/>
      </c>
      <c r="O198" s="115" t="str">
        <f t="shared" si="38"/>
        <v/>
      </c>
      <c r="P198" s="173"/>
      <c r="Q198" s="173"/>
      <c r="R198" s="173"/>
      <c r="S198" s="173"/>
      <c r="T198" s="173"/>
      <c r="U198" s="173"/>
      <c r="V198" s="173"/>
      <c r="W198" s="78"/>
      <c r="X198" s="78"/>
      <c r="Y198" s="116" t="str">
        <f>IFERROR(ROUND('Informations générales'!$D$66*(AE198/SUM($AE$27:$AE$403))/12,0)*12,"")</f>
        <v/>
      </c>
      <c r="Z198" s="117"/>
      <c r="AA198" s="116" t="str">
        <f t="shared" si="39"/>
        <v/>
      </c>
      <c r="AB198" s="78"/>
      <c r="AC198" s="92"/>
      <c r="AD198" s="78"/>
      <c r="AE198" s="58">
        <f t="shared" si="40"/>
        <v>0</v>
      </c>
      <c r="AF198" s="58">
        <f t="shared" si="29"/>
        <v>0</v>
      </c>
      <c r="AG198" s="58">
        <f t="shared" si="30"/>
        <v>0</v>
      </c>
      <c r="AH198" s="58">
        <f t="shared" si="31"/>
        <v>0</v>
      </c>
      <c r="AI198" s="58">
        <f t="shared" si="32"/>
        <v>0</v>
      </c>
      <c r="AJ198" s="58">
        <f t="shared" si="33"/>
        <v>0</v>
      </c>
      <c r="AK198" s="58">
        <f t="shared" si="34"/>
        <v>0</v>
      </c>
      <c r="AL198" s="58">
        <f t="shared" si="35"/>
        <v>0</v>
      </c>
      <c r="AM198" s="58">
        <f t="shared" si="41"/>
        <v>0</v>
      </c>
      <c r="AN198" s="62">
        <f t="shared" si="42"/>
        <v>0</v>
      </c>
      <c r="AO198" s="61">
        <f t="shared" si="36"/>
        <v>0</v>
      </c>
      <c r="AP198" s="61">
        <f t="shared" si="37"/>
        <v>0</v>
      </c>
    </row>
    <row r="199" spans="3:42" s="17" customFormat="1" x14ac:dyDescent="0.25">
      <c r="C199" s="216" t="s">
        <v>229</v>
      </c>
      <c r="D199" s="217"/>
      <c r="E199" s="90"/>
      <c r="F199" s="198"/>
      <c r="G199" s="214"/>
      <c r="H199" s="199"/>
      <c r="I199" s="78"/>
      <c r="J199" s="79"/>
      <c r="K199" s="78"/>
      <c r="L199" s="113"/>
      <c r="M199" s="155"/>
      <c r="N199" s="114" t="str">
        <f>IFERROR(MIN(VLOOKUP(ROUNDDOWN(M199,0),'Aide calcul'!$B$2:$C$282,2,FALSE),L199+1),"")</f>
        <v/>
      </c>
      <c r="O199" s="115" t="str">
        <f t="shared" si="38"/>
        <v/>
      </c>
      <c r="P199" s="173"/>
      <c r="Q199" s="173"/>
      <c r="R199" s="173"/>
      <c r="S199" s="173"/>
      <c r="T199" s="173"/>
      <c r="U199" s="173"/>
      <c r="V199" s="173"/>
      <c r="W199" s="78"/>
      <c r="X199" s="78"/>
      <c r="Y199" s="116" t="str">
        <f>IFERROR(ROUND('Informations générales'!$D$66*(AE199/SUM($AE$27:$AE$403))/12,0)*12,"")</f>
        <v/>
      </c>
      <c r="Z199" s="117"/>
      <c r="AA199" s="116" t="str">
        <f t="shared" si="39"/>
        <v/>
      </c>
      <c r="AB199" s="78"/>
      <c r="AC199" s="92"/>
      <c r="AD199" s="78"/>
      <c r="AE199" s="58">
        <f t="shared" si="40"/>
        <v>0</v>
      </c>
      <c r="AF199" s="58">
        <f t="shared" si="29"/>
        <v>0</v>
      </c>
      <c r="AG199" s="58">
        <f t="shared" si="30"/>
        <v>0</v>
      </c>
      <c r="AH199" s="58">
        <f t="shared" si="31"/>
        <v>0</v>
      </c>
      <c r="AI199" s="58">
        <f t="shared" si="32"/>
        <v>0</v>
      </c>
      <c r="AJ199" s="58">
        <f t="shared" si="33"/>
        <v>0</v>
      </c>
      <c r="AK199" s="58">
        <f t="shared" si="34"/>
        <v>0</v>
      </c>
      <c r="AL199" s="58">
        <f t="shared" si="35"/>
        <v>0</v>
      </c>
      <c r="AM199" s="58">
        <f t="shared" si="41"/>
        <v>0</v>
      </c>
      <c r="AN199" s="62">
        <f t="shared" si="42"/>
        <v>0</v>
      </c>
      <c r="AO199" s="61">
        <f t="shared" si="36"/>
        <v>0</v>
      </c>
      <c r="AP199" s="61">
        <f t="shared" si="37"/>
        <v>0</v>
      </c>
    </row>
    <row r="200" spans="3:42" s="17" customFormat="1" x14ac:dyDescent="0.25">
      <c r="C200" s="216" t="s">
        <v>229</v>
      </c>
      <c r="D200" s="217"/>
      <c r="E200" s="90"/>
      <c r="F200" s="198"/>
      <c r="G200" s="214"/>
      <c r="H200" s="199"/>
      <c r="I200" s="78"/>
      <c r="J200" s="79"/>
      <c r="K200" s="78"/>
      <c r="L200" s="113"/>
      <c r="M200" s="155"/>
      <c r="N200" s="114" t="str">
        <f>IFERROR(MIN(VLOOKUP(ROUNDDOWN(M200,0),'Aide calcul'!$B$2:$C$282,2,FALSE),L200+1),"")</f>
        <v/>
      </c>
      <c r="O200" s="115" t="str">
        <f t="shared" si="38"/>
        <v/>
      </c>
      <c r="P200" s="173"/>
      <c r="Q200" s="173"/>
      <c r="R200" s="173"/>
      <c r="S200" s="173"/>
      <c r="T200" s="173"/>
      <c r="U200" s="173"/>
      <c r="V200" s="173"/>
      <c r="W200" s="78"/>
      <c r="X200" s="78"/>
      <c r="Y200" s="116" t="str">
        <f>IFERROR(ROUND('Informations générales'!$D$66*(AE200/SUM($AE$27:$AE$403))/12,0)*12,"")</f>
        <v/>
      </c>
      <c r="Z200" s="117"/>
      <c r="AA200" s="116" t="str">
        <f t="shared" si="39"/>
        <v/>
      </c>
      <c r="AB200" s="78"/>
      <c r="AC200" s="92"/>
      <c r="AD200" s="78"/>
      <c r="AE200" s="58">
        <f t="shared" si="40"/>
        <v>0</v>
      </c>
      <c r="AF200" s="58">
        <f t="shared" si="29"/>
        <v>0</v>
      </c>
      <c r="AG200" s="58">
        <f t="shared" si="30"/>
        <v>0</v>
      </c>
      <c r="AH200" s="58">
        <f t="shared" si="31"/>
        <v>0</v>
      </c>
      <c r="AI200" s="58">
        <f t="shared" si="32"/>
        <v>0</v>
      </c>
      <c r="AJ200" s="58">
        <f t="shared" si="33"/>
        <v>0</v>
      </c>
      <c r="AK200" s="58">
        <f t="shared" si="34"/>
        <v>0</v>
      </c>
      <c r="AL200" s="58">
        <f t="shared" si="35"/>
        <v>0</v>
      </c>
      <c r="AM200" s="58">
        <f t="shared" si="41"/>
        <v>0</v>
      </c>
      <c r="AN200" s="62">
        <f t="shared" si="42"/>
        <v>0</v>
      </c>
      <c r="AO200" s="61">
        <f t="shared" si="36"/>
        <v>0</v>
      </c>
      <c r="AP200" s="61">
        <f t="shared" si="37"/>
        <v>0</v>
      </c>
    </row>
    <row r="201" spans="3:42" s="17" customFormat="1" x14ac:dyDescent="0.25">
      <c r="C201" s="216" t="s">
        <v>229</v>
      </c>
      <c r="D201" s="217"/>
      <c r="E201" s="90"/>
      <c r="F201" s="198"/>
      <c r="G201" s="214"/>
      <c r="H201" s="199"/>
      <c r="I201" s="78"/>
      <c r="J201" s="79"/>
      <c r="K201" s="78"/>
      <c r="L201" s="113"/>
      <c r="M201" s="155"/>
      <c r="N201" s="114" t="str">
        <f>IFERROR(MIN(VLOOKUP(ROUNDDOWN(M201,0),'Aide calcul'!$B$2:$C$282,2,FALSE),L201+1),"")</f>
        <v/>
      </c>
      <c r="O201" s="115" t="str">
        <f t="shared" si="38"/>
        <v/>
      </c>
      <c r="P201" s="173"/>
      <c r="Q201" s="173"/>
      <c r="R201" s="173"/>
      <c r="S201" s="173"/>
      <c r="T201" s="173"/>
      <c r="U201" s="173"/>
      <c r="V201" s="173"/>
      <c r="W201" s="78"/>
      <c r="X201" s="78"/>
      <c r="Y201" s="116" t="str">
        <f>IFERROR(ROUND('Informations générales'!$D$66*(AE201/SUM($AE$27:$AE$403))/12,0)*12,"")</f>
        <v/>
      </c>
      <c r="Z201" s="117"/>
      <c r="AA201" s="116" t="str">
        <f t="shared" si="39"/>
        <v/>
      </c>
      <c r="AB201" s="78"/>
      <c r="AC201" s="92"/>
      <c r="AD201" s="78"/>
      <c r="AE201" s="58">
        <f t="shared" si="40"/>
        <v>0</v>
      </c>
      <c r="AF201" s="58">
        <f t="shared" si="29"/>
        <v>0</v>
      </c>
      <c r="AG201" s="58">
        <f t="shared" si="30"/>
        <v>0</v>
      </c>
      <c r="AH201" s="58">
        <f t="shared" si="31"/>
        <v>0</v>
      </c>
      <c r="AI201" s="58">
        <f t="shared" si="32"/>
        <v>0</v>
      </c>
      <c r="AJ201" s="58">
        <f t="shared" si="33"/>
        <v>0</v>
      </c>
      <c r="AK201" s="58">
        <f t="shared" si="34"/>
        <v>0</v>
      </c>
      <c r="AL201" s="58">
        <f t="shared" si="35"/>
        <v>0</v>
      </c>
      <c r="AM201" s="58">
        <f t="shared" si="41"/>
        <v>0</v>
      </c>
      <c r="AN201" s="62">
        <f t="shared" si="42"/>
        <v>0</v>
      </c>
      <c r="AO201" s="61">
        <f t="shared" si="36"/>
        <v>0</v>
      </c>
      <c r="AP201" s="61">
        <f t="shared" si="37"/>
        <v>0</v>
      </c>
    </row>
    <row r="202" spans="3:42" s="17" customFormat="1" x14ac:dyDescent="0.25">
      <c r="C202" s="216" t="s">
        <v>229</v>
      </c>
      <c r="D202" s="217"/>
      <c r="E202" s="90"/>
      <c r="F202" s="198"/>
      <c r="G202" s="214"/>
      <c r="H202" s="199"/>
      <c r="I202" s="78"/>
      <c r="J202" s="79"/>
      <c r="K202" s="78"/>
      <c r="L202" s="113"/>
      <c r="M202" s="155"/>
      <c r="N202" s="114" t="str">
        <f>IFERROR(MIN(VLOOKUP(ROUNDDOWN(M202,0),'Aide calcul'!$B$2:$C$282,2,FALSE),L202+1),"")</f>
        <v/>
      </c>
      <c r="O202" s="115" t="str">
        <f t="shared" si="38"/>
        <v/>
      </c>
      <c r="P202" s="173"/>
      <c r="Q202" s="173"/>
      <c r="R202" s="173"/>
      <c r="S202" s="173"/>
      <c r="T202" s="173"/>
      <c r="U202" s="173"/>
      <c r="V202" s="173"/>
      <c r="W202" s="78"/>
      <c r="X202" s="78"/>
      <c r="Y202" s="116" t="str">
        <f>IFERROR(ROUND('Informations générales'!$D$66*(AE202/SUM($AE$27:$AE$403))/12,0)*12,"")</f>
        <v/>
      </c>
      <c r="Z202" s="117"/>
      <c r="AA202" s="116" t="str">
        <f t="shared" si="39"/>
        <v/>
      </c>
      <c r="AB202" s="78"/>
      <c r="AC202" s="92"/>
      <c r="AD202" s="78"/>
      <c r="AE202" s="58">
        <f t="shared" si="40"/>
        <v>0</v>
      </c>
      <c r="AF202" s="58">
        <f t="shared" si="29"/>
        <v>0</v>
      </c>
      <c r="AG202" s="58">
        <f t="shared" si="30"/>
        <v>0</v>
      </c>
      <c r="AH202" s="58">
        <f t="shared" si="31"/>
        <v>0</v>
      </c>
      <c r="AI202" s="58">
        <f t="shared" si="32"/>
        <v>0</v>
      </c>
      <c r="AJ202" s="58">
        <f t="shared" si="33"/>
        <v>0</v>
      </c>
      <c r="AK202" s="58">
        <f t="shared" si="34"/>
        <v>0</v>
      </c>
      <c r="AL202" s="58">
        <f t="shared" si="35"/>
        <v>0</v>
      </c>
      <c r="AM202" s="58">
        <f t="shared" si="41"/>
        <v>0</v>
      </c>
      <c r="AN202" s="62">
        <f t="shared" si="42"/>
        <v>0</v>
      </c>
      <c r="AO202" s="61">
        <f t="shared" si="36"/>
        <v>0</v>
      </c>
      <c r="AP202" s="61">
        <f t="shared" si="37"/>
        <v>0</v>
      </c>
    </row>
    <row r="203" spans="3:42" s="17" customFormat="1" x14ac:dyDescent="0.25">
      <c r="C203" s="216" t="s">
        <v>229</v>
      </c>
      <c r="D203" s="217"/>
      <c r="E203" s="90"/>
      <c r="F203" s="198"/>
      <c r="G203" s="214"/>
      <c r="H203" s="199"/>
      <c r="I203" s="78"/>
      <c r="J203" s="79"/>
      <c r="K203" s="78"/>
      <c r="L203" s="113"/>
      <c r="M203" s="155"/>
      <c r="N203" s="114" t="str">
        <f>IFERROR(MIN(VLOOKUP(ROUNDDOWN(M203,0),'Aide calcul'!$B$2:$C$282,2,FALSE),L203+1),"")</f>
        <v/>
      </c>
      <c r="O203" s="115" t="str">
        <f t="shared" si="38"/>
        <v/>
      </c>
      <c r="P203" s="173"/>
      <c r="Q203" s="173"/>
      <c r="R203" s="173"/>
      <c r="S203" s="173"/>
      <c r="T203" s="173"/>
      <c r="U203" s="173"/>
      <c r="V203" s="173"/>
      <c r="W203" s="78"/>
      <c r="X203" s="78"/>
      <c r="Y203" s="116" t="str">
        <f>IFERROR(ROUND('Informations générales'!$D$66*(AE203/SUM($AE$27:$AE$403))/12,0)*12,"")</f>
        <v/>
      </c>
      <c r="Z203" s="117"/>
      <c r="AA203" s="116" t="str">
        <f t="shared" si="39"/>
        <v/>
      </c>
      <c r="AB203" s="78"/>
      <c r="AC203" s="92"/>
      <c r="AD203" s="78"/>
      <c r="AE203" s="58">
        <f t="shared" si="40"/>
        <v>0</v>
      </c>
      <c r="AF203" s="58">
        <f t="shared" si="29"/>
        <v>0</v>
      </c>
      <c r="AG203" s="58">
        <f t="shared" si="30"/>
        <v>0</v>
      </c>
      <c r="AH203" s="58">
        <f t="shared" si="31"/>
        <v>0</v>
      </c>
      <c r="AI203" s="58">
        <f t="shared" si="32"/>
        <v>0</v>
      </c>
      <c r="AJ203" s="58">
        <f t="shared" si="33"/>
        <v>0</v>
      </c>
      <c r="AK203" s="58">
        <f t="shared" si="34"/>
        <v>0</v>
      </c>
      <c r="AL203" s="58">
        <f t="shared" si="35"/>
        <v>0</v>
      </c>
      <c r="AM203" s="58">
        <f t="shared" si="41"/>
        <v>0</v>
      </c>
      <c r="AN203" s="62">
        <f t="shared" si="42"/>
        <v>0</v>
      </c>
      <c r="AO203" s="61">
        <f t="shared" si="36"/>
        <v>0</v>
      </c>
      <c r="AP203" s="61">
        <f t="shared" si="37"/>
        <v>0</v>
      </c>
    </row>
    <row r="204" spans="3:42" s="17" customFormat="1" x14ac:dyDescent="0.25">
      <c r="C204" s="216" t="s">
        <v>229</v>
      </c>
      <c r="D204" s="217"/>
      <c r="E204" s="90"/>
      <c r="F204" s="198"/>
      <c r="G204" s="214"/>
      <c r="H204" s="199"/>
      <c r="I204" s="78"/>
      <c r="J204" s="79"/>
      <c r="K204" s="78"/>
      <c r="L204" s="113"/>
      <c r="M204" s="155"/>
      <c r="N204" s="114" t="str">
        <f>IFERROR(MIN(VLOOKUP(ROUNDDOWN(M204,0),'Aide calcul'!$B$2:$C$282,2,FALSE),L204+1),"")</f>
        <v/>
      </c>
      <c r="O204" s="115" t="str">
        <f t="shared" si="38"/>
        <v/>
      </c>
      <c r="P204" s="173"/>
      <c r="Q204" s="173"/>
      <c r="R204" s="173"/>
      <c r="S204" s="173"/>
      <c r="T204" s="173"/>
      <c r="U204" s="173"/>
      <c r="V204" s="173"/>
      <c r="W204" s="78"/>
      <c r="X204" s="78"/>
      <c r="Y204" s="116" t="str">
        <f>IFERROR(ROUND('Informations générales'!$D$66*(AE204/SUM($AE$27:$AE$403))/12,0)*12,"")</f>
        <v/>
      </c>
      <c r="Z204" s="117"/>
      <c r="AA204" s="116" t="str">
        <f t="shared" si="39"/>
        <v/>
      </c>
      <c r="AB204" s="78"/>
      <c r="AC204" s="92"/>
      <c r="AD204" s="78"/>
      <c r="AE204" s="58">
        <f t="shared" si="40"/>
        <v>0</v>
      </c>
      <c r="AF204" s="58">
        <f t="shared" si="29"/>
        <v>0</v>
      </c>
      <c r="AG204" s="58">
        <f t="shared" si="30"/>
        <v>0</v>
      </c>
      <c r="AH204" s="58">
        <f t="shared" si="31"/>
        <v>0</v>
      </c>
      <c r="AI204" s="58">
        <f t="shared" si="32"/>
        <v>0</v>
      </c>
      <c r="AJ204" s="58">
        <f t="shared" si="33"/>
        <v>0</v>
      </c>
      <c r="AK204" s="58">
        <f t="shared" si="34"/>
        <v>0</v>
      </c>
      <c r="AL204" s="58">
        <f t="shared" si="35"/>
        <v>0</v>
      </c>
      <c r="AM204" s="58">
        <f t="shared" si="41"/>
        <v>0</v>
      </c>
      <c r="AN204" s="62">
        <f t="shared" si="42"/>
        <v>0</v>
      </c>
      <c r="AO204" s="61">
        <f t="shared" si="36"/>
        <v>0</v>
      </c>
      <c r="AP204" s="61">
        <f t="shared" si="37"/>
        <v>0</v>
      </c>
    </row>
    <row r="205" spans="3:42" s="17" customFormat="1" x14ac:dyDescent="0.25">
      <c r="C205" s="216" t="s">
        <v>229</v>
      </c>
      <c r="D205" s="217"/>
      <c r="E205" s="90"/>
      <c r="F205" s="198"/>
      <c r="G205" s="214"/>
      <c r="H205" s="199"/>
      <c r="I205" s="78"/>
      <c r="J205" s="79"/>
      <c r="K205" s="78"/>
      <c r="L205" s="113"/>
      <c r="M205" s="155"/>
      <c r="N205" s="114" t="str">
        <f>IFERROR(MIN(VLOOKUP(ROUNDDOWN(M205,0),'Aide calcul'!$B$2:$C$282,2,FALSE),L205+1),"")</f>
        <v/>
      </c>
      <c r="O205" s="115" t="str">
        <f t="shared" si="38"/>
        <v/>
      </c>
      <c r="P205" s="173"/>
      <c r="Q205" s="173"/>
      <c r="R205" s="173"/>
      <c r="S205" s="173"/>
      <c r="T205" s="173"/>
      <c r="U205" s="173"/>
      <c r="V205" s="173"/>
      <c r="W205" s="78"/>
      <c r="X205" s="78"/>
      <c r="Y205" s="116" t="str">
        <f>IFERROR(ROUND('Informations générales'!$D$66*(AE205/SUM($AE$27:$AE$403))/12,0)*12,"")</f>
        <v/>
      </c>
      <c r="Z205" s="117"/>
      <c r="AA205" s="116" t="str">
        <f t="shared" si="39"/>
        <v/>
      </c>
      <c r="AB205" s="78"/>
      <c r="AC205" s="92"/>
      <c r="AD205" s="78"/>
      <c r="AE205" s="58">
        <f t="shared" si="40"/>
        <v>0</v>
      </c>
      <c r="AF205" s="58">
        <f t="shared" si="29"/>
        <v>0</v>
      </c>
      <c r="AG205" s="58">
        <f t="shared" si="30"/>
        <v>0</v>
      </c>
      <c r="AH205" s="58">
        <f t="shared" si="31"/>
        <v>0</v>
      </c>
      <c r="AI205" s="58">
        <f t="shared" si="32"/>
        <v>0</v>
      </c>
      <c r="AJ205" s="58">
        <f t="shared" si="33"/>
        <v>0</v>
      </c>
      <c r="AK205" s="58">
        <f t="shared" si="34"/>
        <v>0</v>
      </c>
      <c r="AL205" s="58">
        <f t="shared" si="35"/>
        <v>0</v>
      </c>
      <c r="AM205" s="58">
        <f t="shared" si="41"/>
        <v>0</v>
      </c>
      <c r="AN205" s="62">
        <f t="shared" si="42"/>
        <v>0</v>
      </c>
      <c r="AO205" s="61">
        <f t="shared" si="36"/>
        <v>0</v>
      </c>
      <c r="AP205" s="61">
        <f t="shared" si="37"/>
        <v>0</v>
      </c>
    </row>
    <row r="206" spans="3:42" s="17" customFormat="1" x14ac:dyDescent="0.25">
      <c r="C206" s="216" t="s">
        <v>229</v>
      </c>
      <c r="D206" s="217"/>
      <c r="E206" s="90"/>
      <c r="F206" s="198"/>
      <c r="G206" s="214"/>
      <c r="H206" s="199"/>
      <c r="I206" s="78"/>
      <c r="J206" s="79"/>
      <c r="K206" s="78"/>
      <c r="L206" s="113"/>
      <c r="M206" s="155"/>
      <c r="N206" s="114" t="str">
        <f>IFERROR(MIN(VLOOKUP(ROUNDDOWN(M206,0),'Aide calcul'!$B$2:$C$282,2,FALSE),L206+1),"")</f>
        <v/>
      </c>
      <c r="O206" s="115" t="str">
        <f t="shared" si="38"/>
        <v/>
      </c>
      <c r="P206" s="173"/>
      <c r="Q206" s="173"/>
      <c r="R206" s="173"/>
      <c r="S206" s="173"/>
      <c r="T206" s="173"/>
      <c r="U206" s="173"/>
      <c r="V206" s="173"/>
      <c r="W206" s="78"/>
      <c r="X206" s="78"/>
      <c r="Y206" s="116" t="str">
        <f>IFERROR(ROUND('Informations générales'!$D$66*(AE206/SUM($AE$27:$AE$403))/12,0)*12,"")</f>
        <v/>
      </c>
      <c r="Z206" s="117"/>
      <c r="AA206" s="116" t="str">
        <f t="shared" si="39"/>
        <v/>
      </c>
      <c r="AB206" s="78"/>
      <c r="AC206" s="92"/>
      <c r="AD206" s="78"/>
      <c r="AE206" s="58">
        <f t="shared" si="40"/>
        <v>0</v>
      </c>
      <c r="AF206" s="58">
        <f t="shared" si="29"/>
        <v>0</v>
      </c>
      <c r="AG206" s="58">
        <f t="shared" si="30"/>
        <v>0</v>
      </c>
      <c r="AH206" s="58">
        <f t="shared" si="31"/>
        <v>0</v>
      </c>
      <c r="AI206" s="58">
        <f t="shared" si="32"/>
        <v>0</v>
      </c>
      <c r="AJ206" s="58">
        <f t="shared" si="33"/>
        <v>0</v>
      </c>
      <c r="AK206" s="58">
        <f t="shared" si="34"/>
        <v>0</v>
      </c>
      <c r="AL206" s="58">
        <f t="shared" si="35"/>
        <v>0</v>
      </c>
      <c r="AM206" s="58">
        <f t="shared" si="41"/>
        <v>0</v>
      </c>
      <c r="AN206" s="62">
        <f t="shared" si="42"/>
        <v>0</v>
      </c>
      <c r="AO206" s="61">
        <f t="shared" si="36"/>
        <v>0</v>
      </c>
      <c r="AP206" s="61">
        <f t="shared" si="37"/>
        <v>0</v>
      </c>
    </row>
    <row r="207" spans="3:42" s="17" customFormat="1" x14ac:dyDescent="0.25">
      <c r="C207" s="216" t="s">
        <v>229</v>
      </c>
      <c r="D207" s="217"/>
      <c r="E207" s="90"/>
      <c r="F207" s="198"/>
      <c r="G207" s="214"/>
      <c r="H207" s="199"/>
      <c r="I207" s="78"/>
      <c r="J207" s="79"/>
      <c r="K207" s="78"/>
      <c r="L207" s="113"/>
      <c r="M207" s="155"/>
      <c r="N207" s="114" t="str">
        <f>IFERROR(MIN(VLOOKUP(ROUNDDOWN(M207,0),'Aide calcul'!$B$2:$C$282,2,FALSE),L207+1),"")</f>
        <v/>
      </c>
      <c r="O207" s="115" t="str">
        <f t="shared" si="38"/>
        <v/>
      </c>
      <c r="P207" s="173"/>
      <c r="Q207" s="173"/>
      <c r="R207" s="173"/>
      <c r="S207" s="173"/>
      <c r="T207" s="173"/>
      <c r="U207" s="173"/>
      <c r="V207" s="173"/>
      <c r="W207" s="78"/>
      <c r="X207" s="78"/>
      <c r="Y207" s="116" t="str">
        <f>IFERROR(ROUND('Informations générales'!$D$66*(AE207/SUM($AE$27:$AE$403))/12,0)*12,"")</f>
        <v/>
      </c>
      <c r="Z207" s="117"/>
      <c r="AA207" s="116" t="str">
        <f t="shared" si="39"/>
        <v/>
      </c>
      <c r="AB207" s="78"/>
      <c r="AC207" s="92"/>
      <c r="AD207" s="78"/>
      <c r="AE207" s="58">
        <f t="shared" si="40"/>
        <v>0</v>
      </c>
      <c r="AF207" s="58">
        <f t="shared" si="29"/>
        <v>0</v>
      </c>
      <c r="AG207" s="58">
        <f t="shared" si="30"/>
        <v>0</v>
      </c>
      <c r="AH207" s="58">
        <f t="shared" si="31"/>
        <v>0</v>
      </c>
      <c r="AI207" s="58">
        <f t="shared" si="32"/>
        <v>0</v>
      </c>
      <c r="AJ207" s="58">
        <f t="shared" si="33"/>
        <v>0</v>
      </c>
      <c r="AK207" s="58">
        <f t="shared" si="34"/>
        <v>0</v>
      </c>
      <c r="AL207" s="58">
        <f t="shared" si="35"/>
        <v>0</v>
      </c>
      <c r="AM207" s="58">
        <f t="shared" si="41"/>
        <v>0</v>
      </c>
      <c r="AN207" s="62">
        <f t="shared" si="42"/>
        <v>0</v>
      </c>
      <c r="AO207" s="61">
        <f t="shared" si="36"/>
        <v>0</v>
      </c>
      <c r="AP207" s="61">
        <f t="shared" si="37"/>
        <v>0</v>
      </c>
    </row>
    <row r="208" spans="3:42" s="17" customFormat="1" x14ac:dyDescent="0.25">
      <c r="C208" s="216" t="s">
        <v>229</v>
      </c>
      <c r="D208" s="217"/>
      <c r="E208" s="90"/>
      <c r="F208" s="198"/>
      <c r="G208" s="214"/>
      <c r="H208" s="199"/>
      <c r="I208" s="78"/>
      <c r="J208" s="79"/>
      <c r="K208" s="78"/>
      <c r="L208" s="113"/>
      <c r="M208" s="155"/>
      <c r="N208" s="114" t="str">
        <f>IFERROR(MIN(VLOOKUP(ROUNDDOWN(M208,0),'Aide calcul'!$B$2:$C$282,2,FALSE),L208+1),"")</f>
        <v/>
      </c>
      <c r="O208" s="115" t="str">
        <f t="shared" si="38"/>
        <v/>
      </c>
      <c r="P208" s="173"/>
      <c r="Q208" s="173"/>
      <c r="R208" s="173"/>
      <c r="S208" s="173"/>
      <c r="T208" s="173"/>
      <c r="U208" s="173"/>
      <c r="V208" s="173"/>
      <c r="W208" s="78"/>
      <c r="X208" s="78"/>
      <c r="Y208" s="116" t="str">
        <f>IFERROR(ROUND('Informations générales'!$D$66*(AE208/SUM($AE$27:$AE$403))/12,0)*12,"")</f>
        <v/>
      </c>
      <c r="Z208" s="117"/>
      <c r="AA208" s="116" t="str">
        <f t="shared" si="39"/>
        <v/>
      </c>
      <c r="AB208" s="78"/>
      <c r="AC208" s="92"/>
      <c r="AD208" s="78"/>
      <c r="AE208" s="58">
        <f t="shared" si="40"/>
        <v>0</v>
      </c>
      <c r="AF208" s="58">
        <f t="shared" si="29"/>
        <v>0</v>
      </c>
      <c r="AG208" s="58">
        <f t="shared" si="30"/>
        <v>0</v>
      </c>
      <c r="AH208" s="58">
        <f t="shared" si="31"/>
        <v>0</v>
      </c>
      <c r="AI208" s="58">
        <f t="shared" si="32"/>
        <v>0</v>
      </c>
      <c r="AJ208" s="58">
        <f t="shared" si="33"/>
        <v>0</v>
      </c>
      <c r="AK208" s="58">
        <f t="shared" si="34"/>
        <v>0</v>
      </c>
      <c r="AL208" s="58">
        <f t="shared" si="35"/>
        <v>0</v>
      </c>
      <c r="AM208" s="58">
        <f t="shared" si="41"/>
        <v>0</v>
      </c>
      <c r="AN208" s="62">
        <f t="shared" si="42"/>
        <v>0</v>
      </c>
      <c r="AO208" s="61">
        <f t="shared" si="36"/>
        <v>0</v>
      </c>
      <c r="AP208" s="61">
        <f t="shared" si="37"/>
        <v>0</v>
      </c>
    </row>
    <row r="209" spans="3:42" s="17" customFormat="1" x14ac:dyDescent="0.25">
      <c r="C209" s="216" t="s">
        <v>229</v>
      </c>
      <c r="D209" s="217"/>
      <c r="E209" s="90"/>
      <c r="F209" s="198"/>
      <c r="G209" s="214"/>
      <c r="H209" s="199"/>
      <c r="I209" s="78"/>
      <c r="J209" s="79"/>
      <c r="K209" s="78"/>
      <c r="L209" s="113"/>
      <c r="M209" s="155"/>
      <c r="N209" s="114" t="str">
        <f>IFERROR(MIN(VLOOKUP(ROUNDDOWN(M209,0),'Aide calcul'!$B$2:$C$282,2,FALSE),L209+1),"")</f>
        <v/>
      </c>
      <c r="O209" s="115" t="str">
        <f t="shared" si="38"/>
        <v/>
      </c>
      <c r="P209" s="173"/>
      <c r="Q209" s="173"/>
      <c r="R209" s="173"/>
      <c r="S209" s="173"/>
      <c r="T209" s="173"/>
      <c r="U209" s="173"/>
      <c r="V209" s="173"/>
      <c r="W209" s="78"/>
      <c r="X209" s="78"/>
      <c r="Y209" s="116" t="str">
        <f>IFERROR(ROUND('Informations générales'!$D$66*(AE209/SUM($AE$27:$AE$403))/12,0)*12,"")</f>
        <v/>
      </c>
      <c r="Z209" s="117"/>
      <c r="AA209" s="116" t="str">
        <f t="shared" si="39"/>
        <v/>
      </c>
      <c r="AB209" s="78"/>
      <c r="AC209" s="92"/>
      <c r="AD209" s="78"/>
      <c r="AE209" s="58">
        <f t="shared" si="40"/>
        <v>0</v>
      </c>
      <c r="AF209" s="58">
        <f t="shared" si="29"/>
        <v>0</v>
      </c>
      <c r="AG209" s="58">
        <f t="shared" si="30"/>
        <v>0</v>
      </c>
      <c r="AH209" s="58">
        <f t="shared" si="31"/>
        <v>0</v>
      </c>
      <c r="AI209" s="58">
        <f t="shared" si="32"/>
        <v>0</v>
      </c>
      <c r="AJ209" s="58">
        <f t="shared" si="33"/>
        <v>0</v>
      </c>
      <c r="AK209" s="58">
        <f t="shared" si="34"/>
        <v>0</v>
      </c>
      <c r="AL209" s="58">
        <f t="shared" si="35"/>
        <v>0</v>
      </c>
      <c r="AM209" s="58">
        <f t="shared" si="41"/>
        <v>0</v>
      </c>
      <c r="AN209" s="62">
        <f t="shared" si="42"/>
        <v>0</v>
      </c>
      <c r="AO209" s="61">
        <f t="shared" si="36"/>
        <v>0</v>
      </c>
      <c r="AP209" s="61">
        <f t="shared" si="37"/>
        <v>0</v>
      </c>
    </row>
    <row r="210" spans="3:42" s="17" customFormat="1" x14ac:dyDescent="0.25">
      <c r="C210" s="216" t="s">
        <v>229</v>
      </c>
      <c r="D210" s="217"/>
      <c r="E210" s="90"/>
      <c r="F210" s="198"/>
      <c r="G210" s="214"/>
      <c r="H210" s="199"/>
      <c r="I210" s="78"/>
      <c r="J210" s="79"/>
      <c r="K210" s="78"/>
      <c r="L210" s="113"/>
      <c r="M210" s="155"/>
      <c r="N210" s="114" t="str">
        <f>IFERROR(MIN(VLOOKUP(ROUNDDOWN(M210,0),'Aide calcul'!$B$2:$C$282,2,FALSE),L210+1),"")</f>
        <v/>
      </c>
      <c r="O210" s="115" t="str">
        <f t="shared" si="38"/>
        <v/>
      </c>
      <c r="P210" s="173"/>
      <c r="Q210" s="173"/>
      <c r="R210" s="173"/>
      <c r="S210" s="173"/>
      <c r="T210" s="173"/>
      <c r="U210" s="173"/>
      <c r="V210" s="173"/>
      <c r="W210" s="78"/>
      <c r="X210" s="78"/>
      <c r="Y210" s="116" t="str">
        <f>IFERROR(ROUND('Informations générales'!$D$66*(AE210/SUM($AE$27:$AE$403))/12,0)*12,"")</f>
        <v/>
      </c>
      <c r="Z210" s="117"/>
      <c r="AA210" s="116" t="str">
        <f t="shared" si="39"/>
        <v/>
      </c>
      <c r="AB210" s="78"/>
      <c r="AC210" s="92"/>
      <c r="AD210" s="78"/>
      <c r="AE210" s="58">
        <f t="shared" si="40"/>
        <v>0</v>
      </c>
      <c r="AF210" s="58">
        <f t="shared" si="29"/>
        <v>0</v>
      </c>
      <c r="AG210" s="58">
        <f t="shared" si="30"/>
        <v>0</v>
      </c>
      <c r="AH210" s="58">
        <f t="shared" si="31"/>
        <v>0</v>
      </c>
      <c r="AI210" s="58">
        <f t="shared" si="32"/>
        <v>0</v>
      </c>
      <c r="AJ210" s="58">
        <f t="shared" si="33"/>
        <v>0</v>
      </c>
      <c r="AK210" s="58">
        <f t="shared" si="34"/>
        <v>0</v>
      </c>
      <c r="AL210" s="58">
        <f t="shared" si="35"/>
        <v>0</v>
      </c>
      <c r="AM210" s="58">
        <f t="shared" si="41"/>
        <v>0</v>
      </c>
      <c r="AN210" s="62">
        <f t="shared" si="42"/>
        <v>0</v>
      </c>
      <c r="AO210" s="61">
        <f t="shared" si="36"/>
        <v>0</v>
      </c>
      <c r="AP210" s="61">
        <f t="shared" si="37"/>
        <v>0</v>
      </c>
    </row>
    <row r="211" spans="3:42" s="17" customFormat="1" x14ac:dyDescent="0.25">
      <c r="C211" s="216" t="s">
        <v>229</v>
      </c>
      <c r="D211" s="217"/>
      <c r="E211" s="90"/>
      <c r="F211" s="198"/>
      <c r="G211" s="214"/>
      <c r="H211" s="199"/>
      <c r="I211" s="78"/>
      <c r="J211" s="79"/>
      <c r="K211" s="78"/>
      <c r="L211" s="113"/>
      <c r="M211" s="155"/>
      <c r="N211" s="114" t="str">
        <f>IFERROR(MIN(VLOOKUP(ROUNDDOWN(M211,0),'Aide calcul'!$B$2:$C$282,2,FALSE),L211+1),"")</f>
        <v/>
      </c>
      <c r="O211" s="115" t="str">
        <f t="shared" si="38"/>
        <v/>
      </c>
      <c r="P211" s="173"/>
      <c r="Q211" s="173"/>
      <c r="R211" s="173"/>
      <c r="S211" s="173"/>
      <c r="T211" s="173"/>
      <c r="U211" s="173"/>
      <c r="V211" s="173"/>
      <c r="W211" s="78"/>
      <c r="X211" s="78"/>
      <c r="Y211" s="116" t="str">
        <f>IFERROR(ROUND('Informations générales'!$D$66*(AE211/SUM($AE$27:$AE$403))/12,0)*12,"")</f>
        <v/>
      </c>
      <c r="Z211" s="117"/>
      <c r="AA211" s="116" t="str">
        <f t="shared" si="39"/>
        <v/>
      </c>
      <c r="AB211" s="78"/>
      <c r="AC211" s="92"/>
      <c r="AD211" s="78"/>
      <c r="AE211" s="58">
        <f t="shared" si="40"/>
        <v>0</v>
      </c>
      <c r="AF211" s="58">
        <f t="shared" si="29"/>
        <v>0</v>
      </c>
      <c r="AG211" s="58">
        <f t="shared" si="30"/>
        <v>0</v>
      </c>
      <c r="AH211" s="58">
        <f t="shared" si="31"/>
        <v>0</v>
      </c>
      <c r="AI211" s="58">
        <f t="shared" si="32"/>
        <v>0</v>
      </c>
      <c r="AJ211" s="58">
        <f t="shared" si="33"/>
        <v>0</v>
      </c>
      <c r="AK211" s="58">
        <f t="shared" si="34"/>
        <v>0</v>
      </c>
      <c r="AL211" s="58">
        <f t="shared" si="35"/>
        <v>0</v>
      </c>
      <c r="AM211" s="58">
        <f t="shared" si="41"/>
        <v>0</v>
      </c>
      <c r="AN211" s="62">
        <f t="shared" si="42"/>
        <v>0</v>
      </c>
      <c r="AO211" s="61">
        <f t="shared" si="36"/>
        <v>0</v>
      </c>
      <c r="AP211" s="61">
        <f t="shared" si="37"/>
        <v>0</v>
      </c>
    </row>
    <row r="212" spans="3:42" s="17" customFormat="1" x14ac:dyDescent="0.25">
      <c r="C212" s="216" t="s">
        <v>229</v>
      </c>
      <c r="D212" s="217"/>
      <c r="E212" s="90"/>
      <c r="F212" s="198"/>
      <c r="G212" s="214"/>
      <c r="H212" s="199"/>
      <c r="I212" s="78"/>
      <c r="J212" s="79"/>
      <c r="K212" s="78"/>
      <c r="L212" s="113"/>
      <c r="M212" s="155"/>
      <c r="N212" s="114" t="str">
        <f>IFERROR(MIN(VLOOKUP(ROUNDDOWN(M212,0),'Aide calcul'!$B$2:$C$282,2,FALSE),L212+1),"")</f>
        <v/>
      </c>
      <c r="O212" s="115" t="str">
        <f t="shared" si="38"/>
        <v/>
      </c>
      <c r="P212" s="173"/>
      <c r="Q212" s="173"/>
      <c r="R212" s="173"/>
      <c r="S212" s="173"/>
      <c r="T212" s="173"/>
      <c r="U212" s="173"/>
      <c r="V212" s="173"/>
      <c r="W212" s="78"/>
      <c r="X212" s="78"/>
      <c r="Y212" s="116" t="str">
        <f>IFERROR(ROUND('Informations générales'!$D$66*(AE212/SUM($AE$27:$AE$403))/12,0)*12,"")</f>
        <v/>
      </c>
      <c r="Z212" s="117"/>
      <c r="AA212" s="116" t="str">
        <f t="shared" si="39"/>
        <v/>
      </c>
      <c r="AB212" s="78"/>
      <c r="AC212" s="92"/>
      <c r="AD212" s="78"/>
      <c r="AE212" s="58">
        <f t="shared" si="40"/>
        <v>0</v>
      </c>
      <c r="AF212" s="58">
        <f t="shared" si="29"/>
        <v>0</v>
      </c>
      <c r="AG212" s="58">
        <f t="shared" si="30"/>
        <v>0</v>
      </c>
      <c r="AH212" s="58">
        <f t="shared" si="31"/>
        <v>0</v>
      </c>
      <c r="AI212" s="58">
        <f t="shared" si="32"/>
        <v>0</v>
      </c>
      <c r="AJ212" s="58">
        <f t="shared" si="33"/>
        <v>0</v>
      </c>
      <c r="AK212" s="58">
        <f t="shared" si="34"/>
        <v>0</v>
      </c>
      <c r="AL212" s="58">
        <f t="shared" si="35"/>
        <v>0</v>
      </c>
      <c r="AM212" s="58">
        <f t="shared" si="41"/>
        <v>0</v>
      </c>
      <c r="AN212" s="62">
        <f t="shared" si="42"/>
        <v>0</v>
      </c>
      <c r="AO212" s="61">
        <f t="shared" si="36"/>
        <v>0</v>
      </c>
      <c r="AP212" s="61">
        <f t="shared" si="37"/>
        <v>0</v>
      </c>
    </row>
    <row r="213" spans="3:42" s="17" customFormat="1" x14ac:dyDescent="0.25">
      <c r="C213" s="216" t="s">
        <v>229</v>
      </c>
      <c r="D213" s="217"/>
      <c r="E213" s="90"/>
      <c r="F213" s="198"/>
      <c r="G213" s="214"/>
      <c r="H213" s="199"/>
      <c r="I213" s="78"/>
      <c r="J213" s="79"/>
      <c r="K213" s="78"/>
      <c r="L213" s="113"/>
      <c r="M213" s="155"/>
      <c r="N213" s="114" t="str">
        <f>IFERROR(MIN(VLOOKUP(ROUNDDOWN(M213,0),'Aide calcul'!$B$2:$C$282,2,FALSE),L213+1),"")</f>
        <v/>
      </c>
      <c r="O213" s="115" t="str">
        <f t="shared" si="38"/>
        <v/>
      </c>
      <c r="P213" s="173"/>
      <c r="Q213" s="173"/>
      <c r="R213" s="173"/>
      <c r="S213" s="173"/>
      <c r="T213" s="173"/>
      <c r="U213" s="173"/>
      <c r="V213" s="173"/>
      <c r="W213" s="78"/>
      <c r="X213" s="78"/>
      <c r="Y213" s="116" t="str">
        <f>IFERROR(ROUND('Informations générales'!$D$66*(AE213/SUM($AE$27:$AE$403))/12,0)*12,"")</f>
        <v/>
      </c>
      <c r="Z213" s="117"/>
      <c r="AA213" s="116" t="str">
        <f t="shared" si="39"/>
        <v/>
      </c>
      <c r="AB213" s="78"/>
      <c r="AC213" s="92"/>
      <c r="AD213" s="78"/>
      <c r="AE213" s="58">
        <f t="shared" si="40"/>
        <v>0</v>
      </c>
      <c r="AF213" s="58">
        <f t="shared" si="29"/>
        <v>0</v>
      </c>
      <c r="AG213" s="58">
        <f t="shared" si="30"/>
        <v>0</v>
      </c>
      <c r="AH213" s="58">
        <f t="shared" si="31"/>
        <v>0</v>
      </c>
      <c r="AI213" s="58">
        <f t="shared" si="32"/>
        <v>0</v>
      </c>
      <c r="AJ213" s="58">
        <f t="shared" si="33"/>
        <v>0</v>
      </c>
      <c r="AK213" s="58">
        <f t="shared" si="34"/>
        <v>0</v>
      </c>
      <c r="AL213" s="58">
        <f t="shared" si="35"/>
        <v>0</v>
      </c>
      <c r="AM213" s="58">
        <f t="shared" si="41"/>
        <v>0</v>
      </c>
      <c r="AN213" s="62">
        <f t="shared" si="42"/>
        <v>0</v>
      </c>
      <c r="AO213" s="61">
        <f t="shared" si="36"/>
        <v>0</v>
      </c>
      <c r="AP213" s="61">
        <f t="shared" si="37"/>
        <v>0</v>
      </c>
    </row>
    <row r="214" spans="3:42" s="17" customFormat="1" x14ac:dyDescent="0.25">
      <c r="C214" s="216" t="s">
        <v>229</v>
      </c>
      <c r="D214" s="217"/>
      <c r="E214" s="90"/>
      <c r="F214" s="198"/>
      <c r="G214" s="214"/>
      <c r="H214" s="199"/>
      <c r="I214" s="78"/>
      <c r="J214" s="79"/>
      <c r="K214" s="78"/>
      <c r="L214" s="113"/>
      <c r="M214" s="155"/>
      <c r="N214" s="114" t="str">
        <f>IFERROR(MIN(VLOOKUP(ROUNDDOWN(M214,0),'Aide calcul'!$B$2:$C$282,2,FALSE),L214+1),"")</f>
        <v/>
      </c>
      <c r="O214" s="115" t="str">
        <f t="shared" si="38"/>
        <v/>
      </c>
      <c r="P214" s="173"/>
      <c r="Q214" s="173"/>
      <c r="R214" s="173"/>
      <c r="S214" s="173"/>
      <c r="T214" s="173"/>
      <c r="U214" s="173"/>
      <c r="V214" s="173"/>
      <c r="W214" s="78"/>
      <c r="X214" s="78"/>
      <c r="Y214" s="116" t="str">
        <f>IFERROR(ROUND('Informations générales'!$D$66*(AE214/SUM($AE$27:$AE$403))/12,0)*12,"")</f>
        <v/>
      </c>
      <c r="Z214" s="117"/>
      <c r="AA214" s="116" t="str">
        <f t="shared" si="39"/>
        <v/>
      </c>
      <c r="AB214" s="78"/>
      <c r="AC214" s="92"/>
      <c r="AD214" s="78"/>
      <c r="AE214" s="58">
        <f t="shared" si="40"/>
        <v>0</v>
      </c>
      <c r="AF214" s="58">
        <f t="shared" si="29"/>
        <v>0</v>
      </c>
      <c r="AG214" s="58">
        <f t="shared" si="30"/>
        <v>0</v>
      </c>
      <c r="AH214" s="58">
        <f t="shared" si="31"/>
        <v>0</v>
      </c>
      <c r="AI214" s="58">
        <f t="shared" si="32"/>
        <v>0</v>
      </c>
      <c r="AJ214" s="58">
        <f t="shared" si="33"/>
        <v>0</v>
      </c>
      <c r="AK214" s="58">
        <f t="shared" si="34"/>
        <v>0</v>
      </c>
      <c r="AL214" s="58">
        <f t="shared" si="35"/>
        <v>0</v>
      </c>
      <c r="AM214" s="58">
        <f t="shared" si="41"/>
        <v>0</v>
      </c>
      <c r="AN214" s="62">
        <f t="shared" si="42"/>
        <v>0</v>
      </c>
      <c r="AO214" s="61">
        <f t="shared" si="36"/>
        <v>0</v>
      </c>
      <c r="AP214" s="61">
        <f t="shared" si="37"/>
        <v>0</v>
      </c>
    </row>
    <row r="215" spans="3:42" s="17" customFormat="1" x14ac:dyDescent="0.25">
      <c r="C215" s="216" t="s">
        <v>229</v>
      </c>
      <c r="D215" s="217"/>
      <c r="E215" s="90"/>
      <c r="F215" s="198"/>
      <c r="G215" s="214"/>
      <c r="H215" s="199"/>
      <c r="I215" s="78"/>
      <c r="J215" s="79"/>
      <c r="K215" s="78"/>
      <c r="L215" s="113"/>
      <c r="M215" s="155"/>
      <c r="N215" s="114" t="str">
        <f>IFERROR(MIN(VLOOKUP(ROUNDDOWN(M215,0),'Aide calcul'!$B$2:$C$282,2,FALSE),L215+1),"")</f>
        <v/>
      </c>
      <c r="O215" s="115" t="str">
        <f t="shared" si="38"/>
        <v/>
      </c>
      <c r="P215" s="173"/>
      <c r="Q215" s="173"/>
      <c r="R215" s="173"/>
      <c r="S215" s="173"/>
      <c r="T215" s="173"/>
      <c r="U215" s="173"/>
      <c r="V215" s="173"/>
      <c r="W215" s="78"/>
      <c r="X215" s="78"/>
      <c r="Y215" s="116" t="str">
        <f>IFERROR(ROUND('Informations générales'!$D$66*(AE215/SUM($AE$27:$AE$403))/12,0)*12,"")</f>
        <v/>
      </c>
      <c r="Z215" s="117"/>
      <c r="AA215" s="116" t="str">
        <f t="shared" si="39"/>
        <v/>
      </c>
      <c r="AB215" s="78"/>
      <c r="AC215" s="92"/>
      <c r="AD215" s="78"/>
      <c r="AE215" s="58">
        <f t="shared" si="40"/>
        <v>0</v>
      </c>
      <c r="AF215" s="58">
        <f t="shared" si="29"/>
        <v>0</v>
      </c>
      <c r="AG215" s="58">
        <f t="shared" si="30"/>
        <v>0</v>
      </c>
      <c r="AH215" s="58">
        <f t="shared" si="31"/>
        <v>0</v>
      </c>
      <c r="AI215" s="58">
        <f t="shared" si="32"/>
        <v>0</v>
      </c>
      <c r="AJ215" s="58">
        <f t="shared" si="33"/>
        <v>0</v>
      </c>
      <c r="AK215" s="58">
        <f t="shared" si="34"/>
        <v>0</v>
      </c>
      <c r="AL215" s="58">
        <f t="shared" si="35"/>
        <v>0</v>
      </c>
      <c r="AM215" s="58">
        <f t="shared" si="41"/>
        <v>0</v>
      </c>
      <c r="AN215" s="62">
        <f t="shared" si="42"/>
        <v>0</v>
      </c>
      <c r="AO215" s="61">
        <f t="shared" si="36"/>
        <v>0</v>
      </c>
      <c r="AP215" s="61">
        <f t="shared" si="37"/>
        <v>0</v>
      </c>
    </row>
    <row r="216" spans="3:42" s="17" customFormat="1" x14ac:dyDescent="0.25">
      <c r="C216" s="216" t="s">
        <v>229</v>
      </c>
      <c r="D216" s="217"/>
      <c r="E216" s="90"/>
      <c r="F216" s="198"/>
      <c r="G216" s="214"/>
      <c r="H216" s="199"/>
      <c r="I216" s="78"/>
      <c r="J216" s="79"/>
      <c r="K216" s="78"/>
      <c r="L216" s="113"/>
      <c r="M216" s="155"/>
      <c r="N216" s="114" t="str">
        <f>IFERROR(MIN(VLOOKUP(ROUNDDOWN(M216,0),'Aide calcul'!$B$2:$C$282,2,FALSE),L216+1),"")</f>
        <v/>
      </c>
      <c r="O216" s="115" t="str">
        <f t="shared" si="38"/>
        <v/>
      </c>
      <c r="P216" s="173"/>
      <c r="Q216" s="173"/>
      <c r="R216" s="173"/>
      <c r="S216" s="173"/>
      <c r="T216" s="173"/>
      <c r="U216" s="173"/>
      <c r="V216" s="173"/>
      <c r="W216" s="78"/>
      <c r="X216" s="78"/>
      <c r="Y216" s="116" t="str">
        <f>IFERROR(ROUND('Informations générales'!$D$66*(AE216/SUM($AE$27:$AE$403))/12,0)*12,"")</f>
        <v/>
      </c>
      <c r="Z216" s="117"/>
      <c r="AA216" s="116" t="str">
        <f t="shared" si="39"/>
        <v/>
      </c>
      <c r="AB216" s="78"/>
      <c r="AC216" s="92"/>
      <c r="AD216" s="78"/>
      <c r="AE216" s="58">
        <f t="shared" si="40"/>
        <v>0</v>
      </c>
      <c r="AF216" s="58">
        <f t="shared" si="29"/>
        <v>0</v>
      </c>
      <c r="AG216" s="58">
        <f t="shared" si="30"/>
        <v>0</v>
      </c>
      <c r="AH216" s="58">
        <f t="shared" si="31"/>
        <v>0</v>
      </c>
      <c r="AI216" s="58">
        <f t="shared" si="32"/>
        <v>0</v>
      </c>
      <c r="AJ216" s="58">
        <f t="shared" si="33"/>
        <v>0</v>
      </c>
      <c r="AK216" s="58">
        <f t="shared" si="34"/>
        <v>0</v>
      </c>
      <c r="AL216" s="58">
        <f t="shared" si="35"/>
        <v>0</v>
      </c>
      <c r="AM216" s="58">
        <f t="shared" si="41"/>
        <v>0</v>
      </c>
      <c r="AN216" s="62">
        <f t="shared" si="42"/>
        <v>0</v>
      </c>
      <c r="AO216" s="61">
        <f t="shared" si="36"/>
        <v>0</v>
      </c>
      <c r="AP216" s="61">
        <f t="shared" si="37"/>
        <v>0</v>
      </c>
    </row>
    <row r="217" spans="3:42" s="17" customFormat="1" x14ac:dyDescent="0.25">
      <c r="C217" s="216" t="s">
        <v>229</v>
      </c>
      <c r="D217" s="217"/>
      <c r="E217" s="90"/>
      <c r="F217" s="198"/>
      <c r="G217" s="214"/>
      <c r="H217" s="199"/>
      <c r="I217" s="78"/>
      <c r="J217" s="79"/>
      <c r="K217" s="78"/>
      <c r="L217" s="113"/>
      <c r="M217" s="155"/>
      <c r="N217" s="114" t="str">
        <f>IFERROR(MIN(VLOOKUP(ROUNDDOWN(M217,0),'Aide calcul'!$B$2:$C$282,2,FALSE),L217+1),"")</f>
        <v/>
      </c>
      <c r="O217" s="115" t="str">
        <f t="shared" si="38"/>
        <v/>
      </c>
      <c r="P217" s="173"/>
      <c r="Q217" s="173"/>
      <c r="R217" s="173"/>
      <c r="S217" s="173"/>
      <c r="T217" s="173"/>
      <c r="U217" s="173"/>
      <c r="V217" s="173"/>
      <c r="W217" s="78"/>
      <c r="X217" s="78"/>
      <c r="Y217" s="116" t="str">
        <f>IFERROR(ROUND('Informations générales'!$D$66*(AE217/SUM($AE$27:$AE$403))/12,0)*12,"")</f>
        <v/>
      </c>
      <c r="Z217" s="117"/>
      <c r="AA217" s="116" t="str">
        <f t="shared" si="39"/>
        <v/>
      </c>
      <c r="AB217" s="78"/>
      <c r="AC217" s="92"/>
      <c r="AD217" s="78"/>
      <c r="AE217" s="58">
        <f t="shared" si="40"/>
        <v>0</v>
      </c>
      <c r="AF217" s="58">
        <f t="shared" si="29"/>
        <v>0</v>
      </c>
      <c r="AG217" s="58">
        <f t="shared" si="30"/>
        <v>0</v>
      </c>
      <c r="AH217" s="58">
        <f t="shared" si="31"/>
        <v>0</v>
      </c>
      <c r="AI217" s="58">
        <f t="shared" si="32"/>
        <v>0</v>
      </c>
      <c r="AJ217" s="58">
        <f t="shared" si="33"/>
        <v>0</v>
      </c>
      <c r="AK217" s="58">
        <f t="shared" si="34"/>
        <v>0</v>
      </c>
      <c r="AL217" s="58">
        <f t="shared" si="35"/>
        <v>0</v>
      </c>
      <c r="AM217" s="58">
        <f t="shared" si="41"/>
        <v>0</v>
      </c>
      <c r="AN217" s="62">
        <f t="shared" si="42"/>
        <v>0</v>
      </c>
      <c r="AO217" s="61">
        <f t="shared" si="36"/>
        <v>0</v>
      </c>
      <c r="AP217" s="61">
        <f t="shared" si="37"/>
        <v>0</v>
      </c>
    </row>
    <row r="218" spans="3:42" s="17" customFormat="1" x14ac:dyDescent="0.25">
      <c r="C218" s="216" t="s">
        <v>229</v>
      </c>
      <c r="D218" s="217"/>
      <c r="E218" s="90"/>
      <c r="F218" s="198"/>
      <c r="G218" s="214"/>
      <c r="H218" s="199"/>
      <c r="I218" s="78"/>
      <c r="J218" s="79"/>
      <c r="K218" s="78"/>
      <c r="L218" s="113"/>
      <c r="M218" s="155"/>
      <c r="N218" s="114" t="str">
        <f>IFERROR(MIN(VLOOKUP(ROUNDDOWN(M218,0),'Aide calcul'!$B$2:$C$282,2,FALSE),L218+1),"")</f>
        <v/>
      </c>
      <c r="O218" s="115" t="str">
        <f t="shared" si="38"/>
        <v/>
      </c>
      <c r="P218" s="173"/>
      <c r="Q218" s="173"/>
      <c r="R218" s="173"/>
      <c r="S218" s="173"/>
      <c r="T218" s="173"/>
      <c r="U218" s="173"/>
      <c r="V218" s="173"/>
      <c r="W218" s="78"/>
      <c r="X218" s="78"/>
      <c r="Y218" s="116" t="str">
        <f>IFERROR(ROUND('Informations générales'!$D$66*(AE218/SUM($AE$27:$AE$403))/12,0)*12,"")</f>
        <v/>
      </c>
      <c r="Z218" s="117"/>
      <c r="AA218" s="116" t="str">
        <f t="shared" si="39"/>
        <v/>
      </c>
      <c r="AB218" s="78"/>
      <c r="AC218" s="92"/>
      <c r="AD218" s="78"/>
      <c r="AE218" s="58">
        <f t="shared" si="40"/>
        <v>0</v>
      </c>
      <c r="AF218" s="58">
        <f t="shared" si="29"/>
        <v>0</v>
      </c>
      <c r="AG218" s="58">
        <f t="shared" si="30"/>
        <v>0</v>
      </c>
      <c r="AH218" s="58">
        <f t="shared" si="31"/>
        <v>0</v>
      </c>
      <c r="AI218" s="58">
        <f t="shared" si="32"/>
        <v>0</v>
      </c>
      <c r="AJ218" s="58">
        <f t="shared" si="33"/>
        <v>0</v>
      </c>
      <c r="AK218" s="58">
        <f t="shared" si="34"/>
        <v>0</v>
      </c>
      <c r="AL218" s="58">
        <f t="shared" si="35"/>
        <v>0</v>
      </c>
      <c r="AM218" s="58">
        <f t="shared" si="41"/>
        <v>0</v>
      </c>
      <c r="AN218" s="62">
        <f t="shared" si="42"/>
        <v>0</v>
      </c>
      <c r="AO218" s="61">
        <f t="shared" si="36"/>
        <v>0</v>
      </c>
      <c r="AP218" s="61">
        <f t="shared" si="37"/>
        <v>0</v>
      </c>
    </row>
    <row r="219" spans="3:42" s="17" customFormat="1" x14ac:dyDescent="0.25">
      <c r="C219" s="216" t="s">
        <v>229</v>
      </c>
      <c r="D219" s="217"/>
      <c r="E219" s="90"/>
      <c r="F219" s="198"/>
      <c r="G219" s="214"/>
      <c r="H219" s="199"/>
      <c r="I219" s="78"/>
      <c r="J219" s="79"/>
      <c r="K219" s="78"/>
      <c r="L219" s="113"/>
      <c r="M219" s="155"/>
      <c r="N219" s="114" t="str">
        <f>IFERROR(MIN(VLOOKUP(ROUNDDOWN(M219,0),'Aide calcul'!$B$2:$C$282,2,FALSE),L219+1),"")</f>
        <v/>
      </c>
      <c r="O219" s="115" t="str">
        <f t="shared" si="38"/>
        <v/>
      </c>
      <c r="P219" s="173"/>
      <c r="Q219" s="173"/>
      <c r="R219" s="173"/>
      <c r="S219" s="173"/>
      <c r="T219" s="173"/>
      <c r="U219" s="173"/>
      <c r="V219" s="173"/>
      <c r="W219" s="78"/>
      <c r="X219" s="78"/>
      <c r="Y219" s="116" t="str">
        <f>IFERROR(ROUND('Informations générales'!$D$66*(AE219/SUM($AE$27:$AE$403))/12,0)*12,"")</f>
        <v/>
      </c>
      <c r="Z219" s="117"/>
      <c r="AA219" s="116" t="str">
        <f t="shared" si="39"/>
        <v/>
      </c>
      <c r="AB219" s="78"/>
      <c r="AC219" s="92"/>
      <c r="AD219" s="78"/>
      <c r="AE219" s="58">
        <f t="shared" si="40"/>
        <v>0</v>
      </c>
      <c r="AF219" s="58">
        <f t="shared" ref="AF219:AF282" si="43">P219*$E$13</f>
        <v>0</v>
      </c>
      <c r="AG219" s="58">
        <f t="shared" ref="AG219:AG282" si="44">Q219*$E$14</f>
        <v>0</v>
      </c>
      <c r="AH219" s="58">
        <f t="shared" ref="AH219:AH282" si="45">R219*$E$15</f>
        <v>0</v>
      </c>
      <c r="AI219" s="58">
        <f t="shared" ref="AI219:AI282" si="46">S219*$E$16</f>
        <v>0</v>
      </c>
      <c r="AJ219" s="58">
        <f t="shared" ref="AJ219:AJ282" si="47">T219*$E$17</f>
        <v>0</v>
      </c>
      <c r="AK219" s="58">
        <f t="shared" ref="AK219:AK282" si="48">U219*$E$18</f>
        <v>0</v>
      </c>
      <c r="AL219" s="58">
        <f t="shared" ref="AL219:AL282" si="49">V219*$E$19</f>
        <v>0</v>
      </c>
      <c r="AM219" s="58">
        <f t="shared" si="41"/>
        <v>0</v>
      </c>
      <c r="AN219" s="62">
        <f t="shared" si="42"/>
        <v>0</v>
      </c>
      <c r="AO219" s="61">
        <f t="shared" ref="AO219:AO282" si="50">IFERROR(VLOOKUP(W219,$H$12:$I$22,2,FALSE),0)</f>
        <v>0</v>
      </c>
      <c r="AP219" s="61">
        <f t="shared" ref="AP219:AP282" si="51">IFERROR(VLOOKUP(X219,$L$12:$N$19,3,FALSE),0)</f>
        <v>0</v>
      </c>
    </row>
    <row r="220" spans="3:42" s="17" customFormat="1" x14ac:dyDescent="0.25">
      <c r="C220" s="216" t="s">
        <v>229</v>
      </c>
      <c r="D220" s="217"/>
      <c r="E220" s="90"/>
      <c r="F220" s="198"/>
      <c r="G220" s="214"/>
      <c r="H220" s="199"/>
      <c r="I220" s="78"/>
      <c r="J220" s="79"/>
      <c r="K220" s="78"/>
      <c r="L220" s="113"/>
      <c r="M220" s="155"/>
      <c r="N220" s="114" t="str">
        <f>IFERROR(MIN(VLOOKUP(ROUNDDOWN(M220,0),'Aide calcul'!$B$2:$C$282,2,FALSE),L220+1),"")</f>
        <v/>
      </c>
      <c r="O220" s="115" t="str">
        <f t="shared" ref="O220:O283" si="52">IFERROR(TRUNC(N220-0.5),"")</f>
        <v/>
      </c>
      <c r="P220" s="173"/>
      <c r="Q220" s="173"/>
      <c r="R220" s="173"/>
      <c r="S220" s="173"/>
      <c r="T220" s="173"/>
      <c r="U220" s="173"/>
      <c r="V220" s="173"/>
      <c r="W220" s="78"/>
      <c r="X220" s="78"/>
      <c r="Y220" s="116" t="str">
        <f>IFERROR(ROUND('Informations générales'!$D$66*(AE220/SUM($AE$27:$AE$403))/12,0)*12,"")</f>
        <v/>
      </c>
      <c r="Z220" s="117"/>
      <c r="AA220" s="116" t="str">
        <f t="shared" ref="AA220:AA283" si="53">IFERROR(Y220/AM220,"")</f>
        <v/>
      </c>
      <c r="AB220" s="78"/>
      <c r="AC220" s="92"/>
      <c r="AD220" s="78"/>
      <c r="AE220" s="58">
        <f t="shared" ref="AE220:AE283" si="54">AM220*(SUM(1,AN220,AO220,AP220))</f>
        <v>0</v>
      </c>
      <c r="AF220" s="58">
        <f t="shared" si="43"/>
        <v>0</v>
      </c>
      <c r="AG220" s="58">
        <f t="shared" si="44"/>
        <v>0</v>
      </c>
      <c r="AH220" s="58">
        <f t="shared" si="45"/>
        <v>0</v>
      </c>
      <c r="AI220" s="58">
        <f t="shared" si="46"/>
        <v>0</v>
      </c>
      <c r="AJ220" s="58">
        <f t="shared" si="47"/>
        <v>0</v>
      </c>
      <c r="AK220" s="58">
        <f t="shared" si="48"/>
        <v>0</v>
      </c>
      <c r="AL220" s="58">
        <f t="shared" si="49"/>
        <v>0</v>
      </c>
      <c r="AM220" s="58">
        <f t="shared" ref="AM220:AM283" si="55">SUM(AF220:AL220)</f>
        <v>0</v>
      </c>
      <c r="AN220" s="62">
        <f t="shared" ref="AN220:AN283" si="56">IFERROR(I220*$E$12,0)</f>
        <v>0</v>
      </c>
      <c r="AO220" s="61">
        <f t="shared" si="50"/>
        <v>0</v>
      </c>
      <c r="AP220" s="61">
        <f t="shared" si="51"/>
        <v>0</v>
      </c>
    </row>
    <row r="221" spans="3:42" s="17" customFormat="1" x14ac:dyDescent="0.25">
      <c r="C221" s="216" t="s">
        <v>229</v>
      </c>
      <c r="D221" s="217"/>
      <c r="E221" s="90"/>
      <c r="F221" s="198"/>
      <c r="G221" s="214"/>
      <c r="H221" s="199"/>
      <c r="I221" s="78"/>
      <c r="J221" s="79"/>
      <c r="K221" s="78"/>
      <c r="L221" s="113"/>
      <c r="M221" s="155"/>
      <c r="N221" s="114" t="str">
        <f>IFERROR(MIN(VLOOKUP(ROUNDDOWN(M221,0),'Aide calcul'!$B$2:$C$282,2,FALSE),L221+1),"")</f>
        <v/>
      </c>
      <c r="O221" s="115" t="str">
        <f t="shared" si="52"/>
        <v/>
      </c>
      <c r="P221" s="173"/>
      <c r="Q221" s="173"/>
      <c r="R221" s="173"/>
      <c r="S221" s="173"/>
      <c r="T221" s="173"/>
      <c r="U221" s="173"/>
      <c r="V221" s="173"/>
      <c r="W221" s="78"/>
      <c r="X221" s="78"/>
      <c r="Y221" s="116" t="str">
        <f>IFERROR(ROUND('Informations générales'!$D$66*(AE221/SUM($AE$27:$AE$403))/12,0)*12,"")</f>
        <v/>
      </c>
      <c r="Z221" s="117"/>
      <c r="AA221" s="116" t="str">
        <f t="shared" si="53"/>
        <v/>
      </c>
      <c r="AB221" s="78"/>
      <c r="AC221" s="92"/>
      <c r="AD221" s="78"/>
      <c r="AE221" s="58">
        <f t="shared" si="54"/>
        <v>0</v>
      </c>
      <c r="AF221" s="58">
        <f t="shared" si="43"/>
        <v>0</v>
      </c>
      <c r="AG221" s="58">
        <f t="shared" si="44"/>
        <v>0</v>
      </c>
      <c r="AH221" s="58">
        <f t="shared" si="45"/>
        <v>0</v>
      </c>
      <c r="AI221" s="58">
        <f t="shared" si="46"/>
        <v>0</v>
      </c>
      <c r="AJ221" s="58">
        <f t="shared" si="47"/>
        <v>0</v>
      </c>
      <c r="AK221" s="58">
        <f t="shared" si="48"/>
        <v>0</v>
      </c>
      <c r="AL221" s="58">
        <f t="shared" si="49"/>
        <v>0</v>
      </c>
      <c r="AM221" s="58">
        <f t="shared" si="55"/>
        <v>0</v>
      </c>
      <c r="AN221" s="62">
        <f t="shared" si="56"/>
        <v>0</v>
      </c>
      <c r="AO221" s="61">
        <f t="shared" si="50"/>
        <v>0</v>
      </c>
      <c r="AP221" s="61">
        <f t="shared" si="51"/>
        <v>0</v>
      </c>
    </row>
    <row r="222" spans="3:42" s="17" customFormat="1" x14ac:dyDescent="0.25">
      <c r="C222" s="216" t="s">
        <v>229</v>
      </c>
      <c r="D222" s="217"/>
      <c r="E222" s="90"/>
      <c r="F222" s="198"/>
      <c r="G222" s="214"/>
      <c r="H222" s="199"/>
      <c r="I222" s="78"/>
      <c r="J222" s="79"/>
      <c r="K222" s="78"/>
      <c r="L222" s="113"/>
      <c r="M222" s="155"/>
      <c r="N222" s="114" t="str">
        <f>IFERROR(MIN(VLOOKUP(ROUNDDOWN(M222,0),'Aide calcul'!$B$2:$C$282,2,FALSE),L222+1),"")</f>
        <v/>
      </c>
      <c r="O222" s="115" t="str">
        <f t="shared" si="52"/>
        <v/>
      </c>
      <c r="P222" s="173"/>
      <c r="Q222" s="173"/>
      <c r="R222" s="173"/>
      <c r="S222" s="173"/>
      <c r="T222" s="173"/>
      <c r="U222" s="173"/>
      <c r="V222" s="173"/>
      <c r="W222" s="78"/>
      <c r="X222" s="78"/>
      <c r="Y222" s="116" t="str">
        <f>IFERROR(ROUND('Informations générales'!$D$66*(AE222/SUM($AE$27:$AE$403))/12,0)*12,"")</f>
        <v/>
      </c>
      <c r="Z222" s="117"/>
      <c r="AA222" s="116" t="str">
        <f t="shared" si="53"/>
        <v/>
      </c>
      <c r="AB222" s="78"/>
      <c r="AC222" s="92"/>
      <c r="AD222" s="78"/>
      <c r="AE222" s="58">
        <f t="shared" si="54"/>
        <v>0</v>
      </c>
      <c r="AF222" s="58">
        <f t="shared" si="43"/>
        <v>0</v>
      </c>
      <c r="AG222" s="58">
        <f t="shared" si="44"/>
        <v>0</v>
      </c>
      <c r="AH222" s="58">
        <f t="shared" si="45"/>
        <v>0</v>
      </c>
      <c r="AI222" s="58">
        <f t="shared" si="46"/>
        <v>0</v>
      </c>
      <c r="AJ222" s="58">
        <f t="shared" si="47"/>
        <v>0</v>
      </c>
      <c r="AK222" s="58">
        <f t="shared" si="48"/>
        <v>0</v>
      </c>
      <c r="AL222" s="58">
        <f t="shared" si="49"/>
        <v>0</v>
      </c>
      <c r="AM222" s="58">
        <f t="shared" si="55"/>
        <v>0</v>
      </c>
      <c r="AN222" s="62">
        <f t="shared" si="56"/>
        <v>0</v>
      </c>
      <c r="AO222" s="61">
        <f t="shared" si="50"/>
        <v>0</v>
      </c>
      <c r="AP222" s="61">
        <f t="shared" si="51"/>
        <v>0</v>
      </c>
    </row>
    <row r="223" spans="3:42" s="17" customFormat="1" x14ac:dyDescent="0.25">
      <c r="C223" s="216" t="s">
        <v>229</v>
      </c>
      <c r="D223" s="217"/>
      <c r="E223" s="90"/>
      <c r="F223" s="198"/>
      <c r="G223" s="214"/>
      <c r="H223" s="199"/>
      <c r="I223" s="78"/>
      <c r="J223" s="79"/>
      <c r="K223" s="78"/>
      <c r="L223" s="113"/>
      <c r="M223" s="155"/>
      <c r="N223" s="114" t="str">
        <f>IFERROR(MIN(VLOOKUP(ROUNDDOWN(M223,0),'Aide calcul'!$B$2:$C$282,2,FALSE),L223+1),"")</f>
        <v/>
      </c>
      <c r="O223" s="115" t="str">
        <f t="shared" si="52"/>
        <v/>
      </c>
      <c r="P223" s="173"/>
      <c r="Q223" s="173"/>
      <c r="R223" s="173"/>
      <c r="S223" s="173"/>
      <c r="T223" s="173"/>
      <c r="U223" s="173"/>
      <c r="V223" s="173"/>
      <c r="W223" s="78"/>
      <c r="X223" s="78"/>
      <c r="Y223" s="116" t="str">
        <f>IFERROR(ROUND('Informations générales'!$D$66*(AE223/SUM($AE$27:$AE$403))/12,0)*12,"")</f>
        <v/>
      </c>
      <c r="Z223" s="117"/>
      <c r="AA223" s="116" t="str">
        <f t="shared" si="53"/>
        <v/>
      </c>
      <c r="AB223" s="78"/>
      <c r="AC223" s="92"/>
      <c r="AD223" s="78"/>
      <c r="AE223" s="58">
        <f t="shared" si="54"/>
        <v>0</v>
      </c>
      <c r="AF223" s="58">
        <f t="shared" si="43"/>
        <v>0</v>
      </c>
      <c r="AG223" s="58">
        <f t="shared" si="44"/>
        <v>0</v>
      </c>
      <c r="AH223" s="58">
        <f t="shared" si="45"/>
        <v>0</v>
      </c>
      <c r="AI223" s="58">
        <f t="shared" si="46"/>
        <v>0</v>
      </c>
      <c r="AJ223" s="58">
        <f t="shared" si="47"/>
        <v>0</v>
      </c>
      <c r="AK223" s="58">
        <f t="shared" si="48"/>
        <v>0</v>
      </c>
      <c r="AL223" s="58">
        <f t="shared" si="49"/>
        <v>0</v>
      </c>
      <c r="AM223" s="58">
        <f t="shared" si="55"/>
        <v>0</v>
      </c>
      <c r="AN223" s="62">
        <f t="shared" si="56"/>
        <v>0</v>
      </c>
      <c r="AO223" s="61">
        <f t="shared" si="50"/>
        <v>0</v>
      </c>
      <c r="AP223" s="61">
        <f t="shared" si="51"/>
        <v>0</v>
      </c>
    </row>
    <row r="224" spans="3:42" s="17" customFormat="1" x14ac:dyDescent="0.25">
      <c r="C224" s="216" t="s">
        <v>229</v>
      </c>
      <c r="D224" s="217"/>
      <c r="E224" s="90"/>
      <c r="F224" s="198"/>
      <c r="G224" s="214"/>
      <c r="H224" s="199"/>
      <c r="I224" s="78"/>
      <c r="J224" s="79"/>
      <c r="K224" s="78"/>
      <c r="L224" s="113"/>
      <c r="M224" s="155"/>
      <c r="N224" s="114" t="str">
        <f>IFERROR(MIN(VLOOKUP(ROUNDDOWN(M224,0),'Aide calcul'!$B$2:$C$282,2,FALSE),L224+1),"")</f>
        <v/>
      </c>
      <c r="O224" s="115" t="str">
        <f t="shared" si="52"/>
        <v/>
      </c>
      <c r="P224" s="173"/>
      <c r="Q224" s="173"/>
      <c r="R224" s="173"/>
      <c r="S224" s="173"/>
      <c r="T224" s="173"/>
      <c r="U224" s="173"/>
      <c r="V224" s="173"/>
      <c r="W224" s="78"/>
      <c r="X224" s="78"/>
      <c r="Y224" s="116" t="str">
        <f>IFERROR(ROUND('Informations générales'!$D$66*(AE224/SUM($AE$27:$AE$403))/12,0)*12,"")</f>
        <v/>
      </c>
      <c r="Z224" s="117"/>
      <c r="AA224" s="116" t="str">
        <f t="shared" si="53"/>
        <v/>
      </c>
      <c r="AB224" s="78"/>
      <c r="AC224" s="92"/>
      <c r="AD224" s="78"/>
      <c r="AE224" s="58">
        <f t="shared" si="54"/>
        <v>0</v>
      </c>
      <c r="AF224" s="58">
        <f t="shared" si="43"/>
        <v>0</v>
      </c>
      <c r="AG224" s="58">
        <f t="shared" si="44"/>
        <v>0</v>
      </c>
      <c r="AH224" s="58">
        <f t="shared" si="45"/>
        <v>0</v>
      </c>
      <c r="AI224" s="58">
        <f t="shared" si="46"/>
        <v>0</v>
      </c>
      <c r="AJ224" s="58">
        <f t="shared" si="47"/>
        <v>0</v>
      </c>
      <c r="AK224" s="58">
        <f t="shared" si="48"/>
        <v>0</v>
      </c>
      <c r="AL224" s="58">
        <f t="shared" si="49"/>
        <v>0</v>
      </c>
      <c r="AM224" s="58">
        <f t="shared" si="55"/>
        <v>0</v>
      </c>
      <c r="AN224" s="62">
        <f t="shared" si="56"/>
        <v>0</v>
      </c>
      <c r="AO224" s="61">
        <f t="shared" si="50"/>
        <v>0</v>
      </c>
      <c r="AP224" s="61">
        <f t="shared" si="51"/>
        <v>0</v>
      </c>
    </row>
    <row r="225" spans="3:42" s="17" customFormat="1" x14ac:dyDescent="0.25">
      <c r="C225" s="216" t="s">
        <v>229</v>
      </c>
      <c r="D225" s="217"/>
      <c r="E225" s="90"/>
      <c r="F225" s="198"/>
      <c r="G225" s="214"/>
      <c r="H225" s="199"/>
      <c r="I225" s="78"/>
      <c r="J225" s="79"/>
      <c r="K225" s="78"/>
      <c r="L225" s="113"/>
      <c r="M225" s="155"/>
      <c r="N225" s="114" t="str">
        <f>IFERROR(MIN(VLOOKUP(ROUNDDOWN(M225,0),'Aide calcul'!$B$2:$C$282,2,FALSE),L225+1),"")</f>
        <v/>
      </c>
      <c r="O225" s="115" t="str">
        <f t="shared" si="52"/>
        <v/>
      </c>
      <c r="P225" s="173"/>
      <c r="Q225" s="173"/>
      <c r="R225" s="173"/>
      <c r="S225" s="173"/>
      <c r="T225" s="173"/>
      <c r="U225" s="173"/>
      <c r="V225" s="173"/>
      <c r="W225" s="78"/>
      <c r="X225" s="78"/>
      <c r="Y225" s="116" t="str">
        <f>IFERROR(ROUND('Informations générales'!$D$66*(AE225/SUM($AE$27:$AE$403))/12,0)*12,"")</f>
        <v/>
      </c>
      <c r="Z225" s="117"/>
      <c r="AA225" s="116" t="str">
        <f t="shared" si="53"/>
        <v/>
      </c>
      <c r="AB225" s="78"/>
      <c r="AC225" s="92"/>
      <c r="AD225" s="78"/>
      <c r="AE225" s="58">
        <f t="shared" si="54"/>
        <v>0</v>
      </c>
      <c r="AF225" s="58">
        <f t="shared" si="43"/>
        <v>0</v>
      </c>
      <c r="AG225" s="58">
        <f t="shared" si="44"/>
        <v>0</v>
      </c>
      <c r="AH225" s="58">
        <f t="shared" si="45"/>
        <v>0</v>
      </c>
      <c r="AI225" s="58">
        <f t="shared" si="46"/>
        <v>0</v>
      </c>
      <c r="AJ225" s="58">
        <f t="shared" si="47"/>
        <v>0</v>
      </c>
      <c r="AK225" s="58">
        <f t="shared" si="48"/>
        <v>0</v>
      </c>
      <c r="AL225" s="58">
        <f t="shared" si="49"/>
        <v>0</v>
      </c>
      <c r="AM225" s="58">
        <f t="shared" si="55"/>
        <v>0</v>
      </c>
      <c r="AN225" s="62">
        <f t="shared" si="56"/>
        <v>0</v>
      </c>
      <c r="AO225" s="61">
        <f t="shared" si="50"/>
        <v>0</v>
      </c>
      <c r="AP225" s="61">
        <f t="shared" si="51"/>
        <v>0</v>
      </c>
    </row>
    <row r="226" spans="3:42" s="17" customFormat="1" x14ac:dyDescent="0.25">
      <c r="C226" s="216" t="s">
        <v>229</v>
      </c>
      <c r="D226" s="217"/>
      <c r="E226" s="90"/>
      <c r="F226" s="198"/>
      <c r="G226" s="214"/>
      <c r="H226" s="199"/>
      <c r="I226" s="78"/>
      <c r="J226" s="79"/>
      <c r="K226" s="78"/>
      <c r="L226" s="113"/>
      <c r="M226" s="155"/>
      <c r="N226" s="114" t="str">
        <f>IFERROR(MIN(VLOOKUP(ROUNDDOWN(M226,0),'Aide calcul'!$B$2:$C$282,2,FALSE),L226+1),"")</f>
        <v/>
      </c>
      <c r="O226" s="115" t="str">
        <f t="shared" si="52"/>
        <v/>
      </c>
      <c r="P226" s="173"/>
      <c r="Q226" s="173"/>
      <c r="R226" s="173"/>
      <c r="S226" s="173"/>
      <c r="T226" s="173"/>
      <c r="U226" s="173"/>
      <c r="V226" s="173"/>
      <c r="W226" s="78"/>
      <c r="X226" s="78"/>
      <c r="Y226" s="116" t="str">
        <f>IFERROR(ROUND('Informations générales'!$D$66*(AE226/SUM($AE$27:$AE$403))/12,0)*12,"")</f>
        <v/>
      </c>
      <c r="Z226" s="117"/>
      <c r="AA226" s="116" t="str">
        <f t="shared" si="53"/>
        <v/>
      </c>
      <c r="AB226" s="78"/>
      <c r="AC226" s="92"/>
      <c r="AD226" s="78"/>
      <c r="AE226" s="58">
        <f t="shared" si="54"/>
        <v>0</v>
      </c>
      <c r="AF226" s="58">
        <f t="shared" si="43"/>
        <v>0</v>
      </c>
      <c r="AG226" s="58">
        <f t="shared" si="44"/>
        <v>0</v>
      </c>
      <c r="AH226" s="58">
        <f t="shared" si="45"/>
        <v>0</v>
      </c>
      <c r="AI226" s="58">
        <f t="shared" si="46"/>
        <v>0</v>
      </c>
      <c r="AJ226" s="58">
        <f t="shared" si="47"/>
        <v>0</v>
      </c>
      <c r="AK226" s="58">
        <f t="shared" si="48"/>
        <v>0</v>
      </c>
      <c r="AL226" s="58">
        <f t="shared" si="49"/>
        <v>0</v>
      </c>
      <c r="AM226" s="58">
        <f t="shared" si="55"/>
        <v>0</v>
      </c>
      <c r="AN226" s="62">
        <f t="shared" si="56"/>
        <v>0</v>
      </c>
      <c r="AO226" s="61">
        <f t="shared" si="50"/>
        <v>0</v>
      </c>
      <c r="AP226" s="61">
        <f t="shared" si="51"/>
        <v>0</v>
      </c>
    </row>
    <row r="227" spans="3:42" s="17" customFormat="1" x14ac:dyDescent="0.25">
      <c r="C227" s="216" t="s">
        <v>229</v>
      </c>
      <c r="D227" s="217"/>
      <c r="E227" s="90"/>
      <c r="F227" s="198"/>
      <c r="G227" s="214"/>
      <c r="H227" s="199"/>
      <c r="I227" s="78"/>
      <c r="J227" s="79"/>
      <c r="K227" s="78"/>
      <c r="L227" s="113"/>
      <c r="M227" s="155"/>
      <c r="N227" s="114" t="str">
        <f>IFERROR(MIN(VLOOKUP(ROUNDDOWN(M227,0),'Aide calcul'!$B$2:$C$282,2,FALSE),L227+1),"")</f>
        <v/>
      </c>
      <c r="O227" s="115" t="str">
        <f t="shared" si="52"/>
        <v/>
      </c>
      <c r="P227" s="173"/>
      <c r="Q227" s="173"/>
      <c r="R227" s="173"/>
      <c r="S227" s="173"/>
      <c r="T227" s="173"/>
      <c r="U227" s="173"/>
      <c r="V227" s="173"/>
      <c r="W227" s="78"/>
      <c r="X227" s="78"/>
      <c r="Y227" s="116" t="str">
        <f>IFERROR(ROUND('Informations générales'!$D$66*(AE227/SUM($AE$27:$AE$403))/12,0)*12,"")</f>
        <v/>
      </c>
      <c r="Z227" s="117"/>
      <c r="AA227" s="116" t="str">
        <f t="shared" si="53"/>
        <v/>
      </c>
      <c r="AB227" s="78"/>
      <c r="AC227" s="92"/>
      <c r="AD227" s="78"/>
      <c r="AE227" s="58">
        <f t="shared" si="54"/>
        <v>0</v>
      </c>
      <c r="AF227" s="58">
        <f t="shared" si="43"/>
        <v>0</v>
      </c>
      <c r="AG227" s="58">
        <f t="shared" si="44"/>
        <v>0</v>
      </c>
      <c r="AH227" s="58">
        <f t="shared" si="45"/>
        <v>0</v>
      </c>
      <c r="AI227" s="58">
        <f t="shared" si="46"/>
        <v>0</v>
      </c>
      <c r="AJ227" s="58">
        <f t="shared" si="47"/>
        <v>0</v>
      </c>
      <c r="AK227" s="58">
        <f t="shared" si="48"/>
        <v>0</v>
      </c>
      <c r="AL227" s="58">
        <f t="shared" si="49"/>
        <v>0</v>
      </c>
      <c r="AM227" s="58">
        <f t="shared" si="55"/>
        <v>0</v>
      </c>
      <c r="AN227" s="62">
        <f t="shared" si="56"/>
        <v>0</v>
      </c>
      <c r="AO227" s="61">
        <f t="shared" si="50"/>
        <v>0</v>
      </c>
      <c r="AP227" s="61">
        <f t="shared" si="51"/>
        <v>0</v>
      </c>
    </row>
    <row r="228" spans="3:42" s="17" customFormat="1" x14ac:dyDescent="0.25">
      <c r="C228" s="216" t="s">
        <v>229</v>
      </c>
      <c r="D228" s="217"/>
      <c r="E228" s="90"/>
      <c r="F228" s="198"/>
      <c r="G228" s="214"/>
      <c r="H228" s="199"/>
      <c r="I228" s="78"/>
      <c r="J228" s="79"/>
      <c r="K228" s="78"/>
      <c r="L228" s="113"/>
      <c r="M228" s="155"/>
      <c r="N228" s="114" t="str">
        <f>IFERROR(MIN(VLOOKUP(ROUNDDOWN(M228,0),'Aide calcul'!$B$2:$C$282,2,FALSE),L228+1),"")</f>
        <v/>
      </c>
      <c r="O228" s="115" t="str">
        <f t="shared" si="52"/>
        <v/>
      </c>
      <c r="P228" s="173"/>
      <c r="Q228" s="173"/>
      <c r="R228" s="173"/>
      <c r="S228" s="173"/>
      <c r="T228" s="173"/>
      <c r="U228" s="173"/>
      <c r="V228" s="173"/>
      <c r="W228" s="78"/>
      <c r="X228" s="78"/>
      <c r="Y228" s="116" t="str">
        <f>IFERROR(ROUND('Informations générales'!$D$66*(AE228/SUM($AE$27:$AE$403))/12,0)*12,"")</f>
        <v/>
      </c>
      <c r="Z228" s="117"/>
      <c r="AA228" s="116" t="str">
        <f t="shared" si="53"/>
        <v/>
      </c>
      <c r="AB228" s="78"/>
      <c r="AC228" s="92"/>
      <c r="AD228" s="78"/>
      <c r="AE228" s="58">
        <f t="shared" si="54"/>
        <v>0</v>
      </c>
      <c r="AF228" s="58">
        <f t="shared" si="43"/>
        <v>0</v>
      </c>
      <c r="AG228" s="58">
        <f t="shared" si="44"/>
        <v>0</v>
      </c>
      <c r="AH228" s="58">
        <f t="shared" si="45"/>
        <v>0</v>
      </c>
      <c r="AI228" s="58">
        <f t="shared" si="46"/>
        <v>0</v>
      </c>
      <c r="AJ228" s="58">
        <f t="shared" si="47"/>
        <v>0</v>
      </c>
      <c r="AK228" s="58">
        <f t="shared" si="48"/>
        <v>0</v>
      </c>
      <c r="AL228" s="58">
        <f t="shared" si="49"/>
        <v>0</v>
      </c>
      <c r="AM228" s="58">
        <f t="shared" si="55"/>
        <v>0</v>
      </c>
      <c r="AN228" s="62">
        <f t="shared" si="56"/>
        <v>0</v>
      </c>
      <c r="AO228" s="61">
        <f t="shared" si="50"/>
        <v>0</v>
      </c>
      <c r="AP228" s="61">
        <f t="shared" si="51"/>
        <v>0</v>
      </c>
    </row>
    <row r="229" spans="3:42" s="17" customFormat="1" x14ac:dyDescent="0.25">
      <c r="C229" s="216" t="s">
        <v>229</v>
      </c>
      <c r="D229" s="217"/>
      <c r="E229" s="90"/>
      <c r="F229" s="198"/>
      <c r="G229" s="214"/>
      <c r="H229" s="199"/>
      <c r="I229" s="78"/>
      <c r="J229" s="79"/>
      <c r="K229" s="78"/>
      <c r="L229" s="113"/>
      <c r="M229" s="155"/>
      <c r="N229" s="114" t="str">
        <f>IFERROR(MIN(VLOOKUP(ROUNDDOWN(M229,0),'Aide calcul'!$B$2:$C$282,2,FALSE),L229+1),"")</f>
        <v/>
      </c>
      <c r="O229" s="115" t="str">
        <f t="shared" si="52"/>
        <v/>
      </c>
      <c r="P229" s="173"/>
      <c r="Q229" s="173"/>
      <c r="R229" s="173"/>
      <c r="S229" s="173"/>
      <c r="T229" s="173"/>
      <c r="U229" s="173"/>
      <c r="V229" s="173"/>
      <c r="W229" s="78"/>
      <c r="X229" s="78"/>
      <c r="Y229" s="116" t="str">
        <f>IFERROR(ROUND('Informations générales'!$D$66*(AE229/SUM($AE$27:$AE$403))/12,0)*12,"")</f>
        <v/>
      </c>
      <c r="Z229" s="117"/>
      <c r="AA229" s="116" t="str">
        <f t="shared" si="53"/>
        <v/>
      </c>
      <c r="AB229" s="78"/>
      <c r="AC229" s="92"/>
      <c r="AD229" s="78"/>
      <c r="AE229" s="58">
        <f t="shared" si="54"/>
        <v>0</v>
      </c>
      <c r="AF229" s="58">
        <f t="shared" si="43"/>
        <v>0</v>
      </c>
      <c r="AG229" s="58">
        <f t="shared" si="44"/>
        <v>0</v>
      </c>
      <c r="AH229" s="58">
        <f t="shared" si="45"/>
        <v>0</v>
      </c>
      <c r="AI229" s="58">
        <f t="shared" si="46"/>
        <v>0</v>
      </c>
      <c r="AJ229" s="58">
        <f t="shared" si="47"/>
        <v>0</v>
      </c>
      <c r="AK229" s="58">
        <f t="shared" si="48"/>
        <v>0</v>
      </c>
      <c r="AL229" s="58">
        <f t="shared" si="49"/>
        <v>0</v>
      </c>
      <c r="AM229" s="58">
        <f t="shared" si="55"/>
        <v>0</v>
      </c>
      <c r="AN229" s="62">
        <f t="shared" si="56"/>
        <v>0</v>
      </c>
      <c r="AO229" s="61">
        <f t="shared" si="50"/>
        <v>0</v>
      </c>
      <c r="AP229" s="61">
        <f t="shared" si="51"/>
        <v>0</v>
      </c>
    </row>
    <row r="230" spans="3:42" s="17" customFormat="1" x14ac:dyDescent="0.25">
      <c r="C230" s="216" t="s">
        <v>229</v>
      </c>
      <c r="D230" s="217"/>
      <c r="E230" s="90"/>
      <c r="F230" s="198"/>
      <c r="G230" s="214"/>
      <c r="H230" s="199"/>
      <c r="I230" s="78"/>
      <c r="J230" s="79"/>
      <c r="K230" s="78"/>
      <c r="L230" s="113"/>
      <c r="M230" s="155"/>
      <c r="N230" s="114" t="str">
        <f>IFERROR(MIN(VLOOKUP(ROUNDDOWN(M230,0),'Aide calcul'!$B$2:$C$282,2,FALSE),L230+1),"")</f>
        <v/>
      </c>
      <c r="O230" s="115" t="str">
        <f t="shared" si="52"/>
        <v/>
      </c>
      <c r="P230" s="173"/>
      <c r="Q230" s="173"/>
      <c r="R230" s="173"/>
      <c r="S230" s="173"/>
      <c r="T230" s="173"/>
      <c r="U230" s="173"/>
      <c r="V230" s="173"/>
      <c r="W230" s="78"/>
      <c r="X230" s="78"/>
      <c r="Y230" s="116" t="str">
        <f>IFERROR(ROUND('Informations générales'!$D$66*(AE230/SUM($AE$27:$AE$403))/12,0)*12,"")</f>
        <v/>
      </c>
      <c r="Z230" s="117"/>
      <c r="AA230" s="116" t="str">
        <f t="shared" si="53"/>
        <v/>
      </c>
      <c r="AB230" s="78"/>
      <c r="AC230" s="92"/>
      <c r="AD230" s="78"/>
      <c r="AE230" s="58">
        <f t="shared" si="54"/>
        <v>0</v>
      </c>
      <c r="AF230" s="58">
        <f t="shared" si="43"/>
        <v>0</v>
      </c>
      <c r="AG230" s="58">
        <f t="shared" si="44"/>
        <v>0</v>
      </c>
      <c r="AH230" s="58">
        <f t="shared" si="45"/>
        <v>0</v>
      </c>
      <c r="AI230" s="58">
        <f t="shared" si="46"/>
        <v>0</v>
      </c>
      <c r="AJ230" s="58">
        <f t="shared" si="47"/>
        <v>0</v>
      </c>
      <c r="AK230" s="58">
        <f t="shared" si="48"/>
        <v>0</v>
      </c>
      <c r="AL230" s="58">
        <f t="shared" si="49"/>
        <v>0</v>
      </c>
      <c r="AM230" s="58">
        <f t="shared" si="55"/>
        <v>0</v>
      </c>
      <c r="AN230" s="62">
        <f t="shared" si="56"/>
        <v>0</v>
      </c>
      <c r="AO230" s="61">
        <f t="shared" si="50"/>
        <v>0</v>
      </c>
      <c r="AP230" s="61">
        <f t="shared" si="51"/>
        <v>0</v>
      </c>
    </row>
    <row r="231" spans="3:42" s="17" customFormat="1" x14ac:dyDescent="0.25">
      <c r="C231" s="216" t="s">
        <v>229</v>
      </c>
      <c r="D231" s="217"/>
      <c r="E231" s="90"/>
      <c r="F231" s="198"/>
      <c r="G231" s="214"/>
      <c r="H231" s="199"/>
      <c r="I231" s="78"/>
      <c r="J231" s="79"/>
      <c r="K231" s="78"/>
      <c r="L231" s="113"/>
      <c r="M231" s="155"/>
      <c r="N231" s="114" t="str">
        <f>IFERROR(MIN(VLOOKUP(ROUNDDOWN(M231,0),'Aide calcul'!$B$2:$C$282,2,FALSE),L231+1),"")</f>
        <v/>
      </c>
      <c r="O231" s="115" t="str">
        <f t="shared" si="52"/>
        <v/>
      </c>
      <c r="P231" s="173"/>
      <c r="Q231" s="173"/>
      <c r="R231" s="173"/>
      <c r="S231" s="173"/>
      <c r="T231" s="173"/>
      <c r="U231" s="173"/>
      <c r="V231" s="173"/>
      <c r="W231" s="78"/>
      <c r="X231" s="78"/>
      <c r="Y231" s="116" t="str">
        <f>IFERROR(ROUND('Informations générales'!$D$66*(AE231/SUM($AE$27:$AE$403))/12,0)*12,"")</f>
        <v/>
      </c>
      <c r="Z231" s="117"/>
      <c r="AA231" s="116" t="str">
        <f t="shared" si="53"/>
        <v/>
      </c>
      <c r="AB231" s="78"/>
      <c r="AC231" s="92"/>
      <c r="AD231" s="78"/>
      <c r="AE231" s="58">
        <f t="shared" si="54"/>
        <v>0</v>
      </c>
      <c r="AF231" s="58">
        <f t="shared" si="43"/>
        <v>0</v>
      </c>
      <c r="AG231" s="58">
        <f t="shared" si="44"/>
        <v>0</v>
      </c>
      <c r="AH231" s="58">
        <f t="shared" si="45"/>
        <v>0</v>
      </c>
      <c r="AI231" s="58">
        <f t="shared" si="46"/>
        <v>0</v>
      </c>
      <c r="AJ231" s="58">
        <f t="shared" si="47"/>
        <v>0</v>
      </c>
      <c r="AK231" s="58">
        <f t="shared" si="48"/>
        <v>0</v>
      </c>
      <c r="AL231" s="58">
        <f t="shared" si="49"/>
        <v>0</v>
      </c>
      <c r="AM231" s="58">
        <f t="shared" si="55"/>
        <v>0</v>
      </c>
      <c r="AN231" s="62">
        <f t="shared" si="56"/>
        <v>0</v>
      </c>
      <c r="AO231" s="61">
        <f t="shared" si="50"/>
        <v>0</v>
      </c>
      <c r="AP231" s="61">
        <f t="shared" si="51"/>
        <v>0</v>
      </c>
    </row>
    <row r="232" spans="3:42" s="17" customFormat="1" x14ac:dyDescent="0.25">
      <c r="C232" s="216" t="s">
        <v>229</v>
      </c>
      <c r="D232" s="217"/>
      <c r="E232" s="90"/>
      <c r="F232" s="198"/>
      <c r="G232" s="214"/>
      <c r="H232" s="199"/>
      <c r="I232" s="78"/>
      <c r="J232" s="79"/>
      <c r="K232" s="78"/>
      <c r="L232" s="113"/>
      <c r="M232" s="155"/>
      <c r="N232" s="114" t="str">
        <f>IFERROR(MIN(VLOOKUP(ROUNDDOWN(M232,0),'Aide calcul'!$B$2:$C$282,2,FALSE),L232+1),"")</f>
        <v/>
      </c>
      <c r="O232" s="115" t="str">
        <f t="shared" si="52"/>
        <v/>
      </c>
      <c r="P232" s="173"/>
      <c r="Q232" s="173"/>
      <c r="R232" s="173"/>
      <c r="S232" s="173"/>
      <c r="T232" s="173"/>
      <c r="U232" s="173"/>
      <c r="V232" s="173"/>
      <c r="W232" s="78"/>
      <c r="X232" s="78"/>
      <c r="Y232" s="116" t="str">
        <f>IFERROR(ROUND('Informations générales'!$D$66*(AE232/SUM($AE$27:$AE$403))/12,0)*12,"")</f>
        <v/>
      </c>
      <c r="Z232" s="117"/>
      <c r="AA232" s="116" t="str">
        <f t="shared" si="53"/>
        <v/>
      </c>
      <c r="AB232" s="78"/>
      <c r="AC232" s="92"/>
      <c r="AD232" s="78"/>
      <c r="AE232" s="58">
        <f t="shared" si="54"/>
        <v>0</v>
      </c>
      <c r="AF232" s="58">
        <f t="shared" si="43"/>
        <v>0</v>
      </c>
      <c r="AG232" s="58">
        <f t="shared" si="44"/>
        <v>0</v>
      </c>
      <c r="AH232" s="58">
        <f t="shared" si="45"/>
        <v>0</v>
      </c>
      <c r="AI232" s="58">
        <f t="shared" si="46"/>
        <v>0</v>
      </c>
      <c r="AJ232" s="58">
        <f t="shared" si="47"/>
        <v>0</v>
      </c>
      <c r="AK232" s="58">
        <f t="shared" si="48"/>
        <v>0</v>
      </c>
      <c r="AL232" s="58">
        <f t="shared" si="49"/>
        <v>0</v>
      </c>
      <c r="AM232" s="58">
        <f t="shared" si="55"/>
        <v>0</v>
      </c>
      <c r="AN232" s="62">
        <f t="shared" si="56"/>
        <v>0</v>
      </c>
      <c r="AO232" s="61">
        <f t="shared" si="50"/>
        <v>0</v>
      </c>
      <c r="AP232" s="61">
        <f t="shared" si="51"/>
        <v>0</v>
      </c>
    </row>
    <row r="233" spans="3:42" s="17" customFormat="1" x14ac:dyDescent="0.25">
      <c r="C233" s="216" t="s">
        <v>229</v>
      </c>
      <c r="D233" s="217"/>
      <c r="E233" s="90"/>
      <c r="F233" s="198"/>
      <c r="G233" s="214"/>
      <c r="H233" s="199"/>
      <c r="I233" s="78"/>
      <c r="J233" s="79"/>
      <c r="K233" s="78"/>
      <c r="L233" s="113"/>
      <c r="M233" s="155"/>
      <c r="N233" s="114" t="str">
        <f>IFERROR(MIN(VLOOKUP(ROUNDDOWN(M233,0),'Aide calcul'!$B$2:$C$282,2,FALSE),L233+1),"")</f>
        <v/>
      </c>
      <c r="O233" s="115" t="str">
        <f t="shared" si="52"/>
        <v/>
      </c>
      <c r="P233" s="173"/>
      <c r="Q233" s="173"/>
      <c r="R233" s="173"/>
      <c r="S233" s="173"/>
      <c r="T233" s="173"/>
      <c r="U233" s="173"/>
      <c r="V233" s="173"/>
      <c r="W233" s="78"/>
      <c r="X233" s="78"/>
      <c r="Y233" s="116" t="str">
        <f>IFERROR(ROUND('Informations générales'!$D$66*(AE233/SUM($AE$27:$AE$403))/12,0)*12,"")</f>
        <v/>
      </c>
      <c r="Z233" s="117"/>
      <c r="AA233" s="116" t="str">
        <f t="shared" si="53"/>
        <v/>
      </c>
      <c r="AB233" s="78"/>
      <c r="AC233" s="92"/>
      <c r="AD233" s="78"/>
      <c r="AE233" s="58">
        <f t="shared" si="54"/>
        <v>0</v>
      </c>
      <c r="AF233" s="58">
        <f t="shared" si="43"/>
        <v>0</v>
      </c>
      <c r="AG233" s="58">
        <f t="shared" si="44"/>
        <v>0</v>
      </c>
      <c r="AH233" s="58">
        <f t="shared" si="45"/>
        <v>0</v>
      </c>
      <c r="AI233" s="58">
        <f t="shared" si="46"/>
        <v>0</v>
      </c>
      <c r="AJ233" s="58">
        <f t="shared" si="47"/>
        <v>0</v>
      </c>
      <c r="AK233" s="58">
        <f t="shared" si="48"/>
        <v>0</v>
      </c>
      <c r="AL233" s="58">
        <f t="shared" si="49"/>
        <v>0</v>
      </c>
      <c r="AM233" s="58">
        <f t="shared" si="55"/>
        <v>0</v>
      </c>
      <c r="AN233" s="62">
        <f t="shared" si="56"/>
        <v>0</v>
      </c>
      <c r="AO233" s="61">
        <f t="shared" si="50"/>
        <v>0</v>
      </c>
      <c r="AP233" s="61">
        <f t="shared" si="51"/>
        <v>0</v>
      </c>
    </row>
    <row r="234" spans="3:42" s="17" customFormat="1" x14ac:dyDescent="0.25">
      <c r="C234" s="216" t="s">
        <v>229</v>
      </c>
      <c r="D234" s="217"/>
      <c r="E234" s="90"/>
      <c r="F234" s="198"/>
      <c r="G234" s="214"/>
      <c r="H234" s="199"/>
      <c r="I234" s="78"/>
      <c r="J234" s="79"/>
      <c r="K234" s="78"/>
      <c r="L234" s="113"/>
      <c r="M234" s="155"/>
      <c r="N234" s="114" t="str">
        <f>IFERROR(MIN(VLOOKUP(ROUNDDOWN(M234,0),'Aide calcul'!$B$2:$C$282,2,FALSE),L234+1),"")</f>
        <v/>
      </c>
      <c r="O234" s="115" t="str">
        <f t="shared" si="52"/>
        <v/>
      </c>
      <c r="P234" s="173"/>
      <c r="Q234" s="173"/>
      <c r="R234" s="173"/>
      <c r="S234" s="173"/>
      <c r="T234" s="173"/>
      <c r="U234" s="173"/>
      <c r="V234" s="173"/>
      <c r="W234" s="78"/>
      <c r="X234" s="78"/>
      <c r="Y234" s="116" t="str">
        <f>IFERROR(ROUND('Informations générales'!$D$66*(AE234/SUM($AE$27:$AE$403))/12,0)*12,"")</f>
        <v/>
      </c>
      <c r="Z234" s="117"/>
      <c r="AA234" s="116" t="str">
        <f t="shared" si="53"/>
        <v/>
      </c>
      <c r="AB234" s="78"/>
      <c r="AC234" s="92"/>
      <c r="AD234" s="78"/>
      <c r="AE234" s="58">
        <f t="shared" si="54"/>
        <v>0</v>
      </c>
      <c r="AF234" s="58">
        <f t="shared" si="43"/>
        <v>0</v>
      </c>
      <c r="AG234" s="58">
        <f t="shared" si="44"/>
        <v>0</v>
      </c>
      <c r="AH234" s="58">
        <f t="shared" si="45"/>
        <v>0</v>
      </c>
      <c r="AI234" s="58">
        <f t="shared" si="46"/>
        <v>0</v>
      </c>
      <c r="AJ234" s="58">
        <f t="shared" si="47"/>
        <v>0</v>
      </c>
      <c r="AK234" s="58">
        <f t="shared" si="48"/>
        <v>0</v>
      </c>
      <c r="AL234" s="58">
        <f t="shared" si="49"/>
        <v>0</v>
      </c>
      <c r="AM234" s="58">
        <f t="shared" si="55"/>
        <v>0</v>
      </c>
      <c r="AN234" s="62">
        <f t="shared" si="56"/>
        <v>0</v>
      </c>
      <c r="AO234" s="61">
        <f t="shared" si="50"/>
        <v>0</v>
      </c>
      <c r="AP234" s="61">
        <f t="shared" si="51"/>
        <v>0</v>
      </c>
    </row>
    <row r="235" spans="3:42" s="17" customFormat="1" x14ac:dyDescent="0.25">
      <c r="C235" s="216" t="s">
        <v>229</v>
      </c>
      <c r="D235" s="217"/>
      <c r="E235" s="90"/>
      <c r="F235" s="198"/>
      <c r="G235" s="214"/>
      <c r="H235" s="199"/>
      <c r="I235" s="78"/>
      <c r="J235" s="79"/>
      <c r="K235" s="78"/>
      <c r="L235" s="113"/>
      <c r="M235" s="155"/>
      <c r="N235" s="114" t="str">
        <f>IFERROR(MIN(VLOOKUP(ROUNDDOWN(M235,0),'Aide calcul'!$B$2:$C$282,2,FALSE),L235+1),"")</f>
        <v/>
      </c>
      <c r="O235" s="115" t="str">
        <f t="shared" si="52"/>
        <v/>
      </c>
      <c r="P235" s="173"/>
      <c r="Q235" s="173"/>
      <c r="R235" s="173"/>
      <c r="S235" s="173"/>
      <c r="T235" s="173"/>
      <c r="U235" s="173"/>
      <c r="V235" s="173"/>
      <c r="W235" s="78"/>
      <c r="X235" s="78"/>
      <c r="Y235" s="116" t="str">
        <f>IFERROR(ROUND('Informations générales'!$D$66*(AE235/SUM($AE$27:$AE$403))/12,0)*12,"")</f>
        <v/>
      </c>
      <c r="Z235" s="117"/>
      <c r="AA235" s="116" t="str">
        <f t="shared" si="53"/>
        <v/>
      </c>
      <c r="AB235" s="78"/>
      <c r="AC235" s="92"/>
      <c r="AD235" s="78"/>
      <c r="AE235" s="58">
        <f t="shared" si="54"/>
        <v>0</v>
      </c>
      <c r="AF235" s="58">
        <f t="shared" si="43"/>
        <v>0</v>
      </c>
      <c r="AG235" s="58">
        <f t="shared" si="44"/>
        <v>0</v>
      </c>
      <c r="AH235" s="58">
        <f t="shared" si="45"/>
        <v>0</v>
      </c>
      <c r="AI235" s="58">
        <f t="shared" si="46"/>
        <v>0</v>
      </c>
      <c r="AJ235" s="58">
        <f t="shared" si="47"/>
        <v>0</v>
      </c>
      <c r="AK235" s="58">
        <f t="shared" si="48"/>
        <v>0</v>
      </c>
      <c r="AL235" s="58">
        <f t="shared" si="49"/>
        <v>0</v>
      </c>
      <c r="AM235" s="58">
        <f t="shared" si="55"/>
        <v>0</v>
      </c>
      <c r="AN235" s="62">
        <f t="shared" si="56"/>
        <v>0</v>
      </c>
      <c r="AO235" s="61">
        <f t="shared" si="50"/>
        <v>0</v>
      </c>
      <c r="AP235" s="61">
        <f t="shared" si="51"/>
        <v>0</v>
      </c>
    </row>
    <row r="236" spans="3:42" s="17" customFormat="1" x14ac:dyDescent="0.25">
      <c r="C236" s="216" t="s">
        <v>229</v>
      </c>
      <c r="D236" s="217"/>
      <c r="E236" s="90"/>
      <c r="F236" s="198"/>
      <c r="G236" s="214"/>
      <c r="H236" s="199"/>
      <c r="I236" s="78"/>
      <c r="J236" s="79"/>
      <c r="K236" s="78"/>
      <c r="L236" s="113"/>
      <c r="M236" s="155"/>
      <c r="N236" s="114" t="str">
        <f>IFERROR(MIN(VLOOKUP(ROUNDDOWN(M236,0),'Aide calcul'!$B$2:$C$282,2,FALSE),L236+1),"")</f>
        <v/>
      </c>
      <c r="O236" s="115" t="str">
        <f t="shared" si="52"/>
        <v/>
      </c>
      <c r="P236" s="173"/>
      <c r="Q236" s="173"/>
      <c r="R236" s="173"/>
      <c r="S236" s="173"/>
      <c r="T236" s="173"/>
      <c r="U236" s="173"/>
      <c r="V236" s="173"/>
      <c r="W236" s="78"/>
      <c r="X236" s="78"/>
      <c r="Y236" s="116" t="str">
        <f>IFERROR(ROUND('Informations générales'!$D$66*(AE236/SUM($AE$27:$AE$403))/12,0)*12,"")</f>
        <v/>
      </c>
      <c r="Z236" s="117"/>
      <c r="AA236" s="116" t="str">
        <f t="shared" si="53"/>
        <v/>
      </c>
      <c r="AB236" s="78"/>
      <c r="AC236" s="92"/>
      <c r="AD236" s="78"/>
      <c r="AE236" s="58">
        <f t="shared" si="54"/>
        <v>0</v>
      </c>
      <c r="AF236" s="58">
        <f t="shared" si="43"/>
        <v>0</v>
      </c>
      <c r="AG236" s="58">
        <f t="shared" si="44"/>
        <v>0</v>
      </c>
      <c r="AH236" s="58">
        <f t="shared" si="45"/>
        <v>0</v>
      </c>
      <c r="AI236" s="58">
        <f t="shared" si="46"/>
        <v>0</v>
      </c>
      <c r="AJ236" s="58">
        <f t="shared" si="47"/>
        <v>0</v>
      </c>
      <c r="AK236" s="58">
        <f t="shared" si="48"/>
        <v>0</v>
      </c>
      <c r="AL236" s="58">
        <f t="shared" si="49"/>
        <v>0</v>
      </c>
      <c r="AM236" s="58">
        <f t="shared" si="55"/>
        <v>0</v>
      </c>
      <c r="AN236" s="62">
        <f t="shared" si="56"/>
        <v>0</v>
      </c>
      <c r="AO236" s="61">
        <f t="shared" si="50"/>
        <v>0</v>
      </c>
      <c r="AP236" s="61">
        <f t="shared" si="51"/>
        <v>0</v>
      </c>
    </row>
    <row r="237" spans="3:42" s="17" customFormat="1" x14ac:dyDescent="0.25">
      <c r="C237" s="216" t="s">
        <v>229</v>
      </c>
      <c r="D237" s="217"/>
      <c r="E237" s="90"/>
      <c r="F237" s="198"/>
      <c r="G237" s="214"/>
      <c r="H237" s="199"/>
      <c r="I237" s="78"/>
      <c r="J237" s="79"/>
      <c r="K237" s="78"/>
      <c r="L237" s="113"/>
      <c r="M237" s="155"/>
      <c r="N237" s="114" t="str">
        <f>IFERROR(MIN(VLOOKUP(ROUNDDOWN(M237,0),'Aide calcul'!$B$2:$C$282,2,FALSE),L237+1),"")</f>
        <v/>
      </c>
      <c r="O237" s="115" t="str">
        <f t="shared" si="52"/>
        <v/>
      </c>
      <c r="P237" s="173"/>
      <c r="Q237" s="173"/>
      <c r="R237" s="173"/>
      <c r="S237" s="173"/>
      <c r="T237" s="173"/>
      <c r="U237" s="173"/>
      <c r="V237" s="173"/>
      <c r="W237" s="78"/>
      <c r="X237" s="78"/>
      <c r="Y237" s="116" t="str">
        <f>IFERROR(ROUND('Informations générales'!$D$66*(AE237/SUM($AE$27:$AE$403))/12,0)*12,"")</f>
        <v/>
      </c>
      <c r="Z237" s="117"/>
      <c r="AA237" s="116" t="str">
        <f t="shared" si="53"/>
        <v/>
      </c>
      <c r="AB237" s="78"/>
      <c r="AC237" s="92"/>
      <c r="AD237" s="78"/>
      <c r="AE237" s="58">
        <f t="shared" si="54"/>
        <v>0</v>
      </c>
      <c r="AF237" s="58">
        <f t="shared" si="43"/>
        <v>0</v>
      </c>
      <c r="AG237" s="58">
        <f t="shared" si="44"/>
        <v>0</v>
      </c>
      <c r="AH237" s="58">
        <f t="shared" si="45"/>
        <v>0</v>
      </c>
      <c r="AI237" s="58">
        <f t="shared" si="46"/>
        <v>0</v>
      </c>
      <c r="AJ237" s="58">
        <f t="shared" si="47"/>
        <v>0</v>
      </c>
      <c r="AK237" s="58">
        <f t="shared" si="48"/>
        <v>0</v>
      </c>
      <c r="AL237" s="58">
        <f t="shared" si="49"/>
        <v>0</v>
      </c>
      <c r="AM237" s="58">
        <f t="shared" si="55"/>
        <v>0</v>
      </c>
      <c r="AN237" s="62">
        <f t="shared" si="56"/>
        <v>0</v>
      </c>
      <c r="AO237" s="61">
        <f t="shared" si="50"/>
        <v>0</v>
      </c>
      <c r="AP237" s="61">
        <f t="shared" si="51"/>
        <v>0</v>
      </c>
    </row>
    <row r="238" spans="3:42" s="17" customFormat="1" x14ac:dyDescent="0.25">
      <c r="C238" s="216" t="s">
        <v>229</v>
      </c>
      <c r="D238" s="217"/>
      <c r="E238" s="90"/>
      <c r="F238" s="198"/>
      <c r="G238" s="214"/>
      <c r="H238" s="199"/>
      <c r="I238" s="78"/>
      <c r="J238" s="79"/>
      <c r="K238" s="78"/>
      <c r="L238" s="113"/>
      <c r="M238" s="155"/>
      <c r="N238" s="114" t="str">
        <f>IFERROR(MIN(VLOOKUP(ROUNDDOWN(M238,0),'Aide calcul'!$B$2:$C$282,2,FALSE),L238+1),"")</f>
        <v/>
      </c>
      <c r="O238" s="115" t="str">
        <f t="shared" si="52"/>
        <v/>
      </c>
      <c r="P238" s="173"/>
      <c r="Q238" s="173"/>
      <c r="R238" s="173"/>
      <c r="S238" s="173"/>
      <c r="T238" s="173"/>
      <c r="U238" s="173"/>
      <c r="V238" s="173"/>
      <c r="W238" s="78"/>
      <c r="X238" s="78"/>
      <c r="Y238" s="116" t="str">
        <f>IFERROR(ROUND('Informations générales'!$D$66*(AE238/SUM($AE$27:$AE$403))/12,0)*12,"")</f>
        <v/>
      </c>
      <c r="Z238" s="117"/>
      <c r="AA238" s="116" t="str">
        <f t="shared" si="53"/>
        <v/>
      </c>
      <c r="AB238" s="78"/>
      <c r="AC238" s="92"/>
      <c r="AD238" s="78"/>
      <c r="AE238" s="58">
        <f t="shared" si="54"/>
        <v>0</v>
      </c>
      <c r="AF238" s="58">
        <f t="shared" si="43"/>
        <v>0</v>
      </c>
      <c r="AG238" s="58">
        <f t="shared" si="44"/>
        <v>0</v>
      </c>
      <c r="AH238" s="58">
        <f t="shared" si="45"/>
        <v>0</v>
      </c>
      <c r="AI238" s="58">
        <f t="shared" si="46"/>
        <v>0</v>
      </c>
      <c r="AJ238" s="58">
        <f t="shared" si="47"/>
        <v>0</v>
      </c>
      <c r="AK238" s="58">
        <f t="shared" si="48"/>
        <v>0</v>
      </c>
      <c r="AL238" s="58">
        <f t="shared" si="49"/>
        <v>0</v>
      </c>
      <c r="AM238" s="58">
        <f t="shared" si="55"/>
        <v>0</v>
      </c>
      <c r="AN238" s="62">
        <f t="shared" si="56"/>
        <v>0</v>
      </c>
      <c r="AO238" s="61">
        <f t="shared" si="50"/>
        <v>0</v>
      </c>
      <c r="AP238" s="61">
        <f t="shared" si="51"/>
        <v>0</v>
      </c>
    </row>
    <row r="239" spans="3:42" s="17" customFormat="1" x14ac:dyDescent="0.25">
      <c r="C239" s="216" t="s">
        <v>229</v>
      </c>
      <c r="D239" s="217"/>
      <c r="E239" s="90"/>
      <c r="F239" s="198"/>
      <c r="G239" s="214"/>
      <c r="H239" s="199"/>
      <c r="I239" s="78"/>
      <c r="J239" s="79"/>
      <c r="K239" s="78"/>
      <c r="L239" s="113"/>
      <c r="M239" s="155"/>
      <c r="N239" s="114" t="str">
        <f>IFERROR(MIN(VLOOKUP(ROUNDDOWN(M239,0),'Aide calcul'!$B$2:$C$282,2,FALSE),L239+1),"")</f>
        <v/>
      </c>
      <c r="O239" s="115" t="str">
        <f t="shared" si="52"/>
        <v/>
      </c>
      <c r="P239" s="173"/>
      <c r="Q239" s="173"/>
      <c r="R239" s="173"/>
      <c r="S239" s="173"/>
      <c r="T239" s="173"/>
      <c r="U239" s="173"/>
      <c r="V239" s="173"/>
      <c r="W239" s="78"/>
      <c r="X239" s="78"/>
      <c r="Y239" s="116" t="str">
        <f>IFERROR(ROUND('Informations générales'!$D$66*(AE239/SUM($AE$27:$AE$403))/12,0)*12,"")</f>
        <v/>
      </c>
      <c r="Z239" s="117"/>
      <c r="AA239" s="116" t="str">
        <f t="shared" si="53"/>
        <v/>
      </c>
      <c r="AB239" s="78"/>
      <c r="AC239" s="92"/>
      <c r="AD239" s="78"/>
      <c r="AE239" s="58">
        <f t="shared" si="54"/>
        <v>0</v>
      </c>
      <c r="AF239" s="58">
        <f t="shared" si="43"/>
        <v>0</v>
      </c>
      <c r="AG239" s="58">
        <f t="shared" si="44"/>
        <v>0</v>
      </c>
      <c r="AH239" s="58">
        <f t="shared" si="45"/>
        <v>0</v>
      </c>
      <c r="AI239" s="58">
        <f t="shared" si="46"/>
        <v>0</v>
      </c>
      <c r="AJ239" s="58">
        <f t="shared" si="47"/>
        <v>0</v>
      </c>
      <c r="AK239" s="58">
        <f t="shared" si="48"/>
        <v>0</v>
      </c>
      <c r="AL239" s="58">
        <f t="shared" si="49"/>
        <v>0</v>
      </c>
      <c r="AM239" s="58">
        <f t="shared" si="55"/>
        <v>0</v>
      </c>
      <c r="AN239" s="62">
        <f t="shared" si="56"/>
        <v>0</v>
      </c>
      <c r="AO239" s="61">
        <f t="shared" si="50"/>
        <v>0</v>
      </c>
      <c r="AP239" s="61">
        <f t="shared" si="51"/>
        <v>0</v>
      </c>
    </row>
    <row r="240" spans="3:42" s="17" customFormat="1" x14ac:dyDescent="0.25">
      <c r="C240" s="216" t="s">
        <v>229</v>
      </c>
      <c r="D240" s="217"/>
      <c r="E240" s="90"/>
      <c r="F240" s="198"/>
      <c r="G240" s="214"/>
      <c r="H240" s="199"/>
      <c r="I240" s="78"/>
      <c r="J240" s="79"/>
      <c r="K240" s="78"/>
      <c r="L240" s="113"/>
      <c r="M240" s="155"/>
      <c r="N240" s="114" t="str">
        <f>IFERROR(MIN(VLOOKUP(ROUNDDOWN(M240,0),'Aide calcul'!$B$2:$C$282,2,FALSE),L240+1),"")</f>
        <v/>
      </c>
      <c r="O240" s="115" t="str">
        <f t="shared" si="52"/>
        <v/>
      </c>
      <c r="P240" s="173"/>
      <c r="Q240" s="173"/>
      <c r="R240" s="173"/>
      <c r="S240" s="173"/>
      <c r="T240" s="173"/>
      <c r="U240" s="173"/>
      <c r="V240" s="173"/>
      <c r="W240" s="78"/>
      <c r="X240" s="78"/>
      <c r="Y240" s="116" t="str">
        <f>IFERROR(ROUND('Informations générales'!$D$66*(AE240/SUM($AE$27:$AE$403))/12,0)*12,"")</f>
        <v/>
      </c>
      <c r="Z240" s="117"/>
      <c r="AA240" s="116" t="str">
        <f t="shared" si="53"/>
        <v/>
      </c>
      <c r="AB240" s="78"/>
      <c r="AC240" s="92"/>
      <c r="AD240" s="78"/>
      <c r="AE240" s="58">
        <f t="shared" si="54"/>
        <v>0</v>
      </c>
      <c r="AF240" s="58">
        <f t="shared" si="43"/>
        <v>0</v>
      </c>
      <c r="AG240" s="58">
        <f t="shared" si="44"/>
        <v>0</v>
      </c>
      <c r="AH240" s="58">
        <f t="shared" si="45"/>
        <v>0</v>
      </c>
      <c r="AI240" s="58">
        <f t="shared" si="46"/>
        <v>0</v>
      </c>
      <c r="AJ240" s="58">
        <f t="shared" si="47"/>
        <v>0</v>
      </c>
      <c r="AK240" s="58">
        <f t="shared" si="48"/>
        <v>0</v>
      </c>
      <c r="AL240" s="58">
        <f t="shared" si="49"/>
        <v>0</v>
      </c>
      <c r="AM240" s="58">
        <f t="shared" si="55"/>
        <v>0</v>
      </c>
      <c r="AN240" s="62">
        <f t="shared" si="56"/>
        <v>0</v>
      </c>
      <c r="AO240" s="61">
        <f t="shared" si="50"/>
        <v>0</v>
      </c>
      <c r="AP240" s="61">
        <f t="shared" si="51"/>
        <v>0</v>
      </c>
    </row>
    <row r="241" spans="3:42" s="17" customFormat="1" x14ac:dyDescent="0.25">
      <c r="C241" s="216" t="s">
        <v>229</v>
      </c>
      <c r="D241" s="217"/>
      <c r="E241" s="90"/>
      <c r="F241" s="198"/>
      <c r="G241" s="214"/>
      <c r="H241" s="199"/>
      <c r="I241" s="78"/>
      <c r="J241" s="79"/>
      <c r="K241" s="78"/>
      <c r="L241" s="113"/>
      <c r="M241" s="155"/>
      <c r="N241" s="114" t="str">
        <f>IFERROR(MIN(VLOOKUP(ROUNDDOWN(M241,0),'Aide calcul'!$B$2:$C$282,2,FALSE),L241+1),"")</f>
        <v/>
      </c>
      <c r="O241" s="115" t="str">
        <f t="shared" si="52"/>
        <v/>
      </c>
      <c r="P241" s="173"/>
      <c r="Q241" s="173"/>
      <c r="R241" s="173"/>
      <c r="S241" s="173"/>
      <c r="T241" s="173"/>
      <c r="U241" s="173"/>
      <c r="V241" s="173"/>
      <c r="W241" s="78"/>
      <c r="X241" s="78"/>
      <c r="Y241" s="116" t="str">
        <f>IFERROR(ROUND('Informations générales'!$D$66*(AE241/SUM($AE$27:$AE$403))/12,0)*12,"")</f>
        <v/>
      </c>
      <c r="Z241" s="117"/>
      <c r="AA241" s="116" t="str">
        <f t="shared" si="53"/>
        <v/>
      </c>
      <c r="AB241" s="78"/>
      <c r="AC241" s="92"/>
      <c r="AD241" s="78"/>
      <c r="AE241" s="58">
        <f t="shared" si="54"/>
        <v>0</v>
      </c>
      <c r="AF241" s="58">
        <f t="shared" si="43"/>
        <v>0</v>
      </c>
      <c r="AG241" s="58">
        <f t="shared" si="44"/>
        <v>0</v>
      </c>
      <c r="AH241" s="58">
        <f t="shared" si="45"/>
        <v>0</v>
      </c>
      <c r="AI241" s="58">
        <f t="shared" si="46"/>
        <v>0</v>
      </c>
      <c r="AJ241" s="58">
        <f t="shared" si="47"/>
        <v>0</v>
      </c>
      <c r="AK241" s="58">
        <f t="shared" si="48"/>
        <v>0</v>
      </c>
      <c r="AL241" s="58">
        <f t="shared" si="49"/>
        <v>0</v>
      </c>
      <c r="AM241" s="58">
        <f t="shared" si="55"/>
        <v>0</v>
      </c>
      <c r="AN241" s="62">
        <f t="shared" si="56"/>
        <v>0</v>
      </c>
      <c r="AO241" s="61">
        <f t="shared" si="50"/>
        <v>0</v>
      </c>
      <c r="AP241" s="61">
        <f t="shared" si="51"/>
        <v>0</v>
      </c>
    </row>
    <row r="242" spans="3:42" s="17" customFormat="1" x14ac:dyDescent="0.25">
      <c r="C242" s="216" t="s">
        <v>229</v>
      </c>
      <c r="D242" s="217"/>
      <c r="E242" s="90"/>
      <c r="F242" s="198"/>
      <c r="G242" s="214"/>
      <c r="H242" s="199"/>
      <c r="I242" s="78"/>
      <c r="J242" s="79"/>
      <c r="K242" s="78"/>
      <c r="L242" s="113"/>
      <c r="M242" s="155"/>
      <c r="N242" s="114" t="str">
        <f>IFERROR(MIN(VLOOKUP(ROUNDDOWN(M242,0),'Aide calcul'!$B$2:$C$282,2,FALSE),L242+1),"")</f>
        <v/>
      </c>
      <c r="O242" s="115" t="str">
        <f t="shared" si="52"/>
        <v/>
      </c>
      <c r="P242" s="173"/>
      <c r="Q242" s="173"/>
      <c r="R242" s="173"/>
      <c r="S242" s="173"/>
      <c r="T242" s="173"/>
      <c r="U242" s="173"/>
      <c r="V242" s="173"/>
      <c r="W242" s="78"/>
      <c r="X242" s="78"/>
      <c r="Y242" s="116" t="str">
        <f>IFERROR(ROUND('Informations générales'!$D$66*(AE242/SUM($AE$27:$AE$403))/12,0)*12,"")</f>
        <v/>
      </c>
      <c r="Z242" s="117"/>
      <c r="AA242" s="116" t="str">
        <f t="shared" si="53"/>
        <v/>
      </c>
      <c r="AB242" s="78"/>
      <c r="AC242" s="92"/>
      <c r="AD242" s="78"/>
      <c r="AE242" s="58">
        <f t="shared" si="54"/>
        <v>0</v>
      </c>
      <c r="AF242" s="58">
        <f t="shared" si="43"/>
        <v>0</v>
      </c>
      <c r="AG242" s="58">
        <f t="shared" si="44"/>
        <v>0</v>
      </c>
      <c r="AH242" s="58">
        <f t="shared" si="45"/>
        <v>0</v>
      </c>
      <c r="AI242" s="58">
        <f t="shared" si="46"/>
        <v>0</v>
      </c>
      <c r="AJ242" s="58">
        <f t="shared" si="47"/>
        <v>0</v>
      </c>
      <c r="AK242" s="58">
        <f t="shared" si="48"/>
        <v>0</v>
      </c>
      <c r="AL242" s="58">
        <f t="shared" si="49"/>
        <v>0</v>
      </c>
      <c r="AM242" s="58">
        <f t="shared" si="55"/>
        <v>0</v>
      </c>
      <c r="AN242" s="62">
        <f t="shared" si="56"/>
        <v>0</v>
      </c>
      <c r="AO242" s="61">
        <f t="shared" si="50"/>
        <v>0</v>
      </c>
      <c r="AP242" s="61">
        <f t="shared" si="51"/>
        <v>0</v>
      </c>
    </row>
    <row r="243" spans="3:42" s="17" customFormat="1" x14ac:dyDescent="0.25">
      <c r="C243" s="216" t="s">
        <v>229</v>
      </c>
      <c r="D243" s="217"/>
      <c r="E243" s="90"/>
      <c r="F243" s="198"/>
      <c r="G243" s="214"/>
      <c r="H243" s="199"/>
      <c r="I243" s="78"/>
      <c r="J243" s="79"/>
      <c r="K243" s="78"/>
      <c r="L243" s="113"/>
      <c r="M243" s="155"/>
      <c r="N243" s="114" t="str">
        <f>IFERROR(MIN(VLOOKUP(ROUNDDOWN(M243,0),'Aide calcul'!$B$2:$C$282,2,FALSE),L243+1),"")</f>
        <v/>
      </c>
      <c r="O243" s="115" t="str">
        <f t="shared" si="52"/>
        <v/>
      </c>
      <c r="P243" s="173"/>
      <c r="Q243" s="173"/>
      <c r="R243" s="173"/>
      <c r="S243" s="173"/>
      <c r="T243" s="173"/>
      <c r="U243" s="173"/>
      <c r="V243" s="173"/>
      <c r="W243" s="78"/>
      <c r="X243" s="78"/>
      <c r="Y243" s="116" t="str">
        <f>IFERROR(ROUND('Informations générales'!$D$66*(AE243/SUM($AE$27:$AE$403))/12,0)*12,"")</f>
        <v/>
      </c>
      <c r="Z243" s="117"/>
      <c r="AA243" s="116" t="str">
        <f t="shared" si="53"/>
        <v/>
      </c>
      <c r="AB243" s="78"/>
      <c r="AC243" s="92"/>
      <c r="AD243" s="78"/>
      <c r="AE243" s="58">
        <f t="shared" si="54"/>
        <v>0</v>
      </c>
      <c r="AF243" s="58">
        <f t="shared" si="43"/>
        <v>0</v>
      </c>
      <c r="AG243" s="58">
        <f t="shared" si="44"/>
        <v>0</v>
      </c>
      <c r="AH243" s="58">
        <f t="shared" si="45"/>
        <v>0</v>
      </c>
      <c r="AI243" s="58">
        <f t="shared" si="46"/>
        <v>0</v>
      </c>
      <c r="AJ243" s="58">
        <f t="shared" si="47"/>
        <v>0</v>
      </c>
      <c r="AK243" s="58">
        <f t="shared" si="48"/>
        <v>0</v>
      </c>
      <c r="AL243" s="58">
        <f t="shared" si="49"/>
        <v>0</v>
      </c>
      <c r="AM243" s="58">
        <f t="shared" si="55"/>
        <v>0</v>
      </c>
      <c r="AN243" s="62">
        <f t="shared" si="56"/>
        <v>0</v>
      </c>
      <c r="AO243" s="61">
        <f t="shared" si="50"/>
        <v>0</v>
      </c>
      <c r="AP243" s="61">
        <f t="shared" si="51"/>
        <v>0</v>
      </c>
    </row>
    <row r="244" spans="3:42" s="17" customFormat="1" x14ac:dyDescent="0.25">
      <c r="C244" s="216" t="s">
        <v>229</v>
      </c>
      <c r="D244" s="217"/>
      <c r="E244" s="90"/>
      <c r="F244" s="198"/>
      <c r="G244" s="214"/>
      <c r="H244" s="199"/>
      <c r="I244" s="78"/>
      <c r="J244" s="79"/>
      <c r="K244" s="78"/>
      <c r="L244" s="113"/>
      <c r="M244" s="155"/>
      <c r="N244" s="114" t="str">
        <f>IFERROR(MIN(VLOOKUP(ROUNDDOWN(M244,0),'Aide calcul'!$B$2:$C$282,2,FALSE),L244+1),"")</f>
        <v/>
      </c>
      <c r="O244" s="115" t="str">
        <f t="shared" si="52"/>
        <v/>
      </c>
      <c r="P244" s="173"/>
      <c r="Q244" s="173"/>
      <c r="R244" s="173"/>
      <c r="S244" s="173"/>
      <c r="T244" s="173"/>
      <c r="U244" s="173"/>
      <c r="V244" s="173"/>
      <c r="W244" s="78"/>
      <c r="X244" s="78"/>
      <c r="Y244" s="116" t="str">
        <f>IFERROR(ROUND('Informations générales'!$D$66*(AE244/SUM($AE$27:$AE$403))/12,0)*12,"")</f>
        <v/>
      </c>
      <c r="Z244" s="117"/>
      <c r="AA244" s="116" t="str">
        <f t="shared" si="53"/>
        <v/>
      </c>
      <c r="AB244" s="78"/>
      <c r="AC244" s="92"/>
      <c r="AD244" s="78"/>
      <c r="AE244" s="58">
        <f t="shared" si="54"/>
        <v>0</v>
      </c>
      <c r="AF244" s="58">
        <f t="shared" si="43"/>
        <v>0</v>
      </c>
      <c r="AG244" s="58">
        <f t="shared" si="44"/>
        <v>0</v>
      </c>
      <c r="AH244" s="58">
        <f t="shared" si="45"/>
        <v>0</v>
      </c>
      <c r="AI244" s="58">
        <f t="shared" si="46"/>
        <v>0</v>
      </c>
      <c r="AJ244" s="58">
        <f t="shared" si="47"/>
        <v>0</v>
      </c>
      <c r="AK244" s="58">
        <f t="shared" si="48"/>
        <v>0</v>
      </c>
      <c r="AL244" s="58">
        <f t="shared" si="49"/>
        <v>0</v>
      </c>
      <c r="AM244" s="58">
        <f t="shared" si="55"/>
        <v>0</v>
      </c>
      <c r="AN244" s="62">
        <f t="shared" si="56"/>
        <v>0</v>
      </c>
      <c r="AO244" s="61">
        <f t="shared" si="50"/>
        <v>0</v>
      </c>
      <c r="AP244" s="61">
        <f t="shared" si="51"/>
        <v>0</v>
      </c>
    </row>
    <row r="245" spans="3:42" s="17" customFormat="1" x14ac:dyDescent="0.25">
      <c r="C245" s="216" t="s">
        <v>229</v>
      </c>
      <c r="D245" s="217"/>
      <c r="E245" s="90"/>
      <c r="F245" s="198"/>
      <c r="G245" s="214"/>
      <c r="H245" s="199"/>
      <c r="I245" s="78"/>
      <c r="J245" s="79"/>
      <c r="K245" s="78"/>
      <c r="L245" s="113"/>
      <c r="M245" s="155"/>
      <c r="N245" s="114" t="str">
        <f>IFERROR(MIN(VLOOKUP(ROUNDDOWN(M245,0),'Aide calcul'!$B$2:$C$282,2,FALSE),L245+1),"")</f>
        <v/>
      </c>
      <c r="O245" s="115" t="str">
        <f t="shared" si="52"/>
        <v/>
      </c>
      <c r="P245" s="173"/>
      <c r="Q245" s="173"/>
      <c r="R245" s="173"/>
      <c r="S245" s="173"/>
      <c r="T245" s="173"/>
      <c r="U245" s="173"/>
      <c r="V245" s="173"/>
      <c r="W245" s="78"/>
      <c r="X245" s="78"/>
      <c r="Y245" s="116" t="str">
        <f>IFERROR(ROUND('Informations générales'!$D$66*(AE245/SUM($AE$27:$AE$403))/12,0)*12,"")</f>
        <v/>
      </c>
      <c r="Z245" s="117"/>
      <c r="AA245" s="116" t="str">
        <f t="shared" si="53"/>
        <v/>
      </c>
      <c r="AB245" s="78"/>
      <c r="AC245" s="92"/>
      <c r="AD245" s="78"/>
      <c r="AE245" s="58">
        <f t="shared" si="54"/>
        <v>0</v>
      </c>
      <c r="AF245" s="58">
        <f t="shared" si="43"/>
        <v>0</v>
      </c>
      <c r="AG245" s="58">
        <f t="shared" si="44"/>
        <v>0</v>
      </c>
      <c r="AH245" s="58">
        <f t="shared" si="45"/>
        <v>0</v>
      </c>
      <c r="AI245" s="58">
        <f t="shared" si="46"/>
        <v>0</v>
      </c>
      <c r="AJ245" s="58">
        <f t="shared" si="47"/>
        <v>0</v>
      </c>
      <c r="AK245" s="58">
        <f t="shared" si="48"/>
        <v>0</v>
      </c>
      <c r="AL245" s="58">
        <f t="shared" si="49"/>
        <v>0</v>
      </c>
      <c r="AM245" s="58">
        <f t="shared" si="55"/>
        <v>0</v>
      </c>
      <c r="AN245" s="62">
        <f t="shared" si="56"/>
        <v>0</v>
      </c>
      <c r="AO245" s="61">
        <f t="shared" si="50"/>
        <v>0</v>
      </c>
      <c r="AP245" s="61">
        <f t="shared" si="51"/>
        <v>0</v>
      </c>
    </row>
    <row r="246" spans="3:42" s="17" customFormat="1" x14ac:dyDescent="0.25">
      <c r="C246" s="216" t="s">
        <v>229</v>
      </c>
      <c r="D246" s="217"/>
      <c r="E246" s="90"/>
      <c r="F246" s="198"/>
      <c r="G246" s="214"/>
      <c r="H246" s="199"/>
      <c r="I246" s="78"/>
      <c r="J246" s="79"/>
      <c r="K246" s="78"/>
      <c r="L246" s="113"/>
      <c r="M246" s="155"/>
      <c r="N246" s="114" t="str">
        <f>IFERROR(MIN(VLOOKUP(ROUNDDOWN(M246,0),'Aide calcul'!$B$2:$C$282,2,FALSE),L246+1),"")</f>
        <v/>
      </c>
      <c r="O246" s="115" t="str">
        <f t="shared" si="52"/>
        <v/>
      </c>
      <c r="P246" s="173"/>
      <c r="Q246" s="173"/>
      <c r="R246" s="173"/>
      <c r="S246" s="173"/>
      <c r="T246" s="173"/>
      <c r="U246" s="173"/>
      <c r="V246" s="173"/>
      <c r="W246" s="78"/>
      <c r="X246" s="78"/>
      <c r="Y246" s="116" t="str">
        <f>IFERROR(ROUND('Informations générales'!$D$66*(AE246/SUM($AE$27:$AE$403))/12,0)*12,"")</f>
        <v/>
      </c>
      <c r="Z246" s="117"/>
      <c r="AA246" s="116" t="str">
        <f t="shared" si="53"/>
        <v/>
      </c>
      <c r="AB246" s="78"/>
      <c r="AC246" s="92"/>
      <c r="AD246" s="78"/>
      <c r="AE246" s="58">
        <f t="shared" si="54"/>
        <v>0</v>
      </c>
      <c r="AF246" s="58">
        <f t="shared" si="43"/>
        <v>0</v>
      </c>
      <c r="AG246" s="58">
        <f t="shared" si="44"/>
        <v>0</v>
      </c>
      <c r="AH246" s="58">
        <f t="shared" si="45"/>
        <v>0</v>
      </c>
      <c r="AI246" s="58">
        <f t="shared" si="46"/>
        <v>0</v>
      </c>
      <c r="AJ246" s="58">
        <f t="shared" si="47"/>
        <v>0</v>
      </c>
      <c r="AK246" s="58">
        <f t="shared" si="48"/>
        <v>0</v>
      </c>
      <c r="AL246" s="58">
        <f t="shared" si="49"/>
        <v>0</v>
      </c>
      <c r="AM246" s="58">
        <f t="shared" si="55"/>
        <v>0</v>
      </c>
      <c r="AN246" s="62">
        <f t="shared" si="56"/>
        <v>0</v>
      </c>
      <c r="AO246" s="61">
        <f t="shared" si="50"/>
        <v>0</v>
      </c>
      <c r="AP246" s="61">
        <f t="shared" si="51"/>
        <v>0</v>
      </c>
    </row>
    <row r="247" spans="3:42" s="17" customFormat="1" x14ac:dyDescent="0.25">
      <c r="C247" s="216" t="s">
        <v>229</v>
      </c>
      <c r="D247" s="217"/>
      <c r="E247" s="90"/>
      <c r="F247" s="198"/>
      <c r="G247" s="214"/>
      <c r="H247" s="199"/>
      <c r="I247" s="78"/>
      <c r="J247" s="79"/>
      <c r="K247" s="78"/>
      <c r="L247" s="113"/>
      <c r="M247" s="155"/>
      <c r="N247" s="114" t="str">
        <f>IFERROR(MIN(VLOOKUP(ROUNDDOWN(M247,0),'Aide calcul'!$B$2:$C$282,2,FALSE),L247+1),"")</f>
        <v/>
      </c>
      <c r="O247" s="115" t="str">
        <f t="shared" si="52"/>
        <v/>
      </c>
      <c r="P247" s="173"/>
      <c r="Q247" s="173"/>
      <c r="R247" s="173"/>
      <c r="S247" s="173"/>
      <c r="T247" s="173"/>
      <c r="U247" s="173"/>
      <c r="V247" s="173"/>
      <c r="W247" s="78"/>
      <c r="X247" s="78"/>
      <c r="Y247" s="116" t="str">
        <f>IFERROR(ROUND('Informations générales'!$D$66*(AE247/SUM($AE$27:$AE$403))/12,0)*12,"")</f>
        <v/>
      </c>
      <c r="Z247" s="117"/>
      <c r="AA247" s="116" t="str">
        <f t="shared" si="53"/>
        <v/>
      </c>
      <c r="AB247" s="78"/>
      <c r="AC247" s="92"/>
      <c r="AD247" s="78"/>
      <c r="AE247" s="58">
        <f t="shared" si="54"/>
        <v>0</v>
      </c>
      <c r="AF247" s="58">
        <f t="shared" si="43"/>
        <v>0</v>
      </c>
      <c r="AG247" s="58">
        <f t="shared" si="44"/>
        <v>0</v>
      </c>
      <c r="AH247" s="58">
        <f t="shared" si="45"/>
        <v>0</v>
      </c>
      <c r="AI247" s="58">
        <f t="shared" si="46"/>
        <v>0</v>
      </c>
      <c r="AJ247" s="58">
        <f t="shared" si="47"/>
        <v>0</v>
      </c>
      <c r="AK247" s="58">
        <f t="shared" si="48"/>
        <v>0</v>
      </c>
      <c r="AL247" s="58">
        <f t="shared" si="49"/>
        <v>0</v>
      </c>
      <c r="AM247" s="58">
        <f t="shared" si="55"/>
        <v>0</v>
      </c>
      <c r="AN247" s="62">
        <f t="shared" si="56"/>
        <v>0</v>
      </c>
      <c r="AO247" s="61">
        <f t="shared" si="50"/>
        <v>0</v>
      </c>
      <c r="AP247" s="61">
        <f t="shared" si="51"/>
        <v>0</v>
      </c>
    </row>
    <row r="248" spans="3:42" s="17" customFormat="1" x14ac:dyDescent="0.25">
      <c r="C248" s="216" t="s">
        <v>229</v>
      </c>
      <c r="D248" s="217"/>
      <c r="E248" s="90"/>
      <c r="F248" s="198"/>
      <c r="G248" s="214"/>
      <c r="H248" s="199"/>
      <c r="I248" s="78"/>
      <c r="J248" s="79"/>
      <c r="K248" s="78"/>
      <c r="L248" s="113"/>
      <c r="M248" s="155"/>
      <c r="N248" s="114" t="str">
        <f>IFERROR(MIN(VLOOKUP(ROUNDDOWN(M248,0),'Aide calcul'!$B$2:$C$282,2,FALSE),L248+1),"")</f>
        <v/>
      </c>
      <c r="O248" s="115" t="str">
        <f t="shared" si="52"/>
        <v/>
      </c>
      <c r="P248" s="173"/>
      <c r="Q248" s="173"/>
      <c r="R248" s="173"/>
      <c r="S248" s="173"/>
      <c r="T248" s="173"/>
      <c r="U248" s="173"/>
      <c r="V248" s="173"/>
      <c r="W248" s="78"/>
      <c r="X248" s="78"/>
      <c r="Y248" s="116" t="str">
        <f>IFERROR(ROUND('Informations générales'!$D$66*(AE248/SUM($AE$27:$AE$403))/12,0)*12,"")</f>
        <v/>
      </c>
      <c r="Z248" s="117"/>
      <c r="AA248" s="116" t="str">
        <f t="shared" si="53"/>
        <v/>
      </c>
      <c r="AB248" s="78"/>
      <c r="AC248" s="92"/>
      <c r="AD248" s="78"/>
      <c r="AE248" s="58">
        <f t="shared" si="54"/>
        <v>0</v>
      </c>
      <c r="AF248" s="58">
        <f t="shared" si="43"/>
        <v>0</v>
      </c>
      <c r="AG248" s="58">
        <f t="shared" si="44"/>
        <v>0</v>
      </c>
      <c r="AH248" s="58">
        <f t="shared" si="45"/>
        <v>0</v>
      </c>
      <c r="AI248" s="58">
        <f t="shared" si="46"/>
        <v>0</v>
      </c>
      <c r="AJ248" s="58">
        <f t="shared" si="47"/>
        <v>0</v>
      </c>
      <c r="AK248" s="58">
        <f t="shared" si="48"/>
        <v>0</v>
      </c>
      <c r="AL248" s="58">
        <f t="shared" si="49"/>
        <v>0</v>
      </c>
      <c r="AM248" s="58">
        <f t="shared" si="55"/>
        <v>0</v>
      </c>
      <c r="AN248" s="62">
        <f t="shared" si="56"/>
        <v>0</v>
      </c>
      <c r="AO248" s="61">
        <f t="shared" si="50"/>
        <v>0</v>
      </c>
      <c r="AP248" s="61">
        <f t="shared" si="51"/>
        <v>0</v>
      </c>
    </row>
    <row r="249" spans="3:42" s="17" customFormat="1" x14ac:dyDescent="0.25">
      <c r="C249" s="216" t="s">
        <v>229</v>
      </c>
      <c r="D249" s="217"/>
      <c r="E249" s="90"/>
      <c r="F249" s="198"/>
      <c r="G249" s="214"/>
      <c r="H249" s="199"/>
      <c r="I249" s="78"/>
      <c r="J249" s="79"/>
      <c r="K249" s="78"/>
      <c r="L249" s="113"/>
      <c r="M249" s="155"/>
      <c r="N249" s="114" t="str">
        <f>IFERROR(MIN(VLOOKUP(ROUNDDOWN(M249,0),'Aide calcul'!$B$2:$C$282,2,FALSE),L249+1),"")</f>
        <v/>
      </c>
      <c r="O249" s="115" t="str">
        <f t="shared" si="52"/>
        <v/>
      </c>
      <c r="P249" s="173"/>
      <c r="Q249" s="173"/>
      <c r="R249" s="173"/>
      <c r="S249" s="173"/>
      <c r="T249" s="173"/>
      <c r="U249" s="173"/>
      <c r="V249" s="173"/>
      <c r="W249" s="78"/>
      <c r="X249" s="78"/>
      <c r="Y249" s="116" t="str">
        <f>IFERROR(ROUND('Informations générales'!$D$66*(AE249/SUM($AE$27:$AE$403))/12,0)*12,"")</f>
        <v/>
      </c>
      <c r="Z249" s="117"/>
      <c r="AA249" s="116" t="str">
        <f t="shared" si="53"/>
        <v/>
      </c>
      <c r="AB249" s="78"/>
      <c r="AC249" s="92"/>
      <c r="AD249" s="78"/>
      <c r="AE249" s="58">
        <f t="shared" si="54"/>
        <v>0</v>
      </c>
      <c r="AF249" s="58">
        <f t="shared" si="43"/>
        <v>0</v>
      </c>
      <c r="AG249" s="58">
        <f t="shared" si="44"/>
        <v>0</v>
      </c>
      <c r="AH249" s="58">
        <f t="shared" si="45"/>
        <v>0</v>
      </c>
      <c r="AI249" s="58">
        <f t="shared" si="46"/>
        <v>0</v>
      </c>
      <c r="AJ249" s="58">
        <f t="shared" si="47"/>
        <v>0</v>
      </c>
      <c r="AK249" s="58">
        <f t="shared" si="48"/>
        <v>0</v>
      </c>
      <c r="AL249" s="58">
        <f t="shared" si="49"/>
        <v>0</v>
      </c>
      <c r="AM249" s="58">
        <f t="shared" si="55"/>
        <v>0</v>
      </c>
      <c r="AN249" s="62">
        <f t="shared" si="56"/>
        <v>0</v>
      </c>
      <c r="AO249" s="61">
        <f t="shared" si="50"/>
        <v>0</v>
      </c>
      <c r="AP249" s="61">
        <f t="shared" si="51"/>
        <v>0</v>
      </c>
    </row>
    <row r="250" spans="3:42" s="17" customFormat="1" x14ac:dyDescent="0.25">
      <c r="C250" s="216" t="s">
        <v>229</v>
      </c>
      <c r="D250" s="217"/>
      <c r="E250" s="90"/>
      <c r="F250" s="198"/>
      <c r="G250" s="214"/>
      <c r="H250" s="199"/>
      <c r="I250" s="78"/>
      <c r="J250" s="79"/>
      <c r="K250" s="78"/>
      <c r="L250" s="113"/>
      <c r="M250" s="155"/>
      <c r="N250" s="114" t="str">
        <f>IFERROR(MIN(VLOOKUP(ROUNDDOWN(M250,0),'Aide calcul'!$B$2:$C$282,2,FALSE),L250+1),"")</f>
        <v/>
      </c>
      <c r="O250" s="115" t="str">
        <f t="shared" si="52"/>
        <v/>
      </c>
      <c r="P250" s="173"/>
      <c r="Q250" s="173"/>
      <c r="R250" s="173"/>
      <c r="S250" s="173"/>
      <c r="T250" s="173"/>
      <c r="U250" s="173"/>
      <c r="V250" s="173"/>
      <c r="W250" s="78"/>
      <c r="X250" s="78"/>
      <c r="Y250" s="116" t="str">
        <f>IFERROR(ROUND('Informations générales'!$D$66*(AE250/SUM($AE$27:$AE$403))/12,0)*12,"")</f>
        <v/>
      </c>
      <c r="Z250" s="117"/>
      <c r="AA250" s="116" t="str">
        <f t="shared" si="53"/>
        <v/>
      </c>
      <c r="AB250" s="78"/>
      <c r="AC250" s="92"/>
      <c r="AD250" s="78"/>
      <c r="AE250" s="58">
        <f t="shared" si="54"/>
        <v>0</v>
      </c>
      <c r="AF250" s="58">
        <f t="shared" si="43"/>
        <v>0</v>
      </c>
      <c r="AG250" s="58">
        <f t="shared" si="44"/>
        <v>0</v>
      </c>
      <c r="AH250" s="58">
        <f t="shared" si="45"/>
        <v>0</v>
      </c>
      <c r="AI250" s="58">
        <f t="shared" si="46"/>
        <v>0</v>
      </c>
      <c r="AJ250" s="58">
        <f t="shared" si="47"/>
        <v>0</v>
      </c>
      <c r="AK250" s="58">
        <f t="shared" si="48"/>
        <v>0</v>
      </c>
      <c r="AL250" s="58">
        <f t="shared" si="49"/>
        <v>0</v>
      </c>
      <c r="AM250" s="58">
        <f t="shared" si="55"/>
        <v>0</v>
      </c>
      <c r="AN250" s="62">
        <f t="shared" si="56"/>
        <v>0</v>
      </c>
      <c r="AO250" s="61">
        <f t="shared" si="50"/>
        <v>0</v>
      </c>
      <c r="AP250" s="61">
        <f t="shared" si="51"/>
        <v>0</v>
      </c>
    </row>
    <row r="251" spans="3:42" s="17" customFormat="1" x14ac:dyDescent="0.25">
      <c r="C251" s="216" t="s">
        <v>229</v>
      </c>
      <c r="D251" s="217"/>
      <c r="E251" s="90"/>
      <c r="F251" s="198"/>
      <c r="G251" s="214"/>
      <c r="H251" s="199"/>
      <c r="I251" s="78"/>
      <c r="J251" s="79"/>
      <c r="K251" s="78"/>
      <c r="L251" s="113"/>
      <c r="M251" s="155"/>
      <c r="N251" s="114" t="str">
        <f>IFERROR(MIN(VLOOKUP(ROUNDDOWN(M251,0),'Aide calcul'!$B$2:$C$282,2,FALSE),L251+1),"")</f>
        <v/>
      </c>
      <c r="O251" s="115" t="str">
        <f t="shared" si="52"/>
        <v/>
      </c>
      <c r="P251" s="173"/>
      <c r="Q251" s="173"/>
      <c r="R251" s="173"/>
      <c r="S251" s="173"/>
      <c r="T251" s="173"/>
      <c r="U251" s="173"/>
      <c r="V251" s="173"/>
      <c r="W251" s="78"/>
      <c r="X251" s="78"/>
      <c r="Y251" s="116" t="str">
        <f>IFERROR(ROUND('Informations générales'!$D$66*(AE251/SUM($AE$27:$AE$403))/12,0)*12,"")</f>
        <v/>
      </c>
      <c r="Z251" s="117"/>
      <c r="AA251" s="116" t="str">
        <f t="shared" si="53"/>
        <v/>
      </c>
      <c r="AB251" s="78"/>
      <c r="AC251" s="92"/>
      <c r="AD251" s="78"/>
      <c r="AE251" s="58">
        <f t="shared" si="54"/>
        <v>0</v>
      </c>
      <c r="AF251" s="58">
        <f t="shared" si="43"/>
        <v>0</v>
      </c>
      <c r="AG251" s="58">
        <f t="shared" si="44"/>
        <v>0</v>
      </c>
      <c r="AH251" s="58">
        <f t="shared" si="45"/>
        <v>0</v>
      </c>
      <c r="AI251" s="58">
        <f t="shared" si="46"/>
        <v>0</v>
      </c>
      <c r="AJ251" s="58">
        <f t="shared" si="47"/>
        <v>0</v>
      </c>
      <c r="AK251" s="58">
        <f t="shared" si="48"/>
        <v>0</v>
      </c>
      <c r="AL251" s="58">
        <f t="shared" si="49"/>
        <v>0</v>
      </c>
      <c r="AM251" s="58">
        <f t="shared" si="55"/>
        <v>0</v>
      </c>
      <c r="AN251" s="62">
        <f t="shared" si="56"/>
        <v>0</v>
      </c>
      <c r="AO251" s="61">
        <f t="shared" si="50"/>
        <v>0</v>
      </c>
      <c r="AP251" s="61">
        <f t="shared" si="51"/>
        <v>0</v>
      </c>
    </row>
    <row r="252" spans="3:42" s="17" customFormat="1" x14ac:dyDescent="0.25">
      <c r="C252" s="216" t="s">
        <v>229</v>
      </c>
      <c r="D252" s="217"/>
      <c r="E252" s="90"/>
      <c r="F252" s="198"/>
      <c r="G252" s="214"/>
      <c r="H252" s="199"/>
      <c r="I252" s="78"/>
      <c r="J252" s="79"/>
      <c r="K252" s="78"/>
      <c r="L252" s="113"/>
      <c r="M252" s="155"/>
      <c r="N252" s="114" t="str">
        <f>IFERROR(MIN(VLOOKUP(ROUNDDOWN(M252,0),'Aide calcul'!$B$2:$C$282,2,FALSE),L252+1),"")</f>
        <v/>
      </c>
      <c r="O252" s="115" t="str">
        <f t="shared" si="52"/>
        <v/>
      </c>
      <c r="P252" s="173"/>
      <c r="Q252" s="173"/>
      <c r="R252" s="173"/>
      <c r="S252" s="173"/>
      <c r="T252" s="173"/>
      <c r="U252" s="173"/>
      <c r="V252" s="173"/>
      <c r="W252" s="78"/>
      <c r="X252" s="78"/>
      <c r="Y252" s="116" t="str">
        <f>IFERROR(ROUND('Informations générales'!$D$66*(AE252/SUM($AE$27:$AE$403))/12,0)*12,"")</f>
        <v/>
      </c>
      <c r="Z252" s="117"/>
      <c r="AA252" s="116" t="str">
        <f t="shared" si="53"/>
        <v/>
      </c>
      <c r="AB252" s="78"/>
      <c r="AC252" s="92"/>
      <c r="AD252" s="78"/>
      <c r="AE252" s="58">
        <f t="shared" si="54"/>
        <v>0</v>
      </c>
      <c r="AF252" s="58">
        <f t="shared" si="43"/>
        <v>0</v>
      </c>
      <c r="AG252" s="58">
        <f t="shared" si="44"/>
        <v>0</v>
      </c>
      <c r="AH252" s="58">
        <f t="shared" si="45"/>
        <v>0</v>
      </c>
      <c r="AI252" s="58">
        <f t="shared" si="46"/>
        <v>0</v>
      </c>
      <c r="AJ252" s="58">
        <f t="shared" si="47"/>
        <v>0</v>
      </c>
      <c r="AK252" s="58">
        <f t="shared" si="48"/>
        <v>0</v>
      </c>
      <c r="AL252" s="58">
        <f t="shared" si="49"/>
        <v>0</v>
      </c>
      <c r="AM252" s="58">
        <f t="shared" si="55"/>
        <v>0</v>
      </c>
      <c r="AN252" s="62">
        <f t="shared" si="56"/>
        <v>0</v>
      </c>
      <c r="AO252" s="61">
        <f t="shared" si="50"/>
        <v>0</v>
      </c>
      <c r="AP252" s="61">
        <f t="shared" si="51"/>
        <v>0</v>
      </c>
    </row>
    <row r="253" spans="3:42" s="17" customFormat="1" x14ac:dyDescent="0.25">
      <c r="C253" s="216" t="s">
        <v>229</v>
      </c>
      <c r="D253" s="217"/>
      <c r="E253" s="90"/>
      <c r="F253" s="198"/>
      <c r="G253" s="214"/>
      <c r="H253" s="199"/>
      <c r="I253" s="78"/>
      <c r="J253" s="79"/>
      <c r="K253" s="78"/>
      <c r="L253" s="113"/>
      <c r="M253" s="155"/>
      <c r="N253" s="114" t="str">
        <f>IFERROR(MIN(VLOOKUP(ROUNDDOWN(M253,0),'Aide calcul'!$B$2:$C$282,2,FALSE),L253+1),"")</f>
        <v/>
      </c>
      <c r="O253" s="115" t="str">
        <f t="shared" si="52"/>
        <v/>
      </c>
      <c r="P253" s="173"/>
      <c r="Q253" s="173"/>
      <c r="R253" s="173"/>
      <c r="S253" s="173"/>
      <c r="T253" s="173"/>
      <c r="U253" s="173"/>
      <c r="V253" s="173"/>
      <c r="W253" s="78"/>
      <c r="X253" s="78"/>
      <c r="Y253" s="116" t="str">
        <f>IFERROR(ROUND('Informations générales'!$D$66*(AE253/SUM($AE$27:$AE$403))/12,0)*12,"")</f>
        <v/>
      </c>
      <c r="Z253" s="117"/>
      <c r="AA253" s="116" t="str">
        <f t="shared" si="53"/>
        <v/>
      </c>
      <c r="AB253" s="78"/>
      <c r="AC253" s="92"/>
      <c r="AD253" s="78"/>
      <c r="AE253" s="58">
        <f t="shared" si="54"/>
        <v>0</v>
      </c>
      <c r="AF253" s="58">
        <f t="shared" si="43"/>
        <v>0</v>
      </c>
      <c r="AG253" s="58">
        <f t="shared" si="44"/>
        <v>0</v>
      </c>
      <c r="AH253" s="58">
        <f t="shared" si="45"/>
        <v>0</v>
      </c>
      <c r="AI253" s="58">
        <f t="shared" si="46"/>
        <v>0</v>
      </c>
      <c r="AJ253" s="58">
        <f t="shared" si="47"/>
        <v>0</v>
      </c>
      <c r="AK253" s="58">
        <f t="shared" si="48"/>
        <v>0</v>
      </c>
      <c r="AL253" s="58">
        <f t="shared" si="49"/>
        <v>0</v>
      </c>
      <c r="AM253" s="58">
        <f t="shared" si="55"/>
        <v>0</v>
      </c>
      <c r="AN253" s="62">
        <f t="shared" si="56"/>
        <v>0</v>
      </c>
      <c r="AO253" s="61">
        <f t="shared" si="50"/>
        <v>0</v>
      </c>
      <c r="AP253" s="61">
        <f t="shared" si="51"/>
        <v>0</v>
      </c>
    </row>
    <row r="254" spans="3:42" s="17" customFormat="1" x14ac:dyDescent="0.25">
      <c r="C254" s="216" t="s">
        <v>229</v>
      </c>
      <c r="D254" s="217"/>
      <c r="E254" s="90"/>
      <c r="F254" s="198"/>
      <c r="G254" s="214"/>
      <c r="H254" s="199"/>
      <c r="I254" s="78"/>
      <c r="J254" s="79"/>
      <c r="K254" s="78"/>
      <c r="L254" s="113"/>
      <c r="M254" s="155"/>
      <c r="N254" s="114" t="str">
        <f>IFERROR(MIN(VLOOKUP(ROUNDDOWN(M254,0),'Aide calcul'!$B$2:$C$282,2,FALSE),L254+1),"")</f>
        <v/>
      </c>
      <c r="O254" s="115" t="str">
        <f t="shared" si="52"/>
        <v/>
      </c>
      <c r="P254" s="173"/>
      <c r="Q254" s="173"/>
      <c r="R254" s="173"/>
      <c r="S254" s="173"/>
      <c r="T254" s="173"/>
      <c r="U254" s="173"/>
      <c r="V254" s="173"/>
      <c r="W254" s="78"/>
      <c r="X254" s="78"/>
      <c r="Y254" s="116" t="str">
        <f>IFERROR(ROUND('Informations générales'!$D$66*(AE254/SUM($AE$27:$AE$403))/12,0)*12,"")</f>
        <v/>
      </c>
      <c r="Z254" s="117"/>
      <c r="AA254" s="116" t="str">
        <f t="shared" si="53"/>
        <v/>
      </c>
      <c r="AB254" s="78"/>
      <c r="AC254" s="92"/>
      <c r="AD254" s="78"/>
      <c r="AE254" s="58">
        <f t="shared" si="54"/>
        <v>0</v>
      </c>
      <c r="AF254" s="58">
        <f t="shared" si="43"/>
        <v>0</v>
      </c>
      <c r="AG254" s="58">
        <f t="shared" si="44"/>
        <v>0</v>
      </c>
      <c r="AH254" s="58">
        <f t="shared" si="45"/>
        <v>0</v>
      </c>
      <c r="AI254" s="58">
        <f t="shared" si="46"/>
        <v>0</v>
      </c>
      <c r="AJ254" s="58">
        <f t="shared" si="47"/>
        <v>0</v>
      </c>
      <c r="AK254" s="58">
        <f t="shared" si="48"/>
        <v>0</v>
      </c>
      <c r="AL254" s="58">
        <f t="shared" si="49"/>
        <v>0</v>
      </c>
      <c r="AM254" s="58">
        <f t="shared" si="55"/>
        <v>0</v>
      </c>
      <c r="AN254" s="62">
        <f t="shared" si="56"/>
        <v>0</v>
      </c>
      <c r="AO254" s="61">
        <f t="shared" si="50"/>
        <v>0</v>
      </c>
      <c r="AP254" s="61">
        <f t="shared" si="51"/>
        <v>0</v>
      </c>
    </row>
    <row r="255" spans="3:42" s="17" customFormat="1" x14ac:dyDescent="0.25">
      <c r="C255" s="216" t="s">
        <v>229</v>
      </c>
      <c r="D255" s="217"/>
      <c r="E255" s="90"/>
      <c r="F255" s="198"/>
      <c r="G255" s="214"/>
      <c r="H255" s="199"/>
      <c r="I255" s="78"/>
      <c r="J255" s="79"/>
      <c r="K255" s="78"/>
      <c r="L255" s="113"/>
      <c r="M255" s="155"/>
      <c r="N255" s="114" t="str">
        <f>IFERROR(MIN(VLOOKUP(ROUNDDOWN(M255,0),'Aide calcul'!$B$2:$C$282,2,FALSE),L255+1),"")</f>
        <v/>
      </c>
      <c r="O255" s="115" t="str">
        <f t="shared" si="52"/>
        <v/>
      </c>
      <c r="P255" s="173"/>
      <c r="Q255" s="173"/>
      <c r="R255" s="173"/>
      <c r="S255" s="173"/>
      <c r="T255" s="173"/>
      <c r="U255" s="173"/>
      <c r="V255" s="173"/>
      <c r="W255" s="78"/>
      <c r="X255" s="78"/>
      <c r="Y255" s="116" t="str">
        <f>IFERROR(ROUND('Informations générales'!$D$66*(AE255/SUM($AE$27:$AE$403))/12,0)*12,"")</f>
        <v/>
      </c>
      <c r="Z255" s="117"/>
      <c r="AA255" s="116" t="str">
        <f t="shared" si="53"/>
        <v/>
      </c>
      <c r="AB255" s="78"/>
      <c r="AC255" s="92"/>
      <c r="AD255" s="78"/>
      <c r="AE255" s="58">
        <f t="shared" si="54"/>
        <v>0</v>
      </c>
      <c r="AF255" s="58">
        <f t="shared" si="43"/>
        <v>0</v>
      </c>
      <c r="AG255" s="58">
        <f t="shared" si="44"/>
        <v>0</v>
      </c>
      <c r="AH255" s="58">
        <f t="shared" si="45"/>
        <v>0</v>
      </c>
      <c r="AI255" s="58">
        <f t="shared" si="46"/>
        <v>0</v>
      </c>
      <c r="AJ255" s="58">
        <f t="shared" si="47"/>
        <v>0</v>
      </c>
      <c r="AK255" s="58">
        <f t="shared" si="48"/>
        <v>0</v>
      </c>
      <c r="AL255" s="58">
        <f t="shared" si="49"/>
        <v>0</v>
      </c>
      <c r="AM255" s="58">
        <f t="shared" si="55"/>
        <v>0</v>
      </c>
      <c r="AN255" s="62">
        <f t="shared" si="56"/>
        <v>0</v>
      </c>
      <c r="AO255" s="61">
        <f t="shared" si="50"/>
        <v>0</v>
      </c>
      <c r="AP255" s="61">
        <f t="shared" si="51"/>
        <v>0</v>
      </c>
    </row>
    <row r="256" spans="3:42" s="17" customFormat="1" x14ac:dyDescent="0.25">
      <c r="C256" s="216" t="s">
        <v>229</v>
      </c>
      <c r="D256" s="217"/>
      <c r="E256" s="90"/>
      <c r="F256" s="198"/>
      <c r="G256" s="214"/>
      <c r="H256" s="199"/>
      <c r="I256" s="78"/>
      <c r="J256" s="79"/>
      <c r="K256" s="78"/>
      <c r="L256" s="113"/>
      <c r="M256" s="155"/>
      <c r="N256" s="114" t="str">
        <f>IFERROR(MIN(VLOOKUP(ROUNDDOWN(M256,0),'Aide calcul'!$B$2:$C$282,2,FALSE),L256+1),"")</f>
        <v/>
      </c>
      <c r="O256" s="115" t="str">
        <f t="shared" si="52"/>
        <v/>
      </c>
      <c r="P256" s="173"/>
      <c r="Q256" s="173"/>
      <c r="R256" s="173"/>
      <c r="S256" s="173"/>
      <c r="T256" s="173"/>
      <c r="U256" s="173"/>
      <c r="V256" s="173"/>
      <c r="W256" s="78"/>
      <c r="X256" s="78"/>
      <c r="Y256" s="116" t="str">
        <f>IFERROR(ROUND('Informations générales'!$D$66*(AE256/SUM($AE$27:$AE$403))/12,0)*12,"")</f>
        <v/>
      </c>
      <c r="Z256" s="117"/>
      <c r="AA256" s="116" t="str">
        <f t="shared" si="53"/>
        <v/>
      </c>
      <c r="AB256" s="78"/>
      <c r="AC256" s="92"/>
      <c r="AD256" s="78"/>
      <c r="AE256" s="58">
        <f t="shared" si="54"/>
        <v>0</v>
      </c>
      <c r="AF256" s="58">
        <f t="shared" si="43"/>
        <v>0</v>
      </c>
      <c r="AG256" s="58">
        <f t="shared" si="44"/>
        <v>0</v>
      </c>
      <c r="AH256" s="58">
        <f t="shared" si="45"/>
        <v>0</v>
      </c>
      <c r="AI256" s="58">
        <f t="shared" si="46"/>
        <v>0</v>
      </c>
      <c r="AJ256" s="58">
        <f t="shared" si="47"/>
        <v>0</v>
      </c>
      <c r="AK256" s="58">
        <f t="shared" si="48"/>
        <v>0</v>
      </c>
      <c r="AL256" s="58">
        <f t="shared" si="49"/>
        <v>0</v>
      </c>
      <c r="AM256" s="58">
        <f t="shared" si="55"/>
        <v>0</v>
      </c>
      <c r="AN256" s="62">
        <f t="shared" si="56"/>
        <v>0</v>
      </c>
      <c r="AO256" s="61">
        <f t="shared" si="50"/>
        <v>0</v>
      </c>
      <c r="AP256" s="61">
        <f t="shared" si="51"/>
        <v>0</v>
      </c>
    </row>
    <row r="257" spans="3:42" s="17" customFormat="1" x14ac:dyDescent="0.25">
      <c r="C257" s="216" t="s">
        <v>229</v>
      </c>
      <c r="D257" s="217"/>
      <c r="E257" s="90"/>
      <c r="F257" s="198"/>
      <c r="G257" s="214"/>
      <c r="H257" s="199"/>
      <c r="I257" s="78"/>
      <c r="J257" s="79"/>
      <c r="K257" s="78"/>
      <c r="L257" s="113"/>
      <c r="M257" s="155"/>
      <c r="N257" s="114" t="str">
        <f>IFERROR(MIN(VLOOKUP(ROUNDDOWN(M257,0),'Aide calcul'!$B$2:$C$282,2,FALSE),L257+1),"")</f>
        <v/>
      </c>
      <c r="O257" s="115" t="str">
        <f t="shared" si="52"/>
        <v/>
      </c>
      <c r="P257" s="173"/>
      <c r="Q257" s="173"/>
      <c r="R257" s="173"/>
      <c r="S257" s="173"/>
      <c r="T257" s="173"/>
      <c r="U257" s="173"/>
      <c r="V257" s="173"/>
      <c r="W257" s="78"/>
      <c r="X257" s="78"/>
      <c r="Y257" s="116" t="str">
        <f>IFERROR(ROUND('Informations générales'!$D$66*(AE257/SUM($AE$27:$AE$403))/12,0)*12,"")</f>
        <v/>
      </c>
      <c r="Z257" s="117"/>
      <c r="AA257" s="116" t="str">
        <f t="shared" si="53"/>
        <v/>
      </c>
      <c r="AB257" s="78"/>
      <c r="AC257" s="92"/>
      <c r="AD257" s="78"/>
      <c r="AE257" s="58">
        <f t="shared" si="54"/>
        <v>0</v>
      </c>
      <c r="AF257" s="58">
        <f t="shared" si="43"/>
        <v>0</v>
      </c>
      <c r="AG257" s="58">
        <f t="shared" si="44"/>
        <v>0</v>
      </c>
      <c r="AH257" s="58">
        <f t="shared" si="45"/>
        <v>0</v>
      </c>
      <c r="AI257" s="58">
        <f t="shared" si="46"/>
        <v>0</v>
      </c>
      <c r="AJ257" s="58">
        <f t="shared" si="47"/>
        <v>0</v>
      </c>
      <c r="AK257" s="58">
        <f t="shared" si="48"/>
        <v>0</v>
      </c>
      <c r="AL257" s="58">
        <f t="shared" si="49"/>
        <v>0</v>
      </c>
      <c r="AM257" s="58">
        <f t="shared" si="55"/>
        <v>0</v>
      </c>
      <c r="AN257" s="62">
        <f t="shared" si="56"/>
        <v>0</v>
      </c>
      <c r="AO257" s="61">
        <f t="shared" si="50"/>
        <v>0</v>
      </c>
      <c r="AP257" s="61">
        <f t="shared" si="51"/>
        <v>0</v>
      </c>
    </row>
    <row r="258" spans="3:42" s="17" customFormat="1" x14ac:dyDescent="0.25">
      <c r="C258" s="216" t="s">
        <v>229</v>
      </c>
      <c r="D258" s="217"/>
      <c r="E258" s="90"/>
      <c r="F258" s="198"/>
      <c r="G258" s="214"/>
      <c r="H258" s="199"/>
      <c r="I258" s="78"/>
      <c r="J258" s="79"/>
      <c r="K258" s="78"/>
      <c r="L258" s="113"/>
      <c r="M258" s="155"/>
      <c r="N258" s="114" t="str">
        <f>IFERROR(MIN(VLOOKUP(ROUNDDOWN(M258,0),'Aide calcul'!$B$2:$C$282,2,FALSE),L258+1),"")</f>
        <v/>
      </c>
      <c r="O258" s="115" t="str">
        <f t="shared" si="52"/>
        <v/>
      </c>
      <c r="P258" s="173"/>
      <c r="Q258" s="173"/>
      <c r="R258" s="173"/>
      <c r="S258" s="173"/>
      <c r="T258" s="173"/>
      <c r="U258" s="173"/>
      <c r="V258" s="173"/>
      <c r="W258" s="78"/>
      <c r="X258" s="78"/>
      <c r="Y258" s="116" t="str">
        <f>IFERROR(ROUND('Informations générales'!$D$66*(AE258/SUM($AE$27:$AE$403))/12,0)*12,"")</f>
        <v/>
      </c>
      <c r="Z258" s="117"/>
      <c r="AA258" s="116" t="str">
        <f t="shared" si="53"/>
        <v/>
      </c>
      <c r="AB258" s="78"/>
      <c r="AC258" s="92"/>
      <c r="AD258" s="78"/>
      <c r="AE258" s="58">
        <f t="shared" si="54"/>
        <v>0</v>
      </c>
      <c r="AF258" s="58">
        <f t="shared" si="43"/>
        <v>0</v>
      </c>
      <c r="AG258" s="58">
        <f t="shared" si="44"/>
        <v>0</v>
      </c>
      <c r="AH258" s="58">
        <f t="shared" si="45"/>
        <v>0</v>
      </c>
      <c r="AI258" s="58">
        <f t="shared" si="46"/>
        <v>0</v>
      </c>
      <c r="AJ258" s="58">
        <f t="shared" si="47"/>
        <v>0</v>
      </c>
      <c r="AK258" s="58">
        <f t="shared" si="48"/>
        <v>0</v>
      </c>
      <c r="AL258" s="58">
        <f t="shared" si="49"/>
        <v>0</v>
      </c>
      <c r="AM258" s="58">
        <f t="shared" si="55"/>
        <v>0</v>
      </c>
      <c r="AN258" s="62">
        <f t="shared" si="56"/>
        <v>0</v>
      </c>
      <c r="AO258" s="61">
        <f t="shared" si="50"/>
        <v>0</v>
      </c>
      <c r="AP258" s="61">
        <f t="shared" si="51"/>
        <v>0</v>
      </c>
    </row>
    <row r="259" spans="3:42" s="17" customFormat="1" x14ac:dyDescent="0.25">
      <c r="C259" s="216" t="s">
        <v>229</v>
      </c>
      <c r="D259" s="217"/>
      <c r="E259" s="90"/>
      <c r="F259" s="198"/>
      <c r="G259" s="214"/>
      <c r="H259" s="199"/>
      <c r="I259" s="78"/>
      <c r="J259" s="79"/>
      <c r="K259" s="78"/>
      <c r="L259" s="113"/>
      <c r="M259" s="155"/>
      <c r="N259" s="114" t="str">
        <f>IFERROR(MIN(VLOOKUP(ROUNDDOWN(M259,0),'Aide calcul'!$B$2:$C$282,2,FALSE),L259+1),"")</f>
        <v/>
      </c>
      <c r="O259" s="115" t="str">
        <f t="shared" si="52"/>
        <v/>
      </c>
      <c r="P259" s="173"/>
      <c r="Q259" s="173"/>
      <c r="R259" s="173"/>
      <c r="S259" s="173"/>
      <c r="T259" s="173"/>
      <c r="U259" s="173"/>
      <c r="V259" s="173"/>
      <c r="W259" s="78"/>
      <c r="X259" s="78"/>
      <c r="Y259" s="116" t="str">
        <f>IFERROR(ROUND('Informations générales'!$D$66*(AE259/SUM($AE$27:$AE$403))/12,0)*12,"")</f>
        <v/>
      </c>
      <c r="Z259" s="117"/>
      <c r="AA259" s="116" t="str">
        <f t="shared" si="53"/>
        <v/>
      </c>
      <c r="AB259" s="78"/>
      <c r="AC259" s="92"/>
      <c r="AD259" s="78"/>
      <c r="AE259" s="58">
        <f t="shared" si="54"/>
        <v>0</v>
      </c>
      <c r="AF259" s="58">
        <f t="shared" si="43"/>
        <v>0</v>
      </c>
      <c r="AG259" s="58">
        <f t="shared" si="44"/>
        <v>0</v>
      </c>
      <c r="AH259" s="58">
        <f t="shared" si="45"/>
        <v>0</v>
      </c>
      <c r="AI259" s="58">
        <f t="shared" si="46"/>
        <v>0</v>
      </c>
      <c r="AJ259" s="58">
        <f t="shared" si="47"/>
        <v>0</v>
      </c>
      <c r="AK259" s="58">
        <f t="shared" si="48"/>
        <v>0</v>
      </c>
      <c r="AL259" s="58">
        <f t="shared" si="49"/>
        <v>0</v>
      </c>
      <c r="AM259" s="58">
        <f t="shared" si="55"/>
        <v>0</v>
      </c>
      <c r="AN259" s="62">
        <f t="shared" si="56"/>
        <v>0</v>
      </c>
      <c r="AO259" s="61">
        <f t="shared" si="50"/>
        <v>0</v>
      </c>
      <c r="AP259" s="61">
        <f t="shared" si="51"/>
        <v>0</v>
      </c>
    </row>
    <row r="260" spans="3:42" s="17" customFormat="1" x14ac:dyDescent="0.25">
      <c r="C260" s="216" t="s">
        <v>229</v>
      </c>
      <c r="D260" s="217"/>
      <c r="E260" s="90"/>
      <c r="F260" s="198"/>
      <c r="G260" s="214"/>
      <c r="H260" s="199"/>
      <c r="I260" s="78"/>
      <c r="J260" s="79"/>
      <c r="K260" s="78"/>
      <c r="L260" s="113"/>
      <c r="M260" s="155"/>
      <c r="N260" s="114" t="str">
        <f>IFERROR(MIN(VLOOKUP(ROUNDDOWN(M260,0),'Aide calcul'!$B$2:$C$282,2,FALSE),L260+1),"")</f>
        <v/>
      </c>
      <c r="O260" s="115" t="str">
        <f t="shared" si="52"/>
        <v/>
      </c>
      <c r="P260" s="173"/>
      <c r="Q260" s="173"/>
      <c r="R260" s="173"/>
      <c r="S260" s="173"/>
      <c r="T260" s="173"/>
      <c r="U260" s="173"/>
      <c r="V260" s="173"/>
      <c r="W260" s="78"/>
      <c r="X260" s="78"/>
      <c r="Y260" s="116" t="str">
        <f>IFERROR(ROUND('Informations générales'!$D$66*(AE260/SUM($AE$27:$AE$403))/12,0)*12,"")</f>
        <v/>
      </c>
      <c r="Z260" s="117"/>
      <c r="AA260" s="116" t="str">
        <f t="shared" si="53"/>
        <v/>
      </c>
      <c r="AB260" s="78"/>
      <c r="AC260" s="92"/>
      <c r="AD260" s="78"/>
      <c r="AE260" s="58">
        <f t="shared" si="54"/>
        <v>0</v>
      </c>
      <c r="AF260" s="58">
        <f t="shared" si="43"/>
        <v>0</v>
      </c>
      <c r="AG260" s="58">
        <f t="shared" si="44"/>
        <v>0</v>
      </c>
      <c r="AH260" s="58">
        <f t="shared" si="45"/>
        <v>0</v>
      </c>
      <c r="AI260" s="58">
        <f t="shared" si="46"/>
        <v>0</v>
      </c>
      <c r="AJ260" s="58">
        <f t="shared" si="47"/>
        <v>0</v>
      </c>
      <c r="AK260" s="58">
        <f t="shared" si="48"/>
        <v>0</v>
      </c>
      <c r="AL260" s="58">
        <f t="shared" si="49"/>
        <v>0</v>
      </c>
      <c r="AM260" s="58">
        <f t="shared" si="55"/>
        <v>0</v>
      </c>
      <c r="AN260" s="62">
        <f t="shared" si="56"/>
        <v>0</v>
      </c>
      <c r="AO260" s="61">
        <f t="shared" si="50"/>
        <v>0</v>
      </c>
      <c r="AP260" s="61">
        <f t="shared" si="51"/>
        <v>0</v>
      </c>
    </row>
    <row r="261" spans="3:42" s="17" customFormat="1" x14ac:dyDescent="0.25">
      <c r="C261" s="216" t="s">
        <v>229</v>
      </c>
      <c r="D261" s="217"/>
      <c r="E261" s="90"/>
      <c r="F261" s="198"/>
      <c r="G261" s="214"/>
      <c r="H261" s="199"/>
      <c r="I261" s="78"/>
      <c r="J261" s="79"/>
      <c r="K261" s="78"/>
      <c r="L261" s="113"/>
      <c r="M261" s="155"/>
      <c r="N261" s="114" t="str">
        <f>IFERROR(MIN(VLOOKUP(ROUNDDOWN(M261,0),'Aide calcul'!$B$2:$C$282,2,FALSE),L261+1),"")</f>
        <v/>
      </c>
      <c r="O261" s="115" t="str">
        <f t="shared" si="52"/>
        <v/>
      </c>
      <c r="P261" s="173"/>
      <c r="Q261" s="173"/>
      <c r="R261" s="173"/>
      <c r="S261" s="173"/>
      <c r="T261" s="173"/>
      <c r="U261" s="173"/>
      <c r="V261" s="173"/>
      <c r="W261" s="78"/>
      <c r="X261" s="78"/>
      <c r="Y261" s="116" t="str">
        <f>IFERROR(ROUND('Informations générales'!$D$66*(AE261/SUM($AE$27:$AE$403))/12,0)*12,"")</f>
        <v/>
      </c>
      <c r="Z261" s="117"/>
      <c r="AA261" s="116" t="str">
        <f t="shared" si="53"/>
        <v/>
      </c>
      <c r="AB261" s="78"/>
      <c r="AC261" s="92"/>
      <c r="AD261" s="78"/>
      <c r="AE261" s="58">
        <f t="shared" si="54"/>
        <v>0</v>
      </c>
      <c r="AF261" s="58">
        <f t="shared" si="43"/>
        <v>0</v>
      </c>
      <c r="AG261" s="58">
        <f t="shared" si="44"/>
        <v>0</v>
      </c>
      <c r="AH261" s="58">
        <f t="shared" si="45"/>
        <v>0</v>
      </c>
      <c r="AI261" s="58">
        <f t="shared" si="46"/>
        <v>0</v>
      </c>
      <c r="AJ261" s="58">
        <f t="shared" si="47"/>
        <v>0</v>
      </c>
      <c r="AK261" s="58">
        <f t="shared" si="48"/>
        <v>0</v>
      </c>
      <c r="AL261" s="58">
        <f t="shared" si="49"/>
        <v>0</v>
      </c>
      <c r="AM261" s="58">
        <f t="shared" si="55"/>
        <v>0</v>
      </c>
      <c r="AN261" s="62">
        <f t="shared" si="56"/>
        <v>0</v>
      </c>
      <c r="AO261" s="61">
        <f t="shared" si="50"/>
        <v>0</v>
      </c>
      <c r="AP261" s="61">
        <f t="shared" si="51"/>
        <v>0</v>
      </c>
    </row>
    <row r="262" spans="3:42" s="17" customFormat="1" x14ac:dyDescent="0.25">
      <c r="C262" s="216" t="s">
        <v>229</v>
      </c>
      <c r="D262" s="217"/>
      <c r="E262" s="90"/>
      <c r="F262" s="198"/>
      <c r="G262" s="214"/>
      <c r="H262" s="199"/>
      <c r="I262" s="78"/>
      <c r="J262" s="79"/>
      <c r="K262" s="78"/>
      <c r="L262" s="113"/>
      <c r="M262" s="155"/>
      <c r="N262" s="114" t="str">
        <f>IFERROR(MIN(VLOOKUP(ROUNDDOWN(M262,0),'Aide calcul'!$B$2:$C$282,2,FALSE),L262+1),"")</f>
        <v/>
      </c>
      <c r="O262" s="115" t="str">
        <f t="shared" si="52"/>
        <v/>
      </c>
      <c r="P262" s="173"/>
      <c r="Q262" s="173"/>
      <c r="R262" s="173"/>
      <c r="S262" s="173"/>
      <c r="T262" s="173"/>
      <c r="U262" s="173"/>
      <c r="V262" s="173"/>
      <c r="W262" s="78"/>
      <c r="X262" s="78"/>
      <c r="Y262" s="116" t="str">
        <f>IFERROR(ROUND('Informations générales'!$D$66*(AE262/SUM($AE$27:$AE$403))/12,0)*12,"")</f>
        <v/>
      </c>
      <c r="Z262" s="117"/>
      <c r="AA262" s="116" t="str">
        <f t="shared" si="53"/>
        <v/>
      </c>
      <c r="AB262" s="78"/>
      <c r="AC262" s="92"/>
      <c r="AD262" s="78"/>
      <c r="AE262" s="58">
        <f t="shared" si="54"/>
        <v>0</v>
      </c>
      <c r="AF262" s="58">
        <f t="shared" si="43"/>
        <v>0</v>
      </c>
      <c r="AG262" s="58">
        <f t="shared" si="44"/>
        <v>0</v>
      </c>
      <c r="AH262" s="58">
        <f t="shared" si="45"/>
        <v>0</v>
      </c>
      <c r="AI262" s="58">
        <f t="shared" si="46"/>
        <v>0</v>
      </c>
      <c r="AJ262" s="58">
        <f t="shared" si="47"/>
        <v>0</v>
      </c>
      <c r="AK262" s="58">
        <f t="shared" si="48"/>
        <v>0</v>
      </c>
      <c r="AL262" s="58">
        <f t="shared" si="49"/>
        <v>0</v>
      </c>
      <c r="AM262" s="58">
        <f t="shared" si="55"/>
        <v>0</v>
      </c>
      <c r="AN262" s="62">
        <f t="shared" si="56"/>
        <v>0</v>
      </c>
      <c r="AO262" s="61">
        <f t="shared" si="50"/>
        <v>0</v>
      </c>
      <c r="AP262" s="61">
        <f t="shared" si="51"/>
        <v>0</v>
      </c>
    </row>
    <row r="263" spans="3:42" s="17" customFormat="1" x14ac:dyDescent="0.25">
      <c r="C263" s="216" t="s">
        <v>229</v>
      </c>
      <c r="D263" s="217"/>
      <c r="E263" s="90"/>
      <c r="F263" s="198"/>
      <c r="G263" s="214"/>
      <c r="H263" s="199"/>
      <c r="I263" s="78"/>
      <c r="J263" s="79"/>
      <c r="K263" s="78"/>
      <c r="L263" s="113"/>
      <c r="M263" s="155"/>
      <c r="N263" s="114" t="str">
        <f>IFERROR(MIN(VLOOKUP(ROUNDDOWN(M263,0),'Aide calcul'!$B$2:$C$282,2,FALSE),L263+1),"")</f>
        <v/>
      </c>
      <c r="O263" s="115" t="str">
        <f t="shared" si="52"/>
        <v/>
      </c>
      <c r="P263" s="173"/>
      <c r="Q263" s="173"/>
      <c r="R263" s="173"/>
      <c r="S263" s="173"/>
      <c r="T263" s="173"/>
      <c r="U263" s="173"/>
      <c r="V263" s="173"/>
      <c r="W263" s="78"/>
      <c r="X263" s="78"/>
      <c r="Y263" s="116" t="str">
        <f>IFERROR(ROUND('Informations générales'!$D$66*(AE263/SUM($AE$27:$AE$403))/12,0)*12,"")</f>
        <v/>
      </c>
      <c r="Z263" s="117"/>
      <c r="AA263" s="116" t="str">
        <f t="shared" si="53"/>
        <v/>
      </c>
      <c r="AB263" s="78"/>
      <c r="AC263" s="92"/>
      <c r="AD263" s="78"/>
      <c r="AE263" s="58">
        <f t="shared" si="54"/>
        <v>0</v>
      </c>
      <c r="AF263" s="58">
        <f t="shared" si="43"/>
        <v>0</v>
      </c>
      <c r="AG263" s="58">
        <f t="shared" si="44"/>
        <v>0</v>
      </c>
      <c r="AH263" s="58">
        <f t="shared" si="45"/>
        <v>0</v>
      </c>
      <c r="AI263" s="58">
        <f t="shared" si="46"/>
        <v>0</v>
      </c>
      <c r="AJ263" s="58">
        <f t="shared" si="47"/>
        <v>0</v>
      </c>
      <c r="AK263" s="58">
        <f t="shared" si="48"/>
        <v>0</v>
      </c>
      <c r="AL263" s="58">
        <f t="shared" si="49"/>
        <v>0</v>
      </c>
      <c r="AM263" s="58">
        <f t="shared" si="55"/>
        <v>0</v>
      </c>
      <c r="AN263" s="62">
        <f t="shared" si="56"/>
        <v>0</v>
      </c>
      <c r="AO263" s="61">
        <f t="shared" si="50"/>
        <v>0</v>
      </c>
      <c r="AP263" s="61">
        <f t="shared" si="51"/>
        <v>0</v>
      </c>
    </row>
    <row r="264" spans="3:42" s="17" customFormat="1" x14ac:dyDescent="0.25">
      <c r="C264" s="216" t="s">
        <v>229</v>
      </c>
      <c r="D264" s="217"/>
      <c r="E264" s="90"/>
      <c r="F264" s="198"/>
      <c r="G264" s="214"/>
      <c r="H264" s="199"/>
      <c r="I264" s="78"/>
      <c r="J264" s="79"/>
      <c r="K264" s="78"/>
      <c r="L264" s="113"/>
      <c r="M264" s="155"/>
      <c r="N264" s="114" t="str">
        <f>IFERROR(MIN(VLOOKUP(ROUNDDOWN(M264,0),'Aide calcul'!$B$2:$C$282,2,FALSE),L264+1),"")</f>
        <v/>
      </c>
      <c r="O264" s="115" t="str">
        <f t="shared" si="52"/>
        <v/>
      </c>
      <c r="P264" s="173"/>
      <c r="Q264" s="173"/>
      <c r="R264" s="173"/>
      <c r="S264" s="173"/>
      <c r="T264" s="173"/>
      <c r="U264" s="173"/>
      <c r="V264" s="173"/>
      <c r="W264" s="78"/>
      <c r="X264" s="78"/>
      <c r="Y264" s="116" t="str">
        <f>IFERROR(ROUND('Informations générales'!$D$66*(AE264/SUM($AE$27:$AE$403))/12,0)*12,"")</f>
        <v/>
      </c>
      <c r="Z264" s="117"/>
      <c r="AA264" s="116" t="str">
        <f t="shared" si="53"/>
        <v/>
      </c>
      <c r="AB264" s="78"/>
      <c r="AC264" s="92"/>
      <c r="AD264" s="78"/>
      <c r="AE264" s="58">
        <f t="shared" si="54"/>
        <v>0</v>
      </c>
      <c r="AF264" s="58">
        <f t="shared" si="43"/>
        <v>0</v>
      </c>
      <c r="AG264" s="58">
        <f t="shared" si="44"/>
        <v>0</v>
      </c>
      <c r="AH264" s="58">
        <f t="shared" si="45"/>
        <v>0</v>
      </c>
      <c r="AI264" s="58">
        <f t="shared" si="46"/>
        <v>0</v>
      </c>
      <c r="AJ264" s="58">
        <f t="shared" si="47"/>
        <v>0</v>
      </c>
      <c r="AK264" s="58">
        <f t="shared" si="48"/>
        <v>0</v>
      </c>
      <c r="AL264" s="58">
        <f t="shared" si="49"/>
        <v>0</v>
      </c>
      <c r="AM264" s="58">
        <f t="shared" si="55"/>
        <v>0</v>
      </c>
      <c r="AN264" s="62">
        <f t="shared" si="56"/>
        <v>0</v>
      </c>
      <c r="AO264" s="61">
        <f t="shared" si="50"/>
        <v>0</v>
      </c>
      <c r="AP264" s="61">
        <f t="shared" si="51"/>
        <v>0</v>
      </c>
    </row>
    <row r="265" spans="3:42" s="17" customFormat="1" x14ac:dyDescent="0.25">
      <c r="C265" s="216" t="s">
        <v>229</v>
      </c>
      <c r="D265" s="217"/>
      <c r="E265" s="90"/>
      <c r="F265" s="198"/>
      <c r="G265" s="214"/>
      <c r="H265" s="199"/>
      <c r="I265" s="78"/>
      <c r="J265" s="79"/>
      <c r="K265" s="78"/>
      <c r="L265" s="113"/>
      <c r="M265" s="155"/>
      <c r="N265" s="114" t="str">
        <f>IFERROR(MIN(VLOOKUP(ROUNDDOWN(M265,0),'Aide calcul'!$B$2:$C$282,2,FALSE),L265+1),"")</f>
        <v/>
      </c>
      <c r="O265" s="115" t="str">
        <f t="shared" si="52"/>
        <v/>
      </c>
      <c r="P265" s="173"/>
      <c r="Q265" s="173"/>
      <c r="R265" s="173"/>
      <c r="S265" s="173"/>
      <c r="T265" s="173"/>
      <c r="U265" s="173"/>
      <c r="V265" s="173"/>
      <c r="W265" s="78"/>
      <c r="X265" s="78"/>
      <c r="Y265" s="116" t="str">
        <f>IFERROR(ROUND('Informations générales'!$D$66*(AE265/SUM($AE$27:$AE$403))/12,0)*12,"")</f>
        <v/>
      </c>
      <c r="Z265" s="117"/>
      <c r="AA265" s="116" t="str">
        <f t="shared" si="53"/>
        <v/>
      </c>
      <c r="AB265" s="78"/>
      <c r="AC265" s="92"/>
      <c r="AD265" s="78"/>
      <c r="AE265" s="58">
        <f t="shared" si="54"/>
        <v>0</v>
      </c>
      <c r="AF265" s="58">
        <f t="shared" si="43"/>
        <v>0</v>
      </c>
      <c r="AG265" s="58">
        <f t="shared" si="44"/>
        <v>0</v>
      </c>
      <c r="AH265" s="58">
        <f t="shared" si="45"/>
        <v>0</v>
      </c>
      <c r="AI265" s="58">
        <f t="shared" si="46"/>
        <v>0</v>
      </c>
      <c r="AJ265" s="58">
        <f t="shared" si="47"/>
        <v>0</v>
      </c>
      <c r="AK265" s="58">
        <f t="shared" si="48"/>
        <v>0</v>
      </c>
      <c r="AL265" s="58">
        <f t="shared" si="49"/>
        <v>0</v>
      </c>
      <c r="AM265" s="58">
        <f t="shared" si="55"/>
        <v>0</v>
      </c>
      <c r="AN265" s="62">
        <f t="shared" si="56"/>
        <v>0</v>
      </c>
      <c r="AO265" s="61">
        <f t="shared" si="50"/>
        <v>0</v>
      </c>
      <c r="AP265" s="61">
        <f t="shared" si="51"/>
        <v>0</v>
      </c>
    </row>
    <row r="266" spans="3:42" s="17" customFormat="1" x14ac:dyDescent="0.25">
      <c r="C266" s="216" t="s">
        <v>229</v>
      </c>
      <c r="D266" s="217"/>
      <c r="E266" s="90"/>
      <c r="F266" s="198"/>
      <c r="G266" s="214"/>
      <c r="H266" s="199"/>
      <c r="I266" s="78"/>
      <c r="J266" s="79"/>
      <c r="K266" s="78"/>
      <c r="L266" s="113"/>
      <c r="M266" s="155"/>
      <c r="N266" s="114" t="str">
        <f>IFERROR(MIN(VLOOKUP(ROUNDDOWN(M266,0),'Aide calcul'!$B$2:$C$282,2,FALSE),L266+1),"")</f>
        <v/>
      </c>
      <c r="O266" s="115" t="str">
        <f t="shared" si="52"/>
        <v/>
      </c>
      <c r="P266" s="173"/>
      <c r="Q266" s="173"/>
      <c r="R266" s="173"/>
      <c r="S266" s="173"/>
      <c r="T266" s="173"/>
      <c r="U266" s="173"/>
      <c r="V266" s="173"/>
      <c r="W266" s="78"/>
      <c r="X266" s="78"/>
      <c r="Y266" s="116" t="str">
        <f>IFERROR(ROUND('Informations générales'!$D$66*(AE266/SUM($AE$27:$AE$403))/12,0)*12,"")</f>
        <v/>
      </c>
      <c r="Z266" s="117"/>
      <c r="AA266" s="116" t="str">
        <f t="shared" si="53"/>
        <v/>
      </c>
      <c r="AB266" s="78"/>
      <c r="AC266" s="92"/>
      <c r="AD266" s="78"/>
      <c r="AE266" s="58">
        <f t="shared" si="54"/>
        <v>0</v>
      </c>
      <c r="AF266" s="58">
        <f t="shared" si="43"/>
        <v>0</v>
      </c>
      <c r="AG266" s="58">
        <f t="shared" si="44"/>
        <v>0</v>
      </c>
      <c r="AH266" s="58">
        <f t="shared" si="45"/>
        <v>0</v>
      </c>
      <c r="AI266" s="58">
        <f t="shared" si="46"/>
        <v>0</v>
      </c>
      <c r="AJ266" s="58">
        <f t="shared" si="47"/>
        <v>0</v>
      </c>
      <c r="AK266" s="58">
        <f t="shared" si="48"/>
        <v>0</v>
      </c>
      <c r="AL266" s="58">
        <f t="shared" si="49"/>
        <v>0</v>
      </c>
      <c r="AM266" s="58">
        <f t="shared" si="55"/>
        <v>0</v>
      </c>
      <c r="AN266" s="62">
        <f t="shared" si="56"/>
        <v>0</v>
      </c>
      <c r="AO266" s="61">
        <f t="shared" si="50"/>
        <v>0</v>
      </c>
      <c r="AP266" s="61">
        <f t="shared" si="51"/>
        <v>0</v>
      </c>
    </row>
    <row r="267" spans="3:42" s="17" customFormat="1" x14ac:dyDescent="0.25">
      <c r="C267" s="216" t="s">
        <v>229</v>
      </c>
      <c r="D267" s="217"/>
      <c r="E267" s="90"/>
      <c r="F267" s="198"/>
      <c r="G267" s="214"/>
      <c r="H267" s="199"/>
      <c r="I267" s="78"/>
      <c r="J267" s="79"/>
      <c r="K267" s="78"/>
      <c r="L267" s="113"/>
      <c r="M267" s="155"/>
      <c r="N267" s="114" t="str">
        <f>IFERROR(MIN(VLOOKUP(ROUNDDOWN(M267,0),'Aide calcul'!$B$2:$C$282,2,FALSE),L267+1),"")</f>
        <v/>
      </c>
      <c r="O267" s="115" t="str">
        <f t="shared" si="52"/>
        <v/>
      </c>
      <c r="P267" s="173"/>
      <c r="Q267" s="173"/>
      <c r="R267" s="173"/>
      <c r="S267" s="173"/>
      <c r="T267" s="173"/>
      <c r="U267" s="173"/>
      <c r="V267" s="173"/>
      <c r="W267" s="78"/>
      <c r="X267" s="78"/>
      <c r="Y267" s="116" t="str">
        <f>IFERROR(ROUND('Informations générales'!$D$66*(AE267/SUM($AE$27:$AE$403))/12,0)*12,"")</f>
        <v/>
      </c>
      <c r="Z267" s="117"/>
      <c r="AA267" s="116" t="str">
        <f t="shared" si="53"/>
        <v/>
      </c>
      <c r="AB267" s="78"/>
      <c r="AC267" s="92"/>
      <c r="AD267" s="78"/>
      <c r="AE267" s="58">
        <f t="shared" si="54"/>
        <v>0</v>
      </c>
      <c r="AF267" s="58">
        <f t="shared" si="43"/>
        <v>0</v>
      </c>
      <c r="AG267" s="58">
        <f t="shared" si="44"/>
        <v>0</v>
      </c>
      <c r="AH267" s="58">
        <f t="shared" si="45"/>
        <v>0</v>
      </c>
      <c r="AI267" s="58">
        <f t="shared" si="46"/>
        <v>0</v>
      </c>
      <c r="AJ267" s="58">
        <f t="shared" si="47"/>
        <v>0</v>
      </c>
      <c r="AK267" s="58">
        <f t="shared" si="48"/>
        <v>0</v>
      </c>
      <c r="AL267" s="58">
        <f t="shared" si="49"/>
        <v>0</v>
      </c>
      <c r="AM267" s="58">
        <f t="shared" si="55"/>
        <v>0</v>
      </c>
      <c r="AN267" s="62">
        <f t="shared" si="56"/>
        <v>0</v>
      </c>
      <c r="AO267" s="61">
        <f t="shared" si="50"/>
        <v>0</v>
      </c>
      <c r="AP267" s="61">
        <f t="shared" si="51"/>
        <v>0</v>
      </c>
    </row>
    <row r="268" spans="3:42" s="17" customFormat="1" x14ac:dyDescent="0.25">
      <c r="C268" s="216" t="s">
        <v>229</v>
      </c>
      <c r="D268" s="217"/>
      <c r="E268" s="90"/>
      <c r="F268" s="198"/>
      <c r="G268" s="214"/>
      <c r="H268" s="199"/>
      <c r="I268" s="78"/>
      <c r="J268" s="79"/>
      <c r="K268" s="78"/>
      <c r="L268" s="113"/>
      <c r="M268" s="155"/>
      <c r="N268" s="114" t="str">
        <f>IFERROR(MIN(VLOOKUP(ROUNDDOWN(M268,0),'Aide calcul'!$B$2:$C$282,2,FALSE),L268+1),"")</f>
        <v/>
      </c>
      <c r="O268" s="115" t="str">
        <f t="shared" si="52"/>
        <v/>
      </c>
      <c r="P268" s="173"/>
      <c r="Q268" s="173"/>
      <c r="R268" s="173"/>
      <c r="S268" s="173"/>
      <c r="T268" s="173"/>
      <c r="U268" s="173"/>
      <c r="V268" s="173"/>
      <c r="W268" s="78"/>
      <c r="X268" s="78"/>
      <c r="Y268" s="116" t="str">
        <f>IFERROR(ROUND('Informations générales'!$D$66*(AE268/SUM($AE$27:$AE$403))/12,0)*12,"")</f>
        <v/>
      </c>
      <c r="Z268" s="117"/>
      <c r="AA268" s="116" t="str">
        <f t="shared" si="53"/>
        <v/>
      </c>
      <c r="AB268" s="78"/>
      <c r="AC268" s="92"/>
      <c r="AD268" s="78"/>
      <c r="AE268" s="58">
        <f t="shared" si="54"/>
        <v>0</v>
      </c>
      <c r="AF268" s="58">
        <f t="shared" si="43"/>
        <v>0</v>
      </c>
      <c r="AG268" s="58">
        <f t="shared" si="44"/>
        <v>0</v>
      </c>
      <c r="AH268" s="58">
        <f t="shared" si="45"/>
        <v>0</v>
      </c>
      <c r="AI268" s="58">
        <f t="shared" si="46"/>
        <v>0</v>
      </c>
      <c r="AJ268" s="58">
        <f t="shared" si="47"/>
        <v>0</v>
      </c>
      <c r="AK268" s="58">
        <f t="shared" si="48"/>
        <v>0</v>
      </c>
      <c r="AL268" s="58">
        <f t="shared" si="49"/>
        <v>0</v>
      </c>
      <c r="AM268" s="58">
        <f t="shared" si="55"/>
        <v>0</v>
      </c>
      <c r="AN268" s="62">
        <f t="shared" si="56"/>
        <v>0</v>
      </c>
      <c r="AO268" s="61">
        <f t="shared" si="50"/>
        <v>0</v>
      </c>
      <c r="AP268" s="61">
        <f t="shared" si="51"/>
        <v>0</v>
      </c>
    </row>
    <row r="269" spans="3:42" s="17" customFormat="1" x14ac:dyDescent="0.25">
      <c r="C269" s="216" t="s">
        <v>229</v>
      </c>
      <c r="D269" s="217"/>
      <c r="E269" s="90"/>
      <c r="F269" s="198"/>
      <c r="G269" s="214"/>
      <c r="H269" s="199"/>
      <c r="I269" s="78"/>
      <c r="J269" s="79"/>
      <c r="K269" s="78"/>
      <c r="L269" s="113"/>
      <c r="M269" s="155"/>
      <c r="N269" s="114" t="str">
        <f>IFERROR(MIN(VLOOKUP(ROUNDDOWN(M269,0),'Aide calcul'!$B$2:$C$282,2,FALSE),L269+1),"")</f>
        <v/>
      </c>
      <c r="O269" s="115" t="str">
        <f t="shared" si="52"/>
        <v/>
      </c>
      <c r="P269" s="173"/>
      <c r="Q269" s="173"/>
      <c r="R269" s="173"/>
      <c r="S269" s="173"/>
      <c r="T269" s="173"/>
      <c r="U269" s="173"/>
      <c r="V269" s="173"/>
      <c r="W269" s="78"/>
      <c r="X269" s="78"/>
      <c r="Y269" s="116" t="str">
        <f>IFERROR(ROUND('Informations générales'!$D$66*(AE269/SUM($AE$27:$AE$403))/12,0)*12,"")</f>
        <v/>
      </c>
      <c r="Z269" s="117"/>
      <c r="AA269" s="116" t="str">
        <f t="shared" si="53"/>
        <v/>
      </c>
      <c r="AB269" s="78"/>
      <c r="AC269" s="92"/>
      <c r="AD269" s="78"/>
      <c r="AE269" s="58">
        <f t="shared" si="54"/>
        <v>0</v>
      </c>
      <c r="AF269" s="58">
        <f t="shared" si="43"/>
        <v>0</v>
      </c>
      <c r="AG269" s="58">
        <f t="shared" si="44"/>
        <v>0</v>
      </c>
      <c r="AH269" s="58">
        <f t="shared" si="45"/>
        <v>0</v>
      </c>
      <c r="AI269" s="58">
        <f t="shared" si="46"/>
        <v>0</v>
      </c>
      <c r="AJ269" s="58">
        <f t="shared" si="47"/>
        <v>0</v>
      </c>
      <c r="AK269" s="58">
        <f t="shared" si="48"/>
        <v>0</v>
      </c>
      <c r="AL269" s="58">
        <f t="shared" si="49"/>
        <v>0</v>
      </c>
      <c r="AM269" s="58">
        <f t="shared" si="55"/>
        <v>0</v>
      </c>
      <c r="AN269" s="62">
        <f t="shared" si="56"/>
        <v>0</v>
      </c>
      <c r="AO269" s="61">
        <f t="shared" si="50"/>
        <v>0</v>
      </c>
      <c r="AP269" s="61">
        <f t="shared" si="51"/>
        <v>0</v>
      </c>
    </row>
    <row r="270" spans="3:42" s="17" customFormat="1" x14ac:dyDescent="0.25">
      <c r="C270" s="216" t="s">
        <v>229</v>
      </c>
      <c r="D270" s="217"/>
      <c r="E270" s="90"/>
      <c r="F270" s="198"/>
      <c r="G270" s="214"/>
      <c r="H270" s="199"/>
      <c r="I270" s="78"/>
      <c r="J270" s="79"/>
      <c r="K270" s="78"/>
      <c r="L270" s="113"/>
      <c r="M270" s="155"/>
      <c r="N270" s="114" t="str">
        <f>IFERROR(MIN(VLOOKUP(ROUNDDOWN(M270,0),'Aide calcul'!$B$2:$C$282,2,FALSE),L270+1),"")</f>
        <v/>
      </c>
      <c r="O270" s="115" t="str">
        <f t="shared" si="52"/>
        <v/>
      </c>
      <c r="P270" s="173"/>
      <c r="Q270" s="173"/>
      <c r="R270" s="173"/>
      <c r="S270" s="173"/>
      <c r="T270" s="173"/>
      <c r="U270" s="173"/>
      <c r="V270" s="173"/>
      <c r="W270" s="78"/>
      <c r="X270" s="78"/>
      <c r="Y270" s="116" t="str">
        <f>IFERROR(ROUND('Informations générales'!$D$66*(AE270/SUM($AE$27:$AE$403))/12,0)*12,"")</f>
        <v/>
      </c>
      <c r="Z270" s="117"/>
      <c r="AA270" s="116" t="str">
        <f t="shared" si="53"/>
        <v/>
      </c>
      <c r="AB270" s="78"/>
      <c r="AC270" s="92"/>
      <c r="AD270" s="78"/>
      <c r="AE270" s="58">
        <f t="shared" si="54"/>
        <v>0</v>
      </c>
      <c r="AF270" s="58">
        <f t="shared" si="43"/>
        <v>0</v>
      </c>
      <c r="AG270" s="58">
        <f t="shared" si="44"/>
        <v>0</v>
      </c>
      <c r="AH270" s="58">
        <f t="shared" si="45"/>
        <v>0</v>
      </c>
      <c r="AI270" s="58">
        <f t="shared" si="46"/>
        <v>0</v>
      </c>
      <c r="AJ270" s="58">
        <f t="shared" si="47"/>
        <v>0</v>
      </c>
      <c r="AK270" s="58">
        <f t="shared" si="48"/>
        <v>0</v>
      </c>
      <c r="AL270" s="58">
        <f t="shared" si="49"/>
        <v>0</v>
      </c>
      <c r="AM270" s="58">
        <f t="shared" si="55"/>
        <v>0</v>
      </c>
      <c r="AN270" s="62">
        <f t="shared" si="56"/>
        <v>0</v>
      </c>
      <c r="AO270" s="61">
        <f t="shared" si="50"/>
        <v>0</v>
      </c>
      <c r="AP270" s="61">
        <f t="shared" si="51"/>
        <v>0</v>
      </c>
    </row>
    <row r="271" spans="3:42" s="17" customFormat="1" x14ac:dyDescent="0.25">
      <c r="C271" s="216" t="s">
        <v>229</v>
      </c>
      <c r="D271" s="217"/>
      <c r="E271" s="90"/>
      <c r="F271" s="198"/>
      <c r="G271" s="214"/>
      <c r="H271" s="199"/>
      <c r="I271" s="78"/>
      <c r="J271" s="79"/>
      <c r="K271" s="78"/>
      <c r="L271" s="113"/>
      <c r="M271" s="155"/>
      <c r="N271" s="114" t="str">
        <f>IFERROR(MIN(VLOOKUP(ROUNDDOWN(M271,0),'Aide calcul'!$B$2:$C$282,2,FALSE),L271+1),"")</f>
        <v/>
      </c>
      <c r="O271" s="115" t="str">
        <f t="shared" si="52"/>
        <v/>
      </c>
      <c r="P271" s="173"/>
      <c r="Q271" s="173"/>
      <c r="R271" s="173"/>
      <c r="S271" s="173"/>
      <c r="T271" s="173"/>
      <c r="U271" s="173"/>
      <c r="V271" s="173"/>
      <c r="W271" s="78"/>
      <c r="X271" s="78"/>
      <c r="Y271" s="116" t="str">
        <f>IFERROR(ROUND('Informations générales'!$D$66*(AE271/SUM($AE$27:$AE$403))/12,0)*12,"")</f>
        <v/>
      </c>
      <c r="Z271" s="117"/>
      <c r="AA271" s="116" t="str">
        <f t="shared" si="53"/>
        <v/>
      </c>
      <c r="AB271" s="78"/>
      <c r="AC271" s="92"/>
      <c r="AD271" s="78"/>
      <c r="AE271" s="58">
        <f t="shared" si="54"/>
        <v>0</v>
      </c>
      <c r="AF271" s="58">
        <f t="shared" si="43"/>
        <v>0</v>
      </c>
      <c r="AG271" s="58">
        <f t="shared" si="44"/>
        <v>0</v>
      </c>
      <c r="AH271" s="58">
        <f t="shared" si="45"/>
        <v>0</v>
      </c>
      <c r="AI271" s="58">
        <f t="shared" si="46"/>
        <v>0</v>
      </c>
      <c r="AJ271" s="58">
        <f t="shared" si="47"/>
        <v>0</v>
      </c>
      <c r="AK271" s="58">
        <f t="shared" si="48"/>
        <v>0</v>
      </c>
      <c r="AL271" s="58">
        <f t="shared" si="49"/>
        <v>0</v>
      </c>
      <c r="AM271" s="58">
        <f t="shared" si="55"/>
        <v>0</v>
      </c>
      <c r="AN271" s="62">
        <f t="shared" si="56"/>
        <v>0</v>
      </c>
      <c r="AO271" s="61">
        <f t="shared" si="50"/>
        <v>0</v>
      </c>
      <c r="AP271" s="61">
        <f t="shared" si="51"/>
        <v>0</v>
      </c>
    </row>
    <row r="272" spans="3:42" s="17" customFormat="1" x14ac:dyDescent="0.25">
      <c r="C272" s="216" t="s">
        <v>229</v>
      </c>
      <c r="D272" s="217"/>
      <c r="E272" s="90"/>
      <c r="F272" s="198"/>
      <c r="G272" s="214"/>
      <c r="H272" s="199"/>
      <c r="I272" s="78"/>
      <c r="J272" s="79"/>
      <c r="K272" s="78"/>
      <c r="L272" s="113"/>
      <c r="M272" s="155"/>
      <c r="N272" s="114" t="str">
        <f>IFERROR(MIN(VLOOKUP(ROUNDDOWN(M272,0),'Aide calcul'!$B$2:$C$282,2,FALSE),L272+1),"")</f>
        <v/>
      </c>
      <c r="O272" s="115" t="str">
        <f t="shared" si="52"/>
        <v/>
      </c>
      <c r="P272" s="173"/>
      <c r="Q272" s="173"/>
      <c r="R272" s="173"/>
      <c r="S272" s="173"/>
      <c r="T272" s="173"/>
      <c r="U272" s="173"/>
      <c r="V272" s="173"/>
      <c r="W272" s="78"/>
      <c r="X272" s="78"/>
      <c r="Y272" s="116" t="str">
        <f>IFERROR(ROUND('Informations générales'!$D$66*(AE272/SUM($AE$27:$AE$403))/12,0)*12,"")</f>
        <v/>
      </c>
      <c r="Z272" s="117"/>
      <c r="AA272" s="116" t="str">
        <f t="shared" si="53"/>
        <v/>
      </c>
      <c r="AB272" s="78"/>
      <c r="AC272" s="92"/>
      <c r="AD272" s="78"/>
      <c r="AE272" s="58">
        <f t="shared" si="54"/>
        <v>0</v>
      </c>
      <c r="AF272" s="58">
        <f t="shared" si="43"/>
        <v>0</v>
      </c>
      <c r="AG272" s="58">
        <f t="shared" si="44"/>
        <v>0</v>
      </c>
      <c r="AH272" s="58">
        <f t="shared" si="45"/>
        <v>0</v>
      </c>
      <c r="AI272" s="58">
        <f t="shared" si="46"/>
        <v>0</v>
      </c>
      <c r="AJ272" s="58">
        <f t="shared" si="47"/>
        <v>0</v>
      </c>
      <c r="AK272" s="58">
        <f t="shared" si="48"/>
        <v>0</v>
      </c>
      <c r="AL272" s="58">
        <f t="shared" si="49"/>
        <v>0</v>
      </c>
      <c r="AM272" s="58">
        <f t="shared" si="55"/>
        <v>0</v>
      </c>
      <c r="AN272" s="62">
        <f t="shared" si="56"/>
        <v>0</v>
      </c>
      <c r="AO272" s="61">
        <f t="shared" si="50"/>
        <v>0</v>
      </c>
      <c r="AP272" s="61">
        <f t="shared" si="51"/>
        <v>0</v>
      </c>
    </row>
    <row r="273" spans="3:42" s="17" customFormat="1" x14ac:dyDescent="0.25">
      <c r="C273" s="216" t="s">
        <v>229</v>
      </c>
      <c r="D273" s="217"/>
      <c r="E273" s="90"/>
      <c r="F273" s="198"/>
      <c r="G273" s="214"/>
      <c r="H273" s="199"/>
      <c r="I273" s="78"/>
      <c r="J273" s="79"/>
      <c r="K273" s="78"/>
      <c r="L273" s="113"/>
      <c r="M273" s="155"/>
      <c r="N273" s="114" t="str">
        <f>IFERROR(MIN(VLOOKUP(ROUNDDOWN(M273,0),'Aide calcul'!$B$2:$C$282,2,FALSE),L273+1),"")</f>
        <v/>
      </c>
      <c r="O273" s="115" t="str">
        <f t="shared" si="52"/>
        <v/>
      </c>
      <c r="P273" s="173"/>
      <c r="Q273" s="173"/>
      <c r="R273" s="173"/>
      <c r="S273" s="173"/>
      <c r="T273" s="173"/>
      <c r="U273" s="173"/>
      <c r="V273" s="173"/>
      <c r="W273" s="78"/>
      <c r="X273" s="78"/>
      <c r="Y273" s="116" t="str">
        <f>IFERROR(ROUND('Informations générales'!$D$66*(AE273/SUM($AE$27:$AE$403))/12,0)*12,"")</f>
        <v/>
      </c>
      <c r="Z273" s="117"/>
      <c r="AA273" s="116" t="str">
        <f t="shared" si="53"/>
        <v/>
      </c>
      <c r="AB273" s="78"/>
      <c r="AC273" s="92"/>
      <c r="AD273" s="78"/>
      <c r="AE273" s="58">
        <f t="shared" si="54"/>
        <v>0</v>
      </c>
      <c r="AF273" s="58">
        <f t="shared" si="43"/>
        <v>0</v>
      </c>
      <c r="AG273" s="58">
        <f t="shared" si="44"/>
        <v>0</v>
      </c>
      <c r="AH273" s="58">
        <f t="shared" si="45"/>
        <v>0</v>
      </c>
      <c r="AI273" s="58">
        <f t="shared" si="46"/>
        <v>0</v>
      </c>
      <c r="AJ273" s="58">
        <f t="shared" si="47"/>
        <v>0</v>
      </c>
      <c r="AK273" s="58">
        <f t="shared" si="48"/>
        <v>0</v>
      </c>
      <c r="AL273" s="58">
        <f t="shared" si="49"/>
        <v>0</v>
      </c>
      <c r="AM273" s="58">
        <f t="shared" si="55"/>
        <v>0</v>
      </c>
      <c r="AN273" s="62">
        <f t="shared" si="56"/>
        <v>0</v>
      </c>
      <c r="AO273" s="61">
        <f t="shared" si="50"/>
        <v>0</v>
      </c>
      <c r="AP273" s="61">
        <f t="shared" si="51"/>
        <v>0</v>
      </c>
    </row>
    <row r="274" spans="3:42" s="17" customFormat="1" x14ac:dyDescent="0.25">
      <c r="C274" s="216" t="s">
        <v>229</v>
      </c>
      <c r="D274" s="217"/>
      <c r="E274" s="90"/>
      <c r="F274" s="198"/>
      <c r="G274" s="214"/>
      <c r="H274" s="199"/>
      <c r="I274" s="78"/>
      <c r="J274" s="79"/>
      <c r="K274" s="78"/>
      <c r="L274" s="113"/>
      <c r="M274" s="155"/>
      <c r="N274" s="114" t="str">
        <f>IFERROR(MIN(VLOOKUP(ROUNDDOWN(M274,0),'Aide calcul'!$B$2:$C$282,2,FALSE),L274+1),"")</f>
        <v/>
      </c>
      <c r="O274" s="115" t="str">
        <f t="shared" si="52"/>
        <v/>
      </c>
      <c r="P274" s="173"/>
      <c r="Q274" s="173"/>
      <c r="R274" s="173"/>
      <c r="S274" s="173"/>
      <c r="T274" s="173"/>
      <c r="U274" s="173"/>
      <c r="V274" s="173"/>
      <c r="W274" s="78"/>
      <c r="X274" s="78"/>
      <c r="Y274" s="116" t="str">
        <f>IFERROR(ROUND('Informations générales'!$D$66*(AE274/SUM($AE$27:$AE$403))/12,0)*12,"")</f>
        <v/>
      </c>
      <c r="Z274" s="117"/>
      <c r="AA274" s="116" t="str">
        <f t="shared" si="53"/>
        <v/>
      </c>
      <c r="AB274" s="78"/>
      <c r="AC274" s="92"/>
      <c r="AD274" s="78"/>
      <c r="AE274" s="58">
        <f t="shared" si="54"/>
        <v>0</v>
      </c>
      <c r="AF274" s="58">
        <f t="shared" si="43"/>
        <v>0</v>
      </c>
      <c r="AG274" s="58">
        <f t="shared" si="44"/>
        <v>0</v>
      </c>
      <c r="AH274" s="58">
        <f t="shared" si="45"/>
        <v>0</v>
      </c>
      <c r="AI274" s="58">
        <f t="shared" si="46"/>
        <v>0</v>
      </c>
      <c r="AJ274" s="58">
        <f t="shared" si="47"/>
        <v>0</v>
      </c>
      <c r="AK274" s="58">
        <f t="shared" si="48"/>
        <v>0</v>
      </c>
      <c r="AL274" s="58">
        <f t="shared" si="49"/>
        <v>0</v>
      </c>
      <c r="AM274" s="58">
        <f t="shared" si="55"/>
        <v>0</v>
      </c>
      <c r="AN274" s="62">
        <f t="shared" si="56"/>
        <v>0</v>
      </c>
      <c r="AO274" s="61">
        <f t="shared" si="50"/>
        <v>0</v>
      </c>
      <c r="AP274" s="61">
        <f t="shared" si="51"/>
        <v>0</v>
      </c>
    </row>
    <row r="275" spans="3:42" s="17" customFormat="1" x14ac:dyDescent="0.25">
      <c r="C275" s="216" t="s">
        <v>229</v>
      </c>
      <c r="D275" s="217"/>
      <c r="E275" s="90"/>
      <c r="F275" s="198"/>
      <c r="G275" s="214"/>
      <c r="H275" s="199"/>
      <c r="I275" s="78"/>
      <c r="J275" s="79"/>
      <c r="K275" s="78"/>
      <c r="L275" s="113"/>
      <c r="M275" s="155"/>
      <c r="N275" s="114" t="str">
        <f>IFERROR(MIN(VLOOKUP(ROUNDDOWN(M275,0),'Aide calcul'!$B$2:$C$282,2,FALSE),L275+1),"")</f>
        <v/>
      </c>
      <c r="O275" s="115" t="str">
        <f t="shared" si="52"/>
        <v/>
      </c>
      <c r="P275" s="173"/>
      <c r="Q275" s="173"/>
      <c r="R275" s="173"/>
      <c r="S275" s="173"/>
      <c r="T275" s="173"/>
      <c r="U275" s="173"/>
      <c r="V275" s="173"/>
      <c r="W275" s="78"/>
      <c r="X275" s="78"/>
      <c r="Y275" s="116" t="str">
        <f>IFERROR(ROUND('Informations générales'!$D$66*(AE275/SUM($AE$27:$AE$403))/12,0)*12,"")</f>
        <v/>
      </c>
      <c r="Z275" s="117"/>
      <c r="AA275" s="116" t="str">
        <f t="shared" si="53"/>
        <v/>
      </c>
      <c r="AB275" s="78"/>
      <c r="AC275" s="92"/>
      <c r="AD275" s="78"/>
      <c r="AE275" s="58">
        <f t="shared" si="54"/>
        <v>0</v>
      </c>
      <c r="AF275" s="58">
        <f t="shared" si="43"/>
        <v>0</v>
      </c>
      <c r="AG275" s="58">
        <f t="shared" si="44"/>
        <v>0</v>
      </c>
      <c r="AH275" s="58">
        <f t="shared" si="45"/>
        <v>0</v>
      </c>
      <c r="AI275" s="58">
        <f t="shared" si="46"/>
        <v>0</v>
      </c>
      <c r="AJ275" s="58">
        <f t="shared" si="47"/>
        <v>0</v>
      </c>
      <c r="AK275" s="58">
        <f t="shared" si="48"/>
        <v>0</v>
      </c>
      <c r="AL275" s="58">
        <f t="shared" si="49"/>
        <v>0</v>
      </c>
      <c r="AM275" s="58">
        <f t="shared" si="55"/>
        <v>0</v>
      </c>
      <c r="AN275" s="62">
        <f t="shared" si="56"/>
        <v>0</v>
      </c>
      <c r="AO275" s="61">
        <f t="shared" si="50"/>
        <v>0</v>
      </c>
      <c r="AP275" s="61">
        <f t="shared" si="51"/>
        <v>0</v>
      </c>
    </row>
    <row r="276" spans="3:42" s="17" customFormat="1" x14ac:dyDescent="0.25">
      <c r="C276" s="216" t="s">
        <v>229</v>
      </c>
      <c r="D276" s="217"/>
      <c r="E276" s="90"/>
      <c r="F276" s="198"/>
      <c r="G276" s="214"/>
      <c r="H276" s="199"/>
      <c r="I276" s="78"/>
      <c r="J276" s="79"/>
      <c r="K276" s="78"/>
      <c r="L276" s="113"/>
      <c r="M276" s="155"/>
      <c r="N276" s="114" t="str">
        <f>IFERROR(MIN(VLOOKUP(ROUNDDOWN(M276,0),'Aide calcul'!$B$2:$C$282,2,FALSE),L276+1),"")</f>
        <v/>
      </c>
      <c r="O276" s="115" t="str">
        <f t="shared" si="52"/>
        <v/>
      </c>
      <c r="P276" s="173"/>
      <c r="Q276" s="173"/>
      <c r="R276" s="173"/>
      <c r="S276" s="173"/>
      <c r="T276" s="173"/>
      <c r="U276" s="173"/>
      <c r="V276" s="173"/>
      <c r="W276" s="78"/>
      <c r="X276" s="78"/>
      <c r="Y276" s="116" t="str">
        <f>IFERROR(ROUND('Informations générales'!$D$66*(AE276/SUM($AE$27:$AE$403))/12,0)*12,"")</f>
        <v/>
      </c>
      <c r="Z276" s="117"/>
      <c r="AA276" s="116" t="str">
        <f t="shared" si="53"/>
        <v/>
      </c>
      <c r="AB276" s="78"/>
      <c r="AC276" s="92"/>
      <c r="AD276" s="78"/>
      <c r="AE276" s="58">
        <f t="shared" si="54"/>
        <v>0</v>
      </c>
      <c r="AF276" s="58">
        <f t="shared" si="43"/>
        <v>0</v>
      </c>
      <c r="AG276" s="58">
        <f t="shared" si="44"/>
        <v>0</v>
      </c>
      <c r="AH276" s="58">
        <f t="shared" si="45"/>
        <v>0</v>
      </c>
      <c r="AI276" s="58">
        <f t="shared" si="46"/>
        <v>0</v>
      </c>
      <c r="AJ276" s="58">
        <f t="shared" si="47"/>
        <v>0</v>
      </c>
      <c r="AK276" s="58">
        <f t="shared" si="48"/>
        <v>0</v>
      </c>
      <c r="AL276" s="58">
        <f t="shared" si="49"/>
        <v>0</v>
      </c>
      <c r="AM276" s="58">
        <f t="shared" si="55"/>
        <v>0</v>
      </c>
      <c r="AN276" s="62">
        <f t="shared" si="56"/>
        <v>0</v>
      </c>
      <c r="AO276" s="61">
        <f t="shared" si="50"/>
        <v>0</v>
      </c>
      <c r="AP276" s="61">
        <f t="shared" si="51"/>
        <v>0</v>
      </c>
    </row>
    <row r="277" spans="3:42" s="17" customFormat="1" x14ac:dyDescent="0.25">
      <c r="C277" s="216" t="s">
        <v>229</v>
      </c>
      <c r="D277" s="217"/>
      <c r="E277" s="90"/>
      <c r="F277" s="198"/>
      <c r="G277" s="214"/>
      <c r="H277" s="199"/>
      <c r="I277" s="78"/>
      <c r="J277" s="79"/>
      <c r="K277" s="78"/>
      <c r="L277" s="113"/>
      <c r="M277" s="155"/>
      <c r="N277" s="114" t="str">
        <f>IFERROR(MIN(VLOOKUP(ROUNDDOWN(M277,0),'Aide calcul'!$B$2:$C$282,2,FALSE),L277+1),"")</f>
        <v/>
      </c>
      <c r="O277" s="115" t="str">
        <f t="shared" si="52"/>
        <v/>
      </c>
      <c r="P277" s="173"/>
      <c r="Q277" s="173"/>
      <c r="R277" s="173"/>
      <c r="S277" s="173"/>
      <c r="T277" s="173"/>
      <c r="U277" s="173"/>
      <c r="V277" s="173"/>
      <c r="W277" s="78"/>
      <c r="X277" s="78"/>
      <c r="Y277" s="116" t="str">
        <f>IFERROR(ROUND('Informations générales'!$D$66*(AE277/SUM($AE$27:$AE$403))/12,0)*12,"")</f>
        <v/>
      </c>
      <c r="Z277" s="117"/>
      <c r="AA277" s="116" t="str">
        <f t="shared" si="53"/>
        <v/>
      </c>
      <c r="AB277" s="78"/>
      <c r="AC277" s="92"/>
      <c r="AD277" s="78"/>
      <c r="AE277" s="58">
        <f t="shared" si="54"/>
        <v>0</v>
      </c>
      <c r="AF277" s="58">
        <f t="shared" si="43"/>
        <v>0</v>
      </c>
      <c r="AG277" s="58">
        <f t="shared" si="44"/>
        <v>0</v>
      </c>
      <c r="AH277" s="58">
        <f t="shared" si="45"/>
        <v>0</v>
      </c>
      <c r="AI277" s="58">
        <f t="shared" si="46"/>
        <v>0</v>
      </c>
      <c r="AJ277" s="58">
        <f t="shared" si="47"/>
        <v>0</v>
      </c>
      <c r="AK277" s="58">
        <f t="shared" si="48"/>
        <v>0</v>
      </c>
      <c r="AL277" s="58">
        <f t="shared" si="49"/>
        <v>0</v>
      </c>
      <c r="AM277" s="58">
        <f t="shared" si="55"/>
        <v>0</v>
      </c>
      <c r="AN277" s="62">
        <f t="shared" si="56"/>
        <v>0</v>
      </c>
      <c r="AO277" s="61">
        <f t="shared" si="50"/>
        <v>0</v>
      </c>
      <c r="AP277" s="61">
        <f t="shared" si="51"/>
        <v>0</v>
      </c>
    </row>
    <row r="278" spans="3:42" s="17" customFormat="1" x14ac:dyDescent="0.25">
      <c r="C278" s="216" t="s">
        <v>229</v>
      </c>
      <c r="D278" s="217"/>
      <c r="E278" s="90"/>
      <c r="F278" s="198"/>
      <c r="G278" s="214"/>
      <c r="H278" s="199"/>
      <c r="I278" s="78"/>
      <c r="J278" s="79"/>
      <c r="K278" s="78"/>
      <c r="L278" s="113"/>
      <c r="M278" s="155"/>
      <c r="N278" s="114" t="str">
        <f>IFERROR(MIN(VLOOKUP(ROUNDDOWN(M278,0),'Aide calcul'!$B$2:$C$282,2,FALSE),L278+1),"")</f>
        <v/>
      </c>
      <c r="O278" s="115" t="str">
        <f t="shared" si="52"/>
        <v/>
      </c>
      <c r="P278" s="173"/>
      <c r="Q278" s="173"/>
      <c r="R278" s="173"/>
      <c r="S278" s="173"/>
      <c r="T278" s="173"/>
      <c r="U278" s="173"/>
      <c r="V278" s="173"/>
      <c r="W278" s="78"/>
      <c r="X278" s="78"/>
      <c r="Y278" s="116" t="str">
        <f>IFERROR(ROUND('Informations générales'!$D$66*(AE278/SUM($AE$27:$AE$403))/12,0)*12,"")</f>
        <v/>
      </c>
      <c r="Z278" s="117"/>
      <c r="AA278" s="116" t="str">
        <f t="shared" si="53"/>
        <v/>
      </c>
      <c r="AB278" s="78"/>
      <c r="AC278" s="92"/>
      <c r="AD278" s="78"/>
      <c r="AE278" s="58">
        <f t="shared" si="54"/>
        <v>0</v>
      </c>
      <c r="AF278" s="58">
        <f t="shared" si="43"/>
        <v>0</v>
      </c>
      <c r="AG278" s="58">
        <f t="shared" si="44"/>
        <v>0</v>
      </c>
      <c r="AH278" s="58">
        <f t="shared" si="45"/>
        <v>0</v>
      </c>
      <c r="AI278" s="58">
        <f t="shared" si="46"/>
        <v>0</v>
      </c>
      <c r="AJ278" s="58">
        <f t="shared" si="47"/>
        <v>0</v>
      </c>
      <c r="AK278" s="58">
        <f t="shared" si="48"/>
        <v>0</v>
      </c>
      <c r="AL278" s="58">
        <f t="shared" si="49"/>
        <v>0</v>
      </c>
      <c r="AM278" s="58">
        <f t="shared" si="55"/>
        <v>0</v>
      </c>
      <c r="AN278" s="62">
        <f t="shared" si="56"/>
        <v>0</v>
      </c>
      <c r="AO278" s="61">
        <f t="shared" si="50"/>
        <v>0</v>
      </c>
      <c r="AP278" s="61">
        <f t="shared" si="51"/>
        <v>0</v>
      </c>
    </row>
    <row r="279" spans="3:42" s="17" customFormat="1" x14ac:dyDescent="0.25">
      <c r="C279" s="216" t="s">
        <v>229</v>
      </c>
      <c r="D279" s="217"/>
      <c r="E279" s="90"/>
      <c r="F279" s="198"/>
      <c r="G279" s="214"/>
      <c r="H279" s="199"/>
      <c r="I279" s="78"/>
      <c r="J279" s="79"/>
      <c r="K279" s="78"/>
      <c r="L279" s="113"/>
      <c r="M279" s="155"/>
      <c r="N279" s="114" t="str">
        <f>IFERROR(MIN(VLOOKUP(ROUNDDOWN(M279,0),'Aide calcul'!$B$2:$C$282,2,FALSE),L279+1),"")</f>
        <v/>
      </c>
      <c r="O279" s="115" t="str">
        <f t="shared" si="52"/>
        <v/>
      </c>
      <c r="P279" s="173"/>
      <c r="Q279" s="173"/>
      <c r="R279" s="173"/>
      <c r="S279" s="173"/>
      <c r="T279" s="173"/>
      <c r="U279" s="173"/>
      <c r="V279" s="173"/>
      <c r="W279" s="78"/>
      <c r="X279" s="78"/>
      <c r="Y279" s="116" t="str">
        <f>IFERROR(ROUND('Informations générales'!$D$66*(AE279/SUM($AE$27:$AE$403))/12,0)*12,"")</f>
        <v/>
      </c>
      <c r="Z279" s="117"/>
      <c r="AA279" s="116" t="str">
        <f t="shared" si="53"/>
        <v/>
      </c>
      <c r="AB279" s="78"/>
      <c r="AC279" s="92"/>
      <c r="AD279" s="78"/>
      <c r="AE279" s="58">
        <f t="shared" si="54"/>
        <v>0</v>
      </c>
      <c r="AF279" s="58">
        <f t="shared" si="43"/>
        <v>0</v>
      </c>
      <c r="AG279" s="58">
        <f t="shared" si="44"/>
        <v>0</v>
      </c>
      <c r="AH279" s="58">
        <f t="shared" si="45"/>
        <v>0</v>
      </c>
      <c r="AI279" s="58">
        <f t="shared" si="46"/>
        <v>0</v>
      </c>
      <c r="AJ279" s="58">
        <f t="shared" si="47"/>
        <v>0</v>
      </c>
      <c r="AK279" s="58">
        <f t="shared" si="48"/>
        <v>0</v>
      </c>
      <c r="AL279" s="58">
        <f t="shared" si="49"/>
        <v>0</v>
      </c>
      <c r="AM279" s="58">
        <f t="shared" si="55"/>
        <v>0</v>
      </c>
      <c r="AN279" s="62">
        <f t="shared" si="56"/>
        <v>0</v>
      </c>
      <c r="AO279" s="61">
        <f t="shared" si="50"/>
        <v>0</v>
      </c>
      <c r="AP279" s="61">
        <f t="shared" si="51"/>
        <v>0</v>
      </c>
    </row>
    <row r="280" spans="3:42" s="17" customFormat="1" x14ac:dyDescent="0.25">
      <c r="C280" s="216" t="s">
        <v>229</v>
      </c>
      <c r="D280" s="217"/>
      <c r="E280" s="90"/>
      <c r="F280" s="198"/>
      <c r="G280" s="214"/>
      <c r="H280" s="199"/>
      <c r="I280" s="78"/>
      <c r="J280" s="79"/>
      <c r="K280" s="78"/>
      <c r="L280" s="113"/>
      <c r="M280" s="155"/>
      <c r="N280" s="114" t="str">
        <f>IFERROR(MIN(VLOOKUP(ROUNDDOWN(M280,0),'Aide calcul'!$B$2:$C$282,2,FALSE),L280+1),"")</f>
        <v/>
      </c>
      <c r="O280" s="115" t="str">
        <f t="shared" si="52"/>
        <v/>
      </c>
      <c r="P280" s="173"/>
      <c r="Q280" s="173"/>
      <c r="R280" s="173"/>
      <c r="S280" s="173"/>
      <c r="T280" s="173"/>
      <c r="U280" s="173"/>
      <c r="V280" s="173"/>
      <c r="W280" s="78"/>
      <c r="X280" s="78"/>
      <c r="Y280" s="116" t="str">
        <f>IFERROR(ROUND('Informations générales'!$D$66*(AE280/SUM($AE$27:$AE$403))/12,0)*12,"")</f>
        <v/>
      </c>
      <c r="Z280" s="117"/>
      <c r="AA280" s="116" t="str">
        <f t="shared" si="53"/>
        <v/>
      </c>
      <c r="AB280" s="78"/>
      <c r="AC280" s="92"/>
      <c r="AD280" s="78"/>
      <c r="AE280" s="58">
        <f t="shared" si="54"/>
        <v>0</v>
      </c>
      <c r="AF280" s="58">
        <f t="shared" si="43"/>
        <v>0</v>
      </c>
      <c r="AG280" s="58">
        <f t="shared" si="44"/>
        <v>0</v>
      </c>
      <c r="AH280" s="58">
        <f t="shared" si="45"/>
        <v>0</v>
      </c>
      <c r="AI280" s="58">
        <f t="shared" si="46"/>
        <v>0</v>
      </c>
      <c r="AJ280" s="58">
        <f t="shared" si="47"/>
        <v>0</v>
      </c>
      <c r="AK280" s="58">
        <f t="shared" si="48"/>
        <v>0</v>
      </c>
      <c r="AL280" s="58">
        <f t="shared" si="49"/>
        <v>0</v>
      </c>
      <c r="AM280" s="58">
        <f t="shared" si="55"/>
        <v>0</v>
      </c>
      <c r="AN280" s="62">
        <f t="shared" si="56"/>
        <v>0</v>
      </c>
      <c r="AO280" s="61">
        <f t="shared" si="50"/>
        <v>0</v>
      </c>
      <c r="AP280" s="61">
        <f t="shared" si="51"/>
        <v>0</v>
      </c>
    </row>
    <row r="281" spans="3:42" s="17" customFormat="1" x14ac:dyDescent="0.25">
      <c r="C281" s="216" t="s">
        <v>229</v>
      </c>
      <c r="D281" s="217"/>
      <c r="E281" s="90"/>
      <c r="F281" s="198"/>
      <c r="G281" s="214"/>
      <c r="H281" s="199"/>
      <c r="I281" s="78"/>
      <c r="J281" s="79"/>
      <c r="K281" s="78"/>
      <c r="L281" s="113"/>
      <c r="M281" s="155"/>
      <c r="N281" s="114" t="str">
        <f>IFERROR(MIN(VLOOKUP(ROUNDDOWN(M281,0),'Aide calcul'!$B$2:$C$282,2,FALSE),L281+1),"")</f>
        <v/>
      </c>
      <c r="O281" s="115" t="str">
        <f t="shared" si="52"/>
        <v/>
      </c>
      <c r="P281" s="173"/>
      <c r="Q281" s="173"/>
      <c r="R281" s="173"/>
      <c r="S281" s="173"/>
      <c r="T281" s="173"/>
      <c r="U281" s="173"/>
      <c r="V281" s="173"/>
      <c r="W281" s="78"/>
      <c r="X281" s="78"/>
      <c r="Y281" s="116" t="str">
        <f>IFERROR(ROUND('Informations générales'!$D$66*(AE281/SUM($AE$27:$AE$403))/12,0)*12,"")</f>
        <v/>
      </c>
      <c r="Z281" s="117"/>
      <c r="AA281" s="116" t="str">
        <f t="shared" si="53"/>
        <v/>
      </c>
      <c r="AB281" s="78"/>
      <c r="AC281" s="92"/>
      <c r="AD281" s="78"/>
      <c r="AE281" s="58">
        <f t="shared" si="54"/>
        <v>0</v>
      </c>
      <c r="AF281" s="58">
        <f t="shared" si="43"/>
        <v>0</v>
      </c>
      <c r="AG281" s="58">
        <f t="shared" si="44"/>
        <v>0</v>
      </c>
      <c r="AH281" s="58">
        <f t="shared" si="45"/>
        <v>0</v>
      </c>
      <c r="AI281" s="58">
        <f t="shared" si="46"/>
        <v>0</v>
      </c>
      <c r="AJ281" s="58">
        <f t="shared" si="47"/>
        <v>0</v>
      </c>
      <c r="AK281" s="58">
        <f t="shared" si="48"/>
        <v>0</v>
      </c>
      <c r="AL281" s="58">
        <f t="shared" si="49"/>
        <v>0</v>
      </c>
      <c r="AM281" s="58">
        <f t="shared" si="55"/>
        <v>0</v>
      </c>
      <c r="AN281" s="62">
        <f t="shared" si="56"/>
        <v>0</v>
      </c>
      <c r="AO281" s="61">
        <f t="shared" si="50"/>
        <v>0</v>
      </c>
      <c r="AP281" s="61">
        <f t="shared" si="51"/>
        <v>0</v>
      </c>
    </row>
    <row r="282" spans="3:42" s="17" customFormat="1" x14ac:dyDescent="0.25">
      <c r="C282" s="216" t="s">
        <v>229</v>
      </c>
      <c r="D282" s="217"/>
      <c r="E282" s="90"/>
      <c r="F282" s="198"/>
      <c r="G282" s="214"/>
      <c r="H282" s="199"/>
      <c r="I282" s="78"/>
      <c r="J282" s="79"/>
      <c r="K282" s="78"/>
      <c r="L282" s="113"/>
      <c r="M282" s="155"/>
      <c r="N282" s="114" t="str">
        <f>IFERROR(MIN(VLOOKUP(ROUNDDOWN(M282,0),'Aide calcul'!$B$2:$C$282,2,FALSE),L282+1),"")</f>
        <v/>
      </c>
      <c r="O282" s="115" t="str">
        <f t="shared" si="52"/>
        <v/>
      </c>
      <c r="P282" s="173"/>
      <c r="Q282" s="173"/>
      <c r="R282" s="173"/>
      <c r="S282" s="173"/>
      <c r="T282" s="173"/>
      <c r="U282" s="173"/>
      <c r="V282" s="173"/>
      <c r="W282" s="78"/>
      <c r="X282" s="78"/>
      <c r="Y282" s="116" t="str">
        <f>IFERROR(ROUND('Informations générales'!$D$66*(AE282/SUM($AE$27:$AE$403))/12,0)*12,"")</f>
        <v/>
      </c>
      <c r="Z282" s="117"/>
      <c r="AA282" s="116" t="str">
        <f t="shared" si="53"/>
        <v/>
      </c>
      <c r="AB282" s="78"/>
      <c r="AC282" s="92"/>
      <c r="AD282" s="78"/>
      <c r="AE282" s="58">
        <f t="shared" si="54"/>
        <v>0</v>
      </c>
      <c r="AF282" s="58">
        <f t="shared" si="43"/>
        <v>0</v>
      </c>
      <c r="AG282" s="58">
        <f t="shared" si="44"/>
        <v>0</v>
      </c>
      <c r="AH282" s="58">
        <f t="shared" si="45"/>
        <v>0</v>
      </c>
      <c r="AI282" s="58">
        <f t="shared" si="46"/>
        <v>0</v>
      </c>
      <c r="AJ282" s="58">
        <f t="shared" si="47"/>
        <v>0</v>
      </c>
      <c r="AK282" s="58">
        <f t="shared" si="48"/>
        <v>0</v>
      </c>
      <c r="AL282" s="58">
        <f t="shared" si="49"/>
        <v>0</v>
      </c>
      <c r="AM282" s="58">
        <f t="shared" si="55"/>
        <v>0</v>
      </c>
      <c r="AN282" s="62">
        <f t="shared" si="56"/>
        <v>0</v>
      </c>
      <c r="AO282" s="61">
        <f t="shared" si="50"/>
        <v>0</v>
      </c>
      <c r="AP282" s="61">
        <f t="shared" si="51"/>
        <v>0</v>
      </c>
    </row>
    <row r="283" spans="3:42" s="17" customFormat="1" x14ac:dyDescent="0.25">
      <c r="C283" s="216" t="s">
        <v>229</v>
      </c>
      <c r="D283" s="217"/>
      <c r="E283" s="90"/>
      <c r="F283" s="198"/>
      <c r="G283" s="214"/>
      <c r="H283" s="199"/>
      <c r="I283" s="78"/>
      <c r="J283" s="79"/>
      <c r="K283" s="78"/>
      <c r="L283" s="113"/>
      <c r="M283" s="155"/>
      <c r="N283" s="114" t="str">
        <f>IFERROR(MIN(VLOOKUP(ROUNDDOWN(M283,0),'Aide calcul'!$B$2:$C$282,2,FALSE),L283+1),"")</f>
        <v/>
      </c>
      <c r="O283" s="115" t="str">
        <f t="shared" si="52"/>
        <v/>
      </c>
      <c r="P283" s="173"/>
      <c r="Q283" s="173"/>
      <c r="R283" s="173"/>
      <c r="S283" s="173"/>
      <c r="T283" s="173"/>
      <c r="U283" s="173"/>
      <c r="V283" s="173"/>
      <c r="W283" s="78"/>
      <c r="X283" s="78"/>
      <c r="Y283" s="116" t="str">
        <f>IFERROR(ROUND('Informations générales'!$D$66*(AE283/SUM($AE$27:$AE$403))/12,0)*12,"")</f>
        <v/>
      </c>
      <c r="Z283" s="117"/>
      <c r="AA283" s="116" t="str">
        <f t="shared" si="53"/>
        <v/>
      </c>
      <c r="AB283" s="78"/>
      <c r="AC283" s="92"/>
      <c r="AD283" s="78"/>
      <c r="AE283" s="58">
        <f t="shared" si="54"/>
        <v>0</v>
      </c>
      <c r="AF283" s="58">
        <f t="shared" ref="AF283:AF346" si="57">P283*$E$13</f>
        <v>0</v>
      </c>
      <c r="AG283" s="58">
        <f t="shared" ref="AG283:AG346" si="58">Q283*$E$14</f>
        <v>0</v>
      </c>
      <c r="AH283" s="58">
        <f t="shared" ref="AH283:AH346" si="59">R283*$E$15</f>
        <v>0</v>
      </c>
      <c r="AI283" s="58">
        <f t="shared" ref="AI283:AI346" si="60">S283*$E$16</f>
        <v>0</v>
      </c>
      <c r="AJ283" s="58">
        <f t="shared" ref="AJ283:AJ346" si="61">T283*$E$17</f>
        <v>0</v>
      </c>
      <c r="AK283" s="58">
        <f t="shared" ref="AK283:AK346" si="62">U283*$E$18</f>
        <v>0</v>
      </c>
      <c r="AL283" s="58">
        <f t="shared" ref="AL283:AL346" si="63">V283*$E$19</f>
        <v>0</v>
      </c>
      <c r="AM283" s="58">
        <f t="shared" si="55"/>
        <v>0</v>
      </c>
      <c r="AN283" s="62">
        <f t="shared" si="56"/>
        <v>0</v>
      </c>
      <c r="AO283" s="61">
        <f t="shared" ref="AO283:AO347" si="64">IFERROR(VLOOKUP(W283,$H$12:$I$22,2,FALSE),0)</f>
        <v>0</v>
      </c>
      <c r="AP283" s="61">
        <f t="shared" ref="AP283:AP347" si="65">IFERROR(VLOOKUP(X283,$L$12:$N$19,3,FALSE),0)</f>
        <v>0</v>
      </c>
    </row>
    <row r="284" spans="3:42" s="17" customFormat="1" x14ac:dyDescent="0.25">
      <c r="C284" s="216" t="s">
        <v>229</v>
      </c>
      <c r="D284" s="217"/>
      <c r="E284" s="90"/>
      <c r="F284" s="198"/>
      <c r="G284" s="214"/>
      <c r="H284" s="199"/>
      <c r="I284" s="78"/>
      <c r="J284" s="79"/>
      <c r="K284" s="78"/>
      <c r="L284" s="113"/>
      <c r="M284" s="155"/>
      <c r="N284" s="114" t="str">
        <f>IFERROR(MIN(VLOOKUP(ROUNDDOWN(M284,0),'Aide calcul'!$B$2:$C$282,2,FALSE),L284+1),"")</f>
        <v/>
      </c>
      <c r="O284" s="115" t="str">
        <f t="shared" ref="O284:O347" si="66">IFERROR(TRUNC(N284-0.5),"")</f>
        <v/>
      </c>
      <c r="P284" s="173"/>
      <c r="Q284" s="173"/>
      <c r="R284" s="173"/>
      <c r="S284" s="173"/>
      <c r="T284" s="173"/>
      <c r="U284" s="173"/>
      <c r="V284" s="173"/>
      <c r="W284" s="78"/>
      <c r="X284" s="78"/>
      <c r="Y284" s="116" t="str">
        <f>IFERROR(ROUND('Informations générales'!$D$66*(AE284/SUM($AE$27:$AE$403))/12,0)*12,"")</f>
        <v/>
      </c>
      <c r="Z284" s="117"/>
      <c r="AA284" s="116" t="str">
        <f t="shared" ref="AA284:AA347" si="67">IFERROR(Y284/AM284,"")</f>
        <v/>
      </c>
      <c r="AB284" s="78"/>
      <c r="AC284" s="92"/>
      <c r="AD284" s="78"/>
      <c r="AE284" s="58">
        <f t="shared" ref="AE284:AE347" si="68">AM284*(SUM(1,AN284,AO284,AP284))</f>
        <v>0</v>
      </c>
      <c r="AF284" s="58">
        <f t="shared" si="57"/>
        <v>0</v>
      </c>
      <c r="AG284" s="58">
        <f t="shared" si="58"/>
        <v>0</v>
      </c>
      <c r="AH284" s="58">
        <f t="shared" si="59"/>
        <v>0</v>
      </c>
      <c r="AI284" s="58">
        <f t="shared" si="60"/>
        <v>0</v>
      </c>
      <c r="AJ284" s="58">
        <f t="shared" si="61"/>
        <v>0</v>
      </c>
      <c r="AK284" s="58">
        <f t="shared" si="62"/>
        <v>0</v>
      </c>
      <c r="AL284" s="58">
        <f t="shared" si="63"/>
        <v>0</v>
      </c>
      <c r="AM284" s="58">
        <f t="shared" ref="AM284:AM347" si="69">SUM(AF284:AL284)</f>
        <v>0</v>
      </c>
      <c r="AN284" s="62">
        <f t="shared" ref="AN284:AN347" si="70">IFERROR(I284*$E$12,0)</f>
        <v>0</v>
      </c>
      <c r="AO284" s="61">
        <f t="shared" si="64"/>
        <v>0</v>
      </c>
      <c r="AP284" s="61">
        <f t="shared" si="65"/>
        <v>0</v>
      </c>
    </row>
    <row r="285" spans="3:42" s="17" customFormat="1" x14ac:dyDescent="0.25">
      <c r="C285" s="216" t="s">
        <v>229</v>
      </c>
      <c r="D285" s="217"/>
      <c r="E285" s="90"/>
      <c r="F285" s="198"/>
      <c r="G285" s="214"/>
      <c r="H285" s="199"/>
      <c r="I285" s="78"/>
      <c r="J285" s="79"/>
      <c r="K285" s="78"/>
      <c r="L285" s="113"/>
      <c r="M285" s="155"/>
      <c r="N285" s="114" t="str">
        <f>IFERROR(MIN(VLOOKUP(ROUNDDOWN(M285,0),'Aide calcul'!$B$2:$C$282,2,FALSE),L285+1),"")</f>
        <v/>
      </c>
      <c r="O285" s="115" t="str">
        <f t="shared" si="66"/>
        <v/>
      </c>
      <c r="P285" s="173"/>
      <c r="Q285" s="173"/>
      <c r="R285" s="173"/>
      <c r="S285" s="173"/>
      <c r="T285" s="173"/>
      <c r="U285" s="173"/>
      <c r="V285" s="173"/>
      <c r="W285" s="78"/>
      <c r="X285" s="78"/>
      <c r="Y285" s="116" t="str">
        <f>IFERROR(ROUND('Informations générales'!$D$66*(AE285/SUM($AE$27:$AE$403))/12,0)*12,"")</f>
        <v/>
      </c>
      <c r="Z285" s="117"/>
      <c r="AA285" s="116" t="str">
        <f t="shared" si="67"/>
        <v/>
      </c>
      <c r="AB285" s="78"/>
      <c r="AC285" s="92"/>
      <c r="AD285" s="78"/>
      <c r="AE285" s="58">
        <f t="shared" si="68"/>
        <v>0</v>
      </c>
      <c r="AF285" s="58">
        <f t="shared" si="57"/>
        <v>0</v>
      </c>
      <c r="AG285" s="58">
        <f t="shared" si="58"/>
        <v>0</v>
      </c>
      <c r="AH285" s="58">
        <f t="shared" si="59"/>
        <v>0</v>
      </c>
      <c r="AI285" s="58">
        <f t="shared" si="60"/>
        <v>0</v>
      </c>
      <c r="AJ285" s="58">
        <f t="shared" si="61"/>
        <v>0</v>
      </c>
      <c r="AK285" s="58">
        <f t="shared" si="62"/>
        <v>0</v>
      </c>
      <c r="AL285" s="58">
        <f t="shared" si="63"/>
        <v>0</v>
      </c>
      <c r="AM285" s="58">
        <f t="shared" si="69"/>
        <v>0</v>
      </c>
      <c r="AN285" s="62">
        <f t="shared" si="70"/>
        <v>0</v>
      </c>
      <c r="AO285" s="61">
        <f t="shared" si="64"/>
        <v>0</v>
      </c>
      <c r="AP285" s="61">
        <f t="shared" si="65"/>
        <v>0</v>
      </c>
    </row>
    <row r="286" spans="3:42" s="17" customFormat="1" x14ac:dyDescent="0.25">
      <c r="C286" s="216" t="s">
        <v>229</v>
      </c>
      <c r="D286" s="217"/>
      <c r="E286" s="90"/>
      <c r="F286" s="198"/>
      <c r="G286" s="214"/>
      <c r="H286" s="199"/>
      <c r="I286" s="78"/>
      <c r="J286" s="79"/>
      <c r="K286" s="78"/>
      <c r="L286" s="113"/>
      <c r="M286" s="155"/>
      <c r="N286" s="114" t="str">
        <f>IFERROR(MIN(VLOOKUP(ROUNDDOWN(M286,0),'Aide calcul'!$B$2:$C$282,2,FALSE),L286+1),"")</f>
        <v/>
      </c>
      <c r="O286" s="115" t="str">
        <f t="shared" si="66"/>
        <v/>
      </c>
      <c r="P286" s="173"/>
      <c r="Q286" s="173"/>
      <c r="R286" s="173"/>
      <c r="S286" s="173"/>
      <c r="T286" s="173"/>
      <c r="U286" s="173"/>
      <c r="V286" s="173"/>
      <c r="W286" s="78"/>
      <c r="X286" s="78"/>
      <c r="Y286" s="116" t="str">
        <f>IFERROR(ROUND('Informations générales'!$D$66*(AE286/SUM($AE$27:$AE$403))/12,0)*12,"")</f>
        <v/>
      </c>
      <c r="Z286" s="117"/>
      <c r="AA286" s="116" t="str">
        <f t="shared" si="67"/>
        <v/>
      </c>
      <c r="AB286" s="78"/>
      <c r="AC286" s="92"/>
      <c r="AD286" s="78"/>
      <c r="AE286" s="58">
        <f t="shared" si="68"/>
        <v>0</v>
      </c>
      <c r="AF286" s="58">
        <f t="shared" si="57"/>
        <v>0</v>
      </c>
      <c r="AG286" s="58">
        <f t="shared" si="58"/>
        <v>0</v>
      </c>
      <c r="AH286" s="58">
        <f t="shared" si="59"/>
        <v>0</v>
      </c>
      <c r="AI286" s="58">
        <f t="shared" si="60"/>
        <v>0</v>
      </c>
      <c r="AJ286" s="58">
        <f t="shared" si="61"/>
        <v>0</v>
      </c>
      <c r="AK286" s="58">
        <f t="shared" si="62"/>
        <v>0</v>
      </c>
      <c r="AL286" s="58">
        <f t="shared" si="63"/>
        <v>0</v>
      </c>
      <c r="AM286" s="58">
        <f t="shared" si="69"/>
        <v>0</v>
      </c>
      <c r="AN286" s="62">
        <f t="shared" si="70"/>
        <v>0</v>
      </c>
      <c r="AO286" s="61">
        <f t="shared" si="64"/>
        <v>0</v>
      </c>
      <c r="AP286" s="61">
        <f t="shared" si="65"/>
        <v>0</v>
      </c>
    </row>
    <row r="287" spans="3:42" s="17" customFormat="1" x14ac:dyDescent="0.25">
      <c r="C287" s="216" t="s">
        <v>229</v>
      </c>
      <c r="D287" s="217"/>
      <c r="E287" s="90"/>
      <c r="F287" s="198"/>
      <c r="G287" s="214"/>
      <c r="H287" s="199"/>
      <c r="I287" s="78"/>
      <c r="J287" s="79"/>
      <c r="K287" s="78"/>
      <c r="L287" s="113"/>
      <c r="M287" s="155"/>
      <c r="N287" s="114" t="str">
        <f>IFERROR(MIN(VLOOKUP(ROUNDDOWN(M287,0),'Aide calcul'!$B$2:$C$282,2,FALSE),L287+1),"")</f>
        <v/>
      </c>
      <c r="O287" s="115" t="str">
        <f t="shared" si="66"/>
        <v/>
      </c>
      <c r="P287" s="173"/>
      <c r="Q287" s="173"/>
      <c r="R287" s="173"/>
      <c r="S287" s="173"/>
      <c r="T287" s="173"/>
      <c r="U287" s="173"/>
      <c r="V287" s="173"/>
      <c r="W287" s="78"/>
      <c r="X287" s="78"/>
      <c r="Y287" s="116" t="str">
        <f>IFERROR(ROUND('Informations générales'!$D$66*(AE287/SUM($AE$27:$AE$403))/12,0)*12,"")</f>
        <v/>
      </c>
      <c r="Z287" s="117"/>
      <c r="AA287" s="116" t="str">
        <f t="shared" si="67"/>
        <v/>
      </c>
      <c r="AB287" s="78"/>
      <c r="AC287" s="92"/>
      <c r="AD287" s="78"/>
      <c r="AE287" s="58">
        <f t="shared" si="68"/>
        <v>0</v>
      </c>
      <c r="AF287" s="58">
        <f t="shared" si="57"/>
        <v>0</v>
      </c>
      <c r="AG287" s="58">
        <f t="shared" si="58"/>
        <v>0</v>
      </c>
      <c r="AH287" s="58">
        <f t="shared" si="59"/>
        <v>0</v>
      </c>
      <c r="AI287" s="58">
        <f t="shared" si="60"/>
        <v>0</v>
      </c>
      <c r="AJ287" s="58">
        <f t="shared" si="61"/>
        <v>0</v>
      </c>
      <c r="AK287" s="58">
        <f t="shared" si="62"/>
        <v>0</v>
      </c>
      <c r="AL287" s="58">
        <f t="shared" si="63"/>
        <v>0</v>
      </c>
      <c r="AM287" s="58">
        <f t="shared" si="69"/>
        <v>0</v>
      </c>
      <c r="AN287" s="62">
        <f t="shared" si="70"/>
        <v>0</v>
      </c>
      <c r="AO287" s="61">
        <f t="shared" si="64"/>
        <v>0</v>
      </c>
      <c r="AP287" s="61">
        <f t="shared" si="65"/>
        <v>0</v>
      </c>
    </row>
    <row r="288" spans="3:42" s="17" customFormat="1" x14ac:dyDescent="0.25">
      <c r="C288" s="216" t="s">
        <v>229</v>
      </c>
      <c r="D288" s="217"/>
      <c r="E288" s="90"/>
      <c r="F288" s="198"/>
      <c r="G288" s="214"/>
      <c r="H288" s="199"/>
      <c r="I288" s="78"/>
      <c r="J288" s="79"/>
      <c r="K288" s="78"/>
      <c r="L288" s="113"/>
      <c r="M288" s="155"/>
      <c r="N288" s="114" t="str">
        <f>IFERROR(MIN(VLOOKUP(ROUNDDOWN(M288,0),'Aide calcul'!$B$2:$C$282,2,FALSE),L288+1),"")</f>
        <v/>
      </c>
      <c r="O288" s="115" t="str">
        <f t="shared" si="66"/>
        <v/>
      </c>
      <c r="P288" s="173"/>
      <c r="Q288" s="173"/>
      <c r="R288" s="173"/>
      <c r="S288" s="173"/>
      <c r="T288" s="173"/>
      <c r="U288" s="173"/>
      <c r="V288" s="173"/>
      <c r="W288" s="78"/>
      <c r="X288" s="78"/>
      <c r="Y288" s="116" t="str">
        <f>IFERROR(ROUND('Informations générales'!$D$66*(AE288/SUM($AE$27:$AE$403))/12,0)*12,"")</f>
        <v/>
      </c>
      <c r="Z288" s="117"/>
      <c r="AA288" s="116" t="str">
        <f t="shared" si="67"/>
        <v/>
      </c>
      <c r="AB288" s="78"/>
      <c r="AC288" s="92"/>
      <c r="AD288" s="78"/>
      <c r="AE288" s="58">
        <f t="shared" si="68"/>
        <v>0</v>
      </c>
      <c r="AF288" s="58">
        <f t="shared" si="57"/>
        <v>0</v>
      </c>
      <c r="AG288" s="58">
        <f t="shared" si="58"/>
        <v>0</v>
      </c>
      <c r="AH288" s="58">
        <f t="shared" si="59"/>
        <v>0</v>
      </c>
      <c r="AI288" s="58">
        <f t="shared" si="60"/>
        <v>0</v>
      </c>
      <c r="AJ288" s="58">
        <f t="shared" si="61"/>
        <v>0</v>
      </c>
      <c r="AK288" s="58">
        <f t="shared" si="62"/>
        <v>0</v>
      </c>
      <c r="AL288" s="58">
        <f t="shared" si="63"/>
        <v>0</v>
      </c>
      <c r="AM288" s="58">
        <f t="shared" si="69"/>
        <v>0</v>
      </c>
      <c r="AN288" s="62">
        <f t="shared" si="70"/>
        <v>0</v>
      </c>
      <c r="AO288" s="61">
        <f t="shared" si="64"/>
        <v>0</v>
      </c>
      <c r="AP288" s="61">
        <f t="shared" si="65"/>
        <v>0</v>
      </c>
    </row>
    <row r="289" spans="3:42" s="17" customFormat="1" x14ac:dyDescent="0.25">
      <c r="C289" s="216" t="s">
        <v>229</v>
      </c>
      <c r="D289" s="217"/>
      <c r="E289" s="90"/>
      <c r="F289" s="198"/>
      <c r="G289" s="214"/>
      <c r="H289" s="199"/>
      <c r="I289" s="78"/>
      <c r="J289" s="79"/>
      <c r="K289" s="78"/>
      <c r="L289" s="113"/>
      <c r="M289" s="155"/>
      <c r="N289" s="114" t="str">
        <f>IFERROR(MIN(VLOOKUP(ROUNDDOWN(M289,0),'Aide calcul'!$B$2:$C$282,2,FALSE),L289+1),"")</f>
        <v/>
      </c>
      <c r="O289" s="115" t="str">
        <f t="shared" si="66"/>
        <v/>
      </c>
      <c r="P289" s="173"/>
      <c r="Q289" s="173"/>
      <c r="R289" s="173"/>
      <c r="S289" s="173"/>
      <c r="T289" s="173"/>
      <c r="U289" s="173"/>
      <c r="V289" s="173"/>
      <c r="W289" s="78"/>
      <c r="X289" s="78"/>
      <c r="Y289" s="116" t="str">
        <f>IFERROR(ROUND('Informations générales'!$D$66*(AE289/SUM($AE$27:$AE$403))/12,0)*12,"")</f>
        <v/>
      </c>
      <c r="Z289" s="117"/>
      <c r="AA289" s="116" t="str">
        <f t="shared" si="67"/>
        <v/>
      </c>
      <c r="AB289" s="78"/>
      <c r="AC289" s="92"/>
      <c r="AD289" s="78"/>
      <c r="AE289" s="58">
        <f t="shared" si="68"/>
        <v>0</v>
      </c>
      <c r="AF289" s="58">
        <f t="shared" si="57"/>
        <v>0</v>
      </c>
      <c r="AG289" s="58">
        <f t="shared" si="58"/>
        <v>0</v>
      </c>
      <c r="AH289" s="58">
        <f t="shared" si="59"/>
        <v>0</v>
      </c>
      <c r="AI289" s="58">
        <f t="shared" si="60"/>
        <v>0</v>
      </c>
      <c r="AJ289" s="58">
        <f t="shared" si="61"/>
        <v>0</v>
      </c>
      <c r="AK289" s="58">
        <f t="shared" si="62"/>
        <v>0</v>
      </c>
      <c r="AL289" s="58">
        <f t="shared" si="63"/>
        <v>0</v>
      </c>
      <c r="AM289" s="58">
        <f t="shared" si="69"/>
        <v>0</v>
      </c>
      <c r="AN289" s="62">
        <f t="shared" si="70"/>
        <v>0</v>
      </c>
      <c r="AO289" s="61">
        <f t="shared" si="64"/>
        <v>0</v>
      </c>
      <c r="AP289" s="61">
        <f t="shared" si="65"/>
        <v>0</v>
      </c>
    </row>
    <row r="290" spans="3:42" s="17" customFormat="1" x14ac:dyDescent="0.25">
      <c r="C290" s="216" t="s">
        <v>229</v>
      </c>
      <c r="D290" s="217"/>
      <c r="E290" s="90"/>
      <c r="F290" s="198"/>
      <c r="G290" s="214"/>
      <c r="H290" s="199"/>
      <c r="I290" s="78"/>
      <c r="J290" s="79"/>
      <c r="K290" s="78"/>
      <c r="L290" s="113"/>
      <c r="M290" s="155"/>
      <c r="N290" s="114" t="str">
        <f>IFERROR(MIN(VLOOKUP(ROUNDDOWN(M290,0),'Aide calcul'!$B$2:$C$282,2,FALSE),L290+1),"")</f>
        <v/>
      </c>
      <c r="O290" s="115" t="str">
        <f t="shared" si="66"/>
        <v/>
      </c>
      <c r="P290" s="173"/>
      <c r="Q290" s="173"/>
      <c r="R290" s="173"/>
      <c r="S290" s="173"/>
      <c r="T290" s="173"/>
      <c r="U290" s="173"/>
      <c r="V290" s="173"/>
      <c r="W290" s="78"/>
      <c r="X290" s="78"/>
      <c r="Y290" s="116" t="str">
        <f>IFERROR(ROUND('Informations générales'!$D$66*(AE290/SUM($AE$27:$AE$403))/12,0)*12,"")</f>
        <v/>
      </c>
      <c r="Z290" s="117"/>
      <c r="AA290" s="116" t="str">
        <f t="shared" si="67"/>
        <v/>
      </c>
      <c r="AB290" s="78"/>
      <c r="AC290" s="92"/>
      <c r="AD290" s="78"/>
      <c r="AE290" s="58">
        <f t="shared" si="68"/>
        <v>0</v>
      </c>
      <c r="AF290" s="58">
        <f t="shared" si="57"/>
        <v>0</v>
      </c>
      <c r="AG290" s="58">
        <f t="shared" si="58"/>
        <v>0</v>
      </c>
      <c r="AH290" s="58">
        <f t="shared" si="59"/>
        <v>0</v>
      </c>
      <c r="AI290" s="58">
        <f t="shared" si="60"/>
        <v>0</v>
      </c>
      <c r="AJ290" s="58">
        <f t="shared" si="61"/>
        <v>0</v>
      </c>
      <c r="AK290" s="58">
        <f t="shared" si="62"/>
        <v>0</v>
      </c>
      <c r="AL290" s="58">
        <f t="shared" si="63"/>
        <v>0</v>
      </c>
      <c r="AM290" s="58">
        <f t="shared" si="69"/>
        <v>0</v>
      </c>
      <c r="AN290" s="62">
        <f t="shared" si="70"/>
        <v>0</v>
      </c>
      <c r="AO290" s="61">
        <f t="shared" si="64"/>
        <v>0</v>
      </c>
      <c r="AP290" s="61">
        <f t="shared" si="65"/>
        <v>0</v>
      </c>
    </row>
    <row r="291" spans="3:42" s="17" customFormat="1" x14ac:dyDescent="0.25">
      <c r="C291" s="216" t="s">
        <v>229</v>
      </c>
      <c r="D291" s="217"/>
      <c r="E291" s="90"/>
      <c r="F291" s="198"/>
      <c r="G291" s="214"/>
      <c r="H291" s="199"/>
      <c r="I291" s="78"/>
      <c r="J291" s="79"/>
      <c r="K291" s="78"/>
      <c r="L291" s="113"/>
      <c r="M291" s="155"/>
      <c r="N291" s="114" t="str">
        <f>IFERROR(MIN(VLOOKUP(ROUNDDOWN(M291,0),'Aide calcul'!$B$2:$C$282,2,FALSE),L291+1),"")</f>
        <v/>
      </c>
      <c r="O291" s="115" t="str">
        <f t="shared" si="66"/>
        <v/>
      </c>
      <c r="P291" s="173"/>
      <c r="Q291" s="173"/>
      <c r="R291" s="173"/>
      <c r="S291" s="173"/>
      <c r="T291" s="173"/>
      <c r="U291" s="173"/>
      <c r="V291" s="173"/>
      <c r="W291" s="78"/>
      <c r="X291" s="78"/>
      <c r="Y291" s="116" t="str">
        <f>IFERROR(ROUND('Informations générales'!$D$66*(AE291/SUM($AE$27:$AE$403))/12,0)*12,"")</f>
        <v/>
      </c>
      <c r="Z291" s="117"/>
      <c r="AA291" s="116" t="str">
        <f t="shared" si="67"/>
        <v/>
      </c>
      <c r="AB291" s="78"/>
      <c r="AC291" s="92"/>
      <c r="AD291" s="78"/>
      <c r="AE291" s="58">
        <f t="shared" si="68"/>
        <v>0</v>
      </c>
      <c r="AF291" s="58">
        <f t="shared" si="57"/>
        <v>0</v>
      </c>
      <c r="AG291" s="58">
        <f t="shared" si="58"/>
        <v>0</v>
      </c>
      <c r="AH291" s="58">
        <f t="shared" si="59"/>
        <v>0</v>
      </c>
      <c r="AI291" s="58">
        <f t="shared" si="60"/>
        <v>0</v>
      </c>
      <c r="AJ291" s="58">
        <f t="shared" si="61"/>
        <v>0</v>
      </c>
      <c r="AK291" s="58">
        <f t="shared" si="62"/>
        <v>0</v>
      </c>
      <c r="AL291" s="58">
        <f t="shared" si="63"/>
        <v>0</v>
      </c>
      <c r="AM291" s="58">
        <f t="shared" si="69"/>
        <v>0</v>
      </c>
      <c r="AN291" s="62">
        <f t="shared" si="70"/>
        <v>0</v>
      </c>
      <c r="AO291" s="61">
        <f t="shared" si="64"/>
        <v>0</v>
      </c>
      <c r="AP291" s="61">
        <f t="shared" si="65"/>
        <v>0</v>
      </c>
    </row>
    <row r="292" spans="3:42" s="17" customFormat="1" x14ac:dyDescent="0.25">
      <c r="C292" s="216" t="s">
        <v>229</v>
      </c>
      <c r="D292" s="217"/>
      <c r="E292" s="90"/>
      <c r="F292" s="198"/>
      <c r="G292" s="214"/>
      <c r="H292" s="199"/>
      <c r="I292" s="78"/>
      <c r="J292" s="79"/>
      <c r="K292" s="78"/>
      <c r="L292" s="113"/>
      <c r="M292" s="155"/>
      <c r="N292" s="114" t="str">
        <f>IFERROR(MIN(VLOOKUP(ROUNDDOWN(M292,0),'Aide calcul'!$B$2:$C$282,2,FALSE),L292+1),"")</f>
        <v/>
      </c>
      <c r="O292" s="115" t="str">
        <f t="shared" si="66"/>
        <v/>
      </c>
      <c r="P292" s="173"/>
      <c r="Q292" s="173"/>
      <c r="R292" s="173"/>
      <c r="S292" s="173"/>
      <c r="T292" s="173"/>
      <c r="U292" s="173"/>
      <c r="V292" s="173"/>
      <c r="W292" s="78"/>
      <c r="X292" s="78"/>
      <c r="Y292" s="116" t="str">
        <f>IFERROR(ROUND('Informations générales'!$D$66*(AE292/SUM($AE$27:$AE$403))/12,0)*12,"")</f>
        <v/>
      </c>
      <c r="Z292" s="117"/>
      <c r="AA292" s="116" t="str">
        <f t="shared" si="67"/>
        <v/>
      </c>
      <c r="AB292" s="78"/>
      <c r="AC292" s="92"/>
      <c r="AD292" s="78"/>
      <c r="AE292" s="58">
        <f t="shared" si="68"/>
        <v>0</v>
      </c>
      <c r="AF292" s="58">
        <f t="shared" si="57"/>
        <v>0</v>
      </c>
      <c r="AG292" s="58">
        <f t="shared" si="58"/>
        <v>0</v>
      </c>
      <c r="AH292" s="58">
        <f t="shared" si="59"/>
        <v>0</v>
      </c>
      <c r="AI292" s="58">
        <f t="shared" si="60"/>
        <v>0</v>
      </c>
      <c r="AJ292" s="58">
        <f t="shared" si="61"/>
        <v>0</v>
      </c>
      <c r="AK292" s="58">
        <f t="shared" si="62"/>
        <v>0</v>
      </c>
      <c r="AL292" s="58">
        <f t="shared" si="63"/>
        <v>0</v>
      </c>
      <c r="AM292" s="58">
        <f t="shared" si="69"/>
        <v>0</v>
      </c>
      <c r="AN292" s="62">
        <f t="shared" si="70"/>
        <v>0</v>
      </c>
      <c r="AO292" s="61">
        <f t="shared" si="64"/>
        <v>0</v>
      </c>
      <c r="AP292" s="61">
        <f t="shared" si="65"/>
        <v>0</v>
      </c>
    </row>
    <row r="293" spans="3:42" s="17" customFormat="1" x14ac:dyDescent="0.25">
      <c r="C293" s="216" t="s">
        <v>229</v>
      </c>
      <c r="D293" s="217"/>
      <c r="E293" s="90"/>
      <c r="F293" s="198"/>
      <c r="G293" s="214"/>
      <c r="H293" s="199"/>
      <c r="I293" s="78"/>
      <c r="J293" s="79"/>
      <c r="K293" s="78"/>
      <c r="L293" s="113"/>
      <c r="M293" s="155"/>
      <c r="N293" s="114" t="str">
        <f>IFERROR(MIN(VLOOKUP(ROUNDDOWN(M293,0),'Aide calcul'!$B$2:$C$282,2,FALSE),L293+1),"")</f>
        <v/>
      </c>
      <c r="O293" s="115" t="str">
        <f t="shared" si="66"/>
        <v/>
      </c>
      <c r="P293" s="173"/>
      <c r="Q293" s="173"/>
      <c r="R293" s="173"/>
      <c r="S293" s="173"/>
      <c r="T293" s="173"/>
      <c r="U293" s="173"/>
      <c r="V293" s="173"/>
      <c r="W293" s="78"/>
      <c r="X293" s="78"/>
      <c r="Y293" s="116" t="str">
        <f>IFERROR(ROUND('Informations générales'!$D$66*(AE293/SUM($AE$27:$AE$403))/12,0)*12,"")</f>
        <v/>
      </c>
      <c r="Z293" s="117"/>
      <c r="AA293" s="116" t="str">
        <f t="shared" si="67"/>
        <v/>
      </c>
      <c r="AB293" s="78"/>
      <c r="AC293" s="92"/>
      <c r="AD293" s="78"/>
      <c r="AE293" s="58">
        <f t="shared" si="68"/>
        <v>0</v>
      </c>
      <c r="AF293" s="58">
        <f t="shared" si="57"/>
        <v>0</v>
      </c>
      <c r="AG293" s="58">
        <f t="shared" si="58"/>
        <v>0</v>
      </c>
      <c r="AH293" s="58">
        <f t="shared" si="59"/>
        <v>0</v>
      </c>
      <c r="AI293" s="58">
        <f t="shared" si="60"/>
        <v>0</v>
      </c>
      <c r="AJ293" s="58">
        <f t="shared" si="61"/>
        <v>0</v>
      </c>
      <c r="AK293" s="58">
        <f t="shared" si="62"/>
        <v>0</v>
      </c>
      <c r="AL293" s="58">
        <f t="shared" si="63"/>
        <v>0</v>
      </c>
      <c r="AM293" s="58">
        <f t="shared" si="69"/>
        <v>0</v>
      </c>
      <c r="AN293" s="62">
        <f t="shared" si="70"/>
        <v>0</v>
      </c>
      <c r="AO293" s="61">
        <f t="shared" si="64"/>
        <v>0</v>
      </c>
      <c r="AP293" s="61">
        <f t="shared" si="65"/>
        <v>0</v>
      </c>
    </row>
    <row r="294" spans="3:42" s="17" customFormat="1" x14ac:dyDescent="0.25">
      <c r="C294" s="216" t="s">
        <v>229</v>
      </c>
      <c r="D294" s="217"/>
      <c r="E294" s="90"/>
      <c r="F294" s="198"/>
      <c r="G294" s="214"/>
      <c r="H294" s="199"/>
      <c r="I294" s="78"/>
      <c r="J294" s="79"/>
      <c r="K294" s="78"/>
      <c r="L294" s="113"/>
      <c r="M294" s="155"/>
      <c r="N294" s="114" t="str">
        <f>IFERROR(MIN(VLOOKUP(ROUNDDOWN(M294,0),'Aide calcul'!$B$2:$C$282,2,FALSE),L294+1),"")</f>
        <v/>
      </c>
      <c r="O294" s="115" t="str">
        <f t="shared" si="66"/>
        <v/>
      </c>
      <c r="P294" s="173"/>
      <c r="Q294" s="173"/>
      <c r="R294" s="173"/>
      <c r="S294" s="173"/>
      <c r="T294" s="173"/>
      <c r="U294" s="173"/>
      <c r="V294" s="173"/>
      <c r="W294" s="78"/>
      <c r="X294" s="78"/>
      <c r="Y294" s="116" t="str">
        <f>IFERROR(ROUND('Informations générales'!$D$66*(AE294/SUM($AE$27:$AE$403))/12,0)*12,"")</f>
        <v/>
      </c>
      <c r="Z294" s="117"/>
      <c r="AA294" s="116" t="str">
        <f t="shared" si="67"/>
        <v/>
      </c>
      <c r="AB294" s="78"/>
      <c r="AC294" s="92"/>
      <c r="AD294" s="78"/>
      <c r="AE294" s="58">
        <f t="shared" si="68"/>
        <v>0</v>
      </c>
      <c r="AF294" s="58">
        <f t="shared" si="57"/>
        <v>0</v>
      </c>
      <c r="AG294" s="58">
        <f t="shared" si="58"/>
        <v>0</v>
      </c>
      <c r="AH294" s="58">
        <f t="shared" si="59"/>
        <v>0</v>
      </c>
      <c r="AI294" s="58">
        <f t="shared" si="60"/>
        <v>0</v>
      </c>
      <c r="AJ294" s="58">
        <f t="shared" si="61"/>
        <v>0</v>
      </c>
      <c r="AK294" s="58">
        <f t="shared" si="62"/>
        <v>0</v>
      </c>
      <c r="AL294" s="58">
        <f t="shared" si="63"/>
        <v>0</v>
      </c>
      <c r="AM294" s="58">
        <f t="shared" si="69"/>
        <v>0</v>
      </c>
      <c r="AN294" s="62">
        <f t="shared" si="70"/>
        <v>0</v>
      </c>
      <c r="AO294" s="61">
        <f t="shared" si="64"/>
        <v>0</v>
      </c>
      <c r="AP294" s="61">
        <f t="shared" si="65"/>
        <v>0</v>
      </c>
    </row>
    <row r="295" spans="3:42" s="17" customFormat="1" x14ac:dyDescent="0.25">
      <c r="C295" s="216" t="s">
        <v>229</v>
      </c>
      <c r="D295" s="217"/>
      <c r="E295" s="90"/>
      <c r="F295" s="198"/>
      <c r="G295" s="214"/>
      <c r="H295" s="199"/>
      <c r="I295" s="78"/>
      <c r="J295" s="79"/>
      <c r="K295" s="78"/>
      <c r="L295" s="113"/>
      <c r="M295" s="155"/>
      <c r="N295" s="114" t="str">
        <f>IFERROR(MIN(VLOOKUP(ROUNDDOWN(M295,0),'Aide calcul'!$B$2:$C$282,2,FALSE),L295+1),"")</f>
        <v/>
      </c>
      <c r="O295" s="115" t="str">
        <f t="shared" si="66"/>
        <v/>
      </c>
      <c r="P295" s="173"/>
      <c r="Q295" s="173"/>
      <c r="R295" s="173"/>
      <c r="S295" s="173"/>
      <c r="T295" s="173"/>
      <c r="U295" s="173"/>
      <c r="V295" s="173"/>
      <c r="W295" s="78"/>
      <c r="X295" s="78"/>
      <c r="Y295" s="116" t="str">
        <f>IFERROR(ROUND('Informations générales'!$D$66*(AE295/SUM($AE$27:$AE$403))/12,0)*12,"")</f>
        <v/>
      </c>
      <c r="Z295" s="117"/>
      <c r="AA295" s="116" t="str">
        <f t="shared" si="67"/>
        <v/>
      </c>
      <c r="AB295" s="78"/>
      <c r="AC295" s="92"/>
      <c r="AD295" s="78"/>
      <c r="AE295" s="58">
        <f t="shared" si="68"/>
        <v>0</v>
      </c>
      <c r="AF295" s="58">
        <f t="shared" si="57"/>
        <v>0</v>
      </c>
      <c r="AG295" s="58">
        <f t="shared" si="58"/>
        <v>0</v>
      </c>
      <c r="AH295" s="58">
        <f t="shared" si="59"/>
        <v>0</v>
      </c>
      <c r="AI295" s="58">
        <f t="shared" si="60"/>
        <v>0</v>
      </c>
      <c r="AJ295" s="58">
        <f t="shared" si="61"/>
        <v>0</v>
      </c>
      <c r="AK295" s="58">
        <f t="shared" si="62"/>
        <v>0</v>
      </c>
      <c r="AL295" s="58">
        <f t="shared" si="63"/>
        <v>0</v>
      </c>
      <c r="AM295" s="58">
        <f t="shared" si="69"/>
        <v>0</v>
      </c>
      <c r="AN295" s="62">
        <f t="shared" si="70"/>
        <v>0</v>
      </c>
      <c r="AO295" s="61">
        <f t="shared" si="64"/>
        <v>0</v>
      </c>
      <c r="AP295" s="61">
        <f t="shared" si="65"/>
        <v>0</v>
      </c>
    </row>
    <row r="296" spans="3:42" s="17" customFormat="1" x14ac:dyDescent="0.25">
      <c r="C296" s="216" t="s">
        <v>229</v>
      </c>
      <c r="D296" s="217"/>
      <c r="E296" s="90"/>
      <c r="F296" s="198"/>
      <c r="G296" s="214"/>
      <c r="H296" s="199"/>
      <c r="I296" s="78"/>
      <c r="J296" s="79"/>
      <c r="K296" s="78"/>
      <c r="L296" s="113"/>
      <c r="M296" s="155"/>
      <c r="N296" s="114" t="str">
        <f>IFERROR(MIN(VLOOKUP(ROUNDDOWN(M296,0),'Aide calcul'!$B$2:$C$282,2,FALSE),L296+1),"")</f>
        <v/>
      </c>
      <c r="O296" s="115" t="str">
        <f t="shared" si="66"/>
        <v/>
      </c>
      <c r="P296" s="173"/>
      <c r="Q296" s="173"/>
      <c r="R296" s="173"/>
      <c r="S296" s="173"/>
      <c r="T296" s="173"/>
      <c r="U296" s="173"/>
      <c r="V296" s="173"/>
      <c r="W296" s="78"/>
      <c r="X296" s="78"/>
      <c r="Y296" s="116" t="str">
        <f>IFERROR(ROUND('Informations générales'!$D$66*(AE296/SUM($AE$27:$AE$403))/12,0)*12,"")</f>
        <v/>
      </c>
      <c r="Z296" s="117"/>
      <c r="AA296" s="116" t="str">
        <f t="shared" si="67"/>
        <v/>
      </c>
      <c r="AB296" s="78"/>
      <c r="AC296" s="92"/>
      <c r="AD296" s="78"/>
      <c r="AE296" s="58">
        <f t="shared" si="68"/>
        <v>0</v>
      </c>
      <c r="AF296" s="58">
        <f t="shared" si="57"/>
        <v>0</v>
      </c>
      <c r="AG296" s="58">
        <f t="shared" si="58"/>
        <v>0</v>
      </c>
      <c r="AH296" s="58">
        <f t="shared" si="59"/>
        <v>0</v>
      </c>
      <c r="AI296" s="58">
        <f t="shared" si="60"/>
        <v>0</v>
      </c>
      <c r="AJ296" s="58">
        <f t="shared" si="61"/>
        <v>0</v>
      </c>
      <c r="AK296" s="58">
        <f t="shared" si="62"/>
        <v>0</v>
      </c>
      <c r="AL296" s="58">
        <f t="shared" si="63"/>
        <v>0</v>
      </c>
      <c r="AM296" s="58">
        <f t="shared" si="69"/>
        <v>0</v>
      </c>
      <c r="AN296" s="62">
        <f t="shared" si="70"/>
        <v>0</v>
      </c>
      <c r="AO296" s="61">
        <f t="shared" si="64"/>
        <v>0</v>
      </c>
      <c r="AP296" s="61">
        <f t="shared" si="65"/>
        <v>0</v>
      </c>
    </row>
    <row r="297" spans="3:42" s="17" customFormat="1" x14ac:dyDescent="0.25">
      <c r="C297" s="216" t="s">
        <v>229</v>
      </c>
      <c r="D297" s="217"/>
      <c r="E297" s="90"/>
      <c r="F297" s="198"/>
      <c r="G297" s="214"/>
      <c r="H297" s="199"/>
      <c r="I297" s="78"/>
      <c r="J297" s="79"/>
      <c r="K297" s="78"/>
      <c r="L297" s="113"/>
      <c r="M297" s="155"/>
      <c r="N297" s="114" t="str">
        <f>IFERROR(MIN(VLOOKUP(ROUNDDOWN(M297,0),'Aide calcul'!$B$2:$C$282,2,FALSE),L297+1),"")</f>
        <v/>
      </c>
      <c r="O297" s="115" t="str">
        <f t="shared" si="66"/>
        <v/>
      </c>
      <c r="P297" s="173"/>
      <c r="Q297" s="173"/>
      <c r="R297" s="173"/>
      <c r="S297" s="173"/>
      <c r="T297" s="173"/>
      <c r="U297" s="173"/>
      <c r="V297" s="173"/>
      <c r="W297" s="78"/>
      <c r="X297" s="78"/>
      <c r="Y297" s="116" t="str">
        <f>IFERROR(ROUND('Informations générales'!$D$66*(AE297/SUM($AE$27:$AE$403))/12,0)*12,"")</f>
        <v/>
      </c>
      <c r="Z297" s="117"/>
      <c r="AA297" s="116" t="str">
        <f t="shared" si="67"/>
        <v/>
      </c>
      <c r="AB297" s="78"/>
      <c r="AC297" s="92"/>
      <c r="AD297" s="78"/>
      <c r="AE297" s="58">
        <f t="shared" si="68"/>
        <v>0</v>
      </c>
      <c r="AF297" s="58">
        <f t="shared" si="57"/>
        <v>0</v>
      </c>
      <c r="AG297" s="58">
        <f t="shared" si="58"/>
        <v>0</v>
      </c>
      <c r="AH297" s="58">
        <f t="shared" si="59"/>
        <v>0</v>
      </c>
      <c r="AI297" s="58">
        <f t="shared" si="60"/>
        <v>0</v>
      </c>
      <c r="AJ297" s="58">
        <f t="shared" si="61"/>
        <v>0</v>
      </c>
      <c r="AK297" s="58">
        <f t="shared" si="62"/>
        <v>0</v>
      </c>
      <c r="AL297" s="58">
        <f t="shared" si="63"/>
        <v>0</v>
      </c>
      <c r="AM297" s="58">
        <f t="shared" si="69"/>
        <v>0</v>
      </c>
      <c r="AN297" s="62">
        <f t="shared" si="70"/>
        <v>0</v>
      </c>
      <c r="AO297" s="61">
        <f t="shared" si="64"/>
        <v>0</v>
      </c>
      <c r="AP297" s="61">
        <f t="shared" si="65"/>
        <v>0</v>
      </c>
    </row>
    <row r="298" spans="3:42" s="17" customFormat="1" x14ac:dyDescent="0.25">
      <c r="C298" s="216" t="s">
        <v>229</v>
      </c>
      <c r="D298" s="217"/>
      <c r="E298" s="90"/>
      <c r="F298" s="198"/>
      <c r="G298" s="214"/>
      <c r="H298" s="199"/>
      <c r="I298" s="78"/>
      <c r="J298" s="79"/>
      <c r="K298" s="78"/>
      <c r="L298" s="113"/>
      <c r="M298" s="155"/>
      <c r="N298" s="114" t="str">
        <f>IFERROR(MIN(VLOOKUP(ROUNDDOWN(M298,0),'Aide calcul'!$B$2:$C$282,2,FALSE),L298+1),"")</f>
        <v/>
      </c>
      <c r="O298" s="115" t="str">
        <f t="shared" si="66"/>
        <v/>
      </c>
      <c r="P298" s="173"/>
      <c r="Q298" s="173"/>
      <c r="R298" s="173"/>
      <c r="S298" s="173"/>
      <c r="T298" s="173"/>
      <c r="U298" s="173"/>
      <c r="V298" s="173"/>
      <c r="W298" s="78"/>
      <c r="X298" s="78"/>
      <c r="Y298" s="116" t="str">
        <f>IFERROR(ROUND('Informations générales'!$D$66*(AE298/SUM($AE$27:$AE$403))/12,0)*12,"")</f>
        <v/>
      </c>
      <c r="Z298" s="117"/>
      <c r="AA298" s="116" t="str">
        <f t="shared" si="67"/>
        <v/>
      </c>
      <c r="AB298" s="78"/>
      <c r="AC298" s="92"/>
      <c r="AD298" s="78"/>
      <c r="AE298" s="58">
        <f t="shared" si="68"/>
        <v>0</v>
      </c>
      <c r="AF298" s="58">
        <f t="shared" si="57"/>
        <v>0</v>
      </c>
      <c r="AG298" s="58">
        <f t="shared" si="58"/>
        <v>0</v>
      </c>
      <c r="AH298" s="58">
        <f t="shared" si="59"/>
        <v>0</v>
      </c>
      <c r="AI298" s="58">
        <f t="shared" si="60"/>
        <v>0</v>
      </c>
      <c r="AJ298" s="58">
        <f t="shared" si="61"/>
        <v>0</v>
      </c>
      <c r="AK298" s="58">
        <f t="shared" si="62"/>
        <v>0</v>
      </c>
      <c r="AL298" s="58">
        <f t="shared" si="63"/>
        <v>0</v>
      </c>
      <c r="AM298" s="58">
        <f t="shared" si="69"/>
        <v>0</v>
      </c>
      <c r="AN298" s="62">
        <f t="shared" si="70"/>
        <v>0</v>
      </c>
      <c r="AO298" s="61">
        <f t="shared" si="64"/>
        <v>0</v>
      </c>
      <c r="AP298" s="61">
        <f t="shared" si="65"/>
        <v>0</v>
      </c>
    </row>
    <row r="299" spans="3:42" s="17" customFormat="1" x14ac:dyDescent="0.25">
      <c r="C299" s="216" t="s">
        <v>229</v>
      </c>
      <c r="D299" s="217"/>
      <c r="E299" s="90"/>
      <c r="F299" s="198"/>
      <c r="G299" s="214"/>
      <c r="H299" s="199"/>
      <c r="I299" s="78"/>
      <c r="J299" s="79"/>
      <c r="K299" s="78"/>
      <c r="L299" s="113"/>
      <c r="M299" s="155"/>
      <c r="N299" s="114" t="str">
        <f>IFERROR(MIN(VLOOKUP(ROUNDDOWN(M299,0),'Aide calcul'!$B$2:$C$282,2,FALSE),L299+1),"")</f>
        <v/>
      </c>
      <c r="O299" s="115" t="str">
        <f t="shared" si="66"/>
        <v/>
      </c>
      <c r="P299" s="173"/>
      <c r="Q299" s="173"/>
      <c r="R299" s="173"/>
      <c r="S299" s="173"/>
      <c r="T299" s="173"/>
      <c r="U299" s="173"/>
      <c r="V299" s="173"/>
      <c r="W299" s="78"/>
      <c r="X299" s="78"/>
      <c r="Y299" s="116" t="str">
        <f>IFERROR(ROUND('Informations générales'!$D$66*(AE299/SUM($AE$27:$AE$403))/12,0)*12,"")</f>
        <v/>
      </c>
      <c r="Z299" s="117"/>
      <c r="AA299" s="116" t="str">
        <f t="shared" si="67"/>
        <v/>
      </c>
      <c r="AB299" s="78"/>
      <c r="AC299" s="92"/>
      <c r="AD299" s="78"/>
      <c r="AE299" s="58">
        <f t="shared" si="68"/>
        <v>0</v>
      </c>
      <c r="AF299" s="58">
        <f t="shared" si="57"/>
        <v>0</v>
      </c>
      <c r="AG299" s="58">
        <f t="shared" si="58"/>
        <v>0</v>
      </c>
      <c r="AH299" s="58">
        <f t="shared" si="59"/>
        <v>0</v>
      </c>
      <c r="AI299" s="58">
        <f t="shared" si="60"/>
        <v>0</v>
      </c>
      <c r="AJ299" s="58">
        <f t="shared" si="61"/>
        <v>0</v>
      </c>
      <c r="AK299" s="58">
        <f t="shared" si="62"/>
        <v>0</v>
      </c>
      <c r="AL299" s="58">
        <f t="shared" si="63"/>
        <v>0</v>
      </c>
      <c r="AM299" s="58">
        <f t="shared" si="69"/>
        <v>0</v>
      </c>
      <c r="AN299" s="62">
        <f t="shared" si="70"/>
        <v>0</v>
      </c>
      <c r="AO299" s="61">
        <f t="shared" si="64"/>
        <v>0</v>
      </c>
      <c r="AP299" s="61">
        <f t="shared" si="65"/>
        <v>0</v>
      </c>
    </row>
    <row r="300" spans="3:42" s="17" customFormat="1" x14ac:dyDescent="0.25">
      <c r="C300" s="216" t="s">
        <v>229</v>
      </c>
      <c r="D300" s="217"/>
      <c r="E300" s="90"/>
      <c r="F300" s="198"/>
      <c r="G300" s="214"/>
      <c r="H300" s="199"/>
      <c r="I300" s="78"/>
      <c r="J300" s="79"/>
      <c r="K300" s="78"/>
      <c r="L300" s="113"/>
      <c r="M300" s="155"/>
      <c r="N300" s="114" t="str">
        <f>IFERROR(MIN(VLOOKUP(ROUNDDOWN(M300,0),'Aide calcul'!$B$2:$C$282,2,FALSE),L300+1),"")</f>
        <v/>
      </c>
      <c r="O300" s="115" t="str">
        <f t="shared" si="66"/>
        <v/>
      </c>
      <c r="P300" s="173"/>
      <c r="Q300" s="173"/>
      <c r="R300" s="173"/>
      <c r="S300" s="173"/>
      <c r="T300" s="173"/>
      <c r="U300" s="173"/>
      <c r="V300" s="173"/>
      <c r="W300" s="78"/>
      <c r="X300" s="78"/>
      <c r="Y300" s="116" t="str">
        <f>IFERROR(ROUND('Informations générales'!$D$66*(AE300/SUM($AE$27:$AE$403))/12,0)*12,"")</f>
        <v/>
      </c>
      <c r="Z300" s="117"/>
      <c r="AA300" s="116" t="str">
        <f t="shared" si="67"/>
        <v/>
      </c>
      <c r="AB300" s="78"/>
      <c r="AC300" s="92"/>
      <c r="AD300" s="78"/>
      <c r="AE300" s="58">
        <f t="shared" si="68"/>
        <v>0</v>
      </c>
      <c r="AF300" s="58">
        <f t="shared" si="57"/>
        <v>0</v>
      </c>
      <c r="AG300" s="58">
        <f t="shared" si="58"/>
        <v>0</v>
      </c>
      <c r="AH300" s="58">
        <f t="shared" si="59"/>
        <v>0</v>
      </c>
      <c r="AI300" s="58">
        <f t="shared" si="60"/>
        <v>0</v>
      </c>
      <c r="AJ300" s="58">
        <f t="shared" si="61"/>
        <v>0</v>
      </c>
      <c r="AK300" s="58">
        <f t="shared" si="62"/>
        <v>0</v>
      </c>
      <c r="AL300" s="58">
        <f t="shared" si="63"/>
        <v>0</v>
      </c>
      <c r="AM300" s="58">
        <f t="shared" si="69"/>
        <v>0</v>
      </c>
      <c r="AN300" s="62">
        <f t="shared" si="70"/>
        <v>0</v>
      </c>
      <c r="AO300" s="61">
        <f t="shared" si="64"/>
        <v>0</v>
      </c>
      <c r="AP300" s="61">
        <f t="shared" si="65"/>
        <v>0</v>
      </c>
    </row>
    <row r="301" spans="3:42" s="17" customFormat="1" x14ac:dyDescent="0.25">
      <c r="C301" s="216" t="s">
        <v>229</v>
      </c>
      <c r="D301" s="217"/>
      <c r="E301" s="90"/>
      <c r="F301" s="198"/>
      <c r="G301" s="214"/>
      <c r="H301" s="199"/>
      <c r="I301" s="78"/>
      <c r="J301" s="79"/>
      <c r="K301" s="78"/>
      <c r="L301" s="113"/>
      <c r="M301" s="155"/>
      <c r="N301" s="114" t="str">
        <f>IFERROR(MIN(VLOOKUP(ROUNDDOWN(M301,0),'Aide calcul'!$B$2:$C$282,2,FALSE),L301+1),"")</f>
        <v/>
      </c>
      <c r="O301" s="115" t="str">
        <f t="shared" si="66"/>
        <v/>
      </c>
      <c r="P301" s="173"/>
      <c r="Q301" s="173"/>
      <c r="R301" s="173"/>
      <c r="S301" s="173"/>
      <c r="T301" s="173"/>
      <c r="U301" s="173"/>
      <c r="V301" s="173"/>
      <c r="W301" s="78"/>
      <c r="X301" s="78"/>
      <c r="Y301" s="116" t="str">
        <f>IFERROR(ROUND('Informations générales'!$D$66*(AE301/SUM($AE$27:$AE$403))/12,0)*12,"")</f>
        <v/>
      </c>
      <c r="Z301" s="117"/>
      <c r="AA301" s="116" t="str">
        <f t="shared" si="67"/>
        <v/>
      </c>
      <c r="AB301" s="78"/>
      <c r="AC301" s="92"/>
      <c r="AD301" s="78"/>
      <c r="AE301" s="58">
        <f t="shared" si="68"/>
        <v>0</v>
      </c>
      <c r="AF301" s="58">
        <f t="shared" si="57"/>
        <v>0</v>
      </c>
      <c r="AG301" s="58">
        <f t="shared" si="58"/>
        <v>0</v>
      </c>
      <c r="AH301" s="58">
        <f t="shared" si="59"/>
        <v>0</v>
      </c>
      <c r="AI301" s="58">
        <f t="shared" si="60"/>
        <v>0</v>
      </c>
      <c r="AJ301" s="58">
        <f t="shared" si="61"/>
        <v>0</v>
      </c>
      <c r="AK301" s="58">
        <f t="shared" si="62"/>
        <v>0</v>
      </c>
      <c r="AL301" s="58">
        <f t="shared" si="63"/>
        <v>0</v>
      </c>
      <c r="AM301" s="58">
        <f t="shared" si="69"/>
        <v>0</v>
      </c>
      <c r="AN301" s="62">
        <f t="shared" si="70"/>
        <v>0</v>
      </c>
      <c r="AO301" s="61">
        <f t="shared" si="64"/>
        <v>0</v>
      </c>
      <c r="AP301" s="61">
        <f t="shared" si="65"/>
        <v>0</v>
      </c>
    </row>
    <row r="302" spans="3:42" s="17" customFormat="1" x14ac:dyDescent="0.25">
      <c r="C302" s="216" t="s">
        <v>229</v>
      </c>
      <c r="D302" s="217"/>
      <c r="E302" s="90"/>
      <c r="F302" s="198"/>
      <c r="G302" s="214"/>
      <c r="H302" s="199"/>
      <c r="I302" s="78"/>
      <c r="J302" s="79"/>
      <c r="K302" s="78"/>
      <c r="L302" s="113"/>
      <c r="M302" s="155"/>
      <c r="N302" s="114" t="str">
        <f>IFERROR(MIN(VLOOKUP(ROUNDDOWN(M302,0),'Aide calcul'!$B$2:$C$282,2,FALSE),L302+1),"")</f>
        <v/>
      </c>
      <c r="O302" s="115" t="str">
        <f t="shared" si="66"/>
        <v/>
      </c>
      <c r="P302" s="173"/>
      <c r="Q302" s="173"/>
      <c r="R302" s="173"/>
      <c r="S302" s="173"/>
      <c r="T302" s="173"/>
      <c r="U302" s="173"/>
      <c r="V302" s="173"/>
      <c r="W302" s="78"/>
      <c r="X302" s="78"/>
      <c r="Y302" s="116" t="str">
        <f>IFERROR(ROUND('Informations générales'!$D$66*(AE302/SUM($AE$27:$AE$403))/12,0)*12,"")</f>
        <v/>
      </c>
      <c r="Z302" s="117"/>
      <c r="AA302" s="116" t="str">
        <f t="shared" si="67"/>
        <v/>
      </c>
      <c r="AB302" s="78"/>
      <c r="AC302" s="92"/>
      <c r="AD302" s="78"/>
      <c r="AE302" s="58">
        <f t="shared" si="68"/>
        <v>0</v>
      </c>
      <c r="AF302" s="58">
        <f t="shared" si="57"/>
        <v>0</v>
      </c>
      <c r="AG302" s="58">
        <f t="shared" si="58"/>
        <v>0</v>
      </c>
      <c r="AH302" s="58">
        <f t="shared" si="59"/>
        <v>0</v>
      </c>
      <c r="AI302" s="58">
        <f t="shared" si="60"/>
        <v>0</v>
      </c>
      <c r="AJ302" s="58">
        <f t="shared" si="61"/>
        <v>0</v>
      </c>
      <c r="AK302" s="58">
        <f t="shared" si="62"/>
        <v>0</v>
      </c>
      <c r="AL302" s="58">
        <f t="shared" si="63"/>
        <v>0</v>
      </c>
      <c r="AM302" s="58">
        <f t="shared" si="69"/>
        <v>0</v>
      </c>
      <c r="AN302" s="62">
        <f t="shared" si="70"/>
        <v>0</v>
      </c>
      <c r="AO302" s="61">
        <f t="shared" si="64"/>
        <v>0</v>
      </c>
      <c r="AP302" s="61">
        <f t="shared" si="65"/>
        <v>0</v>
      </c>
    </row>
    <row r="303" spans="3:42" s="17" customFormat="1" x14ac:dyDescent="0.25">
      <c r="C303" s="216" t="s">
        <v>229</v>
      </c>
      <c r="D303" s="217"/>
      <c r="E303" s="90"/>
      <c r="F303" s="198"/>
      <c r="G303" s="214"/>
      <c r="H303" s="199"/>
      <c r="I303" s="78"/>
      <c r="J303" s="79"/>
      <c r="K303" s="78"/>
      <c r="L303" s="113"/>
      <c r="M303" s="155"/>
      <c r="N303" s="114" t="str">
        <f>IFERROR(MIN(VLOOKUP(ROUNDDOWN(M303,0),'Aide calcul'!$B$2:$C$282,2,FALSE),L303+1),"")</f>
        <v/>
      </c>
      <c r="O303" s="115" t="str">
        <f t="shared" si="66"/>
        <v/>
      </c>
      <c r="P303" s="173"/>
      <c r="Q303" s="173"/>
      <c r="R303" s="173"/>
      <c r="S303" s="173"/>
      <c r="T303" s="173"/>
      <c r="U303" s="173"/>
      <c r="V303" s="173"/>
      <c r="W303" s="78"/>
      <c r="X303" s="78"/>
      <c r="Y303" s="116" t="str">
        <f>IFERROR(ROUND('Informations générales'!$D$66*(AE303/SUM($AE$27:$AE$403))/12,0)*12,"")</f>
        <v/>
      </c>
      <c r="Z303" s="117"/>
      <c r="AA303" s="116" t="str">
        <f t="shared" si="67"/>
        <v/>
      </c>
      <c r="AB303" s="78"/>
      <c r="AC303" s="92"/>
      <c r="AD303" s="78"/>
      <c r="AE303" s="58">
        <f t="shared" si="68"/>
        <v>0</v>
      </c>
      <c r="AF303" s="58">
        <f t="shared" si="57"/>
        <v>0</v>
      </c>
      <c r="AG303" s="58">
        <f t="shared" si="58"/>
        <v>0</v>
      </c>
      <c r="AH303" s="58">
        <f t="shared" si="59"/>
        <v>0</v>
      </c>
      <c r="AI303" s="58">
        <f t="shared" si="60"/>
        <v>0</v>
      </c>
      <c r="AJ303" s="58">
        <f t="shared" si="61"/>
        <v>0</v>
      </c>
      <c r="AK303" s="58">
        <f t="shared" si="62"/>
        <v>0</v>
      </c>
      <c r="AL303" s="58">
        <f t="shared" si="63"/>
        <v>0</v>
      </c>
      <c r="AM303" s="58">
        <f t="shared" si="69"/>
        <v>0</v>
      </c>
      <c r="AN303" s="62">
        <f t="shared" si="70"/>
        <v>0</v>
      </c>
      <c r="AO303" s="61">
        <f t="shared" si="64"/>
        <v>0</v>
      </c>
      <c r="AP303" s="61">
        <f t="shared" si="65"/>
        <v>0</v>
      </c>
    </row>
    <row r="304" spans="3:42" s="17" customFormat="1" x14ac:dyDescent="0.25">
      <c r="C304" s="216" t="s">
        <v>229</v>
      </c>
      <c r="D304" s="217"/>
      <c r="E304" s="90"/>
      <c r="F304" s="198"/>
      <c r="G304" s="214"/>
      <c r="H304" s="199"/>
      <c r="I304" s="78"/>
      <c r="J304" s="79"/>
      <c r="K304" s="78"/>
      <c r="L304" s="113"/>
      <c r="M304" s="155"/>
      <c r="N304" s="114" t="str">
        <f>IFERROR(MIN(VLOOKUP(ROUNDDOWN(M304,0),'Aide calcul'!$B$2:$C$282,2,FALSE),L304+1),"")</f>
        <v/>
      </c>
      <c r="O304" s="115" t="str">
        <f t="shared" si="66"/>
        <v/>
      </c>
      <c r="P304" s="173"/>
      <c r="Q304" s="173"/>
      <c r="R304" s="173"/>
      <c r="S304" s="173"/>
      <c r="T304" s="173"/>
      <c r="U304" s="173"/>
      <c r="V304" s="173"/>
      <c r="W304" s="78"/>
      <c r="X304" s="78"/>
      <c r="Y304" s="116" t="str">
        <f>IFERROR(ROUND('Informations générales'!$D$66*(AE304/SUM($AE$27:$AE$403))/12,0)*12,"")</f>
        <v/>
      </c>
      <c r="Z304" s="117"/>
      <c r="AA304" s="116" t="str">
        <f t="shared" si="67"/>
        <v/>
      </c>
      <c r="AB304" s="78"/>
      <c r="AC304" s="92"/>
      <c r="AD304" s="78"/>
      <c r="AE304" s="58">
        <f t="shared" si="68"/>
        <v>0</v>
      </c>
      <c r="AF304" s="58">
        <f t="shared" si="57"/>
        <v>0</v>
      </c>
      <c r="AG304" s="58">
        <f t="shared" si="58"/>
        <v>0</v>
      </c>
      <c r="AH304" s="58">
        <f t="shared" si="59"/>
        <v>0</v>
      </c>
      <c r="AI304" s="58">
        <f t="shared" si="60"/>
        <v>0</v>
      </c>
      <c r="AJ304" s="58">
        <f t="shared" si="61"/>
        <v>0</v>
      </c>
      <c r="AK304" s="58">
        <f t="shared" si="62"/>
        <v>0</v>
      </c>
      <c r="AL304" s="58">
        <f t="shared" si="63"/>
        <v>0</v>
      </c>
      <c r="AM304" s="58">
        <f t="shared" si="69"/>
        <v>0</v>
      </c>
      <c r="AN304" s="62">
        <f t="shared" si="70"/>
        <v>0</v>
      </c>
      <c r="AO304" s="61">
        <f t="shared" si="64"/>
        <v>0</v>
      </c>
      <c r="AP304" s="61">
        <f t="shared" si="65"/>
        <v>0</v>
      </c>
    </row>
    <row r="305" spans="3:42" s="17" customFormat="1" x14ac:dyDescent="0.25">
      <c r="C305" s="216" t="s">
        <v>229</v>
      </c>
      <c r="D305" s="217"/>
      <c r="E305" s="90"/>
      <c r="F305" s="198"/>
      <c r="G305" s="214"/>
      <c r="H305" s="199"/>
      <c r="I305" s="78"/>
      <c r="J305" s="79"/>
      <c r="K305" s="78"/>
      <c r="L305" s="113"/>
      <c r="M305" s="155"/>
      <c r="N305" s="114" t="str">
        <f>IFERROR(MIN(VLOOKUP(ROUNDDOWN(M305,0),'Aide calcul'!$B$2:$C$282,2,FALSE),L305+1),"")</f>
        <v/>
      </c>
      <c r="O305" s="115" t="str">
        <f t="shared" si="66"/>
        <v/>
      </c>
      <c r="P305" s="173"/>
      <c r="Q305" s="173"/>
      <c r="R305" s="173"/>
      <c r="S305" s="173"/>
      <c r="T305" s="173"/>
      <c r="U305" s="173"/>
      <c r="V305" s="173"/>
      <c r="W305" s="78"/>
      <c r="X305" s="78"/>
      <c r="Y305" s="116" t="str">
        <f>IFERROR(ROUND('Informations générales'!$D$66*(AE305/SUM($AE$27:$AE$403))/12,0)*12,"")</f>
        <v/>
      </c>
      <c r="Z305" s="117"/>
      <c r="AA305" s="116" t="str">
        <f t="shared" si="67"/>
        <v/>
      </c>
      <c r="AB305" s="78"/>
      <c r="AC305" s="92"/>
      <c r="AD305" s="78"/>
      <c r="AE305" s="58">
        <f t="shared" si="68"/>
        <v>0</v>
      </c>
      <c r="AF305" s="58">
        <f t="shared" si="57"/>
        <v>0</v>
      </c>
      <c r="AG305" s="58">
        <f t="shared" si="58"/>
        <v>0</v>
      </c>
      <c r="AH305" s="58">
        <f t="shared" si="59"/>
        <v>0</v>
      </c>
      <c r="AI305" s="58">
        <f t="shared" si="60"/>
        <v>0</v>
      </c>
      <c r="AJ305" s="58">
        <f t="shared" si="61"/>
        <v>0</v>
      </c>
      <c r="AK305" s="58">
        <f t="shared" si="62"/>
        <v>0</v>
      </c>
      <c r="AL305" s="58">
        <f t="shared" si="63"/>
        <v>0</v>
      </c>
      <c r="AM305" s="58">
        <f t="shared" si="69"/>
        <v>0</v>
      </c>
      <c r="AN305" s="62">
        <f t="shared" si="70"/>
        <v>0</v>
      </c>
      <c r="AO305" s="61">
        <f t="shared" si="64"/>
        <v>0</v>
      </c>
      <c r="AP305" s="61">
        <f t="shared" si="65"/>
        <v>0</v>
      </c>
    </row>
    <row r="306" spans="3:42" s="17" customFormat="1" x14ac:dyDescent="0.25">
      <c r="C306" s="216" t="s">
        <v>229</v>
      </c>
      <c r="D306" s="217"/>
      <c r="E306" s="90"/>
      <c r="F306" s="198"/>
      <c r="G306" s="214"/>
      <c r="H306" s="199"/>
      <c r="I306" s="78"/>
      <c r="J306" s="79"/>
      <c r="K306" s="78"/>
      <c r="L306" s="113"/>
      <c r="M306" s="155"/>
      <c r="N306" s="114" t="str">
        <f>IFERROR(MIN(VLOOKUP(ROUNDDOWN(M306,0),'Aide calcul'!$B$2:$C$282,2,FALSE),L306+1),"")</f>
        <v/>
      </c>
      <c r="O306" s="115" t="str">
        <f t="shared" si="66"/>
        <v/>
      </c>
      <c r="P306" s="173"/>
      <c r="Q306" s="173"/>
      <c r="R306" s="173"/>
      <c r="S306" s="173"/>
      <c r="T306" s="173"/>
      <c r="U306" s="173"/>
      <c r="V306" s="173"/>
      <c r="W306" s="78"/>
      <c r="X306" s="78"/>
      <c r="Y306" s="116" t="str">
        <f>IFERROR(ROUND('Informations générales'!$D$66*(AE306/SUM($AE$27:$AE$403))/12,0)*12,"")</f>
        <v/>
      </c>
      <c r="Z306" s="117"/>
      <c r="AA306" s="116" t="str">
        <f t="shared" si="67"/>
        <v/>
      </c>
      <c r="AB306" s="78"/>
      <c r="AC306" s="92"/>
      <c r="AD306" s="78"/>
      <c r="AE306" s="58">
        <f t="shared" si="68"/>
        <v>0</v>
      </c>
      <c r="AF306" s="58">
        <f t="shared" si="57"/>
        <v>0</v>
      </c>
      <c r="AG306" s="58">
        <f t="shared" si="58"/>
        <v>0</v>
      </c>
      <c r="AH306" s="58">
        <f t="shared" si="59"/>
        <v>0</v>
      </c>
      <c r="AI306" s="58">
        <f t="shared" si="60"/>
        <v>0</v>
      </c>
      <c r="AJ306" s="58">
        <f t="shared" si="61"/>
        <v>0</v>
      </c>
      <c r="AK306" s="58">
        <f t="shared" si="62"/>
        <v>0</v>
      </c>
      <c r="AL306" s="58">
        <f t="shared" si="63"/>
        <v>0</v>
      </c>
      <c r="AM306" s="58">
        <f t="shared" si="69"/>
        <v>0</v>
      </c>
      <c r="AN306" s="62">
        <f t="shared" si="70"/>
        <v>0</v>
      </c>
      <c r="AO306" s="61">
        <f t="shared" si="64"/>
        <v>0</v>
      </c>
      <c r="AP306" s="61">
        <f t="shared" si="65"/>
        <v>0</v>
      </c>
    </row>
    <row r="307" spans="3:42" s="17" customFormat="1" x14ac:dyDescent="0.25">
      <c r="C307" s="216" t="s">
        <v>229</v>
      </c>
      <c r="D307" s="217"/>
      <c r="E307" s="90"/>
      <c r="F307" s="198"/>
      <c r="G307" s="214"/>
      <c r="H307" s="199"/>
      <c r="I307" s="78"/>
      <c r="J307" s="79"/>
      <c r="K307" s="78"/>
      <c r="L307" s="113"/>
      <c r="M307" s="155"/>
      <c r="N307" s="114" t="str">
        <f>IFERROR(MIN(VLOOKUP(ROUNDDOWN(M307,0),'Aide calcul'!$B$2:$C$282,2,FALSE),L307+1),"")</f>
        <v/>
      </c>
      <c r="O307" s="115" t="str">
        <f t="shared" si="66"/>
        <v/>
      </c>
      <c r="P307" s="173"/>
      <c r="Q307" s="173"/>
      <c r="R307" s="173"/>
      <c r="S307" s="173"/>
      <c r="T307" s="173"/>
      <c r="U307" s="173"/>
      <c r="V307" s="173"/>
      <c r="W307" s="78"/>
      <c r="X307" s="78"/>
      <c r="Y307" s="116" t="str">
        <f>IFERROR(ROUND('Informations générales'!$D$66*(AE307/SUM($AE$27:$AE$403))/12,0)*12,"")</f>
        <v/>
      </c>
      <c r="Z307" s="117"/>
      <c r="AA307" s="116" t="str">
        <f t="shared" si="67"/>
        <v/>
      </c>
      <c r="AB307" s="78"/>
      <c r="AC307" s="92"/>
      <c r="AD307" s="78"/>
      <c r="AE307" s="58">
        <f t="shared" si="68"/>
        <v>0</v>
      </c>
      <c r="AF307" s="58">
        <f t="shared" si="57"/>
        <v>0</v>
      </c>
      <c r="AG307" s="58">
        <f t="shared" si="58"/>
        <v>0</v>
      </c>
      <c r="AH307" s="58">
        <f t="shared" si="59"/>
        <v>0</v>
      </c>
      <c r="AI307" s="58">
        <f t="shared" si="60"/>
        <v>0</v>
      </c>
      <c r="AJ307" s="58">
        <f t="shared" si="61"/>
        <v>0</v>
      </c>
      <c r="AK307" s="58">
        <f t="shared" si="62"/>
        <v>0</v>
      </c>
      <c r="AL307" s="58">
        <f t="shared" si="63"/>
        <v>0</v>
      </c>
      <c r="AM307" s="58">
        <f t="shared" si="69"/>
        <v>0</v>
      </c>
      <c r="AN307" s="62">
        <f t="shared" si="70"/>
        <v>0</v>
      </c>
      <c r="AO307" s="61">
        <f t="shared" si="64"/>
        <v>0</v>
      </c>
      <c r="AP307" s="61">
        <f t="shared" si="65"/>
        <v>0</v>
      </c>
    </row>
    <row r="308" spans="3:42" s="17" customFormat="1" x14ac:dyDescent="0.25">
      <c r="C308" s="216" t="s">
        <v>229</v>
      </c>
      <c r="D308" s="217"/>
      <c r="E308" s="90"/>
      <c r="F308" s="198"/>
      <c r="G308" s="214"/>
      <c r="H308" s="199"/>
      <c r="I308" s="78"/>
      <c r="J308" s="79"/>
      <c r="K308" s="78"/>
      <c r="L308" s="113"/>
      <c r="M308" s="155"/>
      <c r="N308" s="114" t="str">
        <f>IFERROR(MIN(VLOOKUP(ROUNDDOWN(M308,0),'Aide calcul'!$B$2:$C$282,2,FALSE),L308+1),"")</f>
        <v/>
      </c>
      <c r="O308" s="115" t="str">
        <f t="shared" si="66"/>
        <v/>
      </c>
      <c r="P308" s="173"/>
      <c r="Q308" s="173"/>
      <c r="R308" s="173"/>
      <c r="S308" s="173"/>
      <c r="T308" s="173"/>
      <c r="U308" s="173"/>
      <c r="V308" s="173"/>
      <c r="W308" s="78"/>
      <c r="X308" s="78"/>
      <c r="Y308" s="116" t="str">
        <f>IFERROR(ROUND('Informations générales'!$D$66*(AE308/SUM($AE$27:$AE$403))/12,0)*12,"")</f>
        <v/>
      </c>
      <c r="Z308" s="117"/>
      <c r="AA308" s="116" t="str">
        <f t="shared" si="67"/>
        <v/>
      </c>
      <c r="AB308" s="78"/>
      <c r="AC308" s="92"/>
      <c r="AD308" s="78"/>
      <c r="AE308" s="58">
        <f t="shared" si="68"/>
        <v>0</v>
      </c>
      <c r="AF308" s="58">
        <f t="shared" si="57"/>
        <v>0</v>
      </c>
      <c r="AG308" s="58">
        <f t="shared" si="58"/>
        <v>0</v>
      </c>
      <c r="AH308" s="58">
        <f t="shared" si="59"/>
        <v>0</v>
      </c>
      <c r="AI308" s="58">
        <f t="shared" si="60"/>
        <v>0</v>
      </c>
      <c r="AJ308" s="58">
        <f t="shared" si="61"/>
        <v>0</v>
      </c>
      <c r="AK308" s="58">
        <f t="shared" si="62"/>
        <v>0</v>
      </c>
      <c r="AL308" s="58">
        <f t="shared" si="63"/>
        <v>0</v>
      </c>
      <c r="AM308" s="58">
        <f t="shared" si="69"/>
        <v>0</v>
      </c>
      <c r="AN308" s="62">
        <f t="shared" si="70"/>
        <v>0</v>
      </c>
      <c r="AO308" s="61">
        <f t="shared" si="64"/>
        <v>0</v>
      </c>
      <c r="AP308" s="61">
        <f t="shared" si="65"/>
        <v>0</v>
      </c>
    </row>
    <row r="309" spans="3:42" s="17" customFormat="1" x14ac:dyDescent="0.25">
      <c r="C309" s="216" t="s">
        <v>229</v>
      </c>
      <c r="D309" s="217"/>
      <c r="E309" s="90"/>
      <c r="F309" s="198"/>
      <c r="G309" s="214"/>
      <c r="H309" s="199"/>
      <c r="I309" s="78"/>
      <c r="J309" s="79"/>
      <c r="K309" s="78"/>
      <c r="L309" s="113"/>
      <c r="M309" s="155"/>
      <c r="N309" s="114" t="str">
        <f>IFERROR(MIN(VLOOKUP(ROUNDDOWN(M309,0),'Aide calcul'!$B$2:$C$282,2,FALSE),L309+1),"")</f>
        <v/>
      </c>
      <c r="O309" s="115" t="str">
        <f t="shared" si="66"/>
        <v/>
      </c>
      <c r="P309" s="173"/>
      <c r="Q309" s="173"/>
      <c r="R309" s="173"/>
      <c r="S309" s="173"/>
      <c r="T309" s="173"/>
      <c r="U309" s="173"/>
      <c r="V309" s="173"/>
      <c r="W309" s="78"/>
      <c r="X309" s="78"/>
      <c r="Y309" s="116" t="str">
        <f>IFERROR(ROUND('Informations générales'!$D$66*(AE309/SUM($AE$27:$AE$403))/12,0)*12,"")</f>
        <v/>
      </c>
      <c r="Z309" s="117"/>
      <c r="AA309" s="116" t="str">
        <f t="shared" si="67"/>
        <v/>
      </c>
      <c r="AB309" s="78"/>
      <c r="AC309" s="92"/>
      <c r="AD309" s="78"/>
      <c r="AE309" s="58">
        <f t="shared" si="68"/>
        <v>0</v>
      </c>
      <c r="AF309" s="58">
        <f t="shared" si="57"/>
        <v>0</v>
      </c>
      <c r="AG309" s="58">
        <f t="shared" si="58"/>
        <v>0</v>
      </c>
      <c r="AH309" s="58">
        <f t="shared" si="59"/>
        <v>0</v>
      </c>
      <c r="AI309" s="58">
        <f t="shared" si="60"/>
        <v>0</v>
      </c>
      <c r="AJ309" s="58">
        <f t="shared" si="61"/>
        <v>0</v>
      </c>
      <c r="AK309" s="58">
        <f t="shared" si="62"/>
        <v>0</v>
      </c>
      <c r="AL309" s="58">
        <f t="shared" si="63"/>
        <v>0</v>
      </c>
      <c r="AM309" s="58">
        <f t="shared" si="69"/>
        <v>0</v>
      </c>
      <c r="AN309" s="62">
        <f t="shared" si="70"/>
        <v>0</v>
      </c>
      <c r="AO309" s="61">
        <f t="shared" si="64"/>
        <v>0</v>
      </c>
      <c r="AP309" s="61">
        <f t="shared" si="65"/>
        <v>0</v>
      </c>
    </row>
    <row r="310" spans="3:42" s="17" customFormat="1" x14ac:dyDescent="0.25">
      <c r="C310" s="216" t="s">
        <v>229</v>
      </c>
      <c r="D310" s="217"/>
      <c r="E310" s="90"/>
      <c r="F310" s="198"/>
      <c r="G310" s="214"/>
      <c r="H310" s="199"/>
      <c r="I310" s="78"/>
      <c r="J310" s="79"/>
      <c r="K310" s="78"/>
      <c r="L310" s="113"/>
      <c r="M310" s="155"/>
      <c r="N310" s="114" t="str">
        <f>IFERROR(MIN(VLOOKUP(ROUNDDOWN(M310,0),'Aide calcul'!$B$2:$C$282,2,FALSE),L310+1),"")</f>
        <v/>
      </c>
      <c r="O310" s="115" t="str">
        <f t="shared" si="66"/>
        <v/>
      </c>
      <c r="P310" s="173"/>
      <c r="Q310" s="173"/>
      <c r="R310" s="173"/>
      <c r="S310" s="173"/>
      <c r="T310" s="173"/>
      <c r="U310" s="173"/>
      <c r="V310" s="173"/>
      <c r="W310" s="78"/>
      <c r="X310" s="78"/>
      <c r="Y310" s="116" t="str">
        <f>IFERROR(ROUND('Informations générales'!$D$66*(AE310/SUM($AE$27:$AE$403))/12,0)*12,"")</f>
        <v/>
      </c>
      <c r="Z310" s="117"/>
      <c r="AA310" s="116" t="str">
        <f t="shared" si="67"/>
        <v/>
      </c>
      <c r="AB310" s="78"/>
      <c r="AC310" s="92"/>
      <c r="AD310" s="78"/>
      <c r="AE310" s="58">
        <f t="shared" si="68"/>
        <v>0</v>
      </c>
      <c r="AF310" s="58">
        <f t="shared" si="57"/>
        <v>0</v>
      </c>
      <c r="AG310" s="58">
        <f t="shared" si="58"/>
        <v>0</v>
      </c>
      <c r="AH310" s="58">
        <f t="shared" si="59"/>
        <v>0</v>
      </c>
      <c r="AI310" s="58">
        <f t="shared" si="60"/>
        <v>0</v>
      </c>
      <c r="AJ310" s="58">
        <f t="shared" si="61"/>
        <v>0</v>
      </c>
      <c r="AK310" s="58">
        <f t="shared" si="62"/>
        <v>0</v>
      </c>
      <c r="AL310" s="58">
        <f t="shared" si="63"/>
        <v>0</v>
      </c>
      <c r="AM310" s="58">
        <f t="shared" si="69"/>
        <v>0</v>
      </c>
      <c r="AN310" s="62">
        <f t="shared" si="70"/>
        <v>0</v>
      </c>
      <c r="AO310" s="61">
        <f t="shared" si="64"/>
        <v>0</v>
      </c>
      <c r="AP310" s="61">
        <f t="shared" si="65"/>
        <v>0</v>
      </c>
    </row>
    <row r="311" spans="3:42" s="17" customFormat="1" x14ac:dyDescent="0.25">
      <c r="C311" s="216" t="s">
        <v>229</v>
      </c>
      <c r="D311" s="217"/>
      <c r="E311" s="90"/>
      <c r="F311" s="198"/>
      <c r="G311" s="214"/>
      <c r="H311" s="199"/>
      <c r="I311" s="78"/>
      <c r="J311" s="79"/>
      <c r="K311" s="78"/>
      <c r="L311" s="113"/>
      <c r="M311" s="155"/>
      <c r="N311" s="114" t="str">
        <f>IFERROR(MIN(VLOOKUP(ROUNDDOWN(M311,0),'Aide calcul'!$B$2:$C$282,2,FALSE),L311+1),"")</f>
        <v/>
      </c>
      <c r="O311" s="115" t="str">
        <f t="shared" si="66"/>
        <v/>
      </c>
      <c r="P311" s="173"/>
      <c r="Q311" s="173"/>
      <c r="R311" s="173"/>
      <c r="S311" s="173"/>
      <c r="T311" s="173"/>
      <c r="U311" s="173"/>
      <c r="V311" s="173"/>
      <c r="W311" s="78"/>
      <c r="X311" s="78"/>
      <c r="Y311" s="116" t="str">
        <f>IFERROR(ROUND('Informations générales'!$D$66*(AE311/SUM($AE$27:$AE$403))/12,0)*12,"")</f>
        <v/>
      </c>
      <c r="Z311" s="117"/>
      <c r="AA311" s="116" t="str">
        <f t="shared" si="67"/>
        <v/>
      </c>
      <c r="AB311" s="78"/>
      <c r="AC311" s="92"/>
      <c r="AD311" s="78"/>
      <c r="AE311" s="58">
        <f t="shared" si="68"/>
        <v>0</v>
      </c>
      <c r="AF311" s="58">
        <f t="shared" si="57"/>
        <v>0</v>
      </c>
      <c r="AG311" s="58">
        <f t="shared" si="58"/>
        <v>0</v>
      </c>
      <c r="AH311" s="58">
        <f t="shared" si="59"/>
        <v>0</v>
      </c>
      <c r="AI311" s="58">
        <f t="shared" si="60"/>
        <v>0</v>
      </c>
      <c r="AJ311" s="58">
        <f t="shared" si="61"/>
        <v>0</v>
      </c>
      <c r="AK311" s="58">
        <f t="shared" si="62"/>
        <v>0</v>
      </c>
      <c r="AL311" s="58">
        <f t="shared" si="63"/>
        <v>0</v>
      </c>
      <c r="AM311" s="58">
        <f t="shared" si="69"/>
        <v>0</v>
      </c>
      <c r="AN311" s="62">
        <f t="shared" si="70"/>
        <v>0</v>
      </c>
      <c r="AO311" s="61">
        <f t="shared" si="64"/>
        <v>0</v>
      </c>
      <c r="AP311" s="61">
        <f t="shared" si="65"/>
        <v>0</v>
      </c>
    </row>
    <row r="312" spans="3:42" s="17" customFormat="1" x14ac:dyDescent="0.25">
      <c r="C312" s="216" t="s">
        <v>229</v>
      </c>
      <c r="D312" s="217"/>
      <c r="E312" s="90"/>
      <c r="F312" s="198"/>
      <c r="G312" s="214"/>
      <c r="H312" s="199"/>
      <c r="I312" s="78"/>
      <c r="J312" s="79"/>
      <c r="K312" s="78"/>
      <c r="L312" s="113"/>
      <c r="M312" s="155"/>
      <c r="N312" s="114" t="str">
        <f>IFERROR(MIN(VLOOKUP(ROUNDDOWN(M312,0),'Aide calcul'!$B$2:$C$282,2,FALSE),L312+1),"")</f>
        <v/>
      </c>
      <c r="O312" s="115" t="str">
        <f t="shared" si="66"/>
        <v/>
      </c>
      <c r="P312" s="173"/>
      <c r="Q312" s="173"/>
      <c r="R312" s="173"/>
      <c r="S312" s="173"/>
      <c r="T312" s="173"/>
      <c r="U312" s="173"/>
      <c r="V312" s="173"/>
      <c r="W312" s="78"/>
      <c r="X312" s="78"/>
      <c r="Y312" s="116" t="str">
        <f>IFERROR(ROUND('Informations générales'!$D$66*(AE312/SUM($AE$27:$AE$403))/12,0)*12,"")</f>
        <v/>
      </c>
      <c r="Z312" s="117"/>
      <c r="AA312" s="116" t="str">
        <f t="shared" si="67"/>
        <v/>
      </c>
      <c r="AB312" s="78"/>
      <c r="AC312" s="92"/>
      <c r="AD312" s="78"/>
      <c r="AE312" s="58">
        <f t="shared" si="68"/>
        <v>0</v>
      </c>
      <c r="AF312" s="58">
        <f t="shared" si="57"/>
        <v>0</v>
      </c>
      <c r="AG312" s="58">
        <f t="shared" si="58"/>
        <v>0</v>
      </c>
      <c r="AH312" s="58">
        <f t="shared" si="59"/>
        <v>0</v>
      </c>
      <c r="AI312" s="58">
        <f t="shared" si="60"/>
        <v>0</v>
      </c>
      <c r="AJ312" s="58">
        <f t="shared" si="61"/>
        <v>0</v>
      </c>
      <c r="AK312" s="58">
        <f t="shared" si="62"/>
        <v>0</v>
      </c>
      <c r="AL312" s="58">
        <f t="shared" si="63"/>
        <v>0</v>
      </c>
      <c r="AM312" s="58">
        <f t="shared" si="69"/>
        <v>0</v>
      </c>
      <c r="AN312" s="62">
        <f t="shared" si="70"/>
        <v>0</v>
      </c>
      <c r="AO312" s="61">
        <f t="shared" si="64"/>
        <v>0</v>
      </c>
      <c r="AP312" s="61">
        <f t="shared" si="65"/>
        <v>0</v>
      </c>
    </row>
    <row r="313" spans="3:42" s="17" customFormat="1" x14ac:dyDescent="0.25">
      <c r="C313" s="216" t="s">
        <v>229</v>
      </c>
      <c r="D313" s="217"/>
      <c r="E313" s="90"/>
      <c r="F313" s="198"/>
      <c r="G313" s="214"/>
      <c r="H313" s="199"/>
      <c r="I313" s="78"/>
      <c r="J313" s="79"/>
      <c r="K313" s="78"/>
      <c r="L313" s="113"/>
      <c r="M313" s="155"/>
      <c r="N313" s="114" t="str">
        <f>IFERROR(MIN(VLOOKUP(ROUNDDOWN(M313,0),'Aide calcul'!$B$2:$C$282,2,FALSE),L313+1),"")</f>
        <v/>
      </c>
      <c r="O313" s="115" t="str">
        <f t="shared" si="66"/>
        <v/>
      </c>
      <c r="P313" s="173"/>
      <c r="Q313" s="173"/>
      <c r="R313" s="173"/>
      <c r="S313" s="173"/>
      <c r="T313" s="173"/>
      <c r="U313" s="173"/>
      <c r="V313" s="173"/>
      <c r="W313" s="78"/>
      <c r="X313" s="78"/>
      <c r="Y313" s="116" t="str">
        <f>IFERROR(ROUND('Informations générales'!$D$66*(AE313/SUM($AE$27:$AE$403))/12,0)*12,"")</f>
        <v/>
      </c>
      <c r="Z313" s="117"/>
      <c r="AA313" s="116" t="str">
        <f t="shared" si="67"/>
        <v/>
      </c>
      <c r="AB313" s="78"/>
      <c r="AC313" s="92"/>
      <c r="AD313" s="78"/>
      <c r="AE313" s="58">
        <f t="shared" si="68"/>
        <v>0</v>
      </c>
      <c r="AF313" s="58">
        <f t="shared" si="57"/>
        <v>0</v>
      </c>
      <c r="AG313" s="58">
        <f t="shared" si="58"/>
        <v>0</v>
      </c>
      <c r="AH313" s="58">
        <f t="shared" si="59"/>
        <v>0</v>
      </c>
      <c r="AI313" s="58">
        <f t="shared" si="60"/>
        <v>0</v>
      </c>
      <c r="AJ313" s="58">
        <f t="shared" si="61"/>
        <v>0</v>
      </c>
      <c r="AK313" s="58">
        <f t="shared" si="62"/>
        <v>0</v>
      </c>
      <c r="AL313" s="58">
        <f t="shared" si="63"/>
        <v>0</v>
      </c>
      <c r="AM313" s="58">
        <f t="shared" si="69"/>
        <v>0</v>
      </c>
      <c r="AN313" s="62">
        <f t="shared" si="70"/>
        <v>0</v>
      </c>
      <c r="AO313" s="61">
        <f t="shared" si="64"/>
        <v>0</v>
      </c>
      <c r="AP313" s="61">
        <f t="shared" si="65"/>
        <v>0</v>
      </c>
    </row>
    <row r="314" spans="3:42" s="17" customFormat="1" x14ac:dyDescent="0.25">
      <c r="C314" s="216" t="s">
        <v>229</v>
      </c>
      <c r="D314" s="217"/>
      <c r="E314" s="90"/>
      <c r="F314" s="198"/>
      <c r="G314" s="214"/>
      <c r="H314" s="199"/>
      <c r="I314" s="78"/>
      <c r="J314" s="79"/>
      <c r="K314" s="78"/>
      <c r="L314" s="113"/>
      <c r="M314" s="155"/>
      <c r="N314" s="114" t="str">
        <f>IFERROR(MIN(VLOOKUP(ROUNDDOWN(M314,0),'Aide calcul'!$B$2:$C$282,2,FALSE),L314+1),"")</f>
        <v/>
      </c>
      <c r="O314" s="115" t="str">
        <f t="shared" si="66"/>
        <v/>
      </c>
      <c r="P314" s="173"/>
      <c r="Q314" s="173"/>
      <c r="R314" s="173"/>
      <c r="S314" s="173"/>
      <c r="T314" s="173"/>
      <c r="U314" s="173"/>
      <c r="V314" s="173"/>
      <c r="W314" s="78"/>
      <c r="X314" s="78"/>
      <c r="Y314" s="116" t="str">
        <f>IFERROR(ROUND('Informations générales'!$D$66*(AE314/SUM($AE$27:$AE$403))/12,0)*12,"")</f>
        <v/>
      </c>
      <c r="Z314" s="117"/>
      <c r="AA314" s="116" t="str">
        <f t="shared" si="67"/>
        <v/>
      </c>
      <c r="AB314" s="78"/>
      <c r="AC314" s="92"/>
      <c r="AD314" s="78"/>
      <c r="AE314" s="58">
        <f t="shared" si="68"/>
        <v>0</v>
      </c>
      <c r="AF314" s="58">
        <f t="shared" si="57"/>
        <v>0</v>
      </c>
      <c r="AG314" s="58">
        <f t="shared" si="58"/>
        <v>0</v>
      </c>
      <c r="AH314" s="58">
        <f t="shared" si="59"/>
        <v>0</v>
      </c>
      <c r="AI314" s="58">
        <f t="shared" si="60"/>
        <v>0</v>
      </c>
      <c r="AJ314" s="58">
        <f t="shared" si="61"/>
        <v>0</v>
      </c>
      <c r="AK314" s="58">
        <f t="shared" si="62"/>
        <v>0</v>
      </c>
      <c r="AL314" s="58">
        <f t="shared" si="63"/>
        <v>0</v>
      </c>
      <c r="AM314" s="58">
        <f t="shared" si="69"/>
        <v>0</v>
      </c>
      <c r="AN314" s="62">
        <f t="shared" si="70"/>
        <v>0</v>
      </c>
      <c r="AO314" s="61">
        <f t="shared" si="64"/>
        <v>0</v>
      </c>
      <c r="AP314" s="61">
        <f t="shared" si="65"/>
        <v>0</v>
      </c>
    </row>
    <row r="315" spans="3:42" s="17" customFormat="1" x14ac:dyDescent="0.25">
      <c r="C315" s="216" t="s">
        <v>229</v>
      </c>
      <c r="D315" s="217"/>
      <c r="E315" s="90"/>
      <c r="F315" s="198"/>
      <c r="G315" s="214"/>
      <c r="H315" s="199"/>
      <c r="I315" s="78"/>
      <c r="J315" s="79"/>
      <c r="K315" s="78"/>
      <c r="L315" s="113"/>
      <c r="M315" s="155"/>
      <c r="N315" s="114" t="str">
        <f>IFERROR(MIN(VLOOKUP(ROUNDDOWN(M315,0),'Aide calcul'!$B$2:$C$282,2,FALSE),L315+1),"")</f>
        <v/>
      </c>
      <c r="O315" s="115" t="str">
        <f t="shared" si="66"/>
        <v/>
      </c>
      <c r="P315" s="173"/>
      <c r="Q315" s="173"/>
      <c r="R315" s="173"/>
      <c r="S315" s="173"/>
      <c r="T315" s="173"/>
      <c r="U315" s="173"/>
      <c r="V315" s="173"/>
      <c r="W315" s="78"/>
      <c r="X315" s="78"/>
      <c r="Y315" s="116" t="str">
        <f>IFERROR(ROUND('Informations générales'!$D$66*(AE315/SUM($AE$27:$AE$403))/12,0)*12,"")</f>
        <v/>
      </c>
      <c r="Z315" s="117"/>
      <c r="AA315" s="116" t="str">
        <f t="shared" si="67"/>
        <v/>
      </c>
      <c r="AB315" s="78"/>
      <c r="AC315" s="92"/>
      <c r="AD315" s="78"/>
      <c r="AE315" s="58">
        <f t="shared" si="68"/>
        <v>0</v>
      </c>
      <c r="AF315" s="58">
        <f t="shared" si="57"/>
        <v>0</v>
      </c>
      <c r="AG315" s="58">
        <f t="shared" si="58"/>
        <v>0</v>
      </c>
      <c r="AH315" s="58">
        <f t="shared" si="59"/>
        <v>0</v>
      </c>
      <c r="AI315" s="58">
        <f t="shared" si="60"/>
        <v>0</v>
      </c>
      <c r="AJ315" s="58">
        <f t="shared" si="61"/>
        <v>0</v>
      </c>
      <c r="AK315" s="58">
        <f t="shared" si="62"/>
        <v>0</v>
      </c>
      <c r="AL315" s="58">
        <f t="shared" si="63"/>
        <v>0</v>
      </c>
      <c r="AM315" s="58">
        <f t="shared" si="69"/>
        <v>0</v>
      </c>
      <c r="AN315" s="62">
        <f t="shared" si="70"/>
        <v>0</v>
      </c>
      <c r="AO315" s="61">
        <f t="shared" si="64"/>
        <v>0</v>
      </c>
      <c r="AP315" s="61">
        <f t="shared" si="65"/>
        <v>0</v>
      </c>
    </row>
    <row r="316" spans="3:42" s="17" customFormat="1" x14ac:dyDescent="0.25">
      <c r="C316" s="216" t="s">
        <v>229</v>
      </c>
      <c r="D316" s="217"/>
      <c r="E316" s="90"/>
      <c r="F316" s="198"/>
      <c r="G316" s="214"/>
      <c r="H316" s="199"/>
      <c r="I316" s="78"/>
      <c r="J316" s="79"/>
      <c r="K316" s="78"/>
      <c r="L316" s="113"/>
      <c r="M316" s="155"/>
      <c r="N316" s="114" t="str">
        <f>IFERROR(MIN(VLOOKUP(ROUNDDOWN(M316,0),'Aide calcul'!$B$2:$C$282,2,FALSE),L316+1),"")</f>
        <v/>
      </c>
      <c r="O316" s="115" t="str">
        <f t="shared" si="66"/>
        <v/>
      </c>
      <c r="P316" s="173"/>
      <c r="Q316" s="173"/>
      <c r="R316" s="173"/>
      <c r="S316" s="173"/>
      <c r="T316" s="173"/>
      <c r="U316" s="173"/>
      <c r="V316" s="173"/>
      <c r="W316" s="78"/>
      <c r="X316" s="78"/>
      <c r="Y316" s="116" t="str">
        <f>IFERROR(ROUND('Informations générales'!$D$66*(AE316/SUM($AE$27:$AE$403))/12,0)*12,"")</f>
        <v/>
      </c>
      <c r="Z316" s="117"/>
      <c r="AA316" s="116" t="str">
        <f t="shared" si="67"/>
        <v/>
      </c>
      <c r="AB316" s="78"/>
      <c r="AC316" s="92"/>
      <c r="AD316" s="78"/>
      <c r="AE316" s="58">
        <f t="shared" si="68"/>
        <v>0</v>
      </c>
      <c r="AF316" s="58">
        <f t="shared" si="57"/>
        <v>0</v>
      </c>
      <c r="AG316" s="58">
        <f t="shared" si="58"/>
        <v>0</v>
      </c>
      <c r="AH316" s="58">
        <f t="shared" si="59"/>
        <v>0</v>
      </c>
      <c r="AI316" s="58">
        <f t="shared" si="60"/>
        <v>0</v>
      </c>
      <c r="AJ316" s="58">
        <f t="shared" si="61"/>
        <v>0</v>
      </c>
      <c r="AK316" s="58">
        <f t="shared" si="62"/>
        <v>0</v>
      </c>
      <c r="AL316" s="58">
        <f t="shared" si="63"/>
        <v>0</v>
      </c>
      <c r="AM316" s="58">
        <f t="shared" si="69"/>
        <v>0</v>
      </c>
      <c r="AN316" s="62">
        <f t="shared" si="70"/>
        <v>0</v>
      </c>
      <c r="AO316" s="61">
        <f t="shared" si="64"/>
        <v>0</v>
      </c>
      <c r="AP316" s="61">
        <f t="shared" si="65"/>
        <v>0</v>
      </c>
    </row>
    <row r="317" spans="3:42" s="17" customFormat="1" x14ac:dyDescent="0.25">
      <c r="C317" s="216" t="s">
        <v>229</v>
      </c>
      <c r="D317" s="217"/>
      <c r="E317" s="90"/>
      <c r="F317" s="198"/>
      <c r="G317" s="214"/>
      <c r="H317" s="199"/>
      <c r="I317" s="78"/>
      <c r="J317" s="79"/>
      <c r="K317" s="78"/>
      <c r="L317" s="113"/>
      <c r="M317" s="155"/>
      <c r="N317" s="114" t="str">
        <f>IFERROR(MIN(VLOOKUP(ROUNDDOWN(M317,0),'Aide calcul'!$B$2:$C$282,2,FALSE),L317+1),"")</f>
        <v/>
      </c>
      <c r="O317" s="115" t="str">
        <f t="shared" si="66"/>
        <v/>
      </c>
      <c r="P317" s="173"/>
      <c r="Q317" s="173"/>
      <c r="R317" s="173"/>
      <c r="S317" s="173"/>
      <c r="T317" s="173"/>
      <c r="U317" s="173"/>
      <c r="V317" s="173"/>
      <c r="W317" s="78"/>
      <c r="X317" s="78"/>
      <c r="Y317" s="116" t="str">
        <f>IFERROR(ROUND('Informations générales'!$D$66*(AE317/SUM($AE$27:$AE$403))/12,0)*12,"")</f>
        <v/>
      </c>
      <c r="Z317" s="117"/>
      <c r="AA317" s="116" t="str">
        <f t="shared" si="67"/>
        <v/>
      </c>
      <c r="AB317" s="78"/>
      <c r="AC317" s="92"/>
      <c r="AD317" s="78"/>
      <c r="AE317" s="58">
        <f t="shared" si="68"/>
        <v>0</v>
      </c>
      <c r="AF317" s="58">
        <f t="shared" si="57"/>
        <v>0</v>
      </c>
      <c r="AG317" s="58">
        <f t="shared" si="58"/>
        <v>0</v>
      </c>
      <c r="AH317" s="58">
        <f t="shared" si="59"/>
        <v>0</v>
      </c>
      <c r="AI317" s="58">
        <f t="shared" si="60"/>
        <v>0</v>
      </c>
      <c r="AJ317" s="58">
        <f t="shared" si="61"/>
        <v>0</v>
      </c>
      <c r="AK317" s="58">
        <f t="shared" si="62"/>
        <v>0</v>
      </c>
      <c r="AL317" s="58">
        <f t="shared" si="63"/>
        <v>0</v>
      </c>
      <c r="AM317" s="58">
        <f t="shared" si="69"/>
        <v>0</v>
      </c>
      <c r="AN317" s="62">
        <f t="shared" si="70"/>
        <v>0</v>
      </c>
      <c r="AO317" s="61">
        <f t="shared" si="64"/>
        <v>0</v>
      </c>
      <c r="AP317" s="61">
        <f t="shared" si="65"/>
        <v>0</v>
      </c>
    </row>
    <row r="318" spans="3:42" s="17" customFormat="1" x14ac:dyDescent="0.25">
      <c r="C318" s="216" t="s">
        <v>229</v>
      </c>
      <c r="D318" s="217"/>
      <c r="E318" s="90"/>
      <c r="F318" s="198"/>
      <c r="G318" s="214"/>
      <c r="H318" s="199"/>
      <c r="I318" s="78"/>
      <c r="J318" s="79"/>
      <c r="K318" s="78"/>
      <c r="L318" s="113"/>
      <c r="M318" s="155"/>
      <c r="N318" s="114" t="str">
        <f>IFERROR(MIN(VLOOKUP(ROUNDDOWN(M318,0),'Aide calcul'!$B$2:$C$282,2,FALSE),L318+1),"")</f>
        <v/>
      </c>
      <c r="O318" s="115" t="str">
        <f t="shared" si="66"/>
        <v/>
      </c>
      <c r="P318" s="173"/>
      <c r="Q318" s="173"/>
      <c r="R318" s="173"/>
      <c r="S318" s="173"/>
      <c r="T318" s="173"/>
      <c r="U318" s="173"/>
      <c r="V318" s="173"/>
      <c r="W318" s="78"/>
      <c r="X318" s="78"/>
      <c r="Y318" s="116" t="str">
        <f>IFERROR(ROUND('Informations générales'!$D$66*(AE318/SUM($AE$27:$AE$403))/12,0)*12,"")</f>
        <v/>
      </c>
      <c r="Z318" s="117"/>
      <c r="AA318" s="116" t="str">
        <f t="shared" si="67"/>
        <v/>
      </c>
      <c r="AB318" s="78"/>
      <c r="AC318" s="92"/>
      <c r="AD318" s="78"/>
      <c r="AE318" s="58">
        <f t="shared" si="68"/>
        <v>0</v>
      </c>
      <c r="AF318" s="58">
        <f t="shared" si="57"/>
        <v>0</v>
      </c>
      <c r="AG318" s="58">
        <f t="shared" si="58"/>
        <v>0</v>
      </c>
      <c r="AH318" s="58">
        <f t="shared" si="59"/>
        <v>0</v>
      </c>
      <c r="AI318" s="58">
        <f t="shared" si="60"/>
        <v>0</v>
      </c>
      <c r="AJ318" s="58">
        <f t="shared" si="61"/>
        <v>0</v>
      </c>
      <c r="AK318" s="58">
        <f t="shared" si="62"/>
        <v>0</v>
      </c>
      <c r="AL318" s="58">
        <f t="shared" si="63"/>
        <v>0</v>
      </c>
      <c r="AM318" s="58">
        <f t="shared" si="69"/>
        <v>0</v>
      </c>
      <c r="AN318" s="62">
        <f t="shared" si="70"/>
        <v>0</v>
      </c>
      <c r="AO318" s="61">
        <f t="shared" si="64"/>
        <v>0</v>
      </c>
      <c r="AP318" s="61">
        <f t="shared" si="65"/>
        <v>0</v>
      </c>
    </row>
    <row r="319" spans="3:42" s="17" customFormat="1" x14ac:dyDescent="0.25">
      <c r="C319" s="216" t="s">
        <v>229</v>
      </c>
      <c r="D319" s="217"/>
      <c r="E319" s="90"/>
      <c r="F319" s="198"/>
      <c r="G319" s="214"/>
      <c r="H319" s="199"/>
      <c r="I319" s="78"/>
      <c r="J319" s="79"/>
      <c r="K319" s="78"/>
      <c r="L319" s="113"/>
      <c r="M319" s="155"/>
      <c r="N319" s="114" t="str">
        <f>IFERROR(MIN(VLOOKUP(ROUNDDOWN(M319,0),'Aide calcul'!$B$2:$C$282,2,FALSE),L319+1),"")</f>
        <v/>
      </c>
      <c r="O319" s="115" t="str">
        <f t="shared" si="66"/>
        <v/>
      </c>
      <c r="P319" s="173"/>
      <c r="Q319" s="173"/>
      <c r="R319" s="173"/>
      <c r="S319" s="173"/>
      <c r="T319" s="173"/>
      <c r="U319" s="173"/>
      <c r="V319" s="173"/>
      <c r="W319" s="78"/>
      <c r="X319" s="78"/>
      <c r="Y319" s="116" t="str">
        <f>IFERROR(ROUND('Informations générales'!$D$66*(AE319/SUM($AE$27:$AE$403))/12,0)*12,"")</f>
        <v/>
      </c>
      <c r="Z319" s="117"/>
      <c r="AA319" s="116" t="str">
        <f t="shared" si="67"/>
        <v/>
      </c>
      <c r="AB319" s="78"/>
      <c r="AC319" s="92"/>
      <c r="AD319" s="78"/>
      <c r="AE319" s="58">
        <f t="shared" si="68"/>
        <v>0</v>
      </c>
      <c r="AF319" s="58">
        <f t="shared" si="57"/>
        <v>0</v>
      </c>
      <c r="AG319" s="58">
        <f t="shared" si="58"/>
        <v>0</v>
      </c>
      <c r="AH319" s="58">
        <f t="shared" si="59"/>
        <v>0</v>
      </c>
      <c r="AI319" s="58">
        <f t="shared" si="60"/>
        <v>0</v>
      </c>
      <c r="AJ319" s="58">
        <f t="shared" si="61"/>
        <v>0</v>
      </c>
      <c r="AK319" s="58">
        <f t="shared" si="62"/>
        <v>0</v>
      </c>
      <c r="AL319" s="58">
        <f t="shared" si="63"/>
        <v>0</v>
      </c>
      <c r="AM319" s="58">
        <f t="shared" si="69"/>
        <v>0</v>
      </c>
      <c r="AN319" s="62">
        <f t="shared" si="70"/>
        <v>0</v>
      </c>
      <c r="AO319" s="61">
        <f t="shared" si="64"/>
        <v>0</v>
      </c>
      <c r="AP319" s="61">
        <f t="shared" si="65"/>
        <v>0</v>
      </c>
    </row>
    <row r="320" spans="3:42" s="17" customFormat="1" x14ac:dyDescent="0.25">
      <c r="C320" s="216" t="s">
        <v>229</v>
      </c>
      <c r="D320" s="217"/>
      <c r="E320" s="90"/>
      <c r="F320" s="198"/>
      <c r="G320" s="214"/>
      <c r="H320" s="199"/>
      <c r="I320" s="78"/>
      <c r="J320" s="79"/>
      <c r="K320" s="78"/>
      <c r="L320" s="113"/>
      <c r="M320" s="155"/>
      <c r="N320" s="114" t="str">
        <f>IFERROR(MIN(VLOOKUP(ROUNDDOWN(M320,0),'Aide calcul'!$B$2:$C$282,2,FALSE),L320+1),"")</f>
        <v/>
      </c>
      <c r="O320" s="115" t="str">
        <f t="shared" si="66"/>
        <v/>
      </c>
      <c r="P320" s="173"/>
      <c r="Q320" s="173"/>
      <c r="R320" s="173"/>
      <c r="S320" s="173"/>
      <c r="T320" s="173"/>
      <c r="U320" s="173"/>
      <c r="V320" s="173"/>
      <c r="W320" s="78"/>
      <c r="X320" s="78"/>
      <c r="Y320" s="116" t="str">
        <f>IFERROR(ROUND('Informations générales'!$D$66*(AE320/SUM($AE$27:$AE$403))/12,0)*12,"")</f>
        <v/>
      </c>
      <c r="Z320" s="117"/>
      <c r="AA320" s="116" t="str">
        <f t="shared" si="67"/>
        <v/>
      </c>
      <c r="AB320" s="78"/>
      <c r="AC320" s="92"/>
      <c r="AD320" s="78"/>
      <c r="AE320" s="58">
        <f t="shared" si="68"/>
        <v>0</v>
      </c>
      <c r="AF320" s="58">
        <f t="shared" si="57"/>
        <v>0</v>
      </c>
      <c r="AG320" s="58">
        <f t="shared" si="58"/>
        <v>0</v>
      </c>
      <c r="AH320" s="58">
        <f t="shared" si="59"/>
        <v>0</v>
      </c>
      <c r="AI320" s="58">
        <f t="shared" si="60"/>
        <v>0</v>
      </c>
      <c r="AJ320" s="58">
        <f t="shared" si="61"/>
        <v>0</v>
      </c>
      <c r="AK320" s="58">
        <f t="shared" si="62"/>
        <v>0</v>
      </c>
      <c r="AL320" s="58">
        <f t="shared" si="63"/>
        <v>0</v>
      </c>
      <c r="AM320" s="58">
        <f t="shared" si="69"/>
        <v>0</v>
      </c>
      <c r="AN320" s="62">
        <f t="shared" si="70"/>
        <v>0</v>
      </c>
      <c r="AO320" s="61">
        <f t="shared" si="64"/>
        <v>0</v>
      </c>
      <c r="AP320" s="61">
        <f t="shared" si="65"/>
        <v>0</v>
      </c>
    </row>
    <row r="321" spans="3:42" s="17" customFormat="1" x14ac:dyDescent="0.25">
      <c r="C321" s="216" t="s">
        <v>229</v>
      </c>
      <c r="D321" s="217"/>
      <c r="E321" s="90"/>
      <c r="F321" s="198"/>
      <c r="G321" s="214"/>
      <c r="H321" s="199"/>
      <c r="I321" s="78"/>
      <c r="J321" s="79"/>
      <c r="K321" s="78"/>
      <c r="L321" s="113"/>
      <c r="M321" s="155"/>
      <c r="N321" s="114" t="str">
        <f>IFERROR(MIN(VLOOKUP(ROUNDDOWN(M321,0),'Aide calcul'!$B$2:$C$282,2,FALSE),L321+1),"")</f>
        <v/>
      </c>
      <c r="O321" s="115" t="str">
        <f t="shared" si="66"/>
        <v/>
      </c>
      <c r="P321" s="173"/>
      <c r="Q321" s="173"/>
      <c r="R321" s="173"/>
      <c r="S321" s="173"/>
      <c r="T321" s="173"/>
      <c r="U321" s="173"/>
      <c r="V321" s="173"/>
      <c r="W321" s="78"/>
      <c r="X321" s="78"/>
      <c r="Y321" s="116" t="str">
        <f>IFERROR(ROUND('Informations générales'!$D$66*(AE321/SUM($AE$27:$AE$403))/12,0)*12,"")</f>
        <v/>
      </c>
      <c r="Z321" s="117"/>
      <c r="AA321" s="116" t="str">
        <f t="shared" si="67"/>
        <v/>
      </c>
      <c r="AB321" s="78"/>
      <c r="AC321" s="92"/>
      <c r="AD321" s="78"/>
      <c r="AE321" s="58">
        <f t="shared" si="68"/>
        <v>0</v>
      </c>
      <c r="AF321" s="58">
        <f t="shared" si="57"/>
        <v>0</v>
      </c>
      <c r="AG321" s="58">
        <f t="shared" si="58"/>
        <v>0</v>
      </c>
      <c r="AH321" s="58">
        <f t="shared" si="59"/>
        <v>0</v>
      </c>
      <c r="AI321" s="58">
        <f t="shared" si="60"/>
        <v>0</v>
      </c>
      <c r="AJ321" s="58">
        <f t="shared" si="61"/>
        <v>0</v>
      </c>
      <c r="AK321" s="58">
        <f t="shared" si="62"/>
        <v>0</v>
      </c>
      <c r="AL321" s="58">
        <f t="shared" si="63"/>
        <v>0</v>
      </c>
      <c r="AM321" s="58">
        <f t="shared" si="69"/>
        <v>0</v>
      </c>
      <c r="AN321" s="62">
        <f t="shared" si="70"/>
        <v>0</v>
      </c>
      <c r="AO321" s="61">
        <f t="shared" si="64"/>
        <v>0</v>
      </c>
      <c r="AP321" s="61">
        <f t="shared" si="65"/>
        <v>0</v>
      </c>
    </row>
    <row r="322" spans="3:42" s="17" customFormat="1" x14ac:dyDescent="0.25">
      <c r="C322" s="216" t="s">
        <v>229</v>
      </c>
      <c r="D322" s="217"/>
      <c r="E322" s="90"/>
      <c r="F322" s="198"/>
      <c r="G322" s="214"/>
      <c r="H322" s="199"/>
      <c r="I322" s="78"/>
      <c r="J322" s="79"/>
      <c r="K322" s="78"/>
      <c r="L322" s="113"/>
      <c r="M322" s="155"/>
      <c r="N322" s="114" t="str">
        <f>IFERROR(MIN(VLOOKUP(ROUNDDOWN(M322,0),'Aide calcul'!$B$2:$C$282,2,FALSE),L322+1),"")</f>
        <v/>
      </c>
      <c r="O322" s="115" t="str">
        <f t="shared" si="66"/>
        <v/>
      </c>
      <c r="P322" s="173"/>
      <c r="Q322" s="173"/>
      <c r="R322" s="173"/>
      <c r="S322" s="173"/>
      <c r="T322" s="173"/>
      <c r="U322" s="173"/>
      <c r="V322" s="173"/>
      <c r="W322" s="78"/>
      <c r="X322" s="78"/>
      <c r="Y322" s="116" t="str">
        <f>IFERROR(ROUND('Informations générales'!$D$66*(AE322/SUM($AE$27:$AE$403))/12,0)*12,"")</f>
        <v/>
      </c>
      <c r="Z322" s="117"/>
      <c r="AA322" s="116" t="str">
        <f t="shared" si="67"/>
        <v/>
      </c>
      <c r="AB322" s="78"/>
      <c r="AC322" s="92"/>
      <c r="AD322" s="78"/>
      <c r="AE322" s="58">
        <f t="shared" si="68"/>
        <v>0</v>
      </c>
      <c r="AF322" s="58">
        <f t="shared" si="57"/>
        <v>0</v>
      </c>
      <c r="AG322" s="58">
        <f t="shared" si="58"/>
        <v>0</v>
      </c>
      <c r="AH322" s="58">
        <f t="shared" si="59"/>
        <v>0</v>
      </c>
      <c r="AI322" s="58">
        <f t="shared" si="60"/>
        <v>0</v>
      </c>
      <c r="AJ322" s="58">
        <f t="shared" si="61"/>
        <v>0</v>
      </c>
      <c r="AK322" s="58">
        <f t="shared" si="62"/>
        <v>0</v>
      </c>
      <c r="AL322" s="58">
        <f t="shared" si="63"/>
        <v>0</v>
      </c>
      <c r="AM322" s="58">
        <f t="shared" si="69"/>
        <v>0</v>
      </c>
      <c r="AN322" s="62">
        <f t="shared" si="70"/>
        <v>0</v>
      </c>
      <c r="AO322" s="61">
        <f t="shared" si="64"/>
        <v>0</v>
      </c>
      <c r="AP322" s="61">
        <f t="shared" si="65"/>
        <v>0</v>
      </c>
    </row>
    <row r="323" spans="3:42" s="17" customFormat="1" x14ac:dyDescent="0.25">
      <c r="C323" s="216" t="s">
        <v>229</v>
      </c>
      <c r="D323" s="217"/>
      <c r="E323" s="90"/>
      <c r="F323" s="198"/>
      <c r="G323" s="214"/>
      <c r="H323" s="199"/>
      <c r="I323" s="78"/>
      <c r="J323" s="79"/>
      <c r="K323" s="78"/>
      <c r="L323" s="113"/>
      <c r="M323" s="155"/>
      <c r="N323" s="114" t="str">
        <f>IFERROR(MIN(VLOOKUP(ROUNDDOWN(M323,0),'Aide calcul'!$B$2:$C$282,2,FALSE),L323+1),"")</f>
        <v/>
      </c>
      <c r="O323" s="115" t="str">
        <f t="shared" si="66"/>
        <v/>
      </c>
      <c r="P323" s="173"/>
      <c r="Q323" s="173"/>
      <c r="R323" s="173"/>
      <c r="S323" s="173"/>
      <c r="T323" s="173"/>
      <c r="U323" s="173"/>
      <c r="V323" s="173"/>
      <c r="W323" s="78"/>
      <c r="X323" s="78"/>
      <c r="Y323" s="116" t="str">
        <f>IFERROR(ROUND('Informations générales'!$D$66*(AE323/SUM($AE$27:$AE$403))/12,0)*12,"")</f>
        <v/>
      </c>
      <c r="Z323" s="117"/>
      <c r="AA323" s="116" t="str">
        <f t="shared" si="67"/>
        <v/>
      </c>
      <c r="AB323" s="78"/>
      <c r="AC323" s="92"/>
      <c r="AD323" s="78"/>
      <c r="AE323" s="58">
        <f t="shared" si="68"/>
        <v>0</v>
      </c>
      <c r="AF323" s="58">
        <f t="shared" si="57"/>
        <v>0</v>
      </c>
      <c r="AG323" s="58">
        <f t="shared" si="58"/>
        <v>0</v>
      </c>
      <c r="AH323" s="58">
        <f t="shared" si="59"/>
        <v>0</v>
      </c>
      <c r="AI323" s="58">
        <f t="shared" si="60"/>
        <v>0</v>
      </c>
      <c r="AJ323" s="58">
        <f t="shared" si="61"/>
        <v>0</v>
      </c>
      <c r="AK323" s="58">
        <f t="shared" si="62"/>
        <v>0</v>
      </c>
      <c r="AL323" s="58">
        <f t="shared" si="63"/>
        <v>0</v>
      </c>
      <c r="AM323" s="58">
        <f t="shared" si="69"/>
        <v>0</v>
      </c>
      <c r="AN323" s="62">
        <f t="shared" si="70"/>
        <v>0</v>
      </c>
      <c r="AO323" s="61">
        <f t="shared" si="64"/>
        <v>0</v>
      </c>
      <c r="AP323" s="61">
        <f t="shared" si="65"/>
        <v>0</v>
      </c>
    </row>
    <row r="324" spans="3:42" s="17" customFormat="1" x14ac:dyDescent="0.25">
      <c r="C324" s="216" t="s">
        <v>229</v>
      </c>
      <c r="D324" s="217"/>
      <c r="E324" s="90"/>
      <c r="F324" s="198"/>
      <c r="G324" s="214"/>
      <c r="H324" s="199"/>
      <c r="I324" s="78"/>
      <c r="J324" s="79"/>
      <c r="K324" s="78"/>
      <c r="L324" s="113"/>
      <c r="M324" s="155"/>
      <c r="N324" s="114" t="str">
        <f>IFERROR(MIN(VLOOKUP(ROUNDDOWN(M324,0),'Aide calcul'!$B$2:$C$282,2,FALSE),L324+1),"")</f>
        <v/>
      </c>
      <c r="O324" s="115" t="str">
        <f t="shared" si="66"/>
        <v/>
      </c>
      <c r="P324" s="173"/>
      <c r="Q324" s="173"/>
      <c r="R324" s="173"/>
      <c r="S324" s="173"/>
      <c r="T324" s="173"/>
      <c r="U324" s="173"/>
      <c r="V324" s="173"/>
      <c r="W324" s="78"/>
      <c r="X324" s="78"/>
      <c r="Y324" s="116" t="str">
        <f>IFERROR(ROUND('Informations générales'!$D$66*(AE324/SUM($AE$27:$AE$403))/12,0)*12,"")</f>
        <v/>
      </c>
      <c r="Z324" s="117"/>
      <c r="AA324" s="116" t="str">
        <f t="shared" si="67"/>
        <v/>
      </c>
      <c r="AB324" s="78"/>
      <c r="AC324" s="92"/>
      <c r="AD324" s="78"/>
      <c r="AE324" s="58">
        <f t="shared" si="68"/>
        <v>0</v>
      </c>
      <c r="AF324" s="58">
        <f t="shared" si="57"/>
        <v>0</v>
      </c>
      <c r="AG324" s="58">
        <f t="shared" si="58"/>
        <v>0</v>
      </c>
      <c r="AH324" s="58">
        <f t="shared" si="59"/>
        <v>0</v>
      </c>
      <c r="AI324" s="58">
        <f t="shared" si="60"/>
        <v>0</v>
      </c>
      <c r="AJ324" s="58">
        <f t="shared" si="61"/>
        <v>0</v>
      </c>
      <c r="AK324" s="58">
        <f t="shared" si="62"/>
        <v>0</v>
      </c>
      <c r="AL324" s="58">
        <f t="shared" si="63"/>
        <v>0</v>
      </c>
      <c r="AM324" s="58">
        <f t="shared" si="69"/>
        <v>0</v>
      </c>
      <c r="AN324" s="62">
        <f t="shared" si="70"/>
        <v>0</v>
      </c>
      <c r="AO324" s="61">
        <f t="shared" si="64"/>
        <v>0</v>
      </c>
      <c r="AP324" s="61">
        <f t="shared" si="65"/>
        <v>0</v>
      </c>
    </row>
    <row r="325" spans="3:42" s="17" customFormat="1" x14ac:dyDescent="0.25">
      <c r="C325" s="216" t="s">
        <v>229</v>
      </c>
      <c r="D325" s="217"/>
      <c r="E325" s="90"/>
      <c r="F325" s="198"/>
      <c r="G325" s="214"/>
      <c r="H325" s="199"/>
      <c r="I325" s="78"/>
      <c r="J325" s="79"/>
      <c r="K325" s="78"/>
      <c r="L325" s="113"/>
      <c r="M325" s="155"/>
      <c r="N325" s="114" t="str">
        <f>IFERROR(MIN(VLOOKUP(ROUNDDOWN(M325,0),'Aide calcul'!$B$2:$C$282,2,FALSE),L325+1),"")</f>
        <v/>
      </c>
      <c r="O325" s="115" t="str">
        <f t="shared" si="66"/>
        <v/>
      </c>
      <c r="P325" s="173"/>
      <c r="Q325" s="173"/>
      <c r="R325" s="173"/>
      <c r="S325" s="173"/>
      <c r="T325" s="173"/>
      <c r="U325" s="173"/>
      <c r="V325" s="173"/>
      <c r="W325" s="78"/>
      <c r="X325" s="78"/>
      <c r="Y325" s="116" t="str">
        <f>IFERROR(ROUND('Informations générales'!$D$66*(AE325/SUM($AE$27:$AE$403))/12,0)*12,"")</f>
        <v/>
      </c>
      <c r="Z325" s="117"/>
      <c r="AA325" s="116" t="str">
        <f t="shared" si="67"/>
        <v/>
      </c>
      <c r="AB325" s="78"/>
      <c r="AC325" s="92"/>
      <c r="AD325" s="78"/>
      <c r="AE325" s="58">
        <f t="shared" si="68"/>
        <v>0</v>
      </c>
      <c r="AF325" s="58">
        <f t="shared" si="57"/>
        <v>0</v>
      </c>
      <c r="AG325" s="58">
        <f t="shared" si="58"/>
        <v>0</v>
      </c>
      <c r="AH325" s="58">
        <f t="shared" si="59"/>
        <v>0</v>
      </c>
      <c r="AI325" s="58">
        <f t="shared" si="60"/>
        <v>0</v>
      </c>
      <c r="AJ325" s="58">
        <f t="shared" si="61"/>
        <v>0</v>
      </c>
      <c r="AK325" s="58">
        <f t="shared" si="62"/>
        <v>0</v>
      </c>
      <c r="AL325" s="58">
        <f t="shared" si="63"/>
        <v>0</v>
      </c>
      <c r="AM325" s="58">
        <f t="shared" si="69"/>
        <v>0</v>
      </c>
      <c r="AN325" s="62">
        <f t="shared" si="70"/>
        <v>0</v>
      </c>
      <c r="AO325" s="61">
        <f t="shared" si="64"/>
        <v>0</v>
      </c>
      <c r="AP325" s="61">
        <f t="shared" si="65"/>
        <v>0</v>
      </c>
    </row>
    <row r="326" spans="3:42" s="17" customFormat="1" x14ac:dyDescent="0.25">
      <c r="C326" s="216" t="s">
        <v>229</v>
      </c>
      <c r="D326" s="217"/>
      <c r="E326" s="90"/>
      <c r="F326" s="198"/>
      <c r="G326" s="214"/>
      <c r="H326" s="199"/>
      <c r="I326" s="78"/>
      <c r="J326" s="79"/>
      <c r="K326" s="78"/>
      <c r="L326" s="113"/>
      <c r="M326" s="155"/>
      <c r="N326" s="114" t="str">
        <f>IFERROR(MIN(VLOOKUP(ROUNDDOWN(M326,0),'Aide calcul'!$B$2:$C$282,2,FALSE),L326+1),"")</f>
        <v/>
      </c>
      <c r="O326" s="115" t="str">
        <f t="shared" si="66"/>
        <v/>
      </c>
      <c r="P326" s="173"/>
      <c r="Q326" s="173"/>
      <c r="R326" s="173"/>
      <c r="S326" s="173"/>
      <c r="T326" s="173"/>
      <c r="U326" s="173"/>
      <c r="V326" s="173"/>
      <c r="W326" s="78"/>
      <c r="X326" s="78"/>
      <c r="Y326" s="116" t="str">
        <f>IFERROR(ROUND('Informations générales'!$D$66*(AE326/SUM($AE$27:$AE$403))/12,0)*12,"")</f>
        <v/>
      </c>
      <c r="Z326" s="117"/>
      <c r="AA326" s="116" t="str">
        <f t="shared" si="67"/>
        <v/>
      </c>
      <c r="AB326" s="78"/>
      <c r="AC326" s="92"/>
      <c r="AD326" s="78"/>
      <c r="AE326" s="58">
        <f t="shared" si="68"/>
        <v>0</v>
      </c>
      <c r="AF326" s="58">
        <f t="shared" si="57"/>
        <v>0</v>
      </c>
      <c r="AG326" s="58">
        <f t="shared" si="58"/>
        <v>0</v>
      </c>
      <c r="AH326" s="58">
        <f t="shared" si="59"/>
        <v>0</v>
      </c>
      <c r="AI326" s="58">
        <f t="shared" si="60"/>
        <v>0</v>
      </c>
      <c r="AJ326" s="58">
        <f t="shared" si="61"/>
        <v>0</v>
      </c>
      <c r="AK326" s="58">
        <f t="shared" si="62"/>
        <v>0</v>
      </c>
      <c r="AL326" s="58">
        <f t="shared" si="63"/>
        <v>0</v>
      </c>
      <c r="AM326" s="58">
        <f t="shared" si="69"/>
        <v>0</v>
      </c>
      <c r="AN326" s="62">
        <f t="shared" si="70"/>
        <v>0</v>
      </c>
      <c r="AO326" s="61">
        <f t="shared" si="64"/>
        <v>0</v>
      </c>
      <c r="AP326" s="61">
        <f t="shared" si="65"/>
        <v>0</v>
      </c>
    </row>
    <row r="327" spans="3:42" s="17" customFormat="1" x14ac:dyDescent="0.25">
      <c r="C327" s="216" t="s">
        <v>229</v>
      </c>
      <c r="D327" s="217"/>
      <c r="E327" s="90"/>
      <c r="F327" s="198"/>
      <c r="G327" s="214"/>
      <c r="H327" s="199"/>
      <c r="I327" s="78"/>
      <c r="J327" s="79"/>
      <c r="K327" s="78"/>
      <c r="L327" s="113"/>
      <c r="M327" s="155"/>
      <c r="N327" s="114" t="str">
        <f>IFERROR(MIN(VLOOKUP(ROUNDDOWN(M327,0),'Aide calcul'!$B$2:$C$282,2,FALSE),L327+1),"")</f>
        <v/>
      </c>
      <c r="O327" s="115" t="str">
        <f t="shared" si="66"/>
        <v/>
      </c>
      <c r="P327" s="173"/>
      <c r="Q327" s="173"/>
      <c r="R327" s="173"/>
      <c r="S327" s="173"/>
      <c r="T327" s="173"/>
      <c r="U327" s="173"/>
      <c r="V327" s="173"/>
      <c r="W327" s="78"/>
      <c r="X327" s="78"/>
      <c r="Y327" s="116" t="str">
        <f>IFERROR(ROUND('Informations générales'!$D$66*(AE327/SUM($AE$27:$AE$403))/12,0)*12,"")</f>
        <v/>
      </c>
      <c r="Z327" s="117"/>
      <c r="AA327" s="116" t="str">
        <f t="shared" si="67"/>
        <v/>
      </c>
      <c r="AB327" s="78"/>
      <c r="AC327" s="92"/>
      <c r="AD327" s="78"/>
      <c r="AE327" s="58">
        <f t="shared" si="68"/>
        <v>0</v>
      </c>
      <c r="AF327" s="58">
        <f t="shared" si="57"/>
        <v>0</v>
      </c>
      <c r="AG327" s="58">
        <f t="shared" si="58"/>
        <v>0</v>
      </c>
      <c r="AH327" s="58">
        <f t="shared" si="59"/>
        <v>0</v>
      </c>
      <c r="AI327" s="58">
        <f t="shared" si="60"/>
        <v>0</v>
      </c>
      <c r="AJ327" s="58">
        <f t="shared" si="61"/>
        <v>0</v>
      </c>
      <c r="AK327" s="58">
        <f t="shared" si="62"/>
        <v>0</v>
      </c>
      <c r="AL327" s="58">
        <f t="shared" si="63"/>
        <v>0</v>
      </c>
      <c r="AM327" s="58">
        <f t="shared" si="69"/>
        <v>0</v>
      </c>
      <c r="AN327" s="62">
        <f t="shared" si="70"/>
        <v>0</v>
      </c>
      <c r="AO327" s="61">
        <f t="shared" si="64"/>
        <v>0</v>
      </c>
      <c r="AP327" s="61">
        <f t="shared" si="65"/>
        <v>0</v>
      </c>
    </row>
    <row r="328" spans="3:42" s="17" customFormat="1" x14ac:dyDescent="0.25">
      <c r="C328" s="216" t="s">
        <v>229</v>
      </c>
      <c r="D328" s="217"/>
      <c r="E328" s="90"/>
      <c r="F328" s="198"/>
      <c r="G328" s="214"/>
      <c r="H328" s="199"/>
      <c r="I328" s="78"/>
      <c r="J328" s="79"/>
      <c r="K328" s="78"/>
      <c r="L328" s="113"/>
      <c r="M328" s="155"/>
      <c r="N328" s="114" t="str">
        <f>IFERROR(MIN(VLOOKUP(ROUNDDOWN(M328,0),'Aide calcul'!$B$2:$C$282,2,FALSE),L328+1),"")</f>
        <v/>
      </c>
      <c r="O328" s="115" t="str">
        <f t="shared" si="66"/>
        <v/>
      </c>
      <c r="P328" s="173"/>
      <c r="Q328" s="173"/>
      <c r="R328" s="173"/>
      <c r="S328" s="173"/>
      <c r="T328" s="173"/>
      <c r="U328" s="173"/>
      <c r="V328" s="173"/>
      <c r="W328" s="78"/>
      <c r="X328" s="78"/>
      <c r="Y328" s="116" t="str">
        <f>IFERROR(ROUND('Informations générales'!$D$66*(AE328/SUM($AE$27:$AE$403))/12,0)*12,"")</f>
        <v/>
      </c>
      <c r="Z328" s="117"/>
      <c r="AA328" s="116" t="str">
        <f t="shared" si="67"/>
        <v/>
      </c>
      <c r="AB328" s="78"/>
      <c r="AC328" s="92"/>
      <c r="AD328" s="78"/>
      <c r="AE328" s="58">
        <f t="shared" si="68"/>
        <v>0</v>
      </c>
      <c r="AF328" s="58">
        <f t="shared" si="57"/>
        <v>0</v>
      </c>
      <c r="AG328" s="58">
        <f t="shared" si="58"/>
        <v>0</v>
      </c>
      <c r="AH328" s="58">
        <f t="shared" si="59"/>
        <v>0</v>
      </c>
      <c r="AI328" s="58">
        <f t="shared" si="60"/>
        <v>0</v>
      </c>
      <c r="AJ328" s="58">
        <f t="shared" si="61"/>
        <v>0</v>
      </c>
      <c r="AK328" s="58">
        <f t="shared" si="62"/>
        <v>0</v>
      </c>
      <c r="AL328" s="58">
        <f t="shared" si="63"/>
        <v>0</v>
      </c>
      <c r="AM328" s="58">
        <f t="shared" si="69"/>
        <v>0</v>
      </c>
      <c r="AN328" s="62">
        <f t="shared" si="70"/>
        <v>0</v>
      </c>
      <c r="AO328" s="61">
        <f t="shared" si="64"/>
        <v>0</v>
      </c>
      <c r="AP328" s="61">
        <f t="shared" si="65"/>
        <v>0</v>
      </c>
    </row>
    <row r="329" spans="3:42" s="17" customFormat="1" x14ac:dyDescent="0.25">
      <c r="C329" s="216" t="s">
        <v>229</v>
      </c>
      <c r="D329" s="217"/>
      <c r="E329" s="90"/>
      <c r="F329" s="198"/>
      <c r="G329" s="214"/>
      <c r="H329" s="199"/>
      <c r="I329" s="78"/>
      <c r="J329" s="79"/>
      <c r="K329" s="78"/>
      <c r="L329" s="113"/>
      <c r="M329" s="155"/>
      <c r="N329" s="114" t="str">
        <f>IFERROR(MIN(VLOOKUP(ROUNDDOWN(M329,0),'Aide calcul'!$B$2:$C$282,2,FALSE),L329+1),"")</f>
        <v/>
      </c>
      <c r="O329" s="115" t="str">
        <f t="shared" si="66"/>
        <v/>
      </c>
      <c r="P329" s="173"/>
      <c r="Q329" s="173"/>
      <c r="R329" s="173"/>
      <c r="S329" s="173"/>
      <c r="T329" s="173"/>
      <c r="U329" s="173"/>
      <c r="V329" s="173"/>
      <c r="W329" s="78"/>
      <c r="X329" s="78"/>
      <c r="Y329" s="116" t="str">
        <f>IFERROR(ROUND('Informations générales'!$D$66*(AE329/SUM($AE$27:$AE$403))/12,0)*12,"")</f>
        <v/>
      </c>
      <c r="Z329" s="117"/>
      <c r="AA329" s="116" t="str">
        <f t="shared" si="67"/>
        <v/>
      </c>
      <c r="AB329" s="78"/>
      <c r="AC329" s="92"/>
      <c r="AD329" s="78"/>
      <c r="AE329" s="58">
        <f t="shared" si="68"/>
        <v>0</v>
      </c>
      <c r="AF329" s="58">
        <f t="shared" si="57"/>
        <v>0</v>
      </c>
      <c r="AG329" s="58">
        <f t="shared" si="58"/>
        <v>0</v>
      </c>
      <c r="AH329" s="58">
        <f t="shared" si="59"/>
        <v>0</v>
      </c>
      <c r="AI329" s="58">
        <f t="shared" si="60"/>
        <v>0</v>
      </c>
      <c r="AJ329" s="58">
        <f t="shared" si="61"/>
        <v>0</v>
      </c>
      <c r="AK329" s="58">
        <f t="shared" si="62"/>
        <v>0</v>
      </c>
      <c r="AL329" s="58">
        <f t="shared" si="63"/>
        <v>0</v>
      </c>
      <c r="AM329" s="58">
        <f t="shared" si="69"/>
        <v>0</v>
      </c>
      <c r="AN329" s="62">
        <f t="shared" si="70"/>
        <v>0</v>
      </c>
      <c r="AO329" s="61">
        <f t="shared" si="64"/>
        <v>0</v>
      </c>
      <c r="AP329" s="61">
        <f t="shared" si="65"/>
        <v>0</v>
      </c>
    </row>
    <row r="330" spans="3:42" s="17" customFormat="1" x14ac:dyDescent="0.25">
      <c r="C330" s="216" t="s">
        <v>229</v>
      </c>
      <c r="D330" s="217"/>
      <c r="E330" s="90"/>
      <c r="F330" s="198"/>
      <c r="G330" s="214"/>
      <c r="H330" s="199"/>
      <c r="I330" s="78"/>
      <c r="J330" s="79"/>
      <c r="K330" s="78"/>
      <c r="L330" s="113"/>
      <c r="M330" s="155"/>
      <c r="N330" s="114" t="str">
        <f>IFERROR(MIN(VLOOKUP(ROUNDDOWN(M330,0),'Aide calcul'!$B$2:$C$282,2,FALSE),L330+1),"")</f>
        <v/>
      </c>
      <c r="O330" s="115" t="str">
        <f t="shared" si="66"/>
        <v/>
      </c>
      <c r="P330" s="173"/>
      <c r="Q330" s="173"/>
      <c r="R330" s="173"/>
      <c r="S330" s="173"/>
      <c r="T330" s="173"/>
      <c r="U330" s="173"/>
      <c r="V330" s="173"/>
      <c r="W330" s="78"/>
      <c r="X330" s="78"/>
      <c r="Y330" s="116" t="str">
        <f>IFERROR(ROUND('Informations générales'!$D$66*(AE330/SUM($AE$27:$AE$403))/12,0)*12,"")</f>
        <v/>
      </c>
      <c r="Z330" s="117"/>
      <c r="AA330" s="116" t="str">
        <f t="shared" si="67"/>
        <v/>
      </c>
      <c r="AB330" s="78"/>
      <c r="AC330" s="92"/>
      <c r="AD330" s="78"/>
      <c r="AE330" s="58">
        <f t="shared" si="68"/>
        <v>0</v>
      </c>
      <c r="AF330" s="58">
        <f t="shared" si="57"/>
        <v>0</v>
      </c>
      <c r="AG330" s="58">
        <f t="shared" si="58"/>
        <v>0</v>
      </c>
      <c r="AH330" s="58">
        <f t="shared" si="59"/>
        <v>0</v>
      </c>
      <c r="AI330" s="58">
        <f t="shared" si="60"/>
        <v>0</v>
      </c>
      <c r="AJ330" s="58">
        <f t="shared" si="61"/>
        <v>0</v>
      </c>
      <c r="AK330" s="58">
        <f t="shared" si="62"/>
        <v>0</v>
      </c>
      <c r="AL330" s="58">
        <f t="shared" si="63"/>
        <v>0</v>
      </c>
      <c r="AM330" s="58">
        <f t="shared" si="69"/>
        <v>0</v>
      </c>
      <c r="AN330" s="62">
        <f t="shared" si="70"/>
        <v>0</v>
      </c>
      <c r="AO330" s="61">
        <f t="shared" si="64"/>
        <v>0</v>
      </c>
      <c r="AP330" s="61">
        <f t="shared" si="65"/>
        <v>0</v>
      </c>
    </row>
    <row r="331" spans="3:42" s="17" customFormat="1" x14ac:dyDescent="0.25">
      <c r="C331" s="216" t="s">
        <v>229</v>
      </c>
      <c r="D331" s="217"/>
      <c r="E331" s="90"/>
      <c r="F331" s="198"/>
      <c r="G331" s="214"/>
      <c r="H331" s="199"/>
      <c r="I331" s="78"/>
      <c r="J331" s="79"/>
      <c r="K331" s="78"/>
      <c r="L331" s="113"/>
      <c r="M331" s="155"/>
      <c r="N331" s="114" t="str">
        <f>IFERROR(MIN(VLOOKUP(ROUNDDOWN(M331,0),'Aide calcul'!$B$2:$C$282,2,FALSE),L331+1),"")</f>
        <v/>
      </c>
      <c r="O331" s="115" t="str">
        <f t="shared" si="66"/>
        <v/>
      </c>
      <c r="P331" s="173"/>
      <c r="Q331" s="173"/>
      <c r="R331" s="173"/>
      <c r="S331" s="173"/>
      <c r="T331" s="173"/>
      <c r="U331" s="173"/>
      <c r="V331" s="173"/>
      <c r="W331" s="78"/>
      <c r="X331" s="78"/>
      <c r="Y331" s="116" t="str">
        <f>IFERROR(ROUND('Informations générales'!$D$66*(AE331/SUM($AE$27:$AE$403))/12,0)*12,"")</f>
        <v/>
      </c>
      <c r="Z331" s="117"/>
      <c r="AA331" s="116" t="str">
        <f t="shared" si="67"/>
        <v/>
      </c>
      <c r="AB331" s="78"/>
      <c r="AC331" s="92"/>
      <c r="AD331" s="78"/>
      <c r="AE331" s="58">
        <f t="shared" si="68"/>
        <v>0</v>
      </c>
      <c r="AF331" s="58">
        <f t="shared" si="57"/>
        <v>0</v>
      </c>
      <c r="AG331" s="58">
        <f t="shared" si="58"/>
        <v>0</v>
      </c>
      <c r="AH331" s="58">
        <f t="shared" si="59"/>
        <v>0</v>
      </c>
      <c r="AI331" s="58">
        <f t="shared" si="60"/>
        <v>0</v>
      </c>
      <c r="AJ331" s="58">
        <f t="shared" si="61"/>
        <v>0</v>
      </c>
      <c r="AK331" s="58">
        <f t="shared" si="62"/>
        <v>0</v>
      </c>
      <c r="AL331" s="58">
        <f t="shared" si="63"/>
        <v>0</v>
      </c>
      <c r="AM331" s="58">
        <f t="shared" si="69"/>
        <v>0</v>
      </c>
      <c r="AN331" s="62">
        <f t="shared" si="70"/>
        <v>0</v>
      </c>
      <c r="AO331" s="61">
        <f t="shared" si="64"/>
        <v>0</v>
      </c>
      <c r="AP331" s="61">
        <f t="shared" si="65"/>
        <v>0</v>
      </c>
    </row>
    <row r="332" spans="3:42" s="17" customFormat="1" x14ac:dyDescent="0.25">
      <c r="C332" s="216" t="s">
        <v>229</v>
      </c>
      <c r="D332" s="217"/>
      <c r="E332" s="90"/>
      <c r="F332" s="198"/>
      <c r="G332" s="214"/>
      <c r="H332" s="199"/>
      <c r="I332" s="78"/>
      <c r="J332" s="79"/>
      <c r="K332" s="78"/>
      <c r="L332" s="113"/>
      <c r="M332" s="155"/>
      <c r="N332" s="114" t="str">
        <f>IFERROR(MIN(VLOOKUP(ROUNDDOWN(M332,0),'Aide calcul'!$B$2:$C$282,2,FALSE),L332+1),"")</f>
        <v/>
      </c>
      <c r="O332" s="115" t="str">
        <f t="shared" si="66"/>
        <v/>
      </c>
      <c r="P332" s="173"/>
      <c r="Q332" s="173"/>
      <c r="R332" s="173"/>
      <c r="S332" s="173"/>
      <c r="T332" s="173"/>
      <c r="U332" s="173"/>
      <c r="V332" s="173"/>
      <c r="W332" s="78"/>
      <c r="X332" s="78"/>
      <c r="Y332" s="116" t="str">
        <f>IFERROR(ROUND('Informations générales'!$D$66*(AE332/SUM($AE$27:$AE$403))/12,0)*12,"")</f>
        <v/>
      </c>
      <c r="Z332" s="117"/>
      <c r="AA332" s="116" t="str">
        <f t="shared" si="67"/>
        <v/>
      </c>
      <c r="AB332" s="78"/>
      <c r="AC332" s="92"/>
      <c r="AD332" s="78"/>
      <c r="AE332" s="58">
        <f t="shared" si="68"/>
        <v>0</v>
      </c>
      <c r="AF332" s="58">
        <f t="shared" si="57"/>
        <v>0</v>
      </c>
      <c r="AG332" s="58">
        <f t="shared" si="58"/>
        <v>0</v>
      </c>
      <c r="AH332" s="58">
        <f t="shared" si="59"/>
        <v>0</v>
      </c>
      <c r="AI332" s="58">
        <f t="shared" si="60"/>
        <v>0</v>
      </c>
      <c r="AJ332" s="58">
        <f t="shared" si="61"/>
        <v>0</v>
      </c>
      <c r="AK332" s="58">
        <f t="shared" si="62"/>
        <v>0</v>
      </c>
      <c r="AL332" s="58">
        <f t="shared" si="63"/>
        <v>0</v>
      </c>
      <c r="AM332" s="58">
        <f t="shared" si="69"/>
        <v>0</v>
      </c>
      <c r="AN332" s="62">
        <f t="shared" si="70"/>
        <v>0</v>
      </c>
      <c r="AO332" s="61">
        <f t="shared" si="64"/>
        <v>0</v>
      </c>
      <c r="AP332" s="61">
        <f t="shared" si="65"/>
        <v>0</v>
      </c>
    </row>
    <row r="333" spans="3:42" s="17" customFormat="1" x14ac:dyDescent="0.25">
      <c r="C333" s="216" t="s">
        <v>229</v>
      </c>
      <c r="D333" s="217"/>
      <c r="E333" s="90"/>
      <c r="F333" s="198"/>
      <c r="G333" s="214"/>
      <c r="H333" s="199"/>
      <c r="I333" s="78"/>
      <c r="J333" s="79"/>
      <c r="K333" s="78"/>
      <c r="L333" s="113"/>
      <c r="M333" s="155"/>
      <c r="N333" s="114" t="str">
        <f>IFERROR(MIN(VLOOKUP(ROUNDDOWN(M333,0),'Aide calcul'!$B$2:$C$282,2,FALSE),L333+1),"")</f>
        <v/>
      </c>
      <c r="O333" s="115" t="str">
        <f t="shared" si="66"/>
        <v/>
      </c>
      <c r="P333" s="173"/>
      <c r="Q333" s="173"/>
      <c r="R333" s="173"/>
      <c r="S333" s="173"/>
      <c r="T333" s="173"/>
      <c r="U333" s="173"/>
      <c r="V333" s="173"/>
      <c r="W333" s="78"/>
      <c r="X333" s="78"/>
      <c r="Y333" s="116" t="str">
        <f>IFERROR(ROUND('Informations générales'!$D$66*(AE333/SUM($AE$27:$AE$403))/12,0)*12,"")</f>
        <v/>
      </c>
      <c r="Z333" s="117"/>
      <c r="AA333" s="116" t="str">
        <f t="shared" si="67"/>
        <v/>
      </c>
      <c r="AB333" s="78"/>
      <c r="AC333" s="92"/>
      <c r="AD333" s="78"/>
      <c r="AE333" s="58">
        <f t="shared" si="68"/>
        <v>0</v>
      </c>
      <c r="AF333" s="58">
        <f t="shared" si="57"/>
        <v>0</v>
      </c>
      <c r="AG333" s="58">
        <f t="shared" si="58"/>
        <v>0</v>
      </c>
      <c r="AH333" s="58">
        <f t="shared" si="59"/>
        <v>0</v>
      </c>
      <c r="AI333" s="58">
        <f t="shared" si="60"/>
        <v>0</v>
      </c>
      <c r="AJ333" s="58">
        <f t="shared" si="61"/>
        <v>0</v>
      </c>
      <c r="AK333" s="58">
        <f t="shared" si="62"/>
        <v>0</v>
      </c>
      <c r="AL333" s="58">
        <f t="shared" si="63"/>
        <v>0</v>
      </c>
      <c r="AM333" s="58">
        <f t="shared" si="69"/>
        <v>0</v>
      </c>
      <c r="AN333" s="62">
        <f t="shared" si="70"/>
        <v>0</v>
      </c>
      <c r="AO333" s="61">
        <f t="shared" si="64"/>
        <v>0</v>
      </c>
      <c r="AP333" s="61">
        <f t="shared" si="65"/>
        <v>0</v>
      </c>
    </row>
    <row r="334" spans="3:42" s="17" customFormat="1" x14ac:dyDescent="0.25">
      <c r="C334" s="216" t="s">
        <v>229</v>
      </c>
      <c r="D334" s="217"/>
      <c r="E334" s="90"/>
      <c r="F334" s="198"/>
      <c r="G334" s="214"/>
      <c r="H334" s="199"/>
      <c r="I334" s="78"/>
      <c r="J334" s="79"/>
      <c r="K334" s="78"/>
      <c r="L334" s="113"/>
      <c r="M334" s="155"/>
      <c r="N334" s="114" t="str">
        <f>IFERROR(MIN(VLOOKUP(ROUNDDOWN(M334,0),'Aide calcul'!$B$2:$C$282,2,FALSE),L334+1),"")</f>
        <v/>
      </c>
      <c r="O334" s="115" t="str">
        <f t="shared" si="66"/>
        <v/>
      </c>
      <c r="P334" s="173"/>
      <c r="Q334" s="173"/>
      <c r="R334" s="173"/>
      <c r="S334" s="173"/>
      <c r="T334" s="173"/>
      <c r="U334" s="173"/>
      <c r="V334" s="173"/>
      <c r="W334" s="78"/>
      <c r="X334" s="78"/>
      <c r="Y334" s="116" t="str">
        <f>IFERROR(ROUND('Informations générales'!$D$66*(AE334/SUM($AE$27:$AE$403))/12,0)*12,"")</f>
        <v/>
      </c>
      <c r="Z334" s="117"/>
      <c r="AA334" s="116" t="str">
        <f t="shared" si="67"/>
        <v/>
      </c>
      <c r="AB334" s="78"/>
      <c r="AC334" s="92"/>
      <c r="AD334" s="78"/>
      <c r="AE334" s="58">
        <f t="shared" si="68"/>
        <v>0</v>
      </c>
      <c r="AF334" s="58">
        <f t="shared" si="57"/>
        <v>0</v>
      </c>
      <c r="AG334" s="58">
        <f t="shared" si="58"/>
        <v>0</v>
      </c>
      <c r="AH334" s="58">
        <f t="shared" si="59"/>
        <v>0</v>
      </c>
      <c r="AI334" s="58">
        <f t="shared" si="60"/>
        <v>0</v>
      </c>
      <c r="AJ334" s="58">
        <f t="shared" si="61"/>
        <v>0</v>
      </c>
      <c r="AK334" s="58">
        <f t="shared" si="62"/>
        <v>0</v>
      </c>
      <c r="AL334" s="58">
        <f t="shared" si="63"/>
        <v>0</v>
      </c>
      <c r="AM334" s="58">
        <f t="shared" si="69"/>
        <v>0</v>
      </c>
      <c r="AN334" s="62">
        <f t="shared" si="70"/>
        <v>0</v>
      </c>
      <c r="AO334" s="61">
        <f t="shared" si="64"/>
        <v>0</v>
      </c>
      <c r="AP334" s="61">
        <f t="shared" si="65"/>
        <v>0</v>
      </c>
    </row>
    <row r="335" spans="3:42" s="17" customFormat="1" x14ac:dyDescent="0.25">
      <c r="C335" s="216" t="s">
        <v>229</v>
      </c>
      <c r="D335" s="217"/>
      <c r="E335" s="90"/>
      <c r="F335" s="198"/>
      <c r="G335" s="214"/>
      <c r="H335" s="199"/>
      <c r="I335" s="78"/>
      <c r="J335" s="79"/>
      <c r="K335" s="78"/>
      <c r="L335" s="113"/>
      <c r="M335" s="155"/>
      <c r="N335" s="114" t="str">
        <f>IFERROR(MIN(VLOOKUP(ROUNDDOWN(M335,0),'Aide calcul'!$B$2:$C$282,2,FALSE),L335+1),"")</f>
        <v/>
      </c>
      <c r="O335" s="115" t="str">
        <f t="shared" si="66"/>
        <v/>
      </c>
      <c r="P335" s="173"/>
      <c r="Q335" s="173"/>
      <c r="R335" s="173"/>
      <c r="S335" s="173"/>
      <c r="T335" s="173"/>
      <c r="U335" s="173"/>
      <c r="V335" s="173"/>
      <c r="W335" s="78"/>
      <c r="X335" s="78"/>
      <c r="Y335" s="116" t="str">
        <f>IFERROR(ROUND('Informations générales'!$D$66*(AE335/SUM($AE$27:$AE$403))/12,0)*12,"")</f>
        <v/>
      </c>
      <c r="Z335" s="117"/>
      <c r="AA335" s="116" t="str">
        <f t="shared" si="67"/>
        <v/>
      </c>
      <c r="AB335" s="78"/>
      <c r="AC335" s="92"/>
      <c r="AD335" s="78"/>
      <c r="AE335" s="58">
        <f t="shared" si="68"/>
        <v>0</v>
      </c>
      <c r="AF335" s="58">
        <f t="shared" si="57"/>
        <v>0</v>
      </c>
      <c r="AG335" s="58">
        <f t="shared" si="58"/>
        <v>0</v>
      </c>
      <c r="AH335" s="58">
        <f t="shared" si="59"/>
        <v>0</v>
      </c>
      <c r="AI335" s="58">
        <f t="shared" si="60"/>
        <v>0</v>
      </c>
      <c r="AJ335" s="58">
        <f t="shared" si="61"/>
        <v>0</v>
      </c>
      <c r="AK335" s="58">
        <f t="shared" si="62"/>
        <v>0</v>
      </c>
      <c r="AL335" s="58">
        <f t="shared" si="63"/>
        <v>0</v>
      </c>
      <c r="AM335" s="58">
        <f t="shared" si="69"/>
        <v>0</v>
      </c>
      <c r="AN335" s="62">
        <f t="shared" si="70"/>
        <v>0</v>
      </c>
      <c r="AO335" s="61">
        <f t="shared" si="64"/>
        <v>0</v>
      </c>
      <c r="AP335" s="61">
        <f t="shared" si="65"/>
        <v>0</v>
      </c>
    </row>
    <row r="336" spans="3:42" s="17" customFormat="1" x14ac:dyDescent="0.25">
      <c r="C336" s="216" t="s">
        <v>229</v>
      </c>
      <c r="D336" s="217"/>
      <c r="E336" s="90"/>
      <c r="F336" s="198"/>
      <c r="G336" s="214"/>
      <c r="H336" s="199"/>
      <c r="I336" s="78"/>
      <c r="J336" s="79"/>
      <c r="K336" s="78"/>
      <c r="L336" s="113"/>
      <c r="M336" s="155"/>
      <c r="N336" s="114" t="str">
        <f>IFERROR(MIN(VLOOKUP(ROUNDDOWN(M336,0),'Aide calcul'!$B$2:$C$282,2,FALSE),L336+1),"")</f>
        <v/>
      </c>
      <c r="O336" s="115" t="str">
        <f t="shared" si="66"/>
        <v/>
      </c>
      <c r="P336" s="173"/>
      <c r="Q336" s="173"/>
      <c r="R336" s="173"/>
      <c r="S336" s="173"/>
      <c r="T336" s="173"/>
      <c r="U336" s="173"/>
      <c r="V336" s="173"/>
      <c r="W336" s="78"/>
      <c r="X336" s="78"/>
      <c r="Y336" s="116" t="str">
        <f>IFERROR(ROUND('Informations générales'!$D$66*(AE336/SUM($AE$27:$AE$403))/12,0)*12,"")</f>
        <v/>
      </c>
      <c r="Z336" s="117"/>
      <c r="AA336" s="116" t="str">
        <f t="shared" si="67"/>
        <v/>
      </c>
      <c r="AB336" s="78"/>
      <c r="AC336" s="92"/>
      <c r="AD336" s="78"/>
      <c r="AE336" s="58">
        <f t="shared" si="68"/>
        <v>0</v>
      </c>
      <c r="AF336" s="58">
        <f t="shared" si="57"/>
        <v>0</v>
      </c>
      <c r="AG336" s="58">
        <f t="shared" si="58"/>
        <v>0</v>
      </c>
      <c r="AH336" s="58">
        <f t="shared" si="59"/>
        <v>0</v>
      </c>
      <c r="AI336" s="58">
        <f t="shared" si="60"/>
        <v>0</v>
      </c>
      <c r="AJ336" s="58">
        <f t="shared" si="61"/>
        <v>0</v>
      </c>
      <c r="AK336" s="58">
        <f t="shared" si="62"/>
        <v>0</v>
      </c>
      <c r="AL336" s="58">
        <f t="shared" si="63"/>
        <v>0</v>
      </c>
      <c r="AM336" s="58">
        <f t="shared" si="69"/>
        <v>0</v>
      </c>
      <c r="AN336" s="62">
        <f t="shared" si="70"/>
        <v>0</v>
      </c>
      <c r="AO336" s="61">
        <f t="shared" si="64"/>
        <v>0</v>
      </c>
      <c r="AP336" s="61">
        <f t="shared" si="65"/>
        <v>0</v>
      </c>
    </row>
    <row r="337" spans="3:42" s="17" customFormat="1" x14ac:dyDescent="0.25">
      <c r="C337" s="216" t="s">
        <v>229</v>
      </c>
      <c r="D337" s="217"/>
      <c r="E337" s="90"/>
      <c r="F337" s="198"/>
      <c r="G337" s="214"/>
      <c r="H337" s="199"/>
      <c r="I337" s="78"/>
      <c r="J337" s="79"/>
      <c r="K337" s="78"/>
      <c r="L337" s="113"/>
      <c r="M337" s="155"/>
      <c r="N337" s="114" t="str">
        <f>IFERROR(MIN(VLOOKUP(ROUNDDOWN(M337,0),'Aide calcul'!$B$2:$C$282,2,FALSE),L337+1),"")</f>
        <v/>
      </c>
      <c r="O337" s="115" t="str">
        <f t="shared" si="66"/>
        <v/>
      </c>
      <c r="P337" s="173"/>
      <c r="Q337" s="173"/>
      <c r="R337" s="173"/>
      <c r="S337" s="173"/>
      <c r="T337" s="173"/>
      <c r="U337" s="173"/>
      <c r="V337" s="173"/>
      <c r="W337" s="78"/>
      <c r="X337" s="78"/>
      <c r="Y337" s="116" t="str">
        <f>IFERROR(ROUND('Informations générales'!$D$66*(AE337/SUM($AE$27:$AE$403))/12,0)*12,"")</f>
        <v/>
      </c>
      <c r="Z337" s="117"/>
      <c r="AA337" s="116" t="str">
        <f t="shared" si="67"/>
        <v/>
      </c>
      <c r="AB337" s="78"/>
      <c r="AC337" s="92"/>
      <c r="AD337" s="78"/>
      <c r="AE337" s="58">
        <f t="shared" si="68"/>
        <v>0</v>
      </c>
      <c r="AF337" s="58">
        <f t="shared" si="57"/>
        <v>0</v>
      </c>
      <c r="AG337" s="58">
        <f t="shared" si="58"/>
        <v>0</v>
      </c>
      <c r="AH337" s="58">
        <f t="shared" si="59"/>
        <v>0</v>
      </c>
      <c r="AI337" s="58">
        <f t="shared" si="60"/>
        <v>0</v>
      </c>
      <c r="AJ337" s="58">
        <f t="shared" si="61"/>
        <v>0</v>
      </c>
      <c r="AK337" s="58">
        <f t="shared" si="62"/>
        <v>0</v>
      </c>
      <c r="AL337" s="58">
        <f t="shared" si="63"/>
        <v>0</v>
      </c>
      <c r="AM337" s="58">
        <f t="shared" si="69"/>
        <v>0</v>
      </c>
      <c r="AN337" s="62">
        <f t="shared" si="70"/>
        <v>0</v>
      </c>
      <c r="AO337" s="61">
        <f t="shared" si="64"/>
        <v>0</v>
      </c>
      <c r="AP337" s="61">
        <f t="shared" si="65"/>
        <v>0</v>
      </c>
    </row>
    <row r="338" spans="3:42" s="17" customFormat="1" x14ac:dyDescent="0.25">
      <c r="C338" s="216" t="s">
        <v>229</v>
      </c>
      <c r="D338" s="217"/>
      <c r="E338" s="90"/>
      <c r="F338" s="198"/>
      <c r="G338" s="214"/>
      <c r="H338" s="199"/>
      <c r="I338" s="78"/>
      <c r="J338" s="79"/>
      <c r="K338" s="78"/>
      <c r="L338" s="113"/>
      <c r="M338" s="155"/>
      <c r="N338" s="114" t="str">
        <f>IFERROR(MIN(VLOOKUP(ROUNDDOWN(M338,0),'Aide calcul'!$B$2:$C$282,2,FALSE),L338+1),"")</f>
        <v/>
      </c>
      <c r="O338" s="115" t="str">
        <f t="shared" si="66"/>
        <v/>
      </c>
      <c r="P338" s="173"/>
      <c r="Q338" s="173"/>
      <c r="R338" s="173"/>
      <c r="S338" s="173"/>
      <c r="T338" s="173"/>
      <c r="U338" s="173"/>
      <c r="V338" s="173"/>
      <c r="W338" s="78"/>
      <c r="X338" s="78"/>
      <c r="Y338" s="116" t="str">
        <f>IFERROR(ROUND('Informations générales'!$D$66*(AE338/SUM($AE$27:$AE$403))/12,0)*12,"")</f>
        <v/>
      </c>
      <c r="Z338" s="117"/>
      <c r="AA338" s="116" t="str">
        <f t="shared" si="67"/>
        <v/>
      </c>
      <c r="AB338" s="78"/>
      <c r="AC338" s="92"/>
      <c r="AD338" s="78"/>
      <c r="AE338" s="58">
        <f t="shared" si="68"/>
        <v>0</v>
      </c>
      <c r="AF338" s="58">
        <f t="shared" si="57"/>
        <v>0</v>
      </c>
      <c r="AG338" s="58">
        <f t="shared" si="58"/>
        <v>0</v>
      </c>
      <c r="AH338" s="58">
        <f t="shared" si="59"/>
        <v>0</v>
      </c>
      <c r="AI338" s="58">
        <f t="shared" si="60"/>
        <v>0</v>
      </c>
      <c r="AJ338" s="58">
        <f t="shared" si="61"/>
        <v>0</v>
      </c>
      <c r="AK338" s="58">
        <f t="shared" si="62"/>
        <v>0</v>
      </c>
      <c r="AL338" s="58">
        <f t="shared" si="63"/>
        <v>0</v>
      </c>
      <c r="AM338" s="58">
        <f t="shared" si="69"/>
        <v>0</v>
      </c>
      <c r="AN338" s="62">
        <f t="shared" si="70"/>
        <v>0</v>
      </c>
      <c r="AO338" s="61">
        <f t="shared" si="64"/>
        <v>0</v>
      </c>
      <c r="AP338" s="61">
        <f t="shared" si="65"/>
        <v>0</v>
      </c>
    </row>
    <row r="339" spans="3:42" s="17" customFormat="1" x14ac:dyDescent="0.25">
      <c r="C339" s="216" t="s">
        <v>229</v>
      </c>
      <c r="D339" s="217"/>
      <c r="E339" s="90"/>
      <c r="F339" s="198"/>
      <c r="G339" s="214"/>
      <c r="H339" s="199"/>
      <c r="I339" s="78"/>
      <c r="J339" s="79"/>
      <c r="K339" s="78"/>
      <c r="L339" s="113"/>
      <c r="M339" s="155"/>
      <c r="N339" s="114" t="str">
        <f>IFERROR(MIN(VLOOKUP(ROUNDDOWN(M339,0),'Aide calcul'!$B$2:$C$282,2,FALSE),L339+1),"")</f>
        <v/>
      </c>
      <c r="O339" s="115" t="str">
        <f t="shared" si="66"/>
        <v/>
      </c>
      <c r="P339" s="173"/>
      <c r="Q339" s="173"/>
      <c r="R339" s="173"/>
      <c r="S339" s="173"/>
      <c r="T339" s="173"/>
      <c r="U339" s="173"/>
      <c r="V339" s="173"/>
      <c r="W339" s="78"/>
      <c r="X339" s="78"/>
      <c r="Y339" s="116" t="str">
        <f>IFERROR(ROUND('Informations générales'!$D$66*(AE339/SUM($AE$27:$AE$403))/12,0)*12,"")</f>
        <v/>
      </c>
      <c r="Z339" s="117"/>
      <c r="AA339" s="116" t="str">
        <f t="shared" si="67"/>
        <v/>
      </c>
      <c r="AB339" s="78"/>
      <c r="AC339" s="92"/>
      <c r="AD339" s="78"/>
      <c r="AE339" s="58">
        <f t="shared" si="68"/>
        <v>0</v>
      </c>
      <c r="AF339" s="58">
        <f t="shared" si="57"/>
        <v>0</v>
      </c>
      <c r="AG339" s="58">
        <f t="shared" si="58"/>
        <v>0</v>
      </c>
      <c r="AH339" s="58">
        <f t="shared" si="59"/>
        <v>0</v>
      </c>
      <c r="AI339" s="58">
        <f t="shared" si="60"/>
        <v>0</v>
      </c>
      <c r="AJ339" s="58">
        <f t="shared" si="61"/>
        <v>0</v>
      </c>
      <c r="AK339" s="58">
        <f t="shared" si="62"/>
        <v>0</v>
      </c>
      <c r="AL339" s="58">
        <f t="shared" si="63"/>
        <v>0</v>
      </c>
      <c r="AM339" s="58">
        <f t="shared" si="69"/>
        <v>0</v>
      </c>
      <c r="AN339" s="62">
        <f t="shared" si="70"/>
        <v>0</v>
      </c>
      <c r="AO339" s="61">
        <f t="shared" si="64"/>
        <v>0</v>
      </c>
      <c r="AP339" s="61">
        <f t="shared" si="65"/>
        <v>0</v>
      </c>
    </row>
    <row r="340" spans="3:42" s="17" customFormat="1" x14ac:dyDescent="0.25">
      <c r="C340" s="216" t="s">
        <v>229</v>
      </c>
      <c r="D340" s="217"/>
      <c r="E340" s="90"/>
      <c r="F340" s="198"/>
      <c r="G340" s="214"/>
      <c r="H340" s="199"/>
      <c r="I340" s="78"/>
      <c r="J340" s="79"/>
      <c r="K340" s="78"/>
      <c r="L340" s="113"/>
      <c r="M340" s="155"/>
      <c r="N340" s="114" t="str">
        <f>IFERROR(MIN(VLOOKUP(ROUNDDOWN(M340,0),'Aide calcul'!$B$2:$C$282,2,FALSE),L340+1),"")</f>
        <v/>
      </c>
      <c r="O340" s="115" t="str">
        <f t="shared" si="66"/>
        <v/>
      </c>
      <c r="P340" s="173"/>
      <c r="Q340" s="173"/>
      <c r="R340" s="173"/>
      <c r="S340" s="173"/>
      <c r="T340" s="173"/>
      <c r="U340" s="173"/>
      <c r="V340" s="173"/>
      <c r="W340" s="78"/>
      <c r="X340" s="78"/>
      <c r="Y340" s="116" t="str">
        <f>IFERROR(ROUND('Informations générales'!$D$66*(AE340/SUM($AE$27:$AE$403))/12,0)*12,"")</f>
        <v/>
      </c>
      <c r="Z340" s="117"/>
      <c r="AA340" s="116" t="str">
        <f t="shared" si="67"/>
        <v/>
      </c>
      <c r="AB340" s="78"/>
      <c r="AC340" s="92"/>
      <c r="AD340" s="78"/>
      <c r="AE340" s="58">
        <f t="shared" si="68"/>
        <v>0</v>
      </c>
      <c r="AF340" s="58">
        <f t="shared" si="57"/>
        <v>0</v>
      </c>
      <c r="AG340" s="58">
        <f t="shared" si="58"/>
        <v>0</v>
      </c>
      <c r="AH340" s="58">
        <f t="shared" si="59"/>
        <v>0</v>
      </c>
      <c r="AI340" s="58">
        <f t="shared" si="60"/>
        <v>0</v>
      </c>
      <c r="AJ340" s="58">
        <f t="shared" si="61"/>
        <v>0</v>
      </c>
      <c r="AK340" s="58">
        <f t="shared" si="62"/>
        <v>0</v>
      </c>
      <c r="AL340" s="58">
        <f t="shared" si="63"/>
        <v>0</v>
      </c>
      <c r="AM340" s="58">
        <f t="shared" si="69"/>
        <v>0</v>
      </c>
      <c r="AN340" s="62">
        <f t="shared" si="70"/>
        <v>0</v>
      </c>
      <c r="AO340" s="61">
        <f t="shared" si="64"/>
        <v>0</v>
      </c>
      <c r="AP340" s="61">
        <f t="shared" si="65"/>
        <v>0</v>
      </c>
    </row>
    <row r="341" spans="3:42" s="17" customFormat="1" x14ac:dyDescent="0.25">
      <c r="C341" s="216" t="s">
        <v>229</v>
      </c>
      <c r="D341" s="217"/>
      <c r="E341" s="90"/>
      <c r="F341" s="198"/>
      <c r="G341" s="214"/>
      <c r="H341" s="199"/>
      <c r="I341" s="78"/>
      <c r="J341" s="79"/>
      <c r="K341" s="78"/>
      <c r="L341" s="113"/>
      <c r="M341" s="155"/>
      <c r="N341" s="114" t="str">
        <f>IFERROR(MIN(VLOOKUP(ROUNDDOWN(M341,0),'Aide calcul'!$B$2:$C$282,2,FALSE),L341+1),"")</f>
        <v/>
      </c>
      <c r="O341" s="115" t="str">
        <f t="shared" si="66"/>
        <v/>
      </c>
      <c r="P341" s="173"/>
      <c r="Q341" s="173"/>
      <c r="R341" s="173"/>
      <c r="S341" s="173"/>
      <c r="T341" s="173"/>
      <c r="U341" s="173"/>
      <c r="V341" s="173"/>
      <c r="W341" s="78"/>
      <c r="X341" s="78"/>
      <c r="Y341" s="116" t="str">
        <f>IFERROR(ROUND('Informations générales'!$D$66*(AE341/SUM($AE$27:$AE$403))/12,0)*12,"")</f>
        <v/>
      </c>
      <c r="Z341" s="117"/>
      <c r="AA341" s="116" t="str">
        <f t="shared" si="67"/>
        <v/>
      </c>
      <c r="AB341" s="78"/>
      <c r="AC341" s="92"/>
      <c r="AD341" s="78"/>
      <c r="AE341" s="58">
        <f t="shared" si="68"/>
        <v>0</v>
      </c>
      <c r="AF341" s="58">
        <f t="shared" si="57"/>
        <v>0</v>
      </c>
      <c r="AG341" s="58">
        <f t="shared" si="58"/>
        <v>0</v>
      </c>
      <c r="AH341" s="58">
        <f t="shared" si="59"/>
        <v>0</v>
      </c>
      <c r="AI341" s="58">
        <f t="shared" si="60"/>
        <v>0</v>
      </c>
      <c r="AJ341" s="58">
        <f t="shared" si="61"/>
        <v>0</v>
      </c>
      <c r="AK341" s="58">
        <f t="shared" si="62"/>
        <v>0</v>
      </c>
      <c r="AL341" s="58">
        <f t="shared" si="63"/>
        <v>0</v>
      </c>
      <c r="AM341" s="58">
        <f t="shared" si="69"/>
        <v>0</v>
      </c>
      <c r="AN341" s="62">
        <f t="shared" si="70"/>
        <v>0</v>
      </c>
      <c r="AO341" s="61">
        <f t="shared" si="64"/>
        <v>0</v>
      </c>
      <c r="AP341" s="61">
        <f t="shared" si="65"/>
        <v>0</v>
      </c>
    </row>
    <row r="342" spans="3:42" s="17" customFormat="1" x14ac:dyDescent="0.25">
      <c r="C342" s="216" t="s">
        <v>229</v>
      </c>
      <c r="D342" s="217"/>
      <c r="E342" s="90"/>
      <c r="F342" s="198"/>
      <c r="G342" s="214"/>
      <c r="H342" s="199"/>
      <c r="I342" s="78"/>
      <c r="J342" s="79"/>
      <c r="K342" s="78"/>
      <c r="L342" s="113"/>
      <c r="M342" s="155"/>
      <c r="N342" s="114" t="str">
        <f>IFERROR(MIN(VLOOKUP(ROUNDDOWN(M342,0),'Aide calcul'!$B$2:$C$282,2,FALSE),L342+1),"")</f>
        <v/>
      </c>
      <c r="O342" s="115" t="str">
        <f t="shared" si="66"/>
        <v/>
      </c>
      <c r="P342" s="173"/>
      <c r="Q342" s="173"/>
      <c r="R342" s="173"/>
      <c r="S342" s="173"/>
      <c r="T342" s="173"/>
      <c r="U342" s="173"/>
      <c r="V342" s="173"/>
      <c r="W342" s="78"/>
      <c r="X342" s="78"/>
      <c r="Y342" s="116" t="str">
        <f>IFERROR(ROUND('Informations générales'!$D$66*(AE342/SUM($AE$27:$AE$403))/12,0)*12,"")</f>
        <v/>
      </c>
      <c r="Z342" s="117"/>
      <c r="AA342" s="116" t="str">
        <f t="shared" si="67"/>
        <v/>
      </c>
      <c r="AB342" s="78"/>
      <c r="AC342" s="92"/>
      <c r="AD342" s="78"/>
      <c r="AE342" s="58">
        <f t="shared" si="68"/>
        <v>0</v>
      </c>
      <c r="AF342" s="58">
        <f t="shared" si="57"/>
        <v>0</v>
      </c>
      <c r="AG342" s="58">
        <f t="shared" si="58"/>
        <v>0</v>
      </c>
      <c r="AH342" s="58">
        <f t="shared" si="59"/>
        <v>0</v>
      </c>
      <c r="AI342" s="58">
        <f t="shared" si="60"/>
        <v>0</v>
      </c>
      <c r="AJ342" s="58">
        <f t="shared" si="61"/>
        <v>0</v>
      </c>
      <c r="AK342" s="58">
        <f t="shared" si="62"/>
        <v>0</v>
      </c>
      <c r="AL342" s="58">
        <f t="shared" si="63"/>
        <v>0</v>
      </c>
      <c r="AM342" s="58">
        <f t="shared" si="69"/>
        <v>0</v>
      </c>
      <c r="AN342" s="62">
        <f t="shared" si="70"/>
        <v>0</v>
      </c>
      <c r="AO342" s="61">
        <f t="shared" si="64"/>
        <v>0</v>
      </c>
      <c r="AP342" s="61">
        <f t="shared" si="65"/>
        <v>0</v>
      </c>
    </row>
    <row r="343" spans="3:42" s="17" customFormat="1" x14ac:dyDescent="0.25">
      <c r="C343" s="216" t="s">
        <v>229</v>
      </c>
      <c r="D343" s="217"/>
      <c r="E343" s="90"/>
      <c r="F343" s="198"/>
      <c r="G343" s="214"/>
      <c r="H343" s="199"/>
      <c r="I343" s="78"/>
      <c r="J343" s="79"/>
      <c r="K343" s="78"/>
      <c r="L343" s="113"/>
      <c r="M343" s="155"/>
      <c r="N343" s="114" t="str">
        <f>IFERROR(MIN(VLOOKUP(ROUNDDOWN(M343,0),'Aide calcul'!$B$2:$C$282,2,FALSE),L343+1),"")</f>
        <v/>
      </c>
      <c r="O343" s="115" t="str">
        <f t="shared" si="66"/>
        <v/>
      </c>
      <c r="P343" s="173"/>
      <c r="Q343" s="173"/>
      <c r="R343" s="173"/>
      <c r="S343" s="173"/>
      <c r="T343" s="173"/>
      <c r="U343" s="173"/>
      <c r="V343" s="173"/>
      <c r="W343" s="78"/>
      <c r="X343" s="78"/>
      <c r="Y343" s="116" t="str">
        <f>IFERROR(ROUND('Informations générales'!$D$66*(AE343/SUM($AE$27:$AE$403))/12,0)*12,"")</f>
        <v/>
      </c>
      <c r="Z343" s="117"/>
      <c r="AA343" s="116" t="str">
        <f t="shared" si="67"/>
        <v/>
      </c>
      <c r="AB343" s="78"/>
      <c r="AC343" s="92"/>
      <c r="AD343" s="78"/>
      <c r="AE343" s="58">
        <f t="shared" si="68"/>
        <v>0</v>
      </c>
      <c r="AF343" s="58">
        <f t="shared" si="57"/>
        <v>0</v>
      </c>
      <c r="AG343" s="58">
        <f t="shared" si="58"/>
        <v>0</v>
      </c>
      <c r="AH343" s="58">
        <f t="shared" si="59"/>
        <v>0</v>
      </c>
      <c r="AI343" s="58">
        <f t="shared" si="60"/>
        <v>0</v>
      </c>
      <c r="AJ343" s="58">
        <f t="shared" si="61"/>
        <v>0</v>
      </c>
      <c r="AK343" s="58">
        <f t="shared" si="62"/>
        <v>0</v>
      </c>
      <c r="AL343" s="58">
        <f t="shared" si="63"/>
        <v>0</v>
      </c>
      <c r="AM343" s="58">
        <f t="shared" si="69"/>
        <v>0</v>
      </c>
      <c r="AN343" s="62">
        <f t="shared" si="70"/>
        <v>0</v>
      </c>
      <c r="AO343" s="61">
        <f t="shared" si="64"/>
        <v>0</v>
      </c>
      <c r="AP343" s="61">
        <f t="shared" si="65"/>
        <v>0</v>
      </c>
    </row>
    <row r="344" spans="3:42" s="17" customFormat="1" x14ac:dyDescent="0.25">
      <c r="C344" s="216" t="s">
        <v>229</v>
      </c>
      <c r="D344" s="217"/>
      <c r="E344" s="90"/>
      <c r="F344" s="198"/>
      <c r="G344" s="214"/>
      <c r="H344" s="199"/>
      <c r="I344" s="78"/>
      <c r="J344" s="79"/>
      <c r="K344" s="78"/>
      <c r="L344" s="113"/>
      <c r="M344" s="155"/>
      <c r="N344" s="114" t="str">
        <f>IFERROR(MIN(VLOOKUP(ROUNDDOWN(M344,0),'Aide calcul'!$B$2:$C$282,2,FALSE),L344+1),"")</f>
        <v/>
      </c>
      <c r="O344" s="115" t="str">
        <f t="shared" si="66"/>
        <v/>
      </c>
      <c r="P344" s="173"/>
      <c r="Q344" s="173"/>
      <c r="R344" s="173"/>
      <c r="S344" s="173"/>
      <c r="T344" s="173"/>
      <c r="U344" s="173"/>
      <c r="V344" s="173"/>
      <c r="W344" s="78"/>
      <c r="X344" s="78"/>
      <c r="Y344" s="116" t="str">
        <f>IFERROR(ROUND('Informations générales'!$D$66*(AE344/SUM($AE$27:$AE$403))/12,0)*12,"")</f>
        <v/>
      </c>
      <c r="Z344" s="117"/>
      <c r="AA344" s="116" t="str">
        <f t="shared" si="67"/>
        <v/>
      </c>
      <c r="AB344" s="78"/>
      <c r="AC344" s="92"/>
      <c r="AD344" s="78"/>
      <c r="AE344" s="58">
        <f t="shared" si="68"/>
        <v>0</v>
      </c>
      <c r="AF344" s="58">
        <f t="shared" si="57"/>
        <v>0</v>
      </c>
      <c r="AG344" s="58">
        <f t="shared" si="58"/>
        <v>0</v>
      </c>
      <c r="AH344" s="58">
        <f t="shared" si="59"/>
        <v>0</v>
      </c>
      <c r="AI344" s="58">
        <f t="shared" si="60"/>
        <v>0</v>
      </c>
      <c r="AJ344" s="58">
        <f t="shared" si="61"/>
        <v>0</v>
      </c>
      <c r="AK344" s="58">
        <f t="shared" si="62"/>
        <v>0</v>
      </c>
      <c r="AL344" s="58">
        <f t="shared" si="63"/>
        <v>0</v>
      </c>
      <c r="AM344" s="58">
        <f t="shared" si="69"/>
        <v>0</v>
      </c>
      <c r="AN344" s="62">
        <f t="shared" si="70"/>
        <v>0</v>
      </c>
      <c r="AO344" s="61">
        <f t="shared" si="64"/>
        <v>0</v>
      </c>
      <c r="AP344" s="61">
        <f t="shared" si="65"/>
        <v>0</v>
      </c>
    </row>
    <row r="345" spans="3:42" s="17" customFormat="1" x14ac:dyDescent="0.25">
      <c r="C345" s="216" t="s">
        <v>229</v>
      </c>
      <c r="D345" s="217"/>
      <c r="E345" s="90"/>
      <c r="F345" s="198"/>
      <c r="G345" s="214"/>
      <c r="H345" s="199"/>
      <c r="I345" s="78"/>
      <c r="J345" s="79"/>
      <c r="K345" s="78"/>
      <c r="L345" s="113"/>
      <c r="M345" s="155"/>
      <c r="N345" s="114" t="str">
        <f>IFERROR(MIN(VLOOKUP(ROUNDDOWN(M345,0),'Aide calcul'!$B$2:$C$282,2,FALSE),L345+1),"")</f>
        <v/>
      </c>
      <c r="O345" s="115" t="str">
        <f t="shared" si="66"/>
        <v/>
      </c>
      <c r="P345" s="173"/>
      <c r="Q345" s="173"/>
      <c r="R345" s="173"/>
      <c r="S345" s="173"/>
      <c r="T345" s="173"/>
      <c r="U345" s="173"/>
      <c r="V345" s="173"/>
      <c r="W345" s="78"/>
      <c r="X345" s="78"/>
      <c r="Y345" s="116" t="str">
        <f>IFERROR(ROUND('Informations générales'!$D$66*(AE345/SUM($AE$27:$AE$403))/12,0)*12,"")</f>
        <v/>
      </c>
      <c r="Z345" s="117"/>
      <c r="AA345" s="116" t="str">
        <f t="shared" si="67"/>
        <v/>
      </c>
      <c r="AB345" s="78"/>
      <c r="AC345" s="92"/>
      <c r="AD345" s="78"/>
      <c r="AE345" s="58">
        <f t="shared" si="68"/>
        <v>0</v>
      </c>
      <c r="AF345" s="58">
        <f t="shared" si="57"/>
        <v>0</v>
      </c>
      <c r="AG345" s="58">
        <f t="shared" si="58"/>
        <v>0</v>
      </c>
      <c r="AH345" s="58">
        <f t="shared" si="59"/>
        <v>0</v>
      </c>
      <c r="AI345" s="58">
        <f t="shared" si="60"/>
        <v>0</v>
      </c>
      <c r="AJ345" s="58">
        <f t="shared" si="61"/>
        <v>0</v>
      </c>
      <c r="AK345" s="58">
        <f t="shared" si="62"/>
        <v>0</v>
      </c>
      <c r="AL345" s="58">
        <f t="shared" si="63"/>
        <v>0</v>
      </c>
      <c r="AM345" s="58">
        <f t="shared" si="69"/>
        <v>0</v>
      </c>
      <c r="AN345" s="62">
        <f t="shared" si="70"/>
        <v>0</v>
      </c>
      <c r="AO345" s="61">
        <f t="shared" si="64"/>
        <v>0</v>
      </c>
      <c r="AP345" s="61">
        <f t="shared" si="65"/>
        <v>0</v>
      </c>
    </row>
    <row r="346" spans="3:42" s="17" customFormat="1" x14ac:dyDescent="0.25">
      <c r="C346" s="216" t="s">
        <v>229</v>
      </c>
      <c r="D346" s="217"/>
      <c r="E346" s="90"/>
      <c r="F346" s="198"/>
      <c r="G346" s="214"/>
      <c r="H346" s="199"/>
      <c r="I346" s="78"/>
      <c r="J346" s="79"/>
      <c r="K346" s="78"/>
      <c r="L346" s="113"/>
      <c r="M346" s="155"/>
      <c r="N346" s="114" t="str">
        <f>IFERROR(MIN(VLOOKUP(ROUNDDOWN(M346,0),'Aide calcul'!$B$2:$C$282,2,FALSE),L346+1),"")</f>
        <v/>
      </c>
      <c r="O346" s="115" t="str">
        <f t="shared" si="66"/>
        <v/>
      </c>
      <c r="P346" s="173"/>
      <c r="Q346" s="173"/>
      <c r="R346" s="173"/>
      <c r="S346" s="173"/>
      <c r="T346" s="173"/>
      <c r="U346" s="173"/>
      <c r="V346" s="173"/>
      <c r="W346" s="78"/>
      <c r="X346" s="78"/>
      <c r="Y346" s="116" t="str">
        <f>IFERROR(ROUND('Informations générales'!$D$66*(AE346/SUM($AE$27:$AE$403))/12,0)*12,"")</f>
        <v/>
      </c>
      <c r="Z346" s="117"/>
      <c r="AA346" s="116" t="str">
        <f t="shared" si="67"/>
        <v/>
      </c>
      <c r="AB346" s="78"/>
      <c r="AC346" s="92"/>
      <c r="AD346" s="78"/>
      <c r="AE346" s="58">
        <f t="shared" si="68"/>
        <v>0</v>
      </c>
      <c r="AF346" s="58">
        <f t="shared" si="57"/>
        <v>0</v>
      </c>
      <c r="AG346" s="58">
        <f t="shared" si="58"/>
        <v>0</v>
      </c>
      <c r="AH346" s="58">
        <f t="shared" si="59"/>
        <v>0</v>
      </c>
      <c r="AI346" s="58">
        <f t="shared" si="60"/>
        <v>0</v>
      </c>
      <c r="AJ346" s="58">
        <f t="shared" si="61"/>
        <v>0</v>
      </c>
      <c r="AK346" s="58">
        <f t="shared" si="62"/>
        <v>0</v>
      </c>
      <c r="AL346" s="58">
        <f t="shared" si="63"/>
        <v>0</v>
      </c>
      <c r="AM346" s="58">
        <f t="shared" si="69"/>
        <v>0</v>
      </c>
      <c r="AN346" s="62">
        <f t="shared" si="70"/>
        <v>0</v>
      </c>
      <c r="AO346" s="61">
        <f t="shared" si="64"/>
        <v>0</v>
      </c>
      <c r="AP346" s="61">
        <f t="shared" si="65"/>
        <v>0</v>
      </c>
    </row>
    <row r="347" spans="3:42" s="17" customFormat="1" x14ac:dyDescent="0.25">
      <c r="C347" s="216" t="s">
        <v>229</v>
      </c>
      <c r="D347" s="217"/>
      <c r="E347" s="90"/>
      <c r="F347" s="198"/>
      <c r="G347" s="214"/>
      <c r="H347" s="199"/>
      <c r="I347" s="78"/>
      <c r="J347" s="79"/>
      <c r="K347" s="78"/>
      <c r="L347" s="113"/>
      <c r="M347" s="155"/>
      <c r="N347" s="114" t="str">
        <f>IFERROR(MIN(VLOOKUP(ROUNDDOWN(M347,0),'Aide calcul'!$B$2:$C$282,2,FALSE),L347+1),"")</f>
        <v/>
      </c>
      <c r="O347" s="115" t="str">
        <f t="shared" si="66"/>
        <v/>
      </c>
      <c r="P347" s="173"/>
      <c r="Q347" s="173"/>
      <c r="R347" s="173"/>
      <c r="S347" s="173"/>
      <c r="T347" s="173"/>
      <c r="U347" s="173"/>
      <c r="V347" s="173"/>
      <c r="W347" s="78"/>
      <c r="X347" s="78"/>
      <c r="Y347" s="116" t="str">
        <f>IFERROR(ROUND('Informations générales'!$D$66*(AE347/SUM($AE$27:$AE$403))/12,0)*12,"")</f>
        <v/>
      </c>
      <c r="Z347" s="117"/>
      <c r="AA347" s="116" t="str">
        <f t="shared" si="67"/>
        <v/>
      </c>
      <c r="AB347" s="78"/>
      <c r="AC347" s="92"/>
      <c r="AD347" s="78"/>
      <c r="AE347" s="58">
        <f t="shared" si="68"/>
        <v>0</v>
      </c>
      <c r="AF347" s="58">
        <f t="shared" ref="AF347:AF410" si="71">P347*$E$13</f>
        <v>0</v>
      </c>
      <c r="AG347" s="58">
        <f t="shared" ref="AG347:AG410" si="72">Q347*$E$14</f>
        <v>0</v>
      </c>
      <c r="AH347" s="58">
        <f t="shared" ref="AH347:AH410" si="73">R347*$E$15</f>
        <v>0</v>
      </c>
      <c r="AI347" s="58">
        <f t="shared" ref="AI347:AI410" si="74">S347*$E$16</f>
        <v>0</v>
      </c>
      <c r="AJ347" s="58">
        <f t="shared" ref="AJ347:AJ410" si="75">T347*$E$17</f>
        <v>0</v>
      </c>
      <c r="AK347" s="58">
        <f t="shared" ref="AK347:AK410" si="76">U347*$E$18</f>
        <v>0</v>
      </c>
      <c r="AL347" s="58">
        <f t="shared" ref="AL347:AL410" si="77">V347*$E$19</f>
        <v>0</v>
      </c>
      <c r="AM347" s="58">
        <f t="shared" si="69"/>
        <v>0</v>
      </c>
      <c r="AN347" s="62">
        <f t="shared" si="70"/>
        <v>0</v>
      </c>
      <c r="AO347" s="61">
        <f t="shared" si="64"/>
        <v>0</v>
      </c>
      <c r="AP347" s="61">
        <f t="shared" si="65"/>
        <v>0</v>
      </c>
    </row>
    <row r="348" spans="3:42" s="17" customFormat="1" x14ac:dyDescent="0.25">
      <c r="C348" s="216" t="s">
        <v>229</v>
      </c>
      <c r="D348" s="217"/>
      <c r="E348" s="90"/>
      <c r="F348" s="198"/>
      <c r="G348" s="214"/>
      <c r="H348" s="199"/>
      <c r="I348" s="78"/>
      <c r="J348" s="79"/>
      <c r="K348" s="78"/>
      <c r="L348" s="113"/>
      <c r="M348" s="155"/>
      <c r="N348" s="114" t="str">
        <f>IFERROR(MIN(VLOOKUP(ROUNDDOWN(M348,0),'Aide calcul'!$B$2:$C$282,2,FALSE),L348+1),"")</f>
        <v/>
      </c>
      <c r="O348" s="115" t="str">
        <f t="shared" ref="O348:O411" si="78">IFERROR(TRUNC(N348-0.5),"")</f>
        <v/>
      </c>
      <c r="P348" s="173"/>
      <c r="Q348" s="173"/>
      <c r="R348" s="173"/>
      <c r="S348" s="173"/>
      <c r="T348" s="173"/>
      <c r="U348" s="173"/>
      <c r="V348" s="173"/>
      <c r="W348" s="78"/>
      <c r="X348" s="78"/>
      <c r="Y348" s="116" t="str">
        <f>IFERROR(ROUND('Informations générales'!$D$66*(AE348/SUM($AE$27:$AE$403))/12,0)*12,"")</f>
        <v/>
      </c>
      <c r="Z348" s="117"/>
      <c r="AA348" s="116" t="str">
        <f t="shared" ref="AA348:AA411" si="79">IFERROR(Y348/AM348,"")</f>
        <v/>
      </c>
      <c r="AB348" s="78"/>
      <c r="AC348" s="92"/>
      <c r="AD348" s="78"/>
      <c r="AE348" s="58">
        <f t="shared" ref="AE348:AE411" si="80">AM348*(SUM(1,AN348,AO348,AP348))</f>
        <v>0</v>
      </c>
      <c r="AF348" s="58">
        <f t="shared" si="71"/>
        <v>0</v>
      </c>
      <c r="AG348" s="58">
        <f t="shared" si="72"/>
        <v>0</v>
      </c>
      <c r="AH348" s="58">
        <f t="shared" si="73"/>
        <v>0</v>
      </c>
      <c r="AI348" s="58">
        <f t="shared" si="74"/>
        <v>0</v>
      </c>
      <c r="AJ348" s="58">
        <f t="shared" si="75"/>
        <v>0</v>
      </c>
      <c r="AK348" s="58">
        <f t="shared" si="76"/>
        <v>0</v>
      </c>
      <c r="AL348" s="58">
        <f t="shared" si="77"/>
        <v>0</v>
      </c>
      <c r="AM348" s="58">
        <f t="shared" ref="AM348:AM411" si="81">SUM(AF348:AL348)</f>
        <v>0</v>
      </c>
      <c r="AN348" s="62">
        <f t="shared" ref="AN348:AN411" si="82">IFERROR(I348*$E$12,0)</f>
        <v>0</v>
      </c>
      <c r="AO348" s="61">
        <f t="shared" ref="AO348:AO411" si="83">IFERROR(VLOOKUP(W348,$H$12:$I$22,2,FALSE),0)</f>
        <v>0</v>
      </c>
      <c r="AP348" s="61">
        <f t="shared" ref="AP348:AP411" si="84">IFERROR(VLOOKUP(X348,$L$12:$N$19,3,FALSE),0)</f>
        <v>0</v>
      </c>
    </row>
    <row r="349" spans="3:42" s="17" customFormat="1" x14ac:dyDescent="0.25">
      <c r="C349" s="216" t="s">
        <v>229</v>
      </c>
      <c r="D349" s="217"/>
      <c r="E349" s="90"/>
      <c r="F349" s="198"/>
      <c r="G349" s="214"/>
      <c r="H349" s="199"/>
      <c r="I349" s="78"/>
      <c r="J349" s="79"/>
      <c r="K349" s="78"/>
      <c r="L349" s="113"/>
      <c r="M349" s="155"/>
      <c r="N349" s="114" t="str">
        <f>IFERROR(MIN(VLOOKUP(ROUNDDOWN(M349,0),'Aide calcul'!$B$2:$C$282,2,FALSE),L349+1),"")</f>
        <v/>
      </c>
      <c r="O349" s="115" t="str">
        <f t="shared" si="78"/>
        <v/>
      </c>
      <c r="P349" s="173"/>
      <c r="Q349" s="173"/>
      <c r="R349" s="173"/>
      <c r="S349" s="173"/>
      <c r="T349" s="173"/>
      <c r="U349" s="173"/>
      <c r="V349" s="173"/>
      <c r="W349" s="78"/>
      <c r="X349" s="78"/>
      <c r="Y349" s="116" t="str">
        <f>IFERROR(ROUND('Informations générales'!$D$66*(AE349/SUM($AE$27:$AE$403))/12,0)*12,"")</f>
        <v/>
      </c>
      <c r="Z349" s="117"/>
      <c r="AA349" s="116" t="str">
        <f t="shared" si="79"/>
        <v/>
      </c>
      <c r="AB349" s="78"/>
      <c r="AC349" s="92"/>
      <c r="AD349" s="78"/>
      <c r="AE349" s="58">
        <f t="shared" si="80"/>
        <v>0</v>
      </c>
      <c r="AF349" s="58">
        <f t="shared" si="71"/>
        <v>0</v>
      </c>
      <c r="AG349" s="58">
        <f t="shared" si="72"/>
        <v>0</v>
      </c>
      <c r="AH349" s="58">
        <f t="shared" si="73"/>
        <v>0</v>
      </c>
      <c r="AI349" s="58">
        <f t="shared" si="74"/>
        <v>0</v>
      </c>
      <c r="AJ349" s="58">
        <f t="shared" si="75"/>
        <v>0</v>
      </c>
      <c r="AK349" s="58">
        <f t="shared" si="76"/>
        <v>0</v>
      </c>
      <c r="AL349" s="58">
        <f t="shared" si="77"/>
        <v>0</v>
      </c>
      <c r="AM349" s="58">
        <f t="shared" si="81"/>
        <v>0</v>
      </c>
      <c r="AN349" s="62">
        <f t="shared" si="82"/>
        <v>0</v>
      </c>
      <c r="AO349" s="61">
        <f t="shared" si="83"/>
        <v>0</v>
      </c>
      <c r="AP349" s="61">
        <f t="shared" si="84"/>
        <v>0</v>
      </c>
    </row>
    <row r="350" spans="3:42" s="17" customFormat="1" x14ac:dyDescent="0.25">
      <c r="C350" s="216" t="s">
        <v>229</v>
      </c>
      <c r="D350" s="217"/>
      <c r="E350" s="90"/>
      <c r="F350" s="198"/>
      <c r="G350" s="214"/>
      <c r="H350" s="199"/>
      <c r="I350" s="78"/>
      <c r="J350" s="79"/>
      <c r="K350" s="78"/>
      <c r="L350" s="113"/>
      <c r="M350" s="155"/>
      <c r="N350" s="114" t="str">
        <f>IFERROR(MIN(VLOOKUP(ROUNDDOWN(M350,0),'Aide calcul'!$B$2:$C$282,2,FALSE),L350+1),"")</f>
        <v/>
      </c>
      <c r="O350" s="115" t="str">
        <f t="shared" si="78"/>
        <v/>
      </c>
      <c r="P350" s="173"/>
      <c r="Q350" s="173"/>
      <c r="R350" s="173"/>
      <c r="S350" s="173"/>
      <c r="T350" s="173"/>
      <c r="U350" s="173"/>
      <c r="V350" s="173"/>
      <c r="W350" s="78"/>
      <c r="X350" s="78"/>
      <c r="Y350" s="116" t="str">
        <f>IFERROR(ROUND('Informations générales'!$D$66*(AE350/SUM($AE$27:$AE$403))/12,0)*12,"")</f>
        <v/>
      </c>
      <c r="Z350" s="117"/>
      <c r="AA350" s="116" t="str">
        <f t="shared" si="79"/>
        <v/>
      </c>
      <c r="AB350" s="78"/>
      <c r="AC350" s="92"/>
      <c r="AD350" s="78"/>
      <c r="AE350" s="58">
        <f t="shared" si="80"/>
        <v>0</v>
      </c>
      <c r="AF350" s="58">
        <f t="shared" si="71"/>
        <v>0</v>
      </c>
      <c r="AG350" s="58">
        <f t="shared" si="72"/>
        <v>0</v>
      </c>
      <c r="AH350" s="58">
        <f t="shared" si="73"/>
        <v>0</v>
      </c>
      <c r="AI350" s="58">
        <f t="shared" si="74"/>
        <v>0</v>
      </c>
      <c r="AJ350" s="58">
        <f t="shared" si="75"/>
        <v>0</v>
      </c>
      <c r="AK350" s="58">
        <f t="shared" si="76"/>
        <v>0</v>
      </c>
      <c r="AL350" s="58">
        <f t="shared" si="77"/>
        <v>0</v>
      </c>
      <c r="AM350" s="58">
        <f t="shared" si="81"/>
        <v>0</v>
      </c>
      <c r="AN350" s="62">
        <f t="shared" si="82"/>
        <v>0</v>
      </c>
      <c r="AO350" s="61">
        <f t="shared" si="83"/>
        <v>0</v>
      </c>
      <c r="AP350" s="61">
        <f t="shared" si="84"/>
        <v>0</v>
      </c>
    </row>
    <row r="351" spans="3:42" s="17" customFormat="1" x14ac:dyDescent="0.25">
      <c r="C351" s="216" t="s">
        <v>229</v>
      </c>
      <c r="D351" s="217"/>
      <c r="E351" s="90"/>
      <c r="F351" s="198"/>
      <c r="G351" s="214"/>
      <c r="H351" s="199"/>
      <c r="I351" s="78"/>
      <c r="J351" s="79"/>
      <c r="K351" s="78"/>
      <c r="L351" s="113"/>
      <c r="M351" s="155"/>
      <c r="N351" s="114" t="str">
        <f>IFERROR(MIN(VLOOKUP(ROUNDDOWN(M351,0),'Aide calcul'!$B$2:$C$282,2,FALSE),L351+1),"")</f>
        <v/>
      </c>
      <c r="O351" s="115" t="str">
        <f t="shared" si="78"/>
        <v/>
      </c>
      <c r="P351" s="173"/>
      <c r="Q351" s="173"/>
      <c r="R351" s="173"/>
      <c r="S351" s="173"/>
      <c r="T351" s="173"/>
      <c r="U351" s="173"/>
      <c r="V351" s="173"/>
      <c r="W351" s="78"/>
      <c r="X351" s="78"/>
      <c r="Y351" s="116" t="str">
        <f>IFERROR(ROUND('Informations générales'!$D$66*(AE351/SUM($AE$27:$AE$403))/12,0)*12,"")</f>
        <v/>
      </c>
      <c r="Z351" s="117"/>
      <c r="AA351" s="116" t="str">
        <f t="shared" si="79"/>
        <v/>
      </c>
      <c r="AB351" s="78"/>
      <c r="AC351" s="92"/>
      <c r="AD351" s="78"/>
      <c r="AE351" s="58">
        <f t="shared" si="80"/>
        <v>0</v>
      </c>
      <c r="AF351" s="58">
        <f t="shared" si="71"/>
        <v>0</v>
      </c>
      <c r="AG351" s="58">
        <f t="shared" si="72"/>
        <v>0</v>
      </c>
      <c r="AH351" s="58">
        <f t="shared" si="73"/>
        <v>0</v>
      </c>
      <c r="AI351" s="58">
        <f t="shared" si="74"/>
        <v>0</v>
      </c>
      <c r="AJ351" s="58">
        <f t="shared" si="75"/>
        <v>0</v>
      </c>
      <c r="AK351" s="58">
        <f t="shared" si="76"/>
        <v>0</v>
      </c>
      <c r="AL351" s="58">
        <f t="shared" si="77"/>
        <v>0</v>
      </c>
      <c r="AM351" s="58">
        <f t="shared" si="81"/>
        <v>0</v>
      </c>
      <c r="AN351" s="62">
        <f t="shared" si="82"/>
        <v>0</v>
      </c>
      <c r="AO351" s="61">
        <f t="shared" si="83"/>
        <v>0</v>
      </c>
      <c r="AP351" s="61">
        <f t="shared" si="84"/>
        <v>0</v>
      </c>
    </row>
    <row r="352" spans="3:42" s="17" customFormat="1" x14ac:dyDescent="0.25">
      <c r="C352" s="216" t="s">
        <v>229</v>
      </c>
      <c r="D352" s="217"/>
      <c r="E352" s="90"/>
      <c r="F352" s="198"/>
      <c r="G352" s="214"/>
      <c r="H352" s="199"/>
      <c r="I352" s="78"/>
      <c r="J352" s="79"/>
      <c r="K352" s="78"/>
      <c r="L352" s="113"/>
      <c r="M352" s="155"/>
      <c r="N352" s="114" t="str">
        <f>IFERROR(MIN(VLOOKUP(ROUNDDOWN(M352,0),'Aide calcul'!$B$2:$C$282,2,FALSE),L352+1),"")</f>
        <v/>
      </c>
      <c r="O352" s="115" t="str">
        <f t="shared" si="78"/>
        <v/>
      </c>
      <c r="P352" s="173"/>
      <c r="Q352" s="173"/>
      <c r="R352" s="173"/>
      <c r="S352" s="173"/>
      <c r="T352" s="173"/>
      <c r="U352" s="173"/>
      <c r="V352" s="173"/>
      <c r="W352" s="78"/>
      <c r="X352" s="78"/>
      <c r="Y352" s="116" t="str">
        <f>IFERROR(ROUND('Informations générales'!$D$66*(AE352/SUM($AE$27:$AE$403))/12,0)*12,"")</f>
        <v/>
      </c>
      <c r="Z352" s="117"/>
      <c r="AA352" s="116" t="str">
        <f t="shared" si="79"/>
        <v/>
      </c>
      <c r="AB352" s="78"/>
      <c r="AC352" s="92"/>
      <c r="AD352" s="78"/>
      <c r="AE352" s="58">
        <f t="shared" si="80"/>
        <v>0</v>
      </c>
      <c r="AF352" s="58">
        <f t="shared" si="71"/>
        <v>0</v>
      </c>
      <c r="AG352" s="58">
        <f t="shared" si="72"/>
        <v>0</v>
      </c>
      <c r="AH352" s="58">
        <f t="shared" si="73"/>
        <v>0</v>
      </c>
      <c r="AI352" s="58">
        <f t="shared" si="74"/>
        <v>0</v>
      </c>
      <c r="AJ352" s="58">
        <f t="shared" si="75"/>
        <v>0</v>
      </c>
      <c r="AK352" s="58">
        <f t="shared" si="76"/>
        <v>0</v>
      </c>
      <c r="AL352" s="58">
        <f t="shared" si="77"/>
        <v>0</v>
      </c>
      <c r="AM352" s="58">
        <f t="shared" si="81"/>
        <v>0</v>
      </c>
      <c r="AN352" s="62">
        <f t="shared" si="82"/>
        <v>0</v>
      </c>
      <c r="AO352" s="61">
        <f t="shared" si="83"/>
        <v>0</v>
      </c>
      <c r="AP352" s="61">
        <f t="shared" si="84"/>
        <v>0</v>
      </c>
    </row>
    <row r="353" spans="3:42" s="17" customFormat="1" x14ac:dyDescent="0.25">
      <c r="C353" s="216" t="s">
        <v>229</v>
      </c>
      <c r="D353" s="217"/>
      <c r="E353" s="90"/>
      <c r="F353" s="198"/>
      <c r="G353" s="214"/>
      <c r="H353" s="199"/>
      <c r="I353" s="78"/>
      <c r="J353" s="79"/>
      <c r="K353" s="78"/>
      <c r="L353" s="113"/>
      <c r="M353" s="155"/>
      <c r="N353" s="114" t="str">
        <f>IFERROR(MIN(VLOOKUP(ROUNDDOWN(M353,0),'Aide calcul'!$B$2:$C$282,2,FALSE),L353+1),"")</f>
        <v/>
      </c>
      <c r="O353" s="115" t="str">
        <f t="shared" si="78"/>
        <v/>
      </c>
      <c r="P353" s="173"/>
      <c r="Q353" s="173"/>
      <c r="R353" s="173"/>
      <c r="S353" s="173"/>
      <c r="T353" s="173"/>
      <c r="U353" s="173"/>
      <c r="V353" s="173"/>
      <c r="W353" s="78"/>
      <c r="X353" s="78"/>
      <c r="Y353" s="116" t="str">
        <f>IFERROR(ROUND('Informations générales'!$D$66*(AE353/SUM($AE$27:$AE$403))/12,0)*12,"")</f>
        <v/>
      </c>
      <c r="Z353" s="117"/>
      <c r="AA353" s="116" t="str">
        <f t="shared" si="79"/>
        <v/>
      </c>
      <c r="AB353" s="78"/>
      <c r="AC353" s="92"/>
      <c r="AD353" s="78"/>
      <c r="AE353" s="58">
        <f t="shared" si="80"/>
        <v>0</v>
      </c>
      <c r="AF353" s="58">
        <f t="shared" si="71"/>
        <v>0</v>
      </c>
      <c r="AG353" s="58">
        <f t="shared" si="72"/>
        <v>0</v>
      </c>
      <c r="AH353" s="58">
        <f t="shared" si="73"/>
        <v>0</v>
      </c>
      <c r="AI353" s="58">
        <f t="shared" si="74"/>
        <v>0</v>
      </c>
      <c r="AJ353" s="58">
        <f t="shared" si="75"/>
        <v>0</v>
      </c>
      <c r="AK353" s="58">
        <f t="shared" si="76"/>
        <v>0</v>
      </c>
      <c r="AL353" s="58">
        <f t="shared" si="77"/>
        <v>0</v>
      </c>
      <c r="AM353" s="58">
        <f t="shared" si="81"/>
        <v>0</v>
      </c>
      <c r="AN353" s="62">
        <f t="shared" si="82"/>
        <v>0</v>
      </c>
      <c r="AO353" s="61">
        <f t="shared" si="83"/>
        <v>0</v>
      </c>
      <c r="AP353" s="61">
        <f t="shared" si="84"/>
        <v>0</v>
      </c>
    </row>
    <row r="354" spans="3:42" s="17" customFormat="1" x14ac:dyDescent="0.25">
      <c r="C354" s="216" t="s">
        <v>229</v>
      </c>
      <c r="D354" s="217"/>
      <c r="E354" s="90"/>
      <c r="F354" s="198"/>
      <c r="G354" s="214"/>
      <c r="H354" s="199"/>
      <c r="I354" s="78"/>
      <c r="J354" s="79"/>
      <c r="K354" s="78"/>
      <c r="L354" s="113"/>
      <c r="M354" s="155"/>
      <c r="N354" s="114" t="str">
        <f>IFERROR(MIN(VLOOKUP(ROUNDDOWN(M354,0),'Aide calcul'!$B$2:$C$282,2,FALSE),L354+1),"")</f>
        <v/>
      </c>
      <c r="O354" s="115" t="str">
        <f t="shared" si="78"/>
        <v/>
      </c>
      <c r="P354" s="173"/>
      <c r="Q354" s="173"/>
      <c r="R354" s="173"/>
      <c r="S354" s="173"/>
      <c r="T354" s="173"/>
      <c r="U354" s="173"/>
      <c r="V354" s="173"/>
      <c r="W354" s="78"/>
      <c r="X354" s="78"/>
      <c r="Y354" s="116" t="str">
        <f>IFERROR(ROUND('Informations générales'!$D$66*(AE354/SUM($AE$27:$AE$403))/12,0)*12,"")</f>
        <v/>
      </c>
      <c r="Z354" s="117"/>
      <c r="AA354" s="116" t="str">
        <f t="shared" si="79"/>
        <v/>
      </c>
      <c r="AB354" s="78"/>
      <c r="AC354" s="92"/>
      <c r="AD354" s="78"/>
      <c r="AE354" s="58">
        <f t="shared" si="80"/>
        <v>0</v>
      </c>
      <c r="AF354" s="58">
        <f t="shared" si="71"/>
        <v>0</v>
      </c>
      <c r="AG354" s="58">
        <f t="shared" si="72"/>
        <v>0</v>
      </c>
      <c r="AH354" s="58">
        <f t="shared" si="73"/>
        <v>0</v>
      </c>
      <c r="AI354" s="58">
        <f t="shared" si="74"/>
        <v>0</v>
      </c>
      <c r="AJ354" s="58">
        <f t="shared" si="75"/>
        <v>0</v>
      </c>
      <c r="AK354" s="58">
        <f t="shared" si="76"/>
        <v>0</v>
      </c>
      <c r="AL354" s="58">
        <f t="shared" si="77"/>
        <v>0</v>
      </c>
      <c r="AM354" s="58">
        <f t="shared" si="81"/>
        <v>0</v>
      </c>
      <c r="AN354" s="62">
        <f t="shared" si="82"/>
        <v>0</v>
      </c>
      <c r="AO354" s="61">
        <f t="shared" si="83"/>
        <v>0</v>
      </c>
      <c r="AP354" s="61">
        <f t="shared" si="84"/>
        <v>0</v>
      </c>
    </row>
    <row r="355" spans="3:42" s="17" customFormat="1" x14ac:dyDescent="0.25">
      <c r="C355" s="216" t="s">
        <v>229</v>
      </c>
      <c r="D355" s="217"/>
      <c r="E355" s="90"/>
      <c r="F355" s="198"/>
      <c r="G355" s="214"/>
      <c r="H355" s="199"/>
      <c r="I355" s="78"/>
      <c r="J355" s="79"/>
      <c r="K355" s="78"/>
      <c r="L355" s="113"/>
      <c r="M355" s="155"/>
      <c r="N355" s="114" t="str">
        <f>IFERROR(MIN(VLOOKUP(ROUNDDOWN(M355,0),'Aide calcul'!$B$2:$C$282,2,FALSE),L355+1),"")</f>
        <v/>
      </c>
      <c r="O355" s="115" t="str">
        <f t="shared" si="78"/>
        <v/>
      </c>
      <c r="P355" s="173"/>
      <c r="Q355" s="173"/>
      <c r="R355" s="173"/>
      <c r="S355" s="173"/>
      <c r="T355" s="173"/>
      <c r="U355" s="173"/>
      <c r="V355" s="173"/>
      <c r="W355" s="78"/>
      <c r="X355" s="78"/>
      <c r="Y355" s="116" t="str">
        <f>IFERROR(ROUND('Informations générales'!$D$66*(AE355/SUM($AE$27:$AE$403))/12,0)*12,"")</f>
        <v/>
      </c>
      <c r="Z355" s="117"/>
      <c r="AA355" s="116" t="str">
        <f t="shared" si="79"/>
        <v/>
      </c>
      <c r="AB355" s="78"/>
      <c r="AC355" s="92"/>
      <c r="AD355" s="78"/>
      <c r="AE355" s="58">
        <f t="shared" si="80"/>
        <v>0</v>
      </c>
      <c r="AF355" s="58">
        <f t="shared" si="71"/>
        <v>0</v>
      </c>
      <c r="AG355" s="58">
        <f t="shared" si="72"/>
        <v>0</v>
      </c>
      <c r="AH355" s="58">
        <f t="shared" si="73"/>
        <v>0</v>
      </c>
      <c r="AI355" s="58">
        <f t="shared" si="74"/>
        <v>0</v>
      </c>
      <c r="AJ355" s="58">
        <f t="shared" si="75"/>
        <v>0</v>
      </c>
      <c r="AK355" s="58">
        <f t="shared" si="76"/>
        <v>0</v>
      </c>
      <c r="AL355" s="58">
        <f t="shared" si="77"/>
        <v>0</v>
      </c>
      <c r="AM355" s="58">
        <f t="shared" si="81"/>
        <v>0</v>
      </c>
      <c r="AN355" s="62">
        <f t="shared" si="82"/>
        <v>0</v>
      </c>
      <c r="AO355" s="61">
        <f t="shared" si="83"/>
        <v>0</v>
      </c>
      <c r="AP355" s="61">
        <f t="shared" si="84"/>
        <v>0</v>
      </c>
    </row>
    <row r="356" spans="3:42" s="17" customFormat="1" x14ac:dyDescent="0.25">
      <c r="C356" s="216" t="s">
        <v>229</v>
      </c>
      <c r="D356" s="217"/>
      <c r="E356" s="90"/>
      <c r="F356" s="198"/>
      <c r="G356" s="214"/>
      <c r="H356" s="199"/>
      <c r="I356" s="78"/>
      <c r="J356" s="79"/>
      <c r="K356" s="78"/>
      <c r="L356" s="113"/>
      <c r="M356" s="155"/>
      <c r="N356" s="114" t="str">
        <f>IFERROR(MIN(VLOOKUP(ROUNDDOWN(M356,0),'Aide calcul'!$B$2:$C$282,2,FALSE),L356+1),"")</f>
        <v/>
      </c>
      <c r="O356" s="115" t="str">
        <f t="shared" si="78"/>
        <v/>
      </c>
      <c r="P356" s="173"/>
      <c r="Q356" s="173"/>
      <c r="R356" s="173"/>
      <c r="S356" s="173"/>
      <c r="T356" s="173"/>
      <c r="U356" s="173"/>
      <c r="V356" s="173"/>
      <c r="W356" s="78"/>
      <c r="X356" s="78"/>
      <c r="Y356" s="116" t="str">
        <f>IFERROR(ROUND('Informations générales'!$D$66*(AE356/SUM($AE$27:$AE$403))/12,0)*12,"")</f>
        <v/>
      </c>
      <c r="Z356" s="117"/>
      <c r="AA356" s="116" t="str">
        <f t="shared" si="79"/>
        <v/>
      </c>
      <c r="AB356" s="78"/>
      <c r="AC356" s="92"/>
      <c r="AD356" s="78"/>
      <c r="AE356" s="58">
        <f t="shared" si="80"/>
        <v>0</v>
      </c>
      <c r="AF356" s="58">
        <f t="shared" si="71"/>
        <v>0</v>
      </c>
      <c r="AG356" s="58">
        <f t="shared" si="72"/>
        <v>0</v>
      </c>
      <c r="AH356" s="58">
        <f t="shared" si="73"/>
        <v>0</v>
      </c>
      <c r="AI356" s="58">
        <f t="shared" si="74"/>
        <v>0</v>
      </c>
      <c r="AJ356" s="58">
        <f t="shared" si="75"/>
        <v>0</v>
      </c>
      <c r="AK356" s="58">
        <f t="shared" si="76"/>
        <v>0</v>
      </c>
      <c r="AL356" s="58">
        <f t="shared" si="77"/>
        <v>0</v>
      </c>
      <c r="AM356" s="58">
        <f t="shared" si="81"/>
        <v>0</v>
      </c>
      <c r="AN356" s="62">
        <f t="shared" si="82"/>
        <v>0</v>
      </c>
      <c r="AO356" s="61">
        <f t="shared" si="83"/>
        <v>0</v>
      </c>
      <c r="AP356" s="61">
        <f t="shared" si="84"/>
        <v>0</v>
      </c>
    </row>
    <row r="357" spans="3:42" s="17" customFormat="1" x14ac:dyDescent="0.25">
      <c r="C357" s="216" t="s">
        <v>229</v>
      </c>
      <c r="D357" s="217"/>
      <c r="E357" s="90"/>
      <c r="F357" s="198"/>
      <c r="G357" s="214"/>
      <c r="H357" s="199"/>
      <c r="I357" s="78"/>
      <c r="J357" s="79"/>
      <c r="K357" s="78"/>
      <c r="L357" s="113"/>
      <c r="M357" s="155"/>
      <c r="N357" s="114" t="str">
        <f>IFERROR(MIN(VLOOKUP(ROUNDDOWN(M357,0),'Aide calcul'!$B$2:$C$282,2,FALSE),L357+1),"")</f>
        <v/>
      </c>
      <c r="O357" s="115" t="str">
        <f t="shared" si="78"/>
        <v/>
      </c>
      <c r="P357" s="173"/>
      <c r="Q357" s="173"/>
      <c r="R357" s="173"/>
      <c r="S357" s="173"/>
      <c r="T357" s="173"/>
      <c r="U357" s="173"/>
      <c r="V357" s="173"/>
      <c r="W357" s="78"/>
      <c r="X357" s="78"/>
      <c r="Y357" s="116" t="str">
        <f>IFERROR(ROUND('Informations générales'!$D$66*(AE357/SUM($AE$27:$AE$403))/12,0)*12,"")</f>
        <v/>
      </c>
      <c r="Z357" s="117"/>
      <c r="AA357" s="116" t="str">
        <f t="shared" si="79"/>
        <v/>
      </c>
      <c r="AB357" s="78"/>
      <c r="AC357" s="92"/>
      <c r="AD357" s="78"/>
      <c r="AE357" s="58">
        <f t="shared" si="80"/>
        <v>0</v>
      </c>
      <c r="AF357" s="58">
        <f t="shared" si="71"/>
        <v>0</v>
      </c>
      <c r="AG357" s="58">
        <f t="shared" si="72"/>
        <v>0</v>
      </c>
      <c r="AH357" s="58">
        <f t="shared" si="73"/>
        <v>0</v>
      </c>
      <c r="AI357" s="58">
        <f t="shared" si="74"/>
        <v>0</v>
      </c>
      <c r="AJ357" s="58">
        <f t="shared" si="75"/>
        <v>0</v>
      </c>
      <c r="AK357" s="58">
        <f t="shared" si="76"/>
        <v>0</v>
      </c>
      <c r="AL357" s="58">
        <f t="shared" si="77"/>
        <v>0</v>
      </c>
      <c r="AM357" s="58">
        <f t="shared" si="81"/>
        <v>0</v>
      </c>
      <c r="AN357" s="62">
        <f t="shared" si="82"/>
        <v>0</v>
      </c>
      <c r="AO357" s="61">
        <f t="shared" si="83"/>
        <v>0</v>
      </c>
      <c r="AP357" s="61">
        <f t="shared" si="84"/>
        <v>0</v>
      </c>
    </row>
    <row r="358" spans="3:42" s="17" customFormat="1" x14ac:dyDescent="0.25">
      <c r="C358" s="216" t="s">
        <v>229</v>
      </c>
      <c r="D358" s="217"/>
      <c r="E358" s="90"/>
      <c r="F358" s="198"/>
      <c r="G358" s="214"/>
      <c r="H358" s="199"/>
      <c r="I358" s="78"/>
      <c r="J358" s="79"/>
      <c r="K358" s="78"/>
      <c r="L358" s="113"/>
      <c r="M358" s="155"/>
      <c r="N358" s="114" t="str">
        <f>IFERROR(MIN(VLOOKUP(ROUNDDOWN(M358,0),'Aide calcul'!$B$2:$C$282,2,FALSE),L358+1),"")</f>
        <v/>
      </c>
      <c r="O358" s="115" t="str">
        <f t="shared" si="78"/>
        <v/>
      </c>
      <c r="P358" s="173"/>
      <c r="Q358" s="173"/>
      <c r="R358" s="173"/>
      <c r="S358" s="173"/>
      <c r="T358" s="173"/>
      <c r="U358" s="173"/>
      <c r="V358" s="173"/>
      <c r="W358" s="78"/>
      <c r="X358" s="78"/>
      <c r="Y358" s="116" t="str">
        <f>IFERROR(ROUND('Informations générales'!$D$66*(AE358/SUM($AE$27:$AE$403))/12,0)*12,"")</f>
        <v/>
      </c>
      <c r="Z358" s="117"/>
      <c r="AA358" s="116" t="str">
        <f t="shared" si="79"/>
        <v/>
      </c>
      <c r="AB358" s="78"/>
      <c r="AC358" s="92"/>
      <c r="AD358" s="78"/>
      <c r="AE358" s="58">
        <f t="shared" si="80"/>
        <v>0</v>
      </c>
      <c r="AF358" s="58">
        <f t="shared" si="71"/>
        <v>0</v>
      </c>
      <c r="AG358" s="58">
        <f t="shared" si="72"/>
        <v>0</v>
      </c>
      <c r="AH358" s="58">
        <f t="shared" si="73"/>
        <v>0</v>
      </c>
      <c r="AI358" s="58">
        <f t="shared" si="74"/>
        <v>0</v>
      </c>
      <c r="AJ358" s="58">
        <f t="shared" si="75"/>
        <v>0</v>
      </c>
      <c r="AK358" s="58">
        <f t="shared" si="76"/>
        <v>0</v>
      </c>
      <c r="AL358" s="58">
        <f t="shared" si="77"/>
        <v>0</v>
      </c>
      <c r="AM358" s="58">
        <f t="shared" si="81"/>
        <v>0</v>
      </c>
      <c r="AN358" s="62">
        <f t="shared" si="82"/>
        <v>0</v>
      </c>
      <c r="AO358" s="61">
        <f t="shared" si="83"/>
        <v>0</v>
      </c>
      <c r="AP358" s="61">
        <f t="shared" si="84"/>
        <v>0</v>
      </c>
    </row>
    <row r="359" spans="3:42" s="17" customFormat="1" x14ac:dyDescent="0.25">
      <c r="C359" s="216" t="s">
        <v>229</v>
      </c>
      <c r="D359" s="217"/>
      <c r="E359" s="90"/>
      <c r="F359" s="198"/>
      <c r="G359" s="214"/>
      <c r="H359" s="199"/>
      <c r="I359" s="78"/>
      <c r="J359" s="79"/>
      <c r="K359" s="78"/>
      <c r="L359" s="113"/>
      <c r="M359" s="155"/>
      <c r="N359" s="114" t="str">
        <f>IFERROR(MIN(VLOOKUP(ROUNDDOWN(M359,0),'Aide calcul'!$B$2:$C$282,2,FALSE),L359+1),"")</f>
        <v/>
      </c>
      <c r="O359" s="115" t="str">
        <f t="shared" si="78"/>
        <v/>
      </c>
      <c r="P359" s="173"/>
      <c r="Q359" s="173"/>
      <c r="R359" s="173"/>
      <c r="S359" s="173"/>
      <c r="T359" s="173"/>
      <c r="U359" s="173"/>
      <c r="V359" s="173"/>
      <c r="W359" s="78"/>
      <c r="X359" s="78"/>
      <c r="Y359" s="116" t="str">
        <f>IFERROR(ROUND('Informations générales'!$D$66*(AE359/SUM($AE$27:$AE$403))/12,0)*12,"")</f>
        <v/>
      </c>
      <c r="Z359" s="117"/>
      <c r="AA359" s="116" t="str">
        <f t="shared" si="79"/>
        <v/>
      </c>
      <c r="AB359" s="78"/>
      <c r="AC359" s="92"/>
      <c r="AD359" s="78"/>
      <c r="AE359" s="58">
        <f t="shared" si="80"/>
        <v>0</v>
      </c>
      <c r="AF359" s="58">
        <f t="shared" si="71"/>
        <v>0</v>
      </c>
      <c r="AG359" s="58">
        <f t="shared" si="72"/>
        <v>0</v>
      </c>
      <c r="AH359" s="58">
        <f t="shared" si="73"/>
        <v>0</v>
      </c>
      <c r="AI359" s="58">
        <f t="shared" si="74"/>
        <v>0</v>
      </c>
      <c r="AJ359" s="58">
        <f t="shared" si="75"/>
        <v>0</v>
      </c>
      <c r="AK359" s="58">
        <f t="shared" si="76"/>
        <v>0</v>
      </c>
      <c r="AL359" s="58">
        <f t="shared" si="77"/>
        <v>0</v>
      </c>
      <c r="AM359" s="58">
        <f t="shared" si="81"/>
        <v>0</v>
      </c>
      <c r="AN359" s="62">
        <f t="shared" si="82"/>
        <v>0</v>
      </c>
      <c r="AO359" s="61">
        <f t="shared" si="83"/>
        <v>0</v>
      </c>
      <c r="AP359" s="61">
        <f t="shared" si="84"/>
        <v>0</v>
      </c>
    </row>
    <row r="360" spans="3:42" s="17" customFormat="1" x14ac:dyDescent="0.25">
      <c r="C360" s="216" t="s">
        <v>229</v>
      </c>
      <c r="D360" s="217"/>
      <c r="E360" s="90"/>
      <c r="F360" s="198"/>
      <c r="G360" s="214"/>
      <c r="H360" s="199"/>
      <c r="I360" s="78"/>
      <c r="J360" s="79"/>
      <c r="K360" s="78"/>
      <c r="L360" s="113"/>
      <c r="M360" s="155"/>
      <c r="N360" s="114" t="str">
        <f>IFERROR(MIN(VLOOKUP(ROUNDDOWN(M360,0),'Aide calcul'!$B$2:$C$282,2,FALSE),L360+1),"")</f>
        <v/>
      </c>
      <c r="O360" s="115" t="str">
        <f t="shared" si="78"/>
        <v/>
      </c>
      <c r="P360" s="173"/>
      <c r="Q360" s="173"/>
      <c r="R360" s="173"/>
      <c r="S360" s="173"/>
      <c r="T360" s="173"/>
      <c r="U360" s="173"/>
      <c r="V360" s="173"/>
      <c r="W360" s="78"/>
      <c r="X360" s="78"/>
      <c r="Y360" s="116" t="str">
        <f>IFERROR(ROUND('Informations générales'!$D$66*(AE360/SUM($AE$27:$AE$403))/12,0)*12,"")</f>
        <v/>
      </c>
      <c r="Z360" s="117"/>
      <c r="AA360" s="116" t="str">
        <f t="shared" si="79"/>
        <v/>
      </c>
      <c r="AB360" s="78"/>
      <c r="AC360" s="92"/>
      <c r="AD360" s="78"/>
      <c r="AE360" s="58">
        <f t="shared" si="80"/>
        <v>0</v>
      </c>
      <c r="AF360" s="58">
        <f t="shared" si="71"/>
        <v>0</v>
      </c>
      <c r="AG360" s="58">
        <f t="shared" si="72"/>
        <v>0</v>
      </c>
      <c r="AH360" s="58">
        <f t="shared" si="73"/>
        <v>0</v>
      </c>
      <c r="AI360" s="58">
        <f t="shared" si="74"/>
        <v>0</v>
      </c>
      <c r="AJ360" s="58">
        <f t="shared" si="75"/>
        <v>0</v>
      </c>
      <c r="AK360" s="58">
        <f t="shared" si="76"/>
        <v>0</v>
      </c>
      <c r="AL360" s="58">
        <f t="shared" si="77"/>
        <v>0</v>
      </c>
      <c r="AM360" s="58">
        <f t="shared" si="81"/>
        <v>0</v>
      </c>
      <c r="AN360" s="62">
        <f t="shared" si="82"/>
        <v>0</v>
      </c>
      <c r="AO360" s="61">
        <f t="shared" si="83"/>
        <v>0</v>
      </c>
      <c r="AP360" s="61">
        <f t="shared" si="84"/>
        <v>0</v>
      </c>
    </row>
    <row r="361" spans="3:42" s="17" customFormat="1" x14ac:dyDescent="0.25">
      <c r="C361" s="216" t="s">
        <v>229</v>
      </c>
      <c r="D361" s="217"/>
      <c r="E361" s="90"/>
      <c r="F361" s="198"/>
      <c r="G361" s="214"/>
      <c r="H361" s="199"/>
      <c r="I361" s="78"/>
      <c r="J361" s="79"/>
      <c r="K361" s="78"/>
      <c r="L361" s="113"/>
      <c r="M361" s="155"/>
      <c r="N361" s="114" t="str">
        <f>IFERROR(MIN(VLOOKUP(ROUNDDOWN(M361,0),'Aide calcul'!$B$2:$C$282,2,FALSE),L361+1),"")</f>
        <v/>
      </c>
      <c r="O361" s="115" t="str">
        <f t="shared" si="78"/>
        <v/>
      </c>
      <c r="P361" s="173"/>
      <c r="Q361" s="173"/>
      <c r="R361" s="173"/>
      <c r="S361" s="173"/>
      <c r="T361" s="173"/>
      <c r="U361" s="173"/>
      <c r="V361" s="173"/>
      <c r="W361" s="78"/>
      <c r="X361" s="78"/>
      <c r="Y361" s="116" t="str">
        <f>IFERROR(ROUND('Informations générales'!$D$66*(AE361/SUM($AE$27:$AE$403))/12,0)*12,"")</f>
        <v/>
      </c>
      <c r="Z361" s="117"/>
      <c r="AA361" s="116" t="str">
        <f t="shared" si="79"/>
        <v/>
      </c>
      <c r="AB361" s="78"/>
      <c r="AC361" s="92"/>
      <c r="AD361" s="78"/>
      <c r="AE361" s="58">
        <f t="shared" si="80"/>
        <v>0</v>
      </c>
      <c r="AF361" s="58">
        <f t="shared" si="71"/>
        <v>0</v>
      </c>
      <c r="AG361" s="58">
        <f t="shared" si="72"/>
        <v>0</v>
      </c>
      <c r="AH361" s="58">
        <f t="shared" si="73"/>
        <v>0</v>
      </c>
      <c r="AI361" s="58">
        <f t="shared" si="74"/>
        <v>0</v>
      </c>
      <c r="AJ361" s="58">
        <f t="shared" si="75"/>
        <v>0</v>
      </c>
      <c r="AK361" s="58">
        <f t="shared" si="76"/>
        <v>0</v>
      </c>
      <c r="AL361" s="58">
        <f t="shared" si="77"/>
        <v>0</v>
      </c>
      <c r="AM361" s="58">
        <f t="shared" si="81"/>
        <v>0</v>
      </c>
      <c r="AN361" s="62">
        <f t="shared" si="82"/>
        <v>0</v>
      </c>
      <c r="AO361" s="61">
        <f t="shared" si="83"/>
        <v>0</v>
      </c>
      <c r="AP361" s="61">
        <f t="shared" si="84"/>
        <v>0</v>
      </c>
    </row>
    <row r="362" spans="3:42" s="17" customFormat="1" x14ac:dyDescent="0.25">
      <c r="C362" s="216" t="s">
        <v>229</v>
      </c>
      <c r="D362" s="217"/>
      <c r="E362" s="90"/>
      <c r="F362" s="198"/>
      <c r="G362" s="214"/>
      <c r="H362" s="199"/>
      <c r="I362" s="78"/>
      <c r="J362" s="79"/>
      <c r="K362" s="78"/>
      <c r="L362" s="113"/>
      <c r="M362" s="155"/>
      <c r="N362" s="114" t="str">
        <f>IFERROR(MIN(VLOOKUP(ROUNDDOWN(M362,0),'Aide calcul'!$B$2:$C$282,2,FALSE),L362+1),"")</f>
        <v/>
      </c>
      <c r="O362" s="115" t="str">
        <f t="shared" si="78"/>
        <v/>
      </c>
      <c r="P362" s="173"/>
      <c r="Q362" s="173"/>
      <c r="R362" s="173"/>
      <c r="S362" s="173"/>
      <c r="T362" s="173"/>
      <c r="U362" s="173"/>
      <c r="V362" s="173"/>
      <c r="W362" s="78"/>
      <c r="X362" s="78"/>
      <c r="Y362" s="116" t="str">
        <f>IFERROR(ROUND('Informations générales'!$D$66*(AE362/SUM($AE$27:$AE$403))/12,0)*12,"")</f>
        <v/>
      </c>
      <c r="Z362" s="117"/>
      <c r="AA362" s="116" t="str">
        <f t="shared" si="79"/>
        <v/>
      </c>
      <c r="AB362" s="78"/>
      <c r="AC362" s="92"/>
      <c r="AD362" s="78"/>
      <c r="AE362" s="58">
        <f t="shared" si="80"/>
        <v>0</v>
      </c>
      <c r="AF362" s="58">
        <f t="shared" si="71"/>
        <v>0</v>
      </c>
      <c r="AG362" s="58">
        <f t="shared" si="72"/>
        <v>0</v>
      </c>
      <c r="AH362" s="58">
        <f t="shared" si="73"/>
        <v>0</v>
      </c>
      <c r="AI362" s="58">
        <f t="shared" si="74"/>
        <v>0</v>
      </c>
      <c r="AJ362" s="58">
        <f t="shared" si="75"/>
        <v>0</v>
      </c>
      <c r="AK362" s="58">
        <f t="shared" si="76"/>
        <v>0</v>
      </c>
      <c r="AL362" s="58">
        <f t="shared" si="77"/>
        <v>0</v>
      </c>
      <c r="AM362" s="58">
        <f t="shared" si="81"/>
        <v>0</v>
      </c>
      <c r="AN362" s="62">
        <f t="shared" si="82"/>
        <v>0</v>
      </c>
      <c r="AO362" s="61">
        <f t="shared" si="83"/>
        <v>0</v>
      </c>
      <c r="AP362" s="61">
        <f t="shared" si="84"/>
        <v>0</v>
      </c>
    </row>
    <row r="363" spans="3:42" s="17" customFormat="1" x14ac:dyDescent="0.25">
      <c r="C363" s="216" t="s">
        <v>229</v>
      </c>
      <c r="D363" s="217"/>
      <c r="E363" s="90"/>
      <c r="F363" s="198"/>
      <c r="G363" s="214"/>
      <c r="H363" s="199"/>
      <c r="I363" s="78"/>
      <c r="J363" s="79"/>
      <c r="K363" s="78"/>
      <c r="L363" s="113"/>
      <c r="M363" s="155"/>
      <c r="N363" s="114" t="str">
        <f>IFERROR(MIN(VLOOKUP(ROUNDDOWN(M363,0),'Aide calcul'!$B$2:$C$282,2,FALSE),L363+1),"")</f>
        <v/>
      </c>
      <c r="O363" s="115" t="str">
        <f t="shared" si="78"/>
        <v/>
      </c>
      <c r="P363" s="173"/>
      <c r="Q363" s="173"/>
      <c r="R363" s="173"/>
      <c r="S363" s="173"/>
      <c r="T363" s="173"/>
      <c r="U363" s="173"/>
      <c r="V363" s="173"/>
      <c r="W363" s="78"/>
      <c r="X363" s="78"/>
      <c r="Y363" s="116" t="str">
        <f>IFERROR(ROUND('Informations générales'!$D$66*(AE363/SUM($AE$27:$AE$403))/12,0)*12,"")</f>
        <v/>
      </c>
      <c r="Z363" s="117"/>
      <c r="AA363" s="116" t="str">
        <f t="shared" si="79"/>
        <v/>
      </c>
      <c r="AB363" s="78"/>
      <c r="AC363" s="92"/>
      <c r="AD363" s="78"/>
      <c r="AE363" s="58">
        <f t="shared" si="80"/>
        <v>0</v>
      </c>
      <c r="AF363" s="58">
        <f t="shared" si="71"/>
        <v>0</v>
      </c>
      <c r="AG363" s="58">
        <f t="shared" si="72"/>
        <v>0</v>
      </c>
      <c r="AH363" s="58">
        <f t="shared" si="73"/>
        <v>0</v>
      </c>
      <c r="AI363" s="58">
        <f t="shared" si="74"/>
        <v>0</v>
      </c>
      <c r="AJ363" s="58">
        <f t="shared" si="75"/>
        <v>0</v>
      </c>
      <c r="AK363" s="58">
        <f t="shared" si="76"/>
        <v>0</v>
      </c>
      <c r="AL363" s="58">
        <f t="shared" si="77"/>
        <v>0</v>
      </c>
      <c r="AM363" s="58">
        <f t="shared" si="81"/>
        <v>0</v>
      </c>
      <c r="AN363" s="62">
        <f t="shared" si="82"/>
        <v>0</v>
      </c>
      <c r="AO363" s="61">
        <f t="shared" si="83"/>
        <v>0</v>
      </c>
      <c r="AP363" s="61">
        <f t="shared" si="84"/>
        <v>0</v>
      </c>
    </row>
    <row r="364" spans="3:42" s="17" customFormat="1" x14ac:dyDescent="0.25">
      <c r="C364" s="216" t="s">
        <v>229</v>
      </c>
      <c r="D364" s="217"/>
      <c r="E364" s="90"/>
      <c r="F364" s="198"/>
      <c r="G364" s="214"/>
      <c r="H364" s="199"/>
      <c r="I364" s="78"/>
      <c r="J364" s="79"/>
      <c r="K364" s="78"/>
      <c r="L364" s="113"/>
      <c r="M364" s="155"/>
      <c r="N364" s="114" t="str">
        <f>IFERROR(MIN(VLOOKUP(ROUNDDOWN(M364,0),'Aide calcul'!$B$2:$C$282,2,FALSE),L364+1),"")</f>
        <v/>
      </c>
      <c r="O364" s="115" t="str">
        <f t="shared" si="78"/>
        <v/>
      </c>
      <c r="P364" s="173"/>
      <c r="Q364" s="173"/>
      <c r="R364" s="173"/>
      <c r="S364" s="173"/>
      <c r="T364" s="173"/>
      <c r="U364" s="173"/>
      <c r="V364" s="173"/>
      <c r="W364" s="78"/>
      <c r="X364" s="78"/>
      <c r="Y364" s="116" t="str">
        <f>IFERROR(ROUND('Informations générales'!$D$66*(AE364/SUM($AE$27:$AE$403))/12,0)*12,"")</f>
        <v/>
      </c>
      <c r="Z364" s="117"/>
      <c r="AA364" s="116" t="str">
        <f t="shared" si="79"/>
        <v/>
      </c>
      <c r="AB364" s="78"/>
      <c r="AC364" s="92"/>
      <c r="AD364" s="78"/>
      <c r="AE364" s="58">
        <f t="shared" si="80"/>
        <v>0</v>
      </c>
      <c r="AF364" s="58">
        <f t="shared" si="71"/>
        <v>0</v>
      </c>
      <c r="AG364" s="58">
        <f t="shared" si="72"/>
        <v>0</v>
      </c>
      <c r="AH364" s="58">
        <f t="shared" si="73"/>
        <v>0</v>
      </c>
      <c r="AI364" s="58">
        <f t="shared" si="74"/>
        <v>0</v>
      </c>
      <c r="AJ364" s="58">
        <f t="shared" si="75"/>
        <v>0</v>
      </c>
      <c r="AK364" s="58">
        <f t="shared" si="76"/>
        <v>0</v>
      </c>
      <c r="AL364" s="58">
        <f t="shared" si="77"/>
        <v>0</v>
      </c>
      <c r="AM364" s="58">
        <f t="shared" si="81"/>
        <v>0</v>
      </c>
      <c r="AN364" s="62">
        <f t="shared" si="82"/>
        <v>0</v>
      </c>
      <c r="AO364" s="61">
        <f t="shared" si="83"/>
        <v>0</v>
      </c>
      <c r="AP364" s="61">
        <f t="shared" si="84"/>
        <v>0</v>
      </c>
    </row>
    <row r="365" spans="3:42" s="17" customFormat="1" x14ac:dyDescent="0.25">
      <c r="C365" s="216" t="s">
        <v>229</v>
      </c>
      <c r="D365" s="217"/>
      <c r="E365" s="90"/>
      <c r="F365" s="198"/>
      <c r="G365" s="214"/>
      <c r="H365" s="199"/>
      <c r="I365" s="78"/>
      <c r="J365" s="79"/>
      <c r="K365" s="78"/>
      <c r="L365" s="113"/>
      <c r="M365" s="155"/>
      <c r="N365" s="114" t="str">
        <f>IFERROR(MIN(VLOOKUP(ROUNDDOWN(M365,0),'Aide calcul'!$B$2:$C$282,2,FALSE),L365+1),"")</f>
        <v/>
      </c>
      <c r="O365" s="115" t="str">
        <f t="shared" si="78"/>
        <v/>
      </c>
      <c r="P365" s="173"/>
      <c r="Q365" s="173"/>
      <c r="R365" s="173"/>
      <c r="S365" s="173"/>
      <c r="T365" s="173"/>
      <c r="U365" s="173"/>
      <c r="V365" s="173"/>
      <c r="W365" s="78"/>
      <c r="X365" s="78"/>
      <c r="Y365" s="116" t="str">
        <f>IFERROR(ROUND('Informations générales'!$D$66*(AE365/SUM($AE$27:$AE$403))/12,0)*12,"")</f>
        <v/>
      </c>
      <c r="Z365" s="117"/>
      <c r="AA365" s="116" t="str">
        <f t="shared" si="79"/>
        <v/>
      </c>
      <c r="AB365" s="78"/>
      <c r="AC365" s="92"/>
      <c r="AD365" s="78"/>
      <c r="AE365" s="58">
        <f t="shared" si="80"/>
        <v>0</v>
      </c>
      <c r="AF365" s="58">
        <f t="shared" si="71"/>
        <v>0</v>
      </c>
      <c r="AG365" s="58">
        <f t="shared" si="72"/>
        <v>0</v>
      </c>
      <c r="AH365" s="58">
        <f t="shared" si="73"/>
        <v>0</v>
      </c>
      <c r="AI365" s="58">
        <f t="shared" si="74"/>
        <v>0</v>
      </c>
      <c r="AJ365" s="58">
        <f t="shared" si="75"/>
        <v>0</v>
      </c>
      <c r="AK365" s="58">
        <f t="shared" si="76"/>
        <v>0</v>
      </c>
      <c r="AL365" s="58">
        <f t="shared" si="77"/>
        <v>0</v>
      </c>
      <c r="AM365" s="58">
        <f t="shared" si="81"/>
        <v>0</v>
      </c>
      <c r="AN365" s="62">
        <f t="shared" si="82"/>
        <v>0</v>
      </c>
      <c r="AO365" s="61">
        <f t="shared" si="83"/>
        <v>0</v>
      </c>
      <c r="AP365" s="61">
        <f t="shared" si="84"/>
        <v>0</v>
      </c>
    </row>
    <row r="366" spans="3:42" s="17" customFormat="1" x14ac:dyDescent="0.25">
      <c r="C366" s="216" t="s">
        <v>229</v>
      </c>
      <c r="D366" s="217"/>
      <c r="E366" s="90"/>
      <c r="F366" s="198"/>
      <c r="G366" s="214"/>
      <c r="H366" s="199"/>
      <c r="I366" s="78"/>
      <c r="J366" s="79"/>
      <c r="K366" s="78"/>
      <c r="L366" s="113"/>
      <c r="M366" s="155"/>
      <c r="N366" s="114" t="str">
        <f>IFERROR(MIN(VLOOKUP(ROUNDDOWN(M366,0),'Aide calcul'!$B$2:$C$282,2,FALSE),L366+1),"")</f>
        <v/>
      </c>
      <c r="O366" s="115" t="str">
        <f t="shared" si="78"/>
        <v/>
      </c>
      <c r="P366" s="173"/>
      <c r="Q366" s="173"/>
      <c r="R366" s="173"/>
      <c r="S366" s="173"/>
      <c r="T366" s="173"/>
      <c r="U366" s="173"/>
      <c r="V366" s="173"/>
      <c r="W366" s="78"/>
      <c r="X366" s="78"/>
      <c r="Y366" s="116" t="str">
        <f>IFERROR(ROUND('Informations générales'!$D$66*(AE366/SUM($AE$27:$AE$403))/12,0)*12,"")</f>
        <v/>
      </c>
      <c r="Z366" s="117"/>
      <c r="AA366" s="116" t="str">
        <f t="shared" si="79"/>
        <v/>
      </c>
      <c r="AB366" s="78"/>
      <c r="AC366" s="92"/>
      <c r="AD366" s="78"/>
      <c r="AE366" s="58">
        <f t="shared" si="80"/>
        <v>0</v>
      </c>
      <c r="AF366" s="58">
        <f t="shared" si="71"/>
        <v>0</v>
      </c>
      <c r="AG366" s="58">
        <f t="shared" si="72"/>
        <v>0</v>
      </c>
      <c r="AH366" s="58">
        <f t="shared" si="73"/>
        <v>0</v>
      </c>
      <c r="AI366" s="58">
        <f t="shared" si="74"/>
        <v>0</v>
      </c>
      <c r="AJ366" s="58">
        <f t="shared" si="75"/>
        <v>0</v>
      </c>
      <c r="AK366" s="58">
        <f t="shared" si="76"/>
        <v>0</v>
      </c>
      <c r="AL366" s="58">
        <f t="shared" si="77"/>
        <v>0</v>
      </c>
      <c r="AM366" s="58">
        <f t="shared" si="81"/>
        <v>0</v>
      </c>
      <c r="AN366" s="62">
        <f t="shared" si="82"/>
        <v>0</v>
      </c>
      <c r="AO366" s="61">
        <f t="shared" si="83"/>
        <v>0</v>
      </c>
      <c r="AP366" s="61">
        <f t="shared" si="84"/>
        <v>0</v>
      </c>
    </row>
    <row r="367" spans="3:42" s="17" customFormat="1" x14ac:dyDescent="0.25">
      <c r="C367" s="216" t="s">
        <v>229</v>
      </c>
      <c r="D367" s="217"/>
      <c r="E367" s="90"/>
      <c r="F367" s="198"/>
      <c r="G367" s="214"/>
      <c r="H367" s="199"/>
      <c r="I367" s="78"/>
      <c r="J367" s="79"/>
      <c r="K367" s="78"/>
      <c r="L367" s="113"/>
      <c r="M367" s="155"/>
      <c r="N367" s="114" t="str">
        <f>IFERROR(MIN(VLOOKUP(ROUNDDOWN(M367,0),'Aide calcul'!$B$2:$C$282,2,FALSE),L367+1),"")</f>
        <v/>
      </c>
      <c r="O367" s="115" t="str">
        <f t="shared" si="78"/>
        <v/>
      </c>
      <c r="P367" s="173"/>
      <c r="Q367" s="173"/>
      <c r="R367" s="173"/>
      <c r="S367" s="173"/>
      <c r="T367" s="173"/>
      <c r="U367" s="173"/>
      <c r="V367" s="173"/>
      <c r="W367" s="78"/>
      <c r="X367" s="78"/>
      <c r="Y367" s="116" t="str">
        <f>IFERROR(ROUND('Informations générales'!$D$66*(AE367/SUM($AE$27:$AE$403))/12,0)*12,"")</f>
        <v/>
      </c>
      <c r="Z367" s="117"/>
      <c r="AA367" s="116" t="str">
        <f t="shared" si="79"/>
        <v/>
      </c>
      <c r="AB367" s="78"/>
      <c r="AC367" s="92"/>
      <c r="AD367" s="78"/>
      <c r="AE367" s="58">
        <f t="shared" si="80"/>
        <v>0</v>
      </c>
      <c r="AF367" s="58">
        <f t="shared" si="71"/>
        <v>0</v>
      </c>
      <c r="AG367" s="58">
        <f t="shared" si="72"/>
        <v>0</v>
      </c>
      <c r="AH367" s="58">
        <f t="shared" si="73"/>
        <v>0</v>
      </c>
      <c r="AI367" s="58">
        <f t="shared" si="74"/>
        <v>0</v>
      </c>
      <c r="AJ367" s="58">
        <f t="shared" si="75"/>
        <v>0</v>
      </c>
      <c r="AK367" s="58">
        <f t="shared" si="76"/>
        <v>0</v>
      </c>
      <c r="AL367" s="58">
        <f t="shared" si="77"/>
        <v>0</v>
      </c>
      <c r="AM367" s="58">
        <f t="shared" si="81"/>
        <v>0</v>
      </c>
      <c r="AN367" s="62">
        <f t="shared" si="82"/>
        <v>0</v>
      </c>
      <c r="AO367" s="61">
        <f t="shared" si="83"/>
        <v>0</v>
      </c>
      <c r="AP367" s="61">
        <f t="shared" si="84"/>
        <v>0</v>
      </c>
    </row>
    <row r="368" spans="3:42" s="17" customFormat="1" x14ac:dyDescent="0.25">
      <c r="C368" s="216" t="s">
        <v>229</v>
      </c>
      <c r="D368" s="217"/>
      <c r="E368" s="90"/>
      <c r="F368" s="198"/>
      <c r="G368" s="214"/>
      <c r="H368" s="199"/>
      <c r="I368" s="78"/>
      <c r="J368" s="79"/>
      <c r="K368" s="78"/>
      <c r="L368" s="113"/>
      <c r="M368" s="155"/>
      <c r="N368" s="114" t="str">
        <f>IFERROR(MIN(VLOOKUP(ROUNDDOWN(M368,0),'Aide calcul'!$B$2:$C$282,2,FALSE),L368+1),"")</f>
        <v/>
      </c>
      <c r="O368" s="115" t="str">
        <f t="shared" si="78"/>
        <v/>
      </c>
      <c r="P368" s="173"/>
      <c r="Q368" s="173"/>
      <c r="R368" s="173"/>
      <c r="S368" s="173"/>
      <c r="T368" s="173"/>
      <c r="U368" s="173"/>
      <c r="V368" s="173"/>
      <c r="W368" s="78"/>
      <c r="X368" s="78"/>
      <c r="Y368" s="116" t="str">
        <f>IFERROR(ROUND('Informations générales'!$D$66*(AE368/SUM($AE$27:$AE$403))/12,0)*12,"")</f>
        <v/>
      </c>
      <c r="Z368" s="117"/>
      <c r="AA368" s="116" t="str">
        <f t="shared" si="79"/>
        <v/>
      </c>
      <c r="AB368" s="78"/>
      <c r="AC368" s="92"/>
      <c r="AD368" s="78"/>
      <c r="AE368" s="58">
        <f t="shared" si="80"/>
        <v>0</v>
      </c>
      <c r="AF368" s="58">
        <f t="shared" si="71"/>
        <v>0</v>
      </c>
      <c r="AG368" s="58">
        <f t="shared" si="72"/>
        <v>0</v>
      </c>
      <c r="AH368" s="58">
        <f t="shared" si="73"/>
        <v>0</v>
      </c>
      <c r="AI368" s="58">
        <f t="shared" si="74"/>
        <v>0</v>
      </c>
      <c r="AJ368" s="58">
        <f t="shared" si="75"/>
        <v>0</v>
      </c>
      <c r="AK368" s="58">
        <f t="shared" si="76"/>
        <v>0</v>
      </c>
      <c r="AL368" s="58">
        <f t="shared" si="77"/>
        <v>0</v>
      </c>
      <c r="AM368" s="58">
        <f t="shared" si="81"/>
        <v>0</v>
      </c>
      <c r="AN368" s="62">
        <f t="shared" si="82"/>
        <v>0</v>
      </c>
      <c r="AO368" s="61">
        <f t="shared" si="83"/>
        <v>0</v>
      </c>
      <c r="AP368" s="61">
        <f t="shared" si="84"/>
        <v>0</v>
      </c>
    </row>
    <row r="369" spans="3:42" s="17" customFormat="1" x14ac:dyDescent="0.25">
      <c r="C369" s="216" t="s">
        <v>229</v>
      </c>
      <c r="D369" s="217"/>
      <c r="E369" s="90"/>
      <c r="F369" s="198"/>
      <c r="G369" s="214"/>
      <c r="H369" s="199"/>
      <c r="I369" s="78"/>
      <c r="J369" s="79"/>
      <c r="K369" s="78"/>
      <c r="L369" s="113"/>
      <c r="M369" s="155"/>
      <c r="N369" s="114" t="str">
        <f>IFERROR(MIN(VLOOKUP(ROUNDDOWN(M369,0),'Aide calcul'!$B$2:$C$282,2,FALSE),L369+1),"")</f>
        <v/>
      </c>
      <c r="O369" s="115" t="str">
        <f t="shared" si="78"/>
        <v/>
      </c>
      <c r="P369" s="173"/>
      <c r="Q369" s="173"/>
      <c r="R369" s="173"/>
      <c r="S369" s="173"/>
      <c r="T369" s="173"/>
      <c r="U369" s="173"/>
      <c r="V369" s="173"/>
      <c r="W369" s="78"/>
      <c r="X369" s="78"/>
      <c r="Y369" s="116" t="str">
        <f>IFERROR(ROUND('Informations générales'!$D$66*(AE369/SUM($AE$27:$AE$403))/12,0)*12,"")</f>
        <v/>
      </c>
      <c r="Z369" s="117"/>
      <c r="AA369" s="116" t="str">
        <f t="shared" si="79"/>
        <v/>
      </c>
      <c r="AB369" s="78"/>
      <c r="AC369" s="92"/>
      <c r="AD369" s="78"/>
      <c r="AE369" s="58">
        <f t="shared" si="80"/>
        <v>0</v>
      </c>
      <c r="AF369" s="58">
        <f t="shared" si="71"/>
        <v>0</v>
      </c>
      <c r="AG369" s="58">
        <f t="shared" si="72"/>
        <v>0</v>
      </c>
      <c r="AH369" s="58">
        <f t="shared" si="73"/>
        <v>0</v>
      </c>
      <c r="AI369" s="58">
        <f t="shared" si="74"/>
        <v>0</v>
      </c>
      <c r="AJ369" s="58">
        <f t="shared" si="75"/>
        <v>0</v>
      </c>
      <c r="AK369" s="58">
        <f t="shared" si="76"/>
        <v>0</v>
      </c>
      <c r="AL369" s="58">
        <f t="shared" si="77"/>
        <v>0</v>
      </c>
      <c r="AM369" s="58">
        <f t="shared" si="81"/>
        <v>0</v>
      </c>
      <c r="AN369" s="62">
        <f t="shared" si="82"/>
        <v>0</v>
      </c>
      <c r="AO369" s="61">
        <f t="shared" si="83"/>
        <v>0</v>
      </c>
      <c r="AP369" s="61">
        <f t="shared" si="84"/>
        <v>0</v>
      </c>
    </row>
    <row r="370" spans="3:42" s="17" customFormat="1" x14ac:dyDescent="0.25">
      <c r="C370" s="216" t="s">
        <v>229</v>
      </c>
      <c r="D370" s="217"/>
      <c r="E370" s="90"/>
      <c r="F370" s="198"/>
      <c r="G370" s="214"/>
      <c r="H370" s="199"/>
      <c r="I370" s="78"/>
      <c r="J370" s="79"/>
      <c r="K370" s="78"/>
      <c r="L370" s="113"/>
      <c r="M370" s="155"/>
      <c r="N370" s="114" t="str">
        <f>IFERROR(MIN(VLOOKUP(ROUNDDOWN(M370,0),'Aide calcul'!$B$2:$C$282,2,FALSE),L370+1),"")</f>
        <v/>
      </c>
      <c r="O370" s="115" t="str">
        <f t="shared" si="78"/>
        <v/>
      </c>
      <c r="P370" s="173"/>
      <c r="Q370" s="173"/>
      <c r="R370" s="173"/>
      <c r="S370" s="173"/>
      <c r="T370" s="173"/>
      <c r="U370" s="173"/>
      <c r="V370" s="173"/>
      <c r="W370" s="78"/>
      <c r="X370" s="78"/>
      <c r="Y370" s="116" t="str">
        <f>IFERROR(ROUND('Informations générales'!$D$66*(AE370/SUM($AE$27:$AE$403))/12,0)*12,"")</f>
        <v/>
      </c>
      <c r="Z370" s="117"/>
      <c r="AA370" s="116" t="str">
        <f t="shared" si="79"/>
        <v/>
      </c>
      <c r="AB370" s="78"/>
      <c r="AC370" s="92"/>
      <c r="AD370" s="78"/>
      <c r="AE370" s="58">
        <f t="shared" si="80"/>
        <v>0</v>
      </c>
      <c r="AF370" s="58">
        <f t="shared" si="71"/>
        <v>0</v>
      </c>
      <c r="AG370" s="58">
        <f t="shared" si="72"/>
        <v>0</v>
      </c>
      <c r="AH370" s="58">
        <f t="shared" si="73"/>
        <v>0</v>
      </c>
      <c r="AI370" s="58">
        <f t="shared" si="74"/>
        <v>0</v>
      </c>
      <c r="AJ370" s="58">
        <f t="shared" si="75"/>
        <v>0</v>
      </c>
      <c r="AK370" s="58">
        <f t="shared" si="76"/>
        <v>0</v>
      </c>
      <c r="AL370" s="58">
        <f t="shared" si="77"/>
        <v>0</v>
      </c>
      <c r="AM370" s="58">
        <f t="shared" si="81"/>
        <v>0</v>
      </c>
      <c r="AN370" s="62">
        <f t="shared" si="82"/>
        <v>0</v>
      </c>
      <c r="AO370" s="61">
        <f t="shared" si="83"/>
        <v>0</v>
      </c>
      <c r="AP370" s="61">
        <f t="shared" si="84"/>
        <v>0</v>
      </c>
    </row>
    <row r="371" spans="3:42" s="17" customFormat="1" x14ac:dyDescent="0.25">
      <c r="C371" s="216" t="s">
        <v>229</v>
      </c>
      <c r="D371" s="217"/>
      <c r="E371" s="90"/>
      <c r="F371" s="198"/>
      <c r="G371" s="214"/>
      <c r="H371" s="199"/>
      <c r="I371" s="78"/>
      <c r="J371" s="79"/>
      <c r="K371" s="78"/>
      <c r="L371" s="113"/>
      <c r="M371" s="155"/>
      <c r="N371" s="114" t="str">
        <f>IFERROR(MIN(VLOOKUP(ROUNDDOWN(M371,0),'Aide calcul'!$B$2:$C$282,2,FALSE),L371+1),"")</f>
        <v/>
      </c>
      <c r="O371" s="115" t="str">
        <f t="shared" si="78"/>
        <v/>
      </c>
      <c r="P371" s="173"/>
      <c r="Q371" s="173"/>
      <c r="R371" s="173"/>
      <c r="S371" s="173"/>
      <c r="T371" s="173"/>
      <c r="U371" s="173"/>
      <c r="V371" s="173"/>
      <c r="W371" s="78"/>
      <c r="X371" s="78"/>
      <c r="Y371" s="116" t="str">
        <f>IFERROR(ROUND('Informations générales'!$D$66*(AE371/SUM($AE$27:$AE$403))/12,0)*12,"")</f>
        <v/>
      </c>
      <c r="Z371" s="117"/>
      <c r="AA371" s="116" t="str">
        <f t="shared" si="79"/>
        <v/>
      </c>
      <c r="AB371" s="78"/>
      <c r="AC371" s="92"/>
      <c r="AD371" s="78"/>
      <c r="AE371" s="58">
        <f t="shared" si="80"/>
        <v>0</v>
      </c>
      <c r="AF371" s="58">
        <f t="shared" si="71"/>
        <v>0</v>
      </c>
      <c r="AG371" s="58">
        <f t="shared" si="72"/>
        <v>0</v>
      </c>
      <c r="AH371" s="58">
        <f t="shared" si="73"/>
        <v>0</v>
      </c>
      <c r="AI371" s="58">
        <f t="shared" si="74"/>
        <v>0</v>
      </c>
      <c r="AJ371" s="58">
        <f t="shared" si="75"/>
        <v>0</v>
      </c>
      <c r="AK371" s="58">
        <f t="shared" si="76"/>
        <v>0</v>
      </c>
      <c r="AL371" s="58">
        <f t="shared" si="77"/>
        <v>0</v>
      </c>
      <c r="AM371" s="58">
        <f t="shared" si="81"/>
        <v>0</v>
      </c>
      <c r="AN371" s="62">
        <f t="shared" si="82"/>
        <v>0</v>
      </c>
      <c r="AO371" s="61">
        <f t="shared" si="83"/>
        <v>0</v>
      </c>
      <c r="AP371" s="61">
        <f t="shared" si="84"/>
        <v>0</v>
      </c>
    </row>
    <row r="372" spans="3:42" s="17" customFormat="1" x14ac:dyDescent="0.25">
      <c r="C372" s="216" t="s">
        <v>229</v>
      </c>
      <c r="D372" s="217"/>
      <c r="E372" s="90"/>
      <c r="F372" s="198"/>
      <c r="G372" s="214"/>
      <c r="H372" s="199"/>
      <c r="I372" s="78"/>
      <c r="J372" s="79"/>
      <c r="K372" s="78"/>
      <c r="L372" s="113"/>
      <c r="M372" s="155"/>
      <c r="N372" s="114" t="str">
        <f>IFERROR(MIN(VLOOKUP(ROUNDDOWN(M372,0),'Aide calcul'!$B$2:$C$282,2,FALSE),L372+1),"")</f>
        <v/>
      </c>
      <c r="O372" s="115" t="str">
        <f t="shared" si="78"/>
        <v/>
      </c>
      <c r="P372" s="173"/>
      <c r="Q372" s="173"/>
      <c r="R372" s="173"/>
      <c r="S372" s="173"/>
      <c r="T372" s="173"/>
      <c r="U372" s="173"/>
      <c r="V372" s="173"/>
      <c r="W372" s="78"/>
      <c r="X372" s="78"/>
      <c r="Y372" s="116" t="str">
        <f>IFERROR(ROUND('Informations générales'!$D$66*(AE372/SUM($AE$27:$AE$403))/12,0)*12,"")</f>
        <v/>
      </c>
      <c r="Z372" s="117"/>
      <c r="AA372" s="116" t="str">
        <f t="shared" si="79"/>
        <v/>
      </c>
      <c r="AB372" s="78"/>
      <c r="AC372" s="92"/>
      <c r="AD372" s="78"/>
      <c r="AE372" s="58">
        <f t="shared" si="80"/>
        <v>0</v>
      </c>
      <c r="AF372" s="58">
        <f t="shared" si="71"/>
        <v>0</v>
      </c>
      <c r="AG372" s="58">
        <f t="shared" si="72"/>
        <v>0</v>
      </c>
      <c r="AH372" s="58">
        <f t="shared" si="73"/>
        <v>0</v>
      </c>
      <c r="AI372" s="58">
        <f t="shared" si="74"/>
        <v>0</v>
      </c>
      <c r="AJ372" s="58">
        <f t="shared" si="75"/>
        <v>0</v>
      </c>
      <c r="AK372" s="58">
        <f t="shared" si="76"/>
        <v>0</v>
      </c>
      <c r="AL372" s="58">
        <f t="shared" si="77"/>
        <v>0</v>
      </c>
      <c r="AM372" s="58">
        <f t="shared" si="81"/>
        <v>0</v>
      </c>
      <c r="AN372" s="62">
        <f t="shared" si="82"/>
        <v>0</v>
      </c>
      <c r="AO372" s="61">
        <f t="shared" si="83"/>
        <v>0</v>
      </c>
      <c r="AP372" s="61">
        <f t="shared" si="84"/>
        <v>0</v>
      </c>
    </row>
    <row r="373" spans="3:42" s="17" customFormat="1" x14ac:dyDescent="0.25">
      <c r="C373" s="216" t="s">
        <v>229</v>
      </c>
      <c r="D373" s="217"/>
      <c r="E373" s="90"/>
      <c r="F373" s="198"/>
      <c r="G373" s="214"/>
      <c r="H373" s="199"/>
      <c r="I373" s="78"/>
      <c r="J373" s="79"/>
      <c r="K373" s="78"/>
      <c r="L373" s="113"/>
      <c r="M373" s="155"/>
      <c r="N373" s="114" t="str">
        <f>IFERROR(MIN(VLOOKUP(ROUNDDOWN(M373,0),'Aide calcul'!$B$2:$C$282,2,FALSE),L373+1),"")</f>
        <v/>
      </c>
      <c r="O373" s="115" t="str">
        <f t="shared" si="78"/>
        <v/>
      </c>
      <c r="P373" s="173"/>
      <c r="Q373" s="173"/>
      <c r="R373" s="173"/>
      <c r="S373" s="173"/>
      <c r="T373" s="173"/>
      <c r="U373" s="173"/>
      <c r="V373" s="173"/>
      <c r="W373" s="78"/>
      <c r="X373" s="78"/>
      <c r="Y373" s="116" t="str">
        <f>IFERROR(ROUND('Informations générales'!$D$66*(AE373/SUM($AE$27:$AE$403))/12,0)*12,"")</f>
        <v/>
      </c>
      <c r="Z373" s="117"/>
      <c r="AA373" s="116" t="str">
        <f t="shared" si="79"/>
        <v/>
      </c>
      <c r="AB373" s="78"/>
      <c r="AC373" s="92"/>
      <c r="AD373" s="78"/>
      <c r="AE373" s="58">
        <f t="shared" si="80"/>
        <v>0</v>
      </c>
      <c r="AF373" s="58">
        <f t="shared" si="71"/>
        <v>0</v>
      </c>
      <c r="AG373" s="58">
        <f t="shared" si="72"/>
        <v>0</v>
      </c>
      <c r="AH373" s="58">
        <f t="shared" si="73"/>
        <v>0</v>
      </c>
      <c r="AI373" s="58">
        <f t="shared" si="74"/>
        <v>0</v>
      </c>
      <c r="AJ373" s="58">
        <f t="shared" si="75"/>
        <v>0</v>
      </c>
      <c r="AK373" s="58">
        <f t="shared" si="76"/>
        <v>0</v>
      </c>
      <c r="AL373" s="58">
        <f t="shared" si="77"/>
        <v>0</v>
      </c>
      <c r="AM373" s="58">
        <f t="shared" si="81"/>
        <v>0</v>
      </c>
      <c r="AN373" s="62">
        <f t="shared" si="82"/>
        <v>0</v>
      </c>
      <c r="AO373" s="61">
        <f t="shared" si="83"/>
        <v>0</v>
      </c>
      <c r="AP373" s="61">
        <f t="shared" si="84"/>
        <v>0</v>
      </c>
    </row>
    <row r="374" spans="3:42" s="17" customFormat="1" x14ac:dyDescent="0.25">
      <c r="C374" s="216" t="s">
        <v>229</v>
      </c>
      <c r="D374" s="217"/>
      <c r="E374" s="90"/>
      <c r="F374" s="198"/>
      <c r="G374" s="214"/>
      <c r="H374" s="199"/>
      <c r="I374" s="78"/>
      <c r="J374" s="79"/>
      <c r="K374" s="78"/>
      <c r="L374" s="113"/>
      <c r="M374" s="155"/>
      <c r="N374" s="114" t="str">
        <f>IFERROR(MIN(VLOOKUP(ROUNDDOWN(M374,0),'Aide calcul'!$B$2:$C$282,2,FALSE),L374+1),"")</f>
        <v/>
      </c>
      <c r="O374" s="115" t="str">
        <f t="shared" si="78"/>
        <v/>
      </c>
      <c r="P374" s="173"/>
      <c r="Q374" s="173"/>
      <c r="R374" s="173"/>
      <c r="S374" s="173"/>
      <c r="T374" s="173"/>
      <c r="U374" s="173"/>
      <c r="V374" s="173"/>
      <c r="W374" s="78"/>
      <c r="X374" s="78"/>
      <c r="Y374" s="116" t="str">
        <f>IFERROR(ROUND('Informations générales'!$D$66*(AE374/SUM($AE$27:$AE$403))/12,0)*12,"")</f>
        <v/>
      </c>
      <c r="Z374" s="117"/>
      <c r="AA374" s="116" t="str">
        <f t="shared" si="79"/>
        <v/>
      </c>
      <c r="AB374" s="78"/>
      <c r="AC374" s="92"/>
      <c r="AD374" s="78"/>
      <c r="AE374" s="58">
        <f t="shared" si="80"/>
        <v>0</v>
      </c>
      <c r="AF374" s="58">
        <f t="shared" si="71"/>
        <v>0</v>
      </c>
      <c r="AG374" s="58">
        <f t="shared" si="72"/>
        <v>0</v>
      </c>
      <c r="AH374" s="58">
        <f t="shared" si="73"/>
        <v>0</v>
      </c>
      <c r="AI374" s="58">
        <f t="shared" si="74"/>
        <v>0</v>
      </c>
      <c r="AJ374" s="58">
        <f t="shared" si="75"/>
        <v>0</v>
      </c>
      <c r="AK374" s="58">
        <f t="shared" si="76"/>
        <v>0</v>
      </c>
      <c r="AL374" s="58">
        <f t="shared" si="77"/>
        <v>0</v>
      </c>
      <c r="AM374" s="58">
        <f t="shared" si="81"/>
        <v>0</v>
      </c>
      <c r="AN374" s="62">
        <f t="shared" si="82"/>
        <v>0</v>
      </c>
      <c r="AO374" s="61">
        <f t="shared" si="83"/>
        <v>0</v>
      </c>
      <c r="AP374" s="61">
        <f t="shared" si="84"/>
        <v>0</v>
      </c>
    </row>
    <row r="375" spans="3:42" s="17" customFormat="1" x14ac:dyDescent="0.25">
      <c r="C375" s="216" t="s">
        <v>229</v>
      </c>
      <c r="D375" s="217"/>
      <c r="E375" s="90"/>
      <c r="F375" s="198"/>
      <c r="G375" s="214"/>
      <c r="H375" s="199"/>
      <c r="I375" s="78"/>
      <c r="J375" s="79"/>
      <c r="K375" s="78"/>
      <c r="L375" s="113"/>
      <c r="M375" s="155"/>
      <c r="N375" s="114" t="str">
        <f>IFERROR(MIN(VLOOKUP(ROUNDDOWN(M375,0),'Aide calcul'!$B$2:$C$282,2,FALSE),L375+1),"")</f>
        <v/>
      </c>
      <c r="O375" s="115" t="str">
        <f t="shared" si="78"/>
        <v/>
      </c>
      <c r="P375" s="173"/>
      <c r="Q375" s="173"/>
      <c r="R375" s="173"/>
      <c r="S375" s="173"/>
      <c r="T375" s="173"/>
      <c r="U375" s="173"/>
      <c r="V375" s="173"/>
      <c r="W375" s="78"/>
      <c r="X375" s="78"/>
      <c r="Y375" s="116" t="str">
        <f>IFERROR(ROUND('Informations générales'!$D$66*(AE375/SUM($AE$27:$AE$403))/12,0)*12,"")</f>
        <v/>
      </c>
      <c r="Z375" s="117"/>
      <c r="AA375" s="116" t="str">
        <f t="shared" si="79"/>
        <v/>
      </c>
      <c r="AB375" s="78"/>
      <c r="AC375" s="92"/>
      <c r="AD375" s="78"/>
      <c r="AE375" s="58">
        <f t="shared" si="80"/>
        <v>0</v>
      </c>
      <c r="AF375" s="58">
        <f t="shared" si="71"/>
        <v>0</v>
      </c>
      <c r="AG375" s="58">
        <f t="shared" si="72"/>
        <v>0</v>
      </c>
      <c r="AH375" s="58">
        <f t="shared" si="73"/>
        <v>0</v>
      </c>
      <c r="AI375" s="58">
        <f t="shared" si="74"/>
        <v>0</v>
      </c>
      <c r="AJ375" s="58">
        <f t="shared" si="75"/>
        <v>0</v>
      </c>
      <c r="AK375" s="58">
        <f t="shared" si="76"/>
        <v>0</v>
      </c>
      <c r="AL375" s="58">
        <f t="shared" si="77"/>
        <v>0</v>
      </c>
      <c r="AM375" s="58">
        <f t="shared" si="81"/>
        <v>0</v>
      </c>
      <c r="AN375" s="62">
        <f t="shared" si="82"/>
        <v>0</v>
      </c>
      <c r="AO375" s="61">
        <f t="shared" si="83"/>
        <v>0</v>
      </c>
      <c r="AP375" s="61">
        <f t="shared" si="84"/>
        <v>0</v>
      </c>
    </row>
    <row r="376" spans="3:42" s="17" customFormat="1" x14ac:dyDescent="0.25">
      <c r="C376" s="216" t="s">
        <v>229</v>
      </c>
      <c r="D376" s="217"/>
      <c r="E376" s="90"/>
      <c r="F376" s="198"/>
      <c r="G376" s="214"/>
      <c r="H376" s="199"/>
      <c r="I376" s="78"/>
      <c r="J376" s="79"/>
      <c r="K376" s="78"/>
      <c r="L376" s="113"/>
      <c r="M376" s="155"/>
      <c r="N376" s="114" t="str">
        <f>IFERROR(MIN(VLOOKUP(ROUNDDOWN(M376,0),'Aide calcul'!$B$2:$C$282,2,FALSE),L376+1),"")</f>
        <v/>
      </c>
      <c r="O376" s="115" t="str">
        <f t="shared" si="78"/>
        <v/>
      </c>
      <c r="P376" s="173"/>
      <c r="Q376" s="173"/>
      <c r="R376" s="173"/>
      <c r="S376" s="173"/>
      <c r="T376" s="173"/>
      <c r="U376" s="173"/>
      <c r="V376" s="173"/>
      <c r="W376" s="78"/>
      <c r="X376" s="78"/>
      <c r="Y376" s="116" t="str">
        <f>IFERROR(ROUND('Informations générales'!$D$66*(AE376/SUM($AE$27:$AE$403))/12,0)*12,"")</f>
        <v/>
      </c>
      <c r="Z376" s="117"/>
      <c r="AA376" s="116" t="str">
        <f t="shared" si="79"/>
        <v/>
      </c>
      <c r="AB376" s="78"/>
      <c r="AC376" s="92"/>
      <c r="AD376" s="78"/>
      <c r="AE376" s="58">
        <f t="shared" si="80"/>
        <v>0</v>
      </c>
      <c r="AF376" s="58">
        <f t="shared" si="71"/>
        <v>0</v>
      </c>
      <c r="AG376" s="58">
        <f t="shared" si="72"/>
        <v>0</v>
      </c>
      <c r="AH376" s="58">
        <f t="shared" si="73"/>
        <v>0</v>
      </c>
      <c r="AI376" s="58">
        <f t="shared" si="74"/>
        <v>0</v>
      </c>
      <c r="AJ376" s="58">
        <f t="shared" si="75"/>
        <v>0</v>
      </c>
      <c r="AK376" s="58">
        <f t="shared" si="76"/>
        <v>0</v>
      </c>
      <c r="AL376" s="58">
        <f t="shared" si="77"/>
        <v>0</v>
      </c>
      <c r="AM376" s="58">
        <f t="shared" si="81"/>
        <v>0</v>
      </c>
      <c r="AN376" s="62">
        <f t="shared" si="82"/>
        <v>0</v>
      </c>
      <c r="AO376" s="61">
        <f t="shared" si="83"/>
        <v>0</v>
      </c>
      <c r="AP376" s="61">
        <f t="shared" si="84"/>
        <v>0</v>
      </c>
    </row>
    <row r="377" spans="3:42" s="17" customFormat="1" x14ac:dyDescent="0.25">
      <c r="C377" s="216" t="s">
        <v>229</v>
      </c>
      <c r="D377" s="217"/>
      <c r="E377" s="90"/>
      <c r="F377" s="198"/>
      <c r="G377" s="214"/>
      <c r="H377" s="199"/>
      <c r="I377" s="78"/>
      <c r="J377" s="79"/>
      <c r="K377" s="78"/>
      <c r="L377" s="113"/>
      <c r="M377" s="155"/>
      <c r="N377" s="114" t="str">
        <f>IFERROR(MIN(VLOOKUP(ROUNDDOWN(M377,0),'Aide calcul'!$B$2:$C$282,2,FALSE),L377+1),"")</f>
        <v/>
      </c>
      <c r="O377" s="115" t="str">
        <f t="shared" si="78"/>
        <v/>
      </c>
      <c r="P377" s="173"/>
      <c r="Q377" s="173"/>
      <c r="R377" s="173"/>
      <c r="S377" s="173"/>
      <c r="T377" s="173"/>
      <c r="U377" s="173"/>
      <c r="V377" s="173"/>
      <c r="W377" s="78"/>
      <c r="X377" s="78"/>
      <c r="Y377" s="116" t="str">
        <f>IFERROR(ROUND('Informations générales'!$D$66*(AE377/SUM($AE$27:$AE$403))/12,0)*12,"")</f>
        <v/>
      </c>
      <c r="Z377" s="117"/>
      <c r="AA377" s="116" t="str">
        <f t="shared" si="79"/>
        <v/>
      </c>
      <c r="AB377" s="78"/>
      <c r="AC377" s="92"/>
      <c r="AD377" s="78"/>
      <c r="AE377" s="58">
        <f t="shared" si="80"/>
        <v>0</v>
      </c>
      <c r="AF377" s="58">
        <f t="shared" si="71"/>
        <v>0</v>
      </c>
      <c r="AG377" s="58">
        <f t="shared" si="72"/>
        <v>0</v>
      </c>
      <c r="AH377" s="58">
        <f t="shared" si="73"/>
        <v>0</v>
      </c>
      <c r="AI377" s="58">
        <f t="shared" si="74"/>
        <v>0</v>
      </c>
      <c r="AJ377" s="58">
        <f t="shared" si="75"/>
        <v>0</v>
      </c>
      <c r="AK377" s="58">
        <f t="shared" si="76"/>
        <v>0</v>
      </c>
      <c r="AL377" s="58">
        <f t="shared" si="77"/>
        <v>0</v>
      </c>
      <c r="AM377" s="58">
        <f t="shared" si="81"/>
        <v>0</v>
      </c>
      <c r="AN377" s="62">
        <f t="shared" si="82"/>
        <v>0</v>
      </c>
      <c r="AO377" s="61">
        <f t="shared" si="83"/>
        <v>0</v>
      </c>
      <c r="AP377" s="61">
        <f t="shared" si="84"/>
        <v>0</v>
      </c>
    </row>
    <row r="378" spans="3:42" s="17" customFormat="1" x14ac:dyDescent="0.25">
      <c r="C378" s="216" t="s">
        <v>229</v>
      </c>
      <c r="D378" s="217"/>
      <c r="E378" s="90"/>
      <c r="F378" s="198"/>
      <c r="G378" s="214"/>
      <c r="H378" s="199"/>
      <c r="I378" s="78"/>
      <c r="J378" s="79"/>
      <c r="K378" s="78"/>
      <c r="L378" s="113"/>
      <c r="M378" s="155"/>
      <c r="N378" s="114" t="str">
        <f>IFERROR(MIN(VLOOKUP(ROUNDDOWN(M378,0),'Aide calcul'!$B$2:$C$282,2,FALSE),L378+1),"")</f>
        <v/>
      </c>
      <c r="O378" s="115" t="str">
        <f t="shared" si="78"/>
        <v/>
      </c>
      <c r="P378" s="173"/>
      <c r="Q378" s="173"/>
      <c r="R378" s="173"/>
      <c r="S378" s="173"/>
      <c r="T378" s="173"/>
      <c r="U378" s="173"/>
      <c r="V378" s="173"/>
      <c r="W378" s="78"/>
      <c r="X378" s="78"/>
      <c r="Y378" s="116" t="str">
        <f>IFERROR(ROUND('Informations générales'!$D$66*(AE378/SUM($AE$27:$AE$403))/12,0)*12,"")</f>
        <v/>
      </c>
      <c r="Z378" s="117"/>
      <c r="AA378" s="116" t="str">
        <f t="shared" si="79"/>
        <v/>
      </c>
      <c r="AB378" s="78"/>
      <c r="AC378" s="92"/>
      <c r="AD378" s="78"/>
      <c r="AE378" s="58">
        <f t="shared" si="80"/>
        <v>0</v>
      </c>
      <c r="AF378" s="58">
        <f t="shared" si="71"/>
        <v>0</v>
      </c>
      <c r="AG378" s="58">
        <f t="shared" si="72"/>
        <v>0</v>
      </c>
      <c r="AH378" s="58">
        <f t="shared" si="73"/>
        <v>0</v>
      </c>
      <c r="AI378" s="58">
        <f t="shared" si="74"/>
        <v>0</v>
      </c>
      <c r="AJ378" s="58">
        <f t="shared" si="75"/>
        <v>0</v>
      </c>
      <c r="AK378" s="58">
        <f t="shared" si="76"/>
        <v>0</v>
      </c>
      <c r="AL378" s="58">
        <f t="shared" si="77"/>
        <v>0</v>
      </c>
      <c r="AM378" s="58">
        <f t="shared" si="81"/>
        <v>0</v>
      </c>
      <c r="AN378" s="62">
        <f t="shared" si="82"/>
        <v>0</v>
      </c>
      <c r="AO378" s="61">
        <f t="shared" si="83"/>
        <v>0</v>
      </c>
      <c r="AP378" s="61">
        <f t="shared" si="84"/>
        <v>0</v>
      </c>
    </row>
    <row r="379" spans="3:42" s="17" customFormat="1" x14ac:dyDescent="0.25">
      <c r="C379" s="216" t="s">
        <v>229</v>
      </c>
      <c r="D379" s="217"/>
      <c r="E379" s="90"/>
      <c r="F379" s="198"/>
      <c r="G379" s="214"/>
      <c r="H379" s="199"/>
      <c r="I379" s="78"/>
      <c r="J379" s="79"/>
      <c r="K379" s="78"/>
      <c r="L379" s="113"/>
      <c r="M379" s="155"/>
      <c r="N379" s="114" t="str">
        <f>IFERROR(MIN(VLOOKUP(ROUNDDOWN(M379,0),'Aide calcul'!$B$2:$C$282,2,FALSE),L379+1),"")</f>
        <v/>
      </c>
      <c r="O379" s="115" t="str">
        <f t="shared" si="78"/>
        <v/>
      </c>
      <c r="P379" s="173"/>
      <c r="Q379" s="173"/>
      <c r="R379" s="173"/>
      <c r="S379" s="173"/>
      <c r="T379" s="173"/>
      <c r="U379" s="173"/>
      <c r="V379" s="173"/>
      <c r="W379" s="78"/>
      <c r="X379" s="78"/>
      <c r="Y379" s="116" t="str">
        <f>IFERROR(ROUND('Informations générales'!$D$66*(AE379/SUM($AE$27:$AE$403))/12,0)*12,"")</f>
        <v/>
      </c>
      <c r="Z379" s="117"/>
      <c r="AA379" s="116" t="str">
        <f t="shared" si="79"/>
        <v/>
      </c>
      <c r="AB379" s="78"/>
      <c r="AC379" s="92"/>
      <c r="AD379" s="78"/>
      <c r="AE379" s="58">
        <f t="shared" si="80"/>
        <v>0</v>
      </c>
      <c r="AF379" s="58">
        <f t="shared" si="71"/>
        <v>0</v>
      </c>
      <c r="AG379" s="58">
        <f t="shared" si="72"/>
        <v>0</v>
      </c>
      <c r="AH379" s="58">
        <f t="shared" si="73"/>
        <v>0</v>
      </c>
      <c r="AI379" s="58">
        <f t="shared" si="74"/>
        <v>0</v>
      </c>
      <c r="AJ379" s="58">
        <f t="shared" si="75"/>
        <v>0</v>
      </c>
      <c r="AK379" s="58">
        <f t="shared" si="76"/>
        <v>0</v>
      </c>
      <c r="AL379" s="58">
        <f t="shared" si="77"/>
        <v>0</v>
      </c>
      <c r="AM379" s="58">
        <f t="shared" si="81"/>
        <v>0</v>
      </c>
      <c r="AN379" s="62">
        <f t="shared" si="82"/>
        <v>0</v>
      </c>
      <c r="AO379" s="61">
        <f t="shared" si="83"/>
        <v>0</v>
      </c>
      <c r="AP379" s="61">
        <f t="shared" si="84"/>
        <v>0</v>
      </c>
    </row>
    <row r="380" spans="3:42" s="17" customFormat="1" x14ac:dyDescent="0.25">
      <c r="C380" s="216" t="s">
        <v>229</v>
      </c>
      <c r="D380" s="217"/>
      <c r="E380" s="90"/>
      <c r="F380" s="198"/>
      <c r="G380" s="214"/>
      <c r="H380" s="199"/>
      <c r="I380" s="78"/>
      <c r="J380" s="79"/>
      <c r="K380" s="78"/>
      <c r="L380" s="113"/>
      <c r="M380" s="155"/>
      <c r="N380" s="114" t="str">
        <f>IFERROR(MIN(VLOOKUP(ROUNDDOWN(M380,0),'Aide calcul'!$B$2:$C$282,2,FALSE),L380+1),"")</f>
        <v/>
      </c>
      <c r="O380" s="115" t="str">
        <f t="shared" si="78"/>
        <v/>
      </c>
      <c r="P380" s="173"/>
      <c r="Q380" s="173"/>
      <c r="R380" s="173"/>
      <c r="S380" s="173"/>
      <c r="T380" s="173"/>
      <c r="U380" s="173"/>
      <c r="V380" s="173"/>
      <c r="W380" s="78"/>
      <c r="X380" s="78"/>
      <c r="Y380" s="116" t="str">
        <f>IFERROR(ROUND('Informations générales'!$D$66*(AE380/SUM($AE$27:$AE$403))/12,0)*12,"")</f>
        <v/>
      </c>
      <c r="Z380" s="117"/>
      <c r="AA380" s="116" t="str">
        <f t="shared" si="79"/>
        <v/>
      </c>
      <c r="AB380" s="78"/>
      <c r="AC380" s="92"/>
      <c r="AD380" s="78"/>
      <c r="AE380" s="58">
        <f t="shared" si="80"/>
        <v>0</v>
      </c>
      <c r="AF380" s="58">
        <f t="shared" si="71"/>
        <v>0</v>
      </c>
      <c r="AG380" s="58">
        <f t="shared" si="72"/>
        <v>0</v>
      </c>
      <c r="AH380" s="58">
        <f t="shared" si="73"/>
        <v>0</v>
      </c>
      <c r="AI380" s="58">
        <f t="shared" si="74"/>
        <v>0</v>
      </c>
      <c r="AJ380" s="58">
        <f t="shared" si="75"/>
        <v>0</v>
      </c>
      <c r="AK380" s="58">
        <f t="shared" si="76"/>
        <v>0</v>
      </c>
      <c r="AL380" s="58">
        <f t="shared" si="77"/>
        <v>0</v>
      </c>
      <c r="AM380" s="58">
        <f t="shared" si="81"/>
        <v>0</v>
      </c>
      <c r="AN380" s="62">
        <f t="shared" si="82"/>
        <v>0</v>
      </c>
      <c r="AO380" s="61">
        <f t="shared" si="83"/>
        <v>0</v>
      </c>
      <c r="AP380" s="61">
        <f t="shared" si="84"/>
        <v>0</v>
      </c>
    </row>
    <row r="381" spans="3:42" s="17" customFormat="1" x14ac:dyDescent="0.25">
      <c r="C381" s="216" t="s">
        <v>229</v>
      </c>
      <c r="D381" s="217"/>
      <c r="E381" s="90"/>
      <c r="F381" s="198"/>
      <c r="G381" s="214"/>
      <c r="H381" s="199"/>
      <c r="I381" s="78"/>
      <c r="J381" s="79"/>
      <c r="K381" s="78"/>
      <c r="L381" s="113"/>
      <c r="M381" s="155"/>
      <c r="N381" s="114" t="str">
        <f>IFERROR(MIN(VLOOKUP(ROUNDDOWN(M381,0),'Aide calcul'!$B$2:$C$282,2,FALSE),L381+1),"")</f>
        <v/>
      </c>
      <c r="O381" s="115" t="str">
        <f t="shared" si="78"/>
        <v/>
      </c>
      <c r="P381" s="173"/>
      <c r="Q381" s="173"/>
      <c r="R381" s="173"/>
      <c r="S381" s="173"/>
      <c r="T381" s="173"/>
      <c r="U381" s="173"/>
      <c r="V381" s="173"/>
      <c r="W381" s="78"/>
      <c r="X381" s="78"/>
      <c r="Y381" s="116" t="str">
        <f>IFERROR(ROUND('Informations générales'!$D$66*(AE381/SUM($AE$27:$AE$403))/12,0)*12,"")</f>
        <v/>
      </c>
      <c r="Z381" s="117"/>
      <c r="AA381" s="116" t="str">
        <f t="shared" si="79"/>
        <v/>
      </c>
      <c r="AB381" s="78"/>
      <c r="AC381" s="92"/>
      <c r="AD381" s="78"/>
      <c r="AE381" s="58">
        <f t="shared" si="80"/>
        <v>0</v>
      </c>
      <c r="AF381" s="58">
        <f t="shared" si="71"/>
        <v>0</v>
      </c>
      <c r="AG381" s="58">
        <f t="shared" si="72"/>
        <v>0</v>
      </c>
      <c r="AH381" s="58">
        <f t="shared" si="73"/>
        <v>0</v>
      </c>
      <c r="AI381" s="58">
        <f t="shared" si="74"/>
        <v>0</v>
      </c>
      <c r="AJ381" s="58">
        <f t="shared" si="75"/>
        <v>0</v>
      </c>
      <c r="AK381" s="58">
        <f t="shared" si="76"/>
        <v>0</v>
      </c>
      <c r="AL381" s="58">
        <f t="shared" si="77"/>
        <v>0</v>
      </c>
      <c r="AM381" s="58">
        <f t="shared" si="81"/>
        <v>0</v>
      </c>
      <c r="AN381" s="62">
        <f t="shared" si="82"/>
        <v>0</v>
      </c>
      <c r="AO381" s="61">
        <f t="shared" si="83"/>
        <v>0</v>
      </c>
      <c r="AP381" s="61">
        <f t="shared" si="84"/>
        <v>0</v>
      </c>
    </row>
    <row r="382" spans="3:42" s="17" customFormat="1" x14ac:dyDescent="0.25">
      <c r="C382" s="216" t="s">
        <v>229</v>
      </c>
      <c r="D382" s="217"/>
      <c r="E382" s="90"/>
      <c r="F382" s="198"/>
      <c r="G382" s="214"/>
      <c r="H382" s="199"/>
      <c r="I382" s="78"/>
      <c r="J382" s="79"/>
      <c r="K382" s="78"/>
      <c r="L382" s="113"/>
      <c r="M382" s="155"/>
      <c r="N382" s="114" t="str">
        <f>IFERROR(MIN(VLOOKUP(ROUNDDOWN(M382,0),'Aide calcul'!$B$2:$C$282,2,FALSE),L382+1),"")</f>
        <v/>
      </c>
      <c r="O382" s="115" t="str">
        <f t="shared" si="78"/>
        <v/>
      </c>
      <c r="P382" s="173"/>
      <c r="Q382" s="173"/>
      <c r="R382" s="173"/>
      <c r="S382" s="173"/>
      <c r="T382" s="173"/>
      <c r="U382" s="173"/>
      <c r="V382" s="173"/>
      <c r="W382" s="78"/>
      <c r="X382" s="78"/>
      <c r="Y382" s="116" t="str">
        <f>IFERROR(ROUND('Informations générales'!$D$66*(AE382/SUM($AE$27:$AE$403))/12,0)*12,"")</f>
        <v/>
      </c>
      <c r="Z382" s="117"/>
      <c r="AA382" s="116" t="str">
        <f t="shared" si="79"/>
        <v/>
      </c>
      <c r="AB382" s="78"/>
      <c r="AC382" s="92"/>
      <c r="AD382" s="78"/>
      <c r="AE382" s="58">
        <f t="shared" si="80"/>
        <v>0</v>
      </c>
      <c r="AF382" s="58">
        <f t="shared" si="71"/>
        <v>0</v>
      </c>
      <c r="AG382" s="58">
        <f t="shared" si="72"/>
        <v>0</v>
      </c>
      <c r="AH382" s="58">
        <f t="shared" si="73"/>
        <v>0</v>
      </c>
      <c r="AI382" s="58">
        <f t="shared" si="74"/>
        <v>0</v>
      </c>
      <c r="AJ382" s="58">
        <f t="shared" si="75"/>
        <v>0</v>
      </c>
      <c r="AK382" s="58">
        <f t="shared" si="76"/>
        <v>0</v>
      </c>
      <c r="AL382" s="58">
        <f t="shared" si="77"/>
        <v>0</v>
      </c>
      <c r="AM382" s="58">
        <f t="shared" si="81"/>
        <v>0</v>
      </c>
      <c r="AN382" s="62">
        <f t="shared" si="82"/>
        <v>0</v>
      </c>
      <c r="AO382" s="61">
        <f t="shared" si="83"/>
        <v>0</v>
      </c>
      <c r="AP382" s="61">
        <f t="shared" si="84"/>
        <v>0</v>
      </c>
    </row>
    <row r="383" spans="3:42" s="17" customFormat="1" x14ac:dyDescent="0.25">
      <c r="C383" s="216" t="s">
        <v>229</v>
      </c>
      <c r="D383" s="217"/>
      <c r="E383" s="90"/>
      <c r="F383" s="198"/>
      <c r="G383" s="214"/>
      <c r="H383" s="199"/>
      <c r="I383" s="78"/>
      <c r="J383" s="79"/>
      <c r="K383" s="78"/>
      <c r="L383" s="113"/>
      <c r="M383" s="155"/>
      <c r="N383" s="114" t="str">
        <f>IFERROR(MIN(VLOOKUP(ROUNDDOWN(M383,0),'Aide calcul'!$B$2:$C$282,2,FALSE),L383+1),"")</f>
        <v/>
      </c>
      <c r="O383" s="115" t="str">
        <f t="shared" si="78"/>
        <v/>
      </c>
      <c r="P383" s="173"/>
      <c r="Q383" s="173"/>
      <c r="R383" s="173"/>
      <c r="S383" s="173"/>
      <c r="T383" s="173"/>
      <c r="U383" s="173"/>
      <c r="V383" s="173"/>
      <c r="W383" s="78"/>
      <c r="X383" s="78"/>
      <c r="Y383" s="116" t="str">
        <f>IFERROR(ROUND('Informations générales'!$D$66*(AE383/SUM($AE$27:$AE$403))/12,0)*12,"")</f>
        <v/>
      </c>
      <c r="Z383" s="117"/>
      <c r="AA383" s="116" t="str">
        <f t="shared" si="79"/>
        <v/>
      </c>
      <c r="AB383" s="78"/>
      <c r="AC383" s="92"/>
      <c r="AD383" s="78"/>
      <c r="AE383" s="58">
        <f t="shared" si="80"/>
        <v>0</v>
      </c>
      <c r="AF383" s="58">
        <f t="shared" si="71"/>
        <v>0</v>
      </c>
      <c r="AG383" s="58">
        <f t="shared" si="72"/>
        <v>0</v>
      </c>
      <c r="AH383" s="58">
        <f t="shared" si="73"/>
        <v>0</v>
      </c>
      <c r="AI383" s="58">
        <f t="shared" si="74"/>
        <v>0</v>
      </c>
      <c r="AJ383" s="58">
        <f t="shared" si="75"/>
        <v>0</v>
      </c>
      <c r="AK383" s="58">
        <f t="shared" si="76"/>
        <v>0</v>
      </c>
      <c r="AL383" s="58">
        <f t="shared" si="77"/>
        <v>0</v>
      </c>
      <c r="AM383" s="58">
        <f t="shared" si="81"/>
        <v>0</v>
      </c>
      <c r="AN383" s="62">
        <f t="shared" si="82"/>
        <v>0</v>
      </c>
      <c r="AO383" s="61">
        <f t="shared" si="83"/>
        <v>0</v>
      </c>
      <c r="AP383" s="61">
        <f t="shared" si="84"/>
        <v>0</v>
      </c>
    </row>
    <row r="384" spans="3:42" s="17" customFormat="1" x14ac:dyDescent="0.25">
      <c r="C384" s="216" t="s">
        <v>229</v>
      </c>
      <c r="D384" s="217"/>
      <c r="E384" s="90"/>
      <c r="F384" s="198"/>
      <c r="G384" s="214"/>
      <c r="H384" s="199"/>
      <c r="I384" s="78"/>
      <c r="J384" s="79"/>
      <c r="K384" s="78"/>
      <c r="L384" s="113"/>
      <c r="M384" s="155"/>
      <c r="N384" s="114" t="str">
        <f>IFERROR(MIN(VLOOKUP(ROUNDDOWN(M384,0),'Aide calcul'!$B$2:$C$282,2,FALSE),L384+1),"")</f>
        <v/>
      </c>
      <c r="O384" s="115" t="str">
        <f t="shared" si="78"/>
        <v/>
      </c>
      <c r="P384" s="173"/>
      <c r="Q384" s="173"/>
      <c r="R384" s="173"/>
      <c r="S384" s="173"/>
      <c r="T384" s="173"/>
      <c r="U384" s="173"/>
      <c r="V384" s="173"/>
      <c r="W384" s="78"/>
      <c r="X384" s="78"/>
      <c r="Y384" s="116" t="str">
        <f>IFERROR(ROUND('Informations générales'!$D$66*(AE384/SUM($AE$27:$AE$403))/12,0)*12,"")</f>
        <v/>
      </c>
      <c r="Z384" s="117"/>
      <c r="AA384" s="116" t="str">
        <f t="shared" si="79"/>
        <v/>
      </c>
      <c r="AB384" s="78"/>
      <c r="AC384" s="92"/>
      <c r="AD384" s="78"/>
      <c r="AE384" s="58">
        <f t="shared" si="80"/>
        <v>0</v>
      </c>
      <c r="AF384" s="58">
        <f t="shared" si="71"/>
        <v>0</v>
      </c>
      <c r="AG384" s="58">
        <f t="shared" si="72"/>
        <v>0</v>
      </c>
      <c r="AH384" s="58">
        <f t="shared" si="73"/>
        <v>0</v>
      </c>
      <c r="AI384" s="58">
        <f t="shared" si="74"/>
        <v>0</v>
      </c>
      <c r="AJ384" s="58">
        <f t="shared" si="75"/>
        <v>0</v>
      </c>
      <c r="AK384" s="58">
        <f t="shared" si="76"/>
        <v>0</v>
      </c>
      <c r="AL384" s="58">
        <f t="shared" si="77"/>
        <v>0</v>
      </c>
      <c r="AM384" s="58">
        <f t="shared" si="81"/>
        <v>0</v>
      </c>
      <c r="AN384" s="62">
        <f t="shared" si="82"/>
        <v>0</v>
      </c>
      <c r="AO384" s="61">
        <f t="shared" si="83"/>
        <v>0</v>
      </c>
      <c r="AP384" s="61">
        <f t="shared" si="84"/>
        <v>0</v>
      </c>
    </row>
    <row r="385" spans="3:42" s="17" customFormat="1" x14ac:dyDescent="0.25">
      <c r="C385" s="216" t="s">
        <v>229</v>
      </c>
      <c r="D385" s="217"/>
      <c r="E385" s="90"/>
      <c r="F385" s="198"/>
      <c r="G385" s="214"/>
      <c r="H385" s="199"/>
      <c r="I385" s="78"/>
      <c r="J385" s="79"/>
      <c r="K385" s="78"/>
      <c r="L385" s="113"/>
      <c r="M385" s="155"/>
      <c r="N385" s="114" t="str">
        <f>IFERROR(MIN(VLOOKUP(ROUNDDOWN(M385,0),'Aide calcul'!$B$2:$C$282,2,FALSE),L385+1),"")</f>
        <v/>
      </c>
      <c r="O385" s="115" t="str">
        <f t="shared" si="78"/>
        <v/>
      </c>
      <c r="P385" s="173"/>
      <c r="Q385" s="173"/>
      <c r="R385" s="173"/>
      <c r="S385" s="173"/>
      <c r="T385" s="173"/>
      <c r="U385" s="173"/>
      <c r="V385" s="173"/>
      <c r="W385" s="78"/>
      <c r="X385" s="78"/>
      <c r="Y385" s="116" t="str">
        <f>IFERROR(ROUND('Informations générales'!$D$66*(AE385/SUM($AE$27:$AE$403))/12,0)*12,"")</f>
        <v/>
      </c>
      <c r="Z385" s="117"/>
      <c r="AA385" s="116" t="str">
        <f t="shared" si="79"/>
        <v/>
      </c>
      <c r="AB385" s="78"/>
      <c r="AC385" s="92"/>
      <c r="AD385" s="78"/>
      <c r="AE385" s="58">
        <f t="shared" si="80"/>
        <v>0</v>
      </c>
      <c r="AF385" s="58">
        <f t="shared" si="71"/>
        <v>0</v>
      </c>
      <c r="AG385" s="58">
        <f t="shared" si="72"/>
        <v>0</v>
      </c>
      <c r="AH385" s="58">
        <f t="shared" si="73"/>
        <v>0</v>
      </c>
      <c r="AI385" s="58">
        <f t="shared" si="74"/>
        <v>0</v>
      </c>
      <c r="AJ385" s="58">
        <f t="shared" si="75"/>
        <v>0</v>
      </c>
      <c r="AK385" s="58">
        <f t="shared" si="76"/>
        <v>0</v>
      </c>
      <c r="AL385" s="58">
        <f t="shared" si="77"/>
        <v>0</v>
      </c>
      <c r="AM385" s="58">
        <f t="shared" si="81"/>
        <v>0</v>
      </c>
      <c r="AN385" s="62">
        <f t="shared" si="82"/>
        <v>0</v>
      </c>
      <c r="AO385" s="61">
        <f t="shared" si="83"/>
        <v>0</v>
      </c>
      <c r="AP385" s="61">
        <f t="shared" si="84"/>
        <v>0</v>
      </c>
    </row>
    <row r="386" spans="3:42" s="17" customFormat="1" x14ac:dyDescent="0.25">
      <c r="C386" s="216" t="s">
        <v>229</v>
      </c>
      <c r="D386" s="217"/>
      <c r="E386" s="90"/>
      <c r="F386" s="198"/>
      <c r="G386" s="214"/>
      <c r="H386" s="199"/>
      <c r="I386" s="78"/>
      <c r="J386" s="79"/>
      <c r="K386" s="78"/>
      <c r="L386" s="113"/>
      <c r="M386" s="155"/>
      <c r="N386" s="114" t="str">
        <f>IFERROR(MIN(VLOOKUP(ROUNDDOWN(M386,0),'Aide calcul'!$B$2:$C$282,2,FALSE),L386+1),"")</f>
        <v/>
      </c>
      <c r="O386" s="115" t="str">
        <f t="shared" si="78"/>
        <v/>
      </c>
      <c r="P386" s="173"/>
      <c r="Q386" s="173"/>
      <c r="R386" s="173"/>
      <c r="S386" s="173"/>
      <c r="T386" s="173"/>
      <c r="U386" s="173"/>
      <c r="V386" s="173"/>
      <c r="W386" s="78"/>
      <c r="X386" s="78"/>
      <c r="Y386" s="116" t="str">
        <f>IFERROR(ROUND('Informations générales'!$D$66*(AE386/SUM($AE$27:$AE$403))/12,0)*12,"")</f>
        <v/>
      </c>
      <c r="Z386" s="117"/>
      <c r="AA386" s="116" t="str">
        <f t="shared" si="79"/>
        <v/>
      </c>
      <c r="AB386" s="78"/>
      <c r="AC386" s="92"/>
      <c r="AD386" s="78"/>
      <c r="AE386" s="58">
        <f t="shared" si="80"/>
        <v>0</v>
      </c>
      <c r="AF386" s="58">
        <f t="shared" si="71"/>
        <v>0</v>
      </c>
      <c r="AG386" s="58">
        <f t="shared" si="72"/>
        <v>0</v>
      </c>
      <c r="AH386" s="58">
        <f t="shared" si="73"/>
        <v>0</v>
      </c>
      <c r="AI386" s="58">
        <f t="shared" si="74"/>
        <v>0</v>
      </c>
      <c r="AJ386" s="58">
        <f t="shared" si="75"/>
        <v>0</v>
      </c>
      <c r="AK386" s="58">
        <f t="shared" si="76"/>
        <v>0</v>
      </c>
      <c r="AL386" s="58">
        <f t="shared" si="77"/>
        <v>0</v>
      </c>
      <c r="AM386" s="58">
        <f t="shared" si="81"/>
        <v>0</v>
      </c>
      <c r="AN386" s="62">
        <f t="shared" si="82"/>
        <v>0</v>
      </c>
      <c r="AO386" s="61">
        <f t="shared" si="83"/>
        <v>0</v>
      </c>
      <c r="AP386" s="61">
        <f t="shared" si="84"/>
        <v>0</v>
      </c>
    </row>
    <row r="387" spans="3:42" s="17" customFormat="1" x14ac:dyDescent="0.25">
      <c r="C387" s="216" t="s">
        <v>229</v>
      </c>
      <c r="D387" s="217"/>
      <c r="E387" s="90"/>
      <c r="F387" s="198"/>
      <c r="G387" s="214"/>
      <c r="H387" s="199"/>
      <c r="I387" s="78"/>
      <c r="J387" s="79"/>
      <c r="K387" s="78"/>
      <c r="L387" s="113"/>
      <c r="M387" s="155"/>
      <c r="N387" s="114" t="str">
        <f>IFERROR(MIN(VLOOKUP(ROUNDDOWN(M387,0),'Aide calcul'!$B$2:$C$282,2,FALSE),L387+1),"")</f>
        <v/>
      </c>
      <c r="O387" s="115" t="str">
        <f t="shared" si="78"/>
        <v/>
      </c>
      <c r="P387" s="173"/>
      <c r="Q387" s="173"/>
      <c r="R387" s="173"/>
      <c r="S387" s="173"/>
      <c r="T387" s="173"/>
      <c r="U387" s="173"/>
      <c r="V387" s="173"/>
      <c r="W387" s="78"/>
      <c r="X387" s="78"/>
      <c r="Y387" s="116" t="str">
        <f>IFERROR(ROUND('Informations générales'!$D$66*(AE387/SUM($AE$27:$AE$403))/12,0)*12,"")</f>
        <v/>
      </c>
      <c r="Z387" s="117"/>
      <c r="AA387" s="116" t="str">
        <f t="shared" si="79"/>
        <v/>
      </c>
      <c r="AB387" s="78"/>
      <c r="AC387" s="92"/>
      <c r="AD387" s="78"/>
      <c r="AE387" s="58">
        <f t="shared" si="80"/>
        <v>0</v>
      </c>
      <c r="AF387" s="58">
        <f t="shared" si="71"/>
        <v>0</v>
      </c>
      <c r="AG387" s="58">
        <f t="shared" si="72"/>
        <v>0</v>
      </c>
      <c r="AH387" s="58">
        <f t="shared" si="73"/>
        <v>0</v>
      </c>
      <c r="AI387" s="58">
        <f t="shared" si="74"/>
        <v>0</v>
      </c>
      <c r="AJ387" s="58">
        <f t="shared" si="75"/>
        <v>0</v>
      </c>
      <c r="AK387" s="58">
        <f t="shared" si="76"/>
        <v>0</v>
      </c>
      <c r="AL387" s="58">
        <f t="shared" si="77"/>
        <v>0</v>
      </c>
      <c r="AM387" s="58">
        <f t="shared" si="81"/>
        <v>0</v>
      </c>
      <c r="AN387" s="62">
        <f t="shared" si="82"/>
        <v>0</v>
      </c>
      <c r="AO387" s="61">
        <f t="shared" si="83"/>
        <v>0</v>
      </c>
      <c r="AP387" s="61">
        <f t="shared" si="84"/>
        <v>0</v>
      </c>
    </row>
    <row r="388" spans="3:42" s="17" customFormat="1" x14ac:dyDescent="0.25">
      <c r="C388" s="216" t="s">
        <v>229</v>
      </c>
      <c r="D388" s="217"/>
      <c r="E388" s="90"/>
      <c r="F388" s="198"/>
      <c r="G388" s="214"/>
      <c r="H388" s="199"/>
      <c r="I388" s="78"/>
      <c r="J388" s="79"/>
      <c r="K388" s="78"/>
      <c r="L388" s="113"/>
      <c r="M388" s="155"/>
      <c r="N388" s="114" t="str">
        <f>IFERROR(MIN(VLOOKUP(ROUNDDOWN(M388,0),'Aide calcul'!$B$2:$C$282,2,FALSE),L388+1),"")</f>
        <v/>
      </c>
      <c r="O388" s="115" t="str">
        <f t="shared" si="78"/>
        <v/>
      </c>
      <c r="P388" s="173"/>
      <c r="Q388" s="173"/>
      <c r="R388" s="173"/>
      <c r="S388" s="173"/>
      <c r="T388" s="173"/>
      <c r="U388" s="173"/>
      <c r="V388" s="173"/>
      <c r="W388" s="78"/>
      <c r="X388" s="78"/>
      <c r="Y388" s="116" t="str">
        <f>IFERROR(ROUND('Informations générales'!$D$66*(AE388/SUM($AE$27:$AE$403))/12,0)*12,"")</f>
        <v/>
      </c>
      <c r="Z388" s="117"/>
      <c r="AA388" s="116" t="str">
        <f t="shared" si="79"/>
        <v/>
      </c>
      <c r="AB388" s="78"/>
      <c r="AC388" s="92"/>
      <c r="AD388" s="78"/>
      <c r="AE388" s="58">
        <f t="shared" si="80"/>
        <v>0</v>
      </c>
      <c r="AF388" s="58">
        <f t="shared" si="71"/>
        <v>0</v>
      </c>
      <c r="AG388" s="58">
        <f t="shared" si="72"/>
        <v>0</v>
      </c>
      <c r="AH388" s="58">
        <f t="shared" si="73"/>
        <v>0</v>
      </c>
      <c r="AI388" s="58">
        <f t="shared" si="74"/>
        <v>0</v>
      </c>
      <c r="AJ388" s="58">
        <f t="shared" si="75"/>
        <v>0</v>
      </c>
      <c r="AK388" s="58">
        <f t="shared" si="76"/>
        <v>0</v>
      </c>
      <c r="AL388" s="58">
        <f t="shared" si="77"/>
        <v>0</v>
      </c>
      <c r="AM388" s="58">
        <f t="shared" si="81"/>
        <v>0</v>
      </c>
      <c r="AN388" s="62">
        <f t="shared" si="82"/>
        <v>0</v>
      </c>
      <c r="AO388" s="61">
        <f t="shared" si="83"/>
        <v>0</v>
      </c>
      <c r="AP388" s="61">
        <f t="shared" si="84"/>
        <v>0</v>
      </c>
    </row>
    <row r="389" spans="3:42" s="17" customFormat="1" x14ac:dyDescent="0.25">
      <c r="C389" s="216" t="s">
        <v>229</v>
      </c>
      <c r="D389" s="217"/>
      <c r="E389" s="90"/>
      <c r="F389" s="198"/>
      <c r="G389" s="214"/>
      <c r="H389" s="199"/>
      <c r="I389" s="78"/>
      <c r="J389" s="79"/>
      <c r="K389" s="78"/>
      <c r="L389" s="113"/>
      <c r="M389" s="155"/>
      <c r="N389" s="114" t="str">
        <f>IFERROR(MIN(VLOOKUP(ROUNDDOWN(M389,0),'Aide calcul'!$B$2:$C$282,2,FALSE),L389+1),"")</f>
        <v/>
      </c>
      <c r="O389" s="115" t="str">
        <f t="shared" si="78"/>
        <v/>
      </c>
      <c r="P389" s="173"/>
      <c r="Q389" s="173"/>
      <c r="R389" s="173"/>
      <c r="S389" s="173"/>
      <c r="T389" s="173"/>
      <c r="U389" s="173"/>
      <c r="V389" s="173"/>
      <c r="W389" s="78"/>
      <c r="X389" s="78"/>
      <c r="Y389" s="116" t="str">
        <f>IFERROR(ROUND('Informations générales'!$D$66*(AE389/SUM($AE$27:$AE$403))/12,0)*12,"")</f>
        <v/>
      </c>
      <c r="Z389" s="117"/>
      <c r="AA389" s="116" t="str">
        <f t="shared" si="79"/>
        <v/>
      </c>
      <c r="AB389" s="78"/>
      <c r="AC389" s="92"/>
      <c r="AD389" s="78"/>
      <c r="AE389" s="58">
        <f t="shared" si="80"/>
        <v>0</v>
      </c>
      <c r="AF389" s="58">
        <f t="shared" si="71"/>
        <v>0</v>
      </c>
      <c r="AG389" s="58">
        <f t="shared" si="72"/>
        <v>0</v>
      </c>
      <c r="AH389" s="58">
        <f t="shared" si="73"/>
        <v>0</v>
      </c>
      <c r="AI389" s="58">
        <f t="shared" si="74"/>
        <v>0</v>
      </c>
      <c r="AJ389" s="58">
        <f t="shared" si="75"/>
        <v>0</v>
      </c>
      <c r="AK389" s="58">
        <f t="shared" si="76"/>
        <v>0</v>
      </c>
      <c r="AL389" s="58">
        <f t="shared" si="77"/>
        <v>0</v>
      </c>
      <c r="AM389" s="58">
        <f t="shared" si="81"/>
        <v>0</v>
      </c>
      <c r="AN389" s="62">
        <f t="shared" si="82"/>
        <v>0</v>
      </c>
      <c r="AO389" s="61">
        <f t="shared" si="83"/>
        <v>0</v>
      </c>
      <c r="AP389" s="61">
        <f t="shared" si="84"/>
        <v>0</v>
      </c>
    </row>
    <row r="390" spans="3:42" s="17" customFormat="1" x14ac:dyDescent="0.25">
      <c r="C390" s="216" t="s">
        <v>229</v>
      </c>
      <c r="D390" s="217"/>
      <c r="E390" s="90"/>
      <c r="F390" s="198"/>
      <c r="G390" s="214"/>
      <c r="H390" s="199"/>
      <c r="I390" s="78"/>
      <c r="J390" s="79"/>
      <c r="K390" s="78"/>
      <c r="L390" s="113"/>
      <c r="M390" s="155"/>
      <c r="N390" s="114" t="str">
        <f>IFERROR(MIN(VLOOKUP(ROUNDDOWN(M390,0),'Aide calcul'!$B$2:$C$282,2,FALSE),L390+1),"")</f>
        <v/>
      </c>
      <c r="O390" s="115" t="str">
        <f t="shared" si="78"/>
        <v/>
      </c>
      <c r="P390" s="173"/>
      <c r="Q390" s="173"/>
      <c r="R390" s="173"/>
      <c r="S390" s="173"/>
      <c r="T390" s="173"/>
      <c r="U390" s="173"/>
      <c r="V390" s="173"/>
      <c r="W390" s="78"/>
      <c r="X390" s="78"/>
      <c r="Y390" s="116" t="str">
        <f>IFERROR(ROUND('Informations générales'!$D$66*(AE390/SUM($AE$27:$AE$403))/12,0)*12,"")</f>
        <v/>
      </c>
      <c r="Z390" s="117"/>
      <c r="AA390" s="116" t="str">
        <f t="shared" si="79"/>
        <v/>
      </c>
      <c r="AB390" s="78"/>
      <c r="AC390" s="92"/>
      <c r="AD390" s="78"/>
      <c r="AE390" s="58">
        <f t="shared" si="80"/>
        <v>0</v>
      </c>
      <c r="AF390" s="58">
        <f t="shared" si="71"/>
        <v>0</v>
      </c>
      <c r="AG390" s="58">
        <f t="shared" si="72"/>
        <v>0</v>
      </c>
      <c r="AH390" s="58">
        <f t="shared" si="73"/>
        <v>0</v>
      </c>
      <c r="AI390" s="58">
        <f t="shared" si="74"/>
        <v>0</v>
      </c>
      <c r="AJ390" s="58">
        <f t="shared" si="75"/>
        <v>0</v>
      </c>
      <c r="AK390" s="58">
        <f t="shared" si="76"/>
        <v>0</v>
      </c>
      <c r="AL390" s="58">
        <f t="shared" si="77"/>
        <v>0</v>
      </c>
      <c r="AM390" s="58">
        <f t="shared" si="81"/>
        <v>0</v>
      </c>
      <c r="AN390" s="62">
        <f t="shared" si="82"/>
        <v>0</v>
      </c>
      <c r="AO390" s="61">
        <f t="shared" si="83"/>
        <v>0</v>
      </c>
      <c r="AP390" s="61">
        <f t="shared" si="84"/>
        <v>0</v>
      </c>
    </row>
    <row r="391" spans="3:42" s="17" customFormat="1" x14ac:dyDescent="0.25">
      <c r="C391" s="216" t="s">
        <v>229</v>
      </c>
      <c r="D391" s="217"/>
      <c r="E391" s="90"/>
      <c r="F391" s="198"/>
      <c r="G391" s="214"/>
      <c r="H391" s="199"/>
      <c r="I391" s="78"/>
      <c r="J391" s="79"/>
      <c r="K391" s="78"/>
      <c r="L391" s="113"/>
      <c r="M391" s="155"/>
      <c r="N391" s="114" t="str">
        <f>IFERROR(MIN(VLOOKUP(ROUNDDOWN(M391,0),'Aide calcul'!$B$2:$C$282,2,FALSE),L391+1),"")</f>
        <v/>
      </c>
      <c r="O391" s="115" t="str">
        <f t="shared" si="78"/>
        <v/>
      </c>
      <c r="P391" s="173"/>
      <c r="Q391" s="173"/>
      <c r="R391" s="173"/>
      <c r="S391" s="173"/>
      <c r="T391" s="173"/>
      <c r="U391" s="173"/>
      <c r="V391" s="173"/>
      <c r="W391" s="78"/>
      <c r="X391" s="78"/>
      <c r="Y391" s="116" t="str">
        <f>IFERROR(ROUND('Informations générales'!$D$66*(AE391/SUM($AE$27:$AE$403))/12,0)*12,"")</f>
        <v/>
      </c>
      <c r="Z391" s="117"/>
      <c r="AA391" s="116" t="str">
        <f t="shared" si="79"/>
        <v/>
      </c>
      <c r="AB391" s="78"/>
      <c r="AC391" s="92"/>
      <c r="AD391" s="78"/>
      <c r="AE391" s="58">
        <f t="shared" si="80"/>
        <v>0</v>
      </c>
      <c r="AF391" s="58">
        <f t="shared" si="71"/>
        <v>0</v>
      </c>
      <c r="AG391" s="58">
        <f t="shared" si="72"/>
        <v>0</v>
      </c>
      <c r="AH391" s="58">
        <f t="shared" si="73"/>
        <v>0</v>
      </c>
      <c r="AI391" s="58">
        <f t="shared" si="74"/>
        <v>0</v>
      </c>
      <c r="AJ391" s="58">
        <f t="shared" si="75"/>
        <v>0</v>
      </c>
      <c r="AK391" s="58">
        <f t="shared" si="76"/>
        <v>0</v>
      </c>
      <c r="AL391" s="58">
        <f t="shared" si="77"/>
        <v>0</v>
      </c>
      <c r="AM391" s="58">
        <f t="shared" si="81"/>
        <v>0</v>
      </c>
      <c r="AN391" s="62">
        <f t="shared" si="82"/>
        <v>0</v>
      </c>
      <c r="AO391" s="61">
        <f t="shared" si="83"/>
        <v>0</v>
      </c>
      <c r="AP391" s="61">
        <f t="shared" si="84"/>
        <v>0</v>
      </c>
    </row>
    <row r="392" spans="3:42" s="17" customFormat="1" x14ac:dyDescent="0.25">
      <c r="C392" s="216" t="s">
        <v>229</v>
      </c>
      <c r="D392" s="217"/>
      <c r="E392" s="90"/>
      <c r="F392" s="198"/>
      <c r="G392" s="214"/>
      <c r="H392" s="199"/>
      <c r="I392" s="78"/>
      <c r="J392" s="79"/>
      <c r="K392" s="78"/>
      <c r="L392" s="113"/>
      <c r="M392" s="155"/>
      <c r="N392" s="114" t="str">
        <f>IFERROR(MIN(VLOOKUP(ROUNDDOWN(M392,0),'Aide calcul'!$B$2:$C$282,2,FALSE),L392+1),"")</f>
        <v/>
      </c>
      <c r="O392" s="115" t="str">
        <f t="shared" si="78"/>
        <v/>
      </c>
      <c r="P392" s="173"/>
      <c r="Q392" s="173"/>
      <c r="R392" s="173"/>
      <c r="S392" s="173"/>
      <c r="T392" s="173"/>
      <c r="U392" s="173"/>
      <c r="V392" s="173"/>
      <c r="W392" s="78"/>
      <c r="X392" s="78"/>
      <c r="Y392" s="116" t="str">
        <f>IFERROR(ROUND('Informations générales'!$D$66*(AE392/SUM($AE$27:$AE$403))/12,0)*12,"")</f>
        <v/>
      </c>
      <c r="Z392" s="117"/>
      <c r="AA392" s="116" t="str">
        <f t="shared" si="79"/>
        <v/>
      </c>
      <c r="AB392" s="78"/>
      <c r="AC392" s="92"/>
      <c r="AD392" s="78"/>
      <c r="AE392" s="58">
        <f t="shared" si="80"/>
        <v>0</v>
      </c>
      <c r="AF392" s="58">
        <f t="shared" si="71"/>
        <v>0</v>
      </c>
      <c r="AG392" s="58">
        <f t="shared" si="72"/>
        <v>0</v>
      </c>
      <c r="AH392" s="58">
        <f t="shared" si="73"/>
        <v>0</v>
      </c>
      <c r="AI392" s="58">
        <f t="shared" si="74"/>
        <v>0</v>
      </c>
      <c r="AJ392" s="58">
        <f t="shared" si="75"/>
        <v>0</v>
      </c>
      <c r="AK392" s="58">
        <f t="shared" si="76"/>
        <v>0</v>
      </c>
      <c r="AL392" s="58">
        <f t="shared" si="77"/>
        <v>0</v>
      </c>
      <c r="AM392" s="58">
        <f t="shared" si="81"/>
        <v>0</v>
      </c>
      <c r="AN392" s="62">
        <f t="shared" si="82"/>
        <v>0</v>
      </c>
      <c r="AO392" s="61">
        <f t="shared" si="83"/>
        <v>0</v>
      </c>
      <c r="AP392" s="61">
        <f t="shared" si="84"/>
        <v>0</v>
      </c>
    </row>
    <row r="393" spans="3:42" s="17" customFormat="1" x14ac:dyDescent="0.25">
      <c r="C393" s="216" t="s">
        <v>229</v>
      </c>
      <c r="D393" s="217"/>
      <c r="E393" s="90"/>
      <c r="F393" s="198"/>
      <c r="G393" s="214"/>
      <c r="H393" s="199"/>
      <c r="I393" s="78"/>
      <c r="J393" s="79"/>
      <c r="K393" s="78"/>
      <c r="L393" s="113"/>
      <c r="M393" s="155"/>
      <c r="N393" s="114" t="str">
        <f>IFERROR(MIN(VLOOKUP(ROUNDDOWN(M393,0),'Aide calcul'!$B$2:$C$282,2,FALSE),L393+1),"")</f>
        <v/>
      </c>
      <c r="O393" s="115" t="str">
        <f t="shared" si="78"/>
        <v/>
      </c>
      <c r="P393" s="173"/>
      <c r="Q393" s="173"/>
      <c r="R393" s="173"/>
      <c r="S393" s="173"/>
      <c r="T393" s="173"/>
      <c r="U393" s="173"/>
      <c r="V393" s="173"/>
      <c r="W393" s="78"/>
      <c r="X393" s="78"/>
      <c r="Y393" s="116" t="str">
        <f>IFERROR(ROUND('Informations générales'!$D$66*(AE393/SUM($AE$27:$AE$403))/12,0)*12,"")</f>
        <v/>
      </c>
      <c r="Z393" s="117"/>
      <c r="AA393" s="116" t="str">
        <f t="shared" si="79"/>
        <v/>
      </c>
      <c r="AB393" s="78"/>
      <c r="AC393" s="92"/>
      <c r="AD393" s="78"/>
      <c r="AE393" s="58">
        <f t="shared" si="80"/>
        <v>0</v>
      </c>
      <c r="AF393" s="58">
        <f t="shared" si="71"/>
        <v>0</v>
      </c>
      <c r="AG393" s="58">
        <f t="shared" si="72"/>
        <v>0</v>
      </c>
      <c r="AH393" s="58">
        <f t="shared" si="73"/>
        <v>0</v>
      </c>
      <c r="AI393" s="58">
        <f t="shared" si="74"/>
        <v>0</v>
      </c>
      <c r="AJ393" s="58">
        <f t="shared" si="75"/>
        <v>0</v>
      </c>
      <c r="AK393" s="58">
        <f t="shared" si="76"/>
        <v>0</v>
      </c>
      <c r="AL393" s="58">
        <f t="shared" si="77"/>
        <v>0</v>
      </c>
      <c r="AM393" s="58">
        <f t="shared" si="81"/>
        <v>0</v>
      </c>
      <c r="AN393" s="62">
        <f t="shared" si="82"/>
        <v>0</v>
      </c>
      <c r="AO393" s="61">
        <f t="shared" si="83"/>
        <v>0</v>
      </c>
      <c r="AP393" s="61">
        <f t="shared" si="84"/>
        <v>0</v>
      </c>
    </row>
    <row r="394" spans="3:42" s="17" customFormat="1" x14ac:dyDescent="0.25">
      <c r="C394" s="216" t="s">
        <v>229</v>
      </c>
      <c r="D394" s="217"/>
      <c r="E394" s="90"/>
      <c r="F394" s="198"/>
      <c r="G394" s="214"/>
      <c r="H394" s="199"/>
      <c r="I394" s="78"/>
      <c r="J394" s="79"/>
      <c r="K394" s="78"/>
      <c r="L394" s="113"/>
      <c r="M394" s="155"/>
      <c r="N394" s="114" t="str">
        <f>IFERROR(MIN(VLOOKUP(ROUNDDOWN(M394,0),'Aide calcul'!$B$2:$C$282,2,FALSE),L394+1),"")</f>
        <v/>
      </c>
      <c r="O394" s="115" t="str">
        <f t="shared" si="78"/>
        <v/>
      </c>
      <c r="P394" s="173"/>
      <c r="Q394" s="173"/>
      <c r="R394" s="173"/>
      <c r="S394" s="173"/>
      <c r="T394" s="173"/>
      <c r="U394" s="173"/>
      <c r="V394" s="173"/>
      <c r="W394" s="78"/>
      <c r="X394" s="78"/>
      <c r="Y394" s="116" t="str">
        <f>IFERROR(ROUND('Informations générales'!$D$66*(AE394/SUM($AE$27:$AE$403))/12,0)*12,"")</f>
        <v/>
      </c>
      <c r="Z394" s="117"/>
      <c r="AA394" s="116" t="str">
        <f t="shared" si="79"/>
        <v/>
      </c>
      <c r="AB394" s="78"/>
      <c r="AC394" s="92"/>
      <c r="AD394" s="78"/>
      <c r="AE394" s="58">
        <f t="shared" si="80"/>
        <v>0</v>
      </c>
      <c r="AF394" s="58">
        <f t="shared" si="71"/>
        <v>0</v>
      </c>
      <c r="AG394" s="58">
        <f t="shared" si="72"/>
        <v>0</v>
      </c>
      <c r="AH394" s="58">
        <f t="shared" si="73"/>
        <v>0</v>
      </c>
      <c r="AI394" s="58">
        <f t="shared" si="74"/>
        <v>0</v>
      </c>
      <c r="AJ394" s="58">
        <f t="shared" si="75"/>
        <v>0</v>
      </c>
      <c r="AK394" s="58">
        <f t="shared" si="76"/>
        <v>0</v>
      </c>
      <c r="AL394" s="58">
        <f t="shared" si="77"/>
        <v>0</v>
      </c>
      <c r="AM394" s="58">
        <f t="shared" si="81"/>
        <v>0</v>
      </c>
      <c r="AN394" s="62">
        <f t="shared" si="82"/>
        <v>0</v>
      </c>
      <c r="AO394" s="61">
        <f t="shared" si="83"/>
        <v>0</v>
      </c>
      <c r="AP394" s="61">
        <f t="shared" si="84"/>
        <v>0</v>
      </c>
    </row>
    <row r="395" spans="3:42" s="17" customFormat="1" x14ac:dyDescent="0.25">
      <c r="C395" s="216" t="s">
        <v>229</v>
      </c>
      <c r="D395" s="217"/>
      <c r="E395" s="90"/>
      <c r="F395" s="198"/>
      <c r="G395" s="214"/>
      <c r="H395" s="199"/>
      <c r="I395" s="78"/>
      <c r="J395" s="79"/>
      <c r="K395" s="78"/>
      <c r="L395" s="113"/>
      <c r="M395" s="155"/>
      <c r="N395" s="114" t="str">
        <f>IFERROR(MIN(VLOOKUP(ROUNDDOWN(M395,0),'Aide calcul'!$B$2:$C$282,2,FALSE),L395+1),"")</f>
        <v/>
      </c>
      <c r="O395" s="115" t="str">
        <f t="shared" si="78"/>
        <v/>
      </c>
      <c r="P395" s="173"/>
      <c r="Q395" s="173"/>
      <c r="R395" s="173"/>
      <c r="S395" s="173"/>
      <c r="T395" s="173"/>
      <c r="U395" s="173"/>
      <c r="V395" s="173"/>
      <c r="W395" s="78"/>
      <c r="X395" s="78"/>
      <c r="Y395" s="116" t="str">
        <f>IFERROR(ROUND('Informations générales'!$D$66*(AE395/SUM($AE$27:$AE$403))/12,0)*12,"")</f>
        <v/>
      </c>
      <c r="Z395" s="117"/>
      <c r="AA395" s="116" t="str">
        <f t="shared" si="79"/>
        <v/>
      </c>
      <c r="AB395" s="78"/>
      <c r="AC395" s="92"/>
      <c r="AD395" s="78"/>
      <c r="AE395" s="58">
        <f t="shared" si="80"/>
        <v>0</v>
      </c>
      <c r="AF395" s="58">
        <f t="shared" si="71"/>
        <v>0</v>
      </c>
      <c r="AG395" s="58">
        <f t="shared" si="72"/>
        <v>0</v>
      </c>
      <c r="AH395" s="58">
        <f t="shared" si="73"/>
        <v>0</v>
      </c>
      <c r="AI395" s="58">
        <f t="shared" si="74"/>
        <v>0</v>
      </c>
      <c r="AJ395" s="58">
        <f t="shared" si="75"/>
        <v>0</v>
      </c>
      <c r="AK395" s="58">
        <f t="shared" si="76"/>
        <v>0</v>
      </c>
      <c r="AL395" s="58">
        <f t="shared" si="77"/>
        <v>0</v>
      </c>
      <c r="AM395" s="58">
        <f t="shared" si="81"/>
        <v>0</v>
      </c>
      <c r="AN395" s="62">
        <f t="shared" si="82"/>
        <v>0</v>
      </c>
      <c r="AO395" s="61">
        <f t="shared" si="83"/>
        <v>0</v>
      </c>
      <c r="AP395" s="61">
        <f t="shared" si="84"/>
        <v>0</v>
      </c>
    </row>
    <row r="396" spans="3:42" s="17" customFormat="1" x14ac:dyDescent="0.25">
      <c r="C396" s="216" t="s">
        <v>229</v>
      </c>
      <c r="D396" s="217"/>
      <c r="E396" s="90"/>
      <c r="F396" s="198"/>
      <c r="G396" s="214"/>
      <c r="H396" s="199"/>
      <c r="I396" s="78"/>
      <c r="J396" s="79"/>
      <c r="K396" s="78"/>
      <c r="L396" s="113"/>
      <c r="M396" s="155"/>
      <c r="N396" s="114" t="str">
        <f>IFERROR(MIN(VLOOKUP(ROUNDDOWN(M396,0),'Aide calcul'!$B$2:$C$282,2,FALSE),L396+1),"")</f>
        <v/>
      </c>
      <c r="O396" s="115" t="str">
        <f t="shared" si="78"/>
        <v/>
      </c>
      <c r="P396" s="173"/>
      <c r="Q396" s="173"/>
      <c r="R396" s="173"/>
      <c r="S396" s="173"/>
      <c r="T396" s="173"/>
      <c r="U396" s="173"/>
      <c r="V396" s="173"/>
      <c r="W396" s="78"/>
      <c r="X396" s="78"/>
      <c r="Y396" s="116" t="str">
        <f>IFERROR(ROUND('Informations générales'!$D$66*(AE396/SUM($AE$27:$AE$403))/12,0)*12,"")</f>
        <v/>
      </c>
      <c r="Z396" s="117"/>
      <c r="AA396" s="116" t="str">
        <f t="shared" si="79"/>
        <v/>
      </c>
      <c r="AB396" s="78"/>
      <c r="AC396" s="92"/>
      <c r="AD396" s="78"/>
      <c r="AE396" s="58">
        <f t="shared" si="80"/>
        <v>0</v>
      </c>
      <c r="AF396" s="58">
        <f t="shared" si="71"/>
        <v>0</v>
      </c>
      <c r="AG396" s="58">
        <f t="shared" si="72"/>
        <v>0</v>
      </c>
      <c r="AH396" s="58">
        <f t="shared" si="73"/>
        <v>0</v>
      </c>
      <c r="AI396" s="58">
        <f t="shared" si="74"/>
        <v>0</v>
      </c>
      <c r="AJ396" s="58">
        <f t="shared" si="75"/>
        <v>0</v>
      </c>
      <c r="AK396" s="58">
        <f t="shared" si="76"/>
        <v>0</v>
      </c>
      <c r="AL396" s="58">
        <f t="shared" si="77"/>
        <v>0</v>
      </c>
      <c r="AM396" s="58">
        <f t="shared" si="81"/>
        <v>0</v>
      </c>
      <c r="AN396" s="62">
        <f t="shared" si="82"/>
        <v>0</v>
      </c>
      <c r="AO396" s="61">
        <f t="shared" si="83"/>
        <v>0</v>
      </c>
      <c r="AP396" s="61">
        <f t="shared" si="84"/>
        <v>0</v>
      </c>
    </row>
    <row r="397" spans="3:42" s="17" customFormat="1" x14ac:dyDescent="0.25">
      <c r="C397" s="216" t="s">
        <v>229</v>
      </c>
      <c r="D397" s="217"/>
      <c r="E397" s="90"/>
      <c r="F397" s="198"/>
      <c r="G397" s="214"/>
      <c r="H397" s="199"/>
      <c r="I397" s="78"/>
      <c r="J397" s="79"/>
      <c r="K397" s="78"/>
      <c r="L397" s="113"/>
      <c r="M397" s="155"/>
      <c r="N397" s="114" t="str">
        <f>IFERROR(MIN(VLOOKUP(ROUNDDOWN(M397,0),'Aide calcul'!$B$2:$C$282,2,FALSE),L397+1),"")</f>
        <v/>
      </c>
      <c r="O397" s="115" t="str">
        <f t="shared" si="78"/>
        <v/>
      </c>
      <c r="P397" s="173"/>
      <c r="Q397" s="173"/>
      <c r="R397" s="173"/>
      <c r="S397" s="173"/>
      <c r="T397" s="173"/>
      <c r="U397" s="173"/>
      <c r="V397" s="173"/>
      <c r="W397" s="78"/>
      <c r="X397" s="78"/>
      <c r="Y397" s="116" t="str">
        <f>IFERROR(ROUND('Informations générales'!$D$66*(AE397/SUM($AE$27:$AE$403))/12,0)*12,"")</f>
        <v/>
      </c>
      <c r="Z397" s="117"/>
      <c r="AA397" s="116" t="str">
        <f t="shared" si="79"/>
        <v/>
      </c>
      <c r="AB397" s="78"/>
      <c r="AC397" s="92"/>
      <c r="AD397" s="78"/>
      <c r="AE397" s="58">
        <f t="shared" si="80"/>
        <v>0</v>
      </c>
      <c r="AF397" s="58">
        <f t="shared" si="71"/>
        <v>0</v>
      </c>
      <c r="AG397" s="58">
        <f t="shared" si="72"/>
        <v>0</v>
      </c>
      <c r="AH397" s="58">
        <f t="shared" si="73"/>
        <v>0</v>
      </c>
      <c r="AI397" s="58">
        <f t="shared" si="74"/>
        <v>0</v>
      </c>
      <c r="AJ397" s="58">
        <f t="shared" si="75"/>
        <v>0</v>
      </c>
      <c r="AK397" s="58">
        <f t="shared" si="76"/>
        <v>0</v>
      </c>
      <c r="AL397" s="58">
        <f t="shared" si="77"/>
        <v>0</v>
      </c>
      <c r="AM397" s="58">
        <f t="shared" si="81"/>
        <v>0</v>
      </c>
      <c r="AN397" s="62">
        <f t="shared" si="82"/>
        <v>0</v>
      </c>
      <c r="AO397" s="61">
        <f t="shared" si="83"/>
        <v>0</v>
      </c>
      <c r="AP397" s="61">
        <f t="shared" si="84"/>
        <v>0</v>
      </c>
    </row>
    <row r="398" spans="3:42" s="17" customFormat="1" x14ac:dyDescent="0.25">
      <c r="C398" s="216" t="s">
        <v>229</v>
      </c>
      <c r="D398" s="217"/>
      <c r="E398" s="90"/>
      <c r="F398" s="198"/>
      <c r="G398" s="214"/>
      <c r="H398" s="199"/>
      <c r="I398" s="78"/>
      <c r="J398" s="79"/>
      <c r="K398" s="78"/>
      <c r="L398" s="113"/>
      <c r="M398" s="155"/>
      <c r="N398" s="114" t="str">
        <f>IFERROR(MIN(VLOOKUP(ROUNDDOWN(M398,0),'Aide calcul'!$B$2:$C$282,2,FALSE),L398+1),"")</f>
        <v/>
      </c>
      <c r="O398" s="115" t="str">
        <f t="shared" si="78"/>
        <v/>
      </c>
      <c r="P398" s="173"/>
      <c r="Q398" s="173"/>
      <c r="R398" s="173"/>
      <c r="S398" s="173"/>
      <c r="T398" s="173"/>
      <c r="U398" s="173"/>
      <c r="V398" s="173"/>
      <c r="W398" s="78"/>
      <c r="X398" s="78"/>
      <c r="Y398" s="116" t="str">
        <f>IFERROR(ROUND('Informations générales'!$D$66*(AE398/SUM($AE$27:$AE$403))/12,0)*12,"")</f>
        <v/>
      </c>
      <c r="Z398" s="117"/>
      <c r="AA398" s="116" t="str">
        <f t="shared" si="79"/>
        <v/>
      </c>
      <c r="AB398" s="78"/>
      <c r="AC398" s="92"/>
      <c r="AD398" s="78"/>
      <c r="AE398" s="58">
        <f t="shared" si="80"/>
        <v>0</v>
      </c>
      <c r="AF398" s="58">
        <f t="shared" si="71"/>
        <v>0</v>
      </c>
      <c r="AG398" s="58">
        <f t="shared" si="72"/>
        <v>0</v>
      </c>
      <c r="AH398" s="58">
        <f t="shared" si="73"/>
        <v>0</v>
      </c>
      <c r="AI398" s="58">
        <f t="shared" si="74"/>
        <v>0</v>
      </c>
      <c r="AJ398" s="58">
        <f t="shared" si="75"/>
        <v>0</v>
      </c>
      <c r="AK398" s="58">
        <f t="shared" si="76"/>
        <v>0</v>
      </c>
      <c r="AL398" s="58">
        <f t="shared" si="77"/>
        <v>0</v>
      </c>
      <c r="AM398" s="58">
        <f t="shared" si="81"/>
        <v>0</v>
      </c>
      <c r="AN398" s="62">
        <f t="shared" si="82"/>
        <v>0</v>
      </c>
      <c r="AO398" s="61">
        <f t="shared" si="83"/>
        <v>0</v>
      </c>
      <c r="AP398" s="61">
        <f t="shared" si="84"/>
        <v>0</v>
      </c>
    </row>
    <row r="399" spans="3:42" s="17" customFormat="1" x14ac:dyDescent="0.25">
      <c r="C399" s="216" t="s">
        <v>229</v>
      </c>
      <c r="D399" s="217"/>
      <c r="E399" s="90"/>
      <c r="F399" s="198"/>
      <c r="G399" s="214"/>
      <c r="H399" s="199"/>
      <c r="I399" s="78"/>
      <c r="J399" s="79"/>
      <c r="K399" s="78"/>
      <c r="L399" s="113"/>
      <c r="M399" s="155"/>
      <c r="N399" s="114" t="str">
        <f>IFERROR(MIN(VLOOKUP(ROUNDDOWN(M399,0),'Aide calcul'!$B$2:$C$282,2,FALSE),L399+1),"")</f>
        <v/>
      </c>
      <c r="O399" s="115" t="str">
        <f t="shared" si="78"/>
        <v/>
      </c>
      <c r="P399" s="173"/>
      <c r="Q399" s="173"/>
      <c r="R399" s="173"/>
      <c r="S399" s="173"/>
      <c r="T399" s="173"/>
      <c r="U399" s="173"/>
      <c r="V399" s="173"/>
      <c r="W399" s="78"/>
      <c r="X399" s="78"/>
      <c r="Y399" s="116" t="str">
        <f>IFERROR(ROUND('Informations générales'!$D$66*(AE399/SUM($AE$27:$AE$403))/12,0)*12,"")</f>
        <v/>
      </c>
      <c r="Z399" s="117"/>
      <c r="AA399" s="116" t="str">
        <f t="shared" si="79"/>
        <v/>
      </c>
      <c r="AB399" s="78"/>
      <c r="AC399" s="92"/>
      <c r="AD399" s="78"/>
      <c r="AE399" s="58">
        <f t="shared" si="80"/>
        <v>0</v>
      </c>
      <c r="AF399" s="58">
        <f t="shared" si="71"/>
        <v>0</v>
      </c>
      <c r="AG399" s="58">
        <f t="shared" si="72"/>
        <v>0</v>
      </c>
      <c r="AH399" s="58">
        <f t="shared" si="73"/>
        <v>0</v>
      </c>
      <c r="AI399" s="58">
        <f t="shared" si="74"/>
        <v>0</v>
      </c>
      <c r="AJ399" s="58">
        <f t="shared" si="75"/>
        <v>0</v>
      </c>
      <c r="AK399" s="58">
        <f t="shared" si="76"/>
        <v>0</v>
      </c>
      <c r="AL399" s="58">
        <f t="shared" si="77"/>
        <v>0</v>
      </c>
      <c r="AM399" s="58">
        <f t="shared" si="81"/>
        <v>0</v>
      </c>
      <c r="AN399" s="62">
        <f t="shared" si="82"/>
        <v>0</v>
      </c>
      <c r="AO399" s="61">
        <f t="shared" si="83"/>
        <v>0</v>
      </c>
      <c r="AP399" s="61">
        <f t="shared" si="84"/>
        <v>0</v>
      </c>
    </row>
    <row r="400" spans="3:42" s="17" customFormat="1" x14ac:dyDescent="0.25">
      <c r="C400" s="216" t="s">
        <v>229</v>
      </c>
      <c r="D400" s="217"/>
      <c r="E400" s="90"/>
      <c r="F400" s="198"/>
      <c r="G400" s="214"/>
      <c r="H400" s="199"/>
      <c r="I400" s="78"/>
      <c r="J400" s="79"/>
      <c r="K400" s="78"/>
      <c r="L400" s="113"/>
      <c r="M400" s="155"/>
      <c r="N400" s="114" t="str">
        <f>IFERROR(MIN(VLOOKUP(ROUNDDOWN(M400,0),'Aide calcul'!$B$2:$C$282,2,FALSE),L400+1),"")</f>
        <v/>
      </c>
      <c r="O400" s="115" t="str">
        <f t="shared" si="78"/>
        <v/>
      </c>
      <c r="P400" s="173"/>
      <c r="Q400" s="173"/>
      <c r="R400" s="173"/>
      <c r="S400" s="173"/>
      <c r="T400" s="173"/>
      <c r="U400" s="173"/>
      <c r="V400" s="173"/>
      <c r="W400" s="78"/>
      <c r="X400" s="78"/>
      <c r="Y400" s="116" t="str">
        <f>IFERROR(ROUND('Informations générales'!$D$66*(AE400/SUM($AE$27:$AE$403))/12,0)*12,"")</f>
        <v/>
      </c>
      <c r="Z400" s="117"/>
      <c r="AA400" s="116" t="str">
        <f t="shared" si="79"/>
        <v/>
      </c>
      <c r="AB400" s="78"/>
      <c r="AC400" s="92"/>
      <c r="AD400" s="78"/>
      <c r="AE400" s="58">
        <f t="shared" si="80"/>
        <v>0</v>
      </c>
      <c r="AF400" s="58">
        <f t="shared" si="71"/>
        <v>0</v>
      </c>
      <c r="AG400" s="58">
        <f t="shared" si="72"/>
        <v>0</v>
      </c>
      <c r="AH400" s="58">
        <f t="shared" si="73"/>
        <v>0</v>
      </c>
      <c r="AI400" s="58">
        <f t="shared" si="74"/>
        <v>0</v>
      </c>
      <c r="AJ400" s="58">
        <f t="shared" si="75"/>
        <v>0</v>
      </c>
      <c r="AK400" s="58">
        <f t="shared" si="76"/>
        <v>0</v>
      </c>
      <c r="AL400" s="58">
        <f t="shared" si="77"/>
        <v>0</v>
      </c>
      <c r="AM400" s="58">
        <f t="shared" si="81"/>
        <v>0</v>
      </c>
      <c r="AN400" s="62">
        <f t="shared" si="82"/>
        <v>0</v>
      </c>
      <c r="AO400" s="61">
        <f t="shared" si="83"/>
        <v>0</v>
      </c>
      <c r="AP400" s="61">
        <f t="shared" si="84"/>
        <v>0</v>
      </c>
    </row>
    <row r="401" spans="3:42" s="17" customFormat="1" x14ac:dyDescent="0.25">
      <c r="C401" s="216" t="s">
        <v>229</v>
      </c>
      <c r="D401" s="217"/>
      <c r="E401" s="90"/>
      <c r="F401" s="198"/>
      <c r="G401" s="214"/>
      <c r="H401" s="199"/>
      <c r="I401" s="78"/>
      <c r="J401" s="79"/>
      <c r="K401" s="78"/>
      <c r="L401" s="113"/>
      <c r="M401" s="155"/>
      <c r="N401" s="114" t="str">
        <f>IFERROR(MIN(VLOOKUP(ROUNDDOWN(M401,0),'Aide calcul'!$B$2:$C$282,2,FALSE),L401+1),"")</f>
        <v/>
      </c>
      <c r="O401" s="115" t="str">
        <f t="shared" si="78"/>
        <v/>
      </c>
      <c r="P401" s="173"/>
      <c r="Q401" s="173"/>
      <c r="R401" s="173"/>
      <c r="S401" s="173"/>
      <c r="T401" s="173"/>
      <c r="U401" s="173"/>
      <c r="V401" s="173"/>
      <c r="W401" s="78"/>
      <c r="X401" s="78"/>
      <c r="Y401" s="116" t="str">
        <f>IFERROR(ROUND('Informations générales'!$D$66*(AE401/SUM($AE$27:$AE$403))/12,0)*12,"")</f>
        <v/>
      </c>
      <c r="Z401" s="117"/>
      <c r="AA401" s="116" t="str">
        <f t="shared" si="79"/>
        <v/>
      </c>
      <c r="AB401" s="78"/>
      <c r="AC401" s="92"/>
      <c r="AD401" s="78"/>
      <c r="AE401" s="58">
        <f t="shared" si="80"/>
        <v>0</v>
      </c>
      <c r="AF401" s="58">
        <f t="shared" si="71"/>
        <v>0</v>
      </c>
      <c r="AG401" s="58">
        <f t="shared" si="72"/>
        <v>0</v>
      </c>
      <c r="AH401" s="58">
        <f t="shared" si="73"/>
        <v>0</v>
      </c>
      <c r="AI401" s="58">
        <f t="shared" si="74"/>
        <v>0</v>
      </c>
      <c r="AJ401" s="58">
        <f t="shared" si="75"/>
        <v>0</v>
      </c>
      <c r="AK401" s="58">
        <f t="shared" si="76"/>
        <v>0</v>
      </c>
      <c r="AL401" s="58">
        <f t="shared" si="77"/>
        <v>0</v>
      </c>
      <c r="AM401" s="58">
        <f t="shared" si="81"/>
        <v>0</v>
      </c>
      <c r="AN401" s="62">
        <f t="shared" si="82"/>
        <v>0</v>
      </c>
      <c r="AO401" s="61">
        <f t="shared" si="83"/>
        <v>0</v>
      </c>
      <c r="AP401" s="61">
        <f t="shared" si="84"/>
        <v>0</v>
      </c>
    </row>
    <row r="402" spans="3:42" s="17" customFormat="1" x14ac:dyDescent="0.25">
      <c r="C402" s="216" t="s">
        <v>229</v>
      </c>
      <c r="D402" s="217"/>
      <c r="E402" s="90"/>
      <c r="F402" s="198"/>
      <c r="G402" s="214"/>
      <c r="H402" s="199"/>
      <c r="I402" s="78"/>
      <c r="J402" s="79"/>
      <c r="K402" s="78"/>
      <c r="L402" s="113"/>
      <c r="M402" s="155"/>
      <c r="N402" s="114" t="str">
        <f>IFERROR(MIN(VLOOKUP(ROUNDDOWN(M402,0),'Aide calcul'!$B$2:$C$282,2,FALSE),L402+1),"")</f>
        <v/>
      </c>
      <c r="O402" s="115" t="str">
        <f t="shared" si="78"/>
        <v/>
      </c>
      <c r="P402" s="173"/>
      <c r="Q402" s="173"/>
      <c r="R402" s="173"/>
      <c r="S402" s="173"/>
      <c r="T402" s="173"/>
      <c r="U402" s="173"/>
      <c r="V402" s="173"/>
      <c r="W402" s="78"/>
      <c r="X402" s="78"/>
      <c r="Y402" s="116" t="str">
        <f>IFERROR(ROUND('Informations générales'!$D$66*(AE402/SUM($AE$27:$AE$403))/12,0)*12,"")</f>
        <v/>
      </c>
      <c r="Z402" s="117"/>
      <c r="AA402" s="116" t="str">
        <f t="shared" si="79"/>
        <v/>
      </c>
      <c r="AB402" s="78"/>
      <c r="AC402" s="92"/>
      <c r="AD402" s="78"/>
      <c r="AE402" s="58">
        <f t="shared" si="80"/>
        <v>0</v>
      </c>
      <c r="AF402" s="58">
        <f t="shared" si="71"/>
        <v>0</v>
      </c>
      <c r="AG402" s="58">
        <f t="shared" si="72"/>
        <v>0</v>
      </c>
      <c r="AH402" s="58">
        <f t="shared" si="73"/>
        <v>0</v>
      </c>
      <c r="AI402" s="58">
        <f t="shared" si="74"/>
        <v>0</v>
      </c>
      <c r="AJ402" s="58">
        <f t="shared" si="75"/>
        <v>0</v>
      </c>
      <c r="AK402" s="58">
        <f t="shared" si="76"/>
        <v>0</v>
      </c>
      <c r="AL402" s="58">
        <f t="shared" si="77"/>
        <v>0</v>
      </c>
      <c r="AM402" s="58">
        <f t="shared" si="81"/>
        <v>0</v>
      </c>
      <c r="AN402" s="62">
        <f t="shared" si="82"/>
        <v>0</v>
      </c>
      <c r="AO402" s="61">
        <f t="shared" si="83"/>
        <v>0</v>
      </c>
      <c r="AP402" s="61">
        <f t="shared" si="84"/>
        <v>0</v>
      </c>
    </row>
    <row r="403" spans="3:42" s="17" customFormat="1" x14ac:dyDescent="0.25">
      <c r="C403" s="216" t="s">
        <v>229</v>
      </c>
      <c r="D403" s="217"/>
      <c r="E403" s="90"/>
      <c r="F403" s="198"/>
      <c r="G403" s="214"/>
      <c r="H403" s="199"/>
      <c r="I403" s="78"/>
      <c r="J403" s="79"/>
      <c r="K403" s="78"/>
      <c r="L403" s="113"/>
      <c r="M403" s="155"/>
      <c r="N403" s="114" t="str">
        <f>IFERROR(MIN(VLOOKUP(ROUNDDOWN(M403,0),'Aide calcul'!$B$2:$C$282,2,FALSE),L403+1),"")</f>
        <v/>
      </c>
      <c r="O403" s="115" t="str">
        <f t="shared" si="78"/>
        <v/>
      </c>
      <c r="P403" s="173"/>
      <c r="Q403" s="173"/>
      <c r="R403" s="173"/>
      <c r="S403" s="173"/>
      <c r="T403" s="173"/>
      <c r="U403" s="173"/>
      <c r="V403" s="173"/>
      <c r="W403" s="78"/>
      <c r="X403" s="78"/>
      <c r="Y403" s="116" t="str">
        <f>IFERROR(ROUND('Informations générales'!$D$66*(AE403/SUM($AE$27:$AE$403))/12,0)*12,"")</f>
        <v/>
      </c>
      <c r="Z403" s="117"/>
      <c r="AA403" s="116" t="str">
        <f t="shared" si="79"/>
        <v/>
      </c>
      <c r="AB403" s="78"/>
      <c r="AC403" s="92"/>
      <c r="AD403" s="78"/>
      <c r="AE403" s="58">
        <f t="shared" si="80"/>
        <v>0</v>
      </c>
      <c r="AF403" s="58">
        <f t="shared" si="71"/>
        <v>0</v>
      </c>
      <c r="AG403" s="58">
        <f t="shared" si="72"/>
        <v>0</v>
      </c>
      <c r="AH403" s="58">
        <f t="shared" si="73"/>
        <v>0</v>
      </c>
      <c r="AI403" s="58">
        <f t="shared" si="74"/>
        <v>0</v>
      </c>
      <c r="AJ403" s="58">
        <f t="shared" si="75"/>
        <v>0</v>
      </c>
      <c r="AK403" s="58">
        <f t="shared" si="76"/>
        <v>0</v>
      </c>
      <c r="AL403" s="58">
        <f t="shared" si="77"/>
        <v>0</v>
      </c>
      <c r="AM403" s="58">
        <f t="shared" si="81"/>
        <v>0</v>
      </c>
      <c r="AN403" s="62">
        <f t="shared" si="82"/>
        <v>0</v>
      </c>
      <c r="AO403" s="61">
        <f t="shared" si="83"/>
        <v>0</v>
      </c>
      <c r="AP403" s="61">
        <f t="shared" si="84"/>
        <v>0</v>
      </c>
    </row>
    <row r="404" spans="3:42" s="17" customFormat="1" x14ac:dyDescent="0.25">
      <c r="C404" s="216" t="s">
        <v>229</v>
      </c>
      <c r="D404" s="217"/>
      <c r="E404" s="90"/>
      <c r="F404" s="198"/>
      <c r="G404" s="214"/>
      <c r="H404" s="199"/>
      <c r="I404" s="78"/>
      <c r="J404" s="79"/>
      <c r="K404" s="78"/>
      <c r="L404" s="113"/>
      <c r="M404" s="155"/>
      <c r="N404" s="114" t="str">
        <f>IFERROR(MIN(VLOOKUP(ROUNDDOWN(M404,0),'Aide calcul'!$B$2:$C$282,2,FALSE),L404+1),"")</f>
        <v/>
      </c>
      <c r="O404" s="115" t="str">
        <f t="shared" si="78"/>
        <v/>
      </c>
      <c r="P404" s="173"/>
      <c r="Q404" s="173"/>
      <c r="R404" s="173"/>
      <c r="S404" s="173"/>
      <c r="T404" s="173"/>
      <c r="U404" s="173"/>
      <c r="V404" s="173"/>
      <c r="W404" s="78"/>
      <c r="X404" s="78"/>
      <c r="Y404" s="116" t="str">
        <f>IFERROR(ROUND('Informations générales'!$D$66*(AE404/SUM($AE$27:$AE$403))/12,0)*12,"")</f>
        <v/>
      </c>
      <c r="Z404" s="117"/>
      <c r="AA404" s="116" t="str">
        <f t="shared" si="79"/>
        <v/>
      </c>
      <c r="AB404" s="78"/>
      <c r="AC404" s="92"/>
      <c r="AD404" s="78"/>
      <c r="AE404" s="58">
        <f t="shared" si="80"/>
        <v>0</v>
      </c>
      <c r="AF404" s="58">
        <f t="shared" si="71"/>
        <v>0</v>
      </c>
      <c r="AG404" s="58">
        <f t="shared" si="72"/>
        <v>0</v>
      </c>
      <c r="AH404" s="58">
        <f t="shared" si="73"/>
        <v>0</v>
      </c>
      <c r="AI404" s="58">
        <f t="shared" si="74"/>
        <v>0</v>
      </c>
      <c r="AJ404" s="58">
        <f t="shared" si="75"/>
        <v>0</v>
      </c>
      <c r="AK404" s="58">
        <f t="shared" si="76"/>
        <v>0</v>
      </c>
      <c r="AL404" s="58">
        <f t="shared" si="77"/>
        <v>0</v>
      </c>
      <c r="AM404" s="58">
        <f t="shared" si="81"/>
        <v>0</v>
      </c>
      <c r="AN404" s="62">
        <f t="shared" si="82"/>
        <v>0</v>
      </c>
      <c r="AO404" s="61">
        <f t="shared" si="83"/>
        <v>0</v>
      </c>
      <c r="AP404" s="61">
        <f t="shared" si="84"/>
        <v>0</v>
      </c>
    </row>
    <row r="405" spans="3:42" s="17" customFormat="1" x14ac:dyDescent="0.25">
      <c r="C405" s="216" t="s">
        <v>229</v>
      </c>
      <c r="D405" s="217"/>
      <c r="E405" s="90"/>
      <c r="F405" s="198"/>
      <c r="G405" s="214"/>
      <c r="H405" s="199"/>
      <c r="I405" s="78"/>
      <c r="J405" s="79"/>
      <c r="K405" s="78"/>
      <c r="L405" s="113"/>
      <c r="M405" s="155"/>
      <c r="N405" s="114" t="str">
        <f>IFERROR(MIN(VLOOKUP(ROUNDDOWN(M405,0),'Aide calcul'!$B$2:$C$282,2,FALSE),L405+1),"")</f>
        <v/>
      </c>
      <c r="O405" s="115" t="str">
        <f t="shared" si="78"/>
        <v/>
      </c>
      <c r="P405" s="173"/>
      <c r="Q405" s="173"/>
      <c r="R405" s="173"/>
      <c r="S405" s="173"/>
      <c r="T405" s="173"/>
      <c r="U405" s="173"/>
      <c r="V405" s="173"/>
      <c r="W405" s="78"/>
      <c r="X405" s="78"/>
      <c r="Y405" s="116" t="str">
        <f>IFERROR(ROUND('Informations générales'!$D$66*(AE405/SUM($AE$27:$AE$403))/12,0)*12,"")</f>
        <v/>
      </c>
      <c r="Z405" s="117"/>
      <c r="AA405" s="116" t="str">
        <f t="shared" si="79"/>
        <v/>
      </c>
      <c r="AB405" s="78"/>
      <c r="AC405" s="92"/>
      <c r="AD405" s="78"/>
      <c r="AE405" s="58">
        <f t="shared" si="80"/>
        <v>0</v>
      </c>
      <c r="AF405" s="58">
        <f t="shared" si="71"/>
        <v>0</v>
      </c>
      <c r="AG405" s="58">
        <f t="shared" si="72"/>
        <v>0</v>
      </c>
      <c r="AH405" s="58">
        <f t="shared" si="73"/>
        <v>0</v>
      </c>
      <c r="AI405" s="58">
        <f t="shared" si="74"/>
        <v>0</v>
      </c>
      <c r="AJ405" s="58">
        <f t="shared" si="75"/>
        <v>0</v>
      </c>
      <c r="AK405" s="58">
        <f t="shared" si="76"/>
        <v>0</v>
      </c>
      <c r="AL405" s="58">
        <f t="shared" si="77"/>
        <v>0</v>
      </c>
      <c r="AM405" s="58">
        <f t="shared" si="81"/>
        <v>0</v>
      </c>
      <c r="AN405" s="62">
        <f t="shared" si="82"/>
        <v>0</v>
      </c>
      <c r="AO405" s="61">
        <f t="shared" si="83"/>
        <v>0</v>
      </c>
      <c r="AP405" s="61">
        <f t="shared" si="84"/>
        <v>0</v>
      </c>
    </row>
    <row r="406" spans="3:42" s="17" customFormat="1" x14ac:dyDescent="0.25">
      <c r="C406" s="216" t="s">
        <v>229</v>
      </c>
      <c r="D406" s="217"/>
      <c r="E406" s="90"/>
      <c r="F406" s="198"/>
      <c r="G406" s="214"/>
      <c r="H406" s="199"/>
      <c r="I406" s="78"/>
      <c r="J406" s="79"/>
      <c r="K406" s="78"/>
      <c r="L406" s="113"/>
      <c r="M406" s="155"/>
      <c r="N406" s="114" t="str">
        <f>IFERROR(MIN(VLOOKUP(ROUNDDOWN(M406,0),'Aide calcul'!$B$2:$C$282,2,FALSE),L406+1),"")</f>
        <v/>
      </c>
      <c r="O406" s="115" t="str">
        <f t="shared" si="78"/>
        <v/>
      </c>
      <c r="P406" s="173"/>
      <c r="Q406" s="173"/>
      <c r="R406" s="173"/>
      <c r="S406" s="173"/>
      <c r="T406" s="173"/>
      <c r="U406" s="173"/>
      <c r="V406" s="173"/>
      <c r="W406" s="78"/>
      <c r="X406" s="78"/>
      <c r="Y406" s="116" t="str">
        <f>IFERROR(ROUND('Informations générales'!$D$66*(AE406/SUM($AE$27:$AE$403))/12,0)*12,"")</f>
        <v/>
      </c>
      <c r="Z406" s="117"/>
      <c r="AA406" s="116" t="str">
        <f t="shared" si="79"/>
        <v/>
      </c>
      <c r="AB406" s="78"/>
      <c r="AC406" s="92"/>
      <c r="AD406" s="78"/>
      <c r="AE406" s="58">
        <f t="shared" si="80"/>
        <v>0</v>
      </c>
      <c r="AF406" s="58">
        <f t="shared" si="71"/>
        <v>0</v>
      </c>
      <c r="AG406" s="58">
        <f t="shared" si="72"/>
        <v>0</v>
      </c>
      <c r="AH406" s="58">
        <f t="shared" si="73"/>
        <v>0</v>
      </c>
      <c r="AI406" s="58">
        <f t="shared" si="74"/>
        <v>0</v>
      </c>
      <c r="AJ406" s="58">
        <f t="shared" si="75"/>
        <v>0</v>
      </c>
      <c r="AK406" s="58">
        <f t="shared" si="76"/>
        <v>0</v>
      </c>
      <c r="AL406" s="58">
        <f t="shared" si="77"/>
        <v>0</v>
      </c>
      <c r="AM406" s="58">
        <f t="shared" si="81"/>
        <v>0</v>
      </c>
      <c r="AN406" s="62">
        <f t="shared" si="82"/>
        <v>0</v>
      </c>
      <c r="AO406" s="61">
        <f t="shared" si="83"/>
        <v>0</v>
      </c>
      <c r="AP406" s="61">
        <f t="shared" si="84"/>
        <v>0</v>
      </c>
    </row>
    <row r="407" spans="3:42" s="17" customFormat="1" x14ac:dyDescent="0.25">
      <c r="C407" s="216" t="s">
        <v>229</v>
      </c>
      <c r="D407" s="217"/>
      <c r="E407" s="90"/>
      <c r="F407" s="198"/>
      <c r="G407" s="214"/>
      <c r="H407" s="199"/>
      <c r="I407" s="78"/>
      <c r="J407" s="79"/>
      <c r="K407" s="78"/>
      <c r="L407" s="113"/>
      <c r="M407" s="155"/>
      <c r="N407" s="114" t="str">
        <f>IFERROR(MIN(VLOOKUP(ROUNDDOWN(M407,0),'Aide calcul'!$B$2:$C$282,2,FALSE),L407+1),"")</f>
        <v/>
      </c>
      <c r="O407" s="115" t="str">
        <f t="shared" si="78"/>
        <v/>
      </c>
      <c r="P407" s="173"/>
      <c r="Q407" s="173"/>
      <c r="R407" s="173"/>
      <c r="S407" s="173"/>
      <c r="T407" s="173"/>
      <c r="U407" s="173"/>
      <c r="V407" s="173"/>
      <c r="W407" s="78"/>
      <c r="X407" s="78"/>
      <c r="Y407" s="116" t="str">
        <f>IFERROR(ROUND('Informations générales'!$D$66*(AE407/SUM($AE$27:$AE$403))/12,0)*12,"")</f>
        <v/>
      </c>
      <c r="Z407" s="117"/>
      <c r="AA407" s="116" t="str">
        <f t="shared" si="79"/>
        <v/>
      </c>
      <c r="AB407" s="78"/>
      <c r="AC407" s="92"/>
      <c r="AD407" s="78"/>
      <c r="AE407" s="58">
        <f t="shared" si="80"/>
        <v>0</v>
      </c>
      <c r="AF407" s="58">
        <f t="shared" si="71"/>
        <v>0</v>
      </c>
      <c r="AG407" s="58">
        <f t="shared" si="72"/>
        <v>0</v>
      </c>
      <c r="AH407" s="58">
        <f t="shared" si="73"/>
        <v>0</v>
      </c>
      <c r="AI407" s="58">
        <f t="shared" si="74"/>
        <v>0</v>
      </c>
      <c r="AJ407" s="58">
        <f t="shared" si="75"/>
        <v>0</v>
      </c>
      <c r="AK407" s="58">
        <f t="shared" si="76"/>
        <v>0</v>
      </c>
      <c r="AL407" s="58">
        <f t="shared" si="77"/>
        <v>0</v>
      </c>
      <c r="AM407" s="58">
        <f t="shared" si="81"/>
        <v>0</v>
      </c>
      <c r="AN407" s="62">
        <f t="shared" si="82"/>
        <v>0</v>
      </c>
      <c r="AO407" s="61">
        <f t="shared" si="83"/>
        <v>0</v>
      </c>
      <c r="AP407" s="61">
        <f t="shared" si="84"/>
        <v>0</v>
      </c>
    </row>
    <row r="408" spans="3:42" s="17" customFormat="1" x14ac:dyDescent="0.25">
      <c r="C408" s="216" t="s">
        <v>229</v>
      </c>
      <c r="D408" s="217"/>
      <c r="E408" s="90"/>
      <c r="F408" s="198"/>
      <c r="G408" s="214"/>
      <c r="H408" s="199"/>
      <c r="I408" s="78"/>
      <c r="J408" s="79"/>
      <c r="K408" s="78"/>
      <c r="L408" s="113"/>
      <c r="M408" s="155"/>
      <c r="N408" s="114" t="str">
        <f>IFERROR(MIN(VLOOKUP(ROUNDDOWN(M408,0),'Aide calcul'!$B$2:$C$282,2,FALSE),L408+1),"")</f>
        <v/>
      </c>
      <c r="O408" s="115" t="str">
        <f t="shared" si="78"/>
        <v/>
      </c>
      <c r="P408" s="173"/>
      <c r="Q408" s="173"/>
      <c r="R408" s="173"/>
      <c r="S408" s="173"/>
      <c r="T408" s="173"/>
      <c r="U408" s="173"/>
      <c r="V408" s="173"/>
      <c r="W408" s="78"/>
      <c r="X408" s="78"/>
      <c r="Y408" s="116" t="str">
        <f>IFERROR(ROUND('Informations générales'!$D$66*(AE408/SUM($AE$27:$AE$403))/12,0)*12,"")</f>
        <v/>
      </c>
      <c r="Z408" s="117"/>
      <c r="AA408" s="116" t="str">
        <f t="shared" si="79"/>
        <v/>
      </c>
      <c r="AB408" s="78"/>
      <c r="AC408" s="92"/>
      <c r="AD408" s="78"/>
      <c r="AE408" s="58">
        <f t="shared" si="80"/>
        <v>0</v>
      </c>
      <c r="AF408" s="58">
        <f t="shared" si="71"/>
        <v>0</v>
      </c>
      <c r="AG408" s="58">
        <f t="shared" si="72"/>
        <v>0</v>
      </c>
      <c r="AH408" s="58">
        <f t="shared" si="73"/>
        <v>0</v>
      </c>
      <c r="AI408" s="58">
        <f t="shared" si="74"/>
        <v>0</v>
      </c>
      <c r="AJ408" s="58">
        <f t="shared" si="75"/>
        <v>0</v>
      </c>
      <c r="AK408" s="58">
        <f t="shared" si="76"/>
        <v>0</v>
      </c>
      <c r="AL408" s="58">
        <f t="shared" si="77"/>
        <v>0</v>
      </c>
      <c r="AM408" s="58">
        <f t="shared" si="81"/>
        <v>0</v>
      </c>
      <c r="AN408" s="62">
        <f t="shared" si="82"/>
        <v>0</v>
      </c>
      <c r="AO408" s="61">
        <f t="shared" si="83"/>
        <v>0</v>
      </c>
      <c r="AP408" s="61">
        <f t="shared" si="84"/>
        <v>0</v>
      </c>
    </row>
    <row r="409" spans="3:42" s="17" customFormat="1" x14ac:dyDescent="0.25">
      <c r="C409" s="216" t="s">
        <v>229</v>
      </c>
      <c r="D409" s="217"/>
      <c r="E409" s="90"/>
      <c r="F409" s="198"/>
      <c r="G409" s="214"/>
      <c r="H409" s="199"/>
      <c r="I409" s="78"/>
      <c r="J409" s="79"/>
      <c r="K409" s="78"/>
      <c r="L409" s="113"/>
      <c r="M409" s="155"/>
      <c r="N409" s="114" t="str">
        <f>IFERROR(MIN(VLOOKUP(ROUNDDOWN(M409,0),'Aide calcul'!$B$2:$C$282,2,FALSE),L409+1),"")</f>
        <v/>
      </c>
      <c r="O409" s="115" t="str">
        <f t="shared" si="78"/>
        <v/>
      </c>
      <c r="P409" s="173"/>
      <c r="Q409" s="173"/>
      <c r="R409" s="173"/>
      <c r="S409" s="173"/>
      <c r="T409" s="173"/>
      <c r="U409" s="173"/>
      <c r="V409" s="173"/>
      <c r="W409" s="78"/>
      <c r="X409" s="78"/>
      <c r="Y409" s="116" t="str">
        <f>IFERROR(ROUND('Informations générales'!$D$66*(AE409/SUM($AE$27:$AE$403))/12,0)*12,"")</f>
        <v/>
      </c>
      <c r="Z409" s="117"/>
      <c r="AA409" s="116" t="str">
        <f t="shared" si="79"/>
        <v/>
      </c>
      <c r="AB409" s="78"/>
      <c r="AC409" s="92"/>
      <c r="AD409" s="78"/>
      <c r="AE409" s="58">
        <f t="shared" si="80"/>
        <v>0</v>
      </c>
      <c r="AF409" s="58">
        <f t="shared" si="71"/>
        <v>0</v>
      </c>
      <c r="AG409" s="58">
        <f t="shared" si="72"/>
        <v>0</v>
      </c>
      <c r="AH409" s="58">
        <f t="shared" si="73"/>
        <v>0</v>
      </c>
      <c r="AI409" s="58">
        <f t="shared" si="74"/>
        <v>0</v>
      </c>
      <c r="AJ409" s="58">
        <f t="shared" si="75"/>
        <v>0</v>
      </c>
      <c r="AK409" s="58">
        <f t="shared" si="76"/>
        <v>0</v>
      </c>
      <c r="AL409" s="58">
        <f t="shared" si="77"/>
        <v>0</v>
      </c>
      <c r="AM409" s="58">
        <f t="shared" si="81"/>
        <v>0</v>
      </c>
      <c r="AN409" s="62">
        <f t="shared" si="82"/>
        <v>0</v>
      </c>
      <c r="AO409" s="61">
        <f t="shared" si="83"/>
        <v>0</v>
      </c>
      <c r="AP409" s="61">
        <f t="shared" si="84"/>
        <v>0</v>
      </c>
    </row>
    <row r="410" spans="3:42" s="17" customFormat="1" x14ac:dyDescent="0.25">
      <c r="C410" s="216" t="s">
        <v>229</v>
      </c>
      <c r="D410" s="217"/>
      <c r="E410" s="90"/>
      <c r="F410" s="198"/>
      <c r="G410" s="214"/>
      <c r="H410" s="199"/>
      <c r="I410" s="78"/>
      <c r="J410" s="79"/>
      <c r="K410" s="78"/>
      <c r="L410" s="113"/>
      <c r="M410" s="155"/>
      <c r="N410" s="114" t="str">
        <f>IFERROR(MIN(VLOOKUP(ROUNDDOWN(M410,0),'Aide calcul'!$B$2:$C$282,2,FALSE),L410+1),"")</f>
        <v/>
      </c>
      <c r="O410" s="115" t="str">
        <f t="shared" si="78"/>
        <v/>
      </c>
      <c r="P410" s="173"/>
      <c r="Q410" s="173"/>
      <c r="R410" s="173"/>
      <c r="S410" s="173"/>
      <c r="T410" s="173"/>
      <c r="U410" s="173"/>
      <c r="V410" s="173"/>
      <c r="W410" s="78"/>
      <c r="X410" s="78"/>
      <c r="Y410" s="116" t="str">
        <f>IFERROR(ROUND('Informations générales'!$D$66*(AE410/SUM($AE$27:$AE$403))/12,0)*12,"")</f>
        <v/>
      </c>
      <c r="Z410" s="117"/>
      <c r="AA410" s="116" t="str">
        <f t="shared" si="79"/>
        <v/>
      </c>
      <c r="AB410" s="78"/>
      <c r="AC410" s="92"/>
      <c r="AD410" s="78"/>
      <c r="AE410" s="58">
        <f t="shared" si="80"/>
        <v>0</v>
      </c>
      <c r="AF410" s="58">
        <f t="shared" si="71"/>
        <v>0</v>
      </c>
      <c r="AG410" s="58">
        <f t="shared" si="72"/>
        <v>0</v>
      </c>
      <c r="AH410" s="58">
        <f t="shared" si="73"/>
        <v>0</v>
      </c>
      <c r="AI410" s="58">
        <f t="shared" si="74"/>
        <v>0</v>
      </c>
      <c r="AJ410" s="58">
        <f t="shared" si="75"/>
        <v>0</v>
      </c>
      <c r="AK410" s="58">
        <f t="shared" si="76"/>
        <v>0</v>
      </c>
      <c r="AL410" s="58">
        <f t="shared" si="77"/>
        <v>0</v>
      </c>
      <c r="AM410" s="58">
        <f t="shared" si="81"/>
        <v>0</v>
      </c>
      <c r="AN410" s="62">
        <f t="shared" si="82"/>
        <v>0</v>
      </c>
      <c r="AO410" s="61">
        <f t="shared" si="83"/>
        <v>0</v>
      </c>
      <c r="AP410" s="61">
        <f t="shared" si="84"/>
        <v>0</v>
      </c>
    </row>
    <row r="411" spans="3:42" s="17" customFormat="1" x14ac:dyDescent="0.25">
      <c r="C411" s="216" t="s">
        <v>229</v>
      </c>
      <c r="D411" s="217"/>
      <c r="E411" s="90"/>
      <c r="F411" s="198"/>
      <c r="G411" s="214"/>
      <c r="H411" s="199"/>
      <c r="I411" s="78"/>
      <c r="J411" s="79"/>
      <c r="K411" s="78"/>
      <c r="L411" s="113"/>
      <c r="M411" s="155"/>
      <c r="N411" s="114" t="str">
        <f>IFERROR(MIN(VLOOKUP(ROUNDDOWN(M411,0),'Aide calcul'!$B$2:$C$282,2,FALSE),L411+1),"")</f>
        <v/>
      </c>
      <c r="O411" s="115" t="str">
        <f t="shared" si="78"/>
        <v/>
      </c>
      <c r="P411" s="173"/>
      <c r="Q411" s="173"/>
      <c r="R411" s="173"/>
      <c r="S411" s="173"/>
      <c r="T411" s="173"/>
      <c r="U411" s="173"/>
      <c r="V411" s="173"/>
      <c r="W411" s="78"/>
      <c r="X411" s="78"/>
      <c r="Y411" s="116" t="str">
        <f>IFERROR(ROUND('Informations générales'!$D$66*(AE411/SUM($AE$27:$AE$403))/12,0)*12,"")</f>
        <v/>
      </c>
      <c r="Z411" s="117"/>
      <c r="AA411" s="116" t="str">
        <f t="shared" si="79"/>
        <v/>
      </c>
      <c r="AB411" s="78"/>
      <c r="AC411" s="92"/>
      <c r="AD411" s="78"/>
      <c r="AE411" s="58">
        <f t="shared" si="80"/>
        <v>0</v>
      </c>
      <c r="AF411" s="58">
        <f t="shared" ref="AF411:AF474" si="85">P411*$E$13</f>
        <v>0</v>
      </c>
      <c r="AG411" s="58">
        <f t="shared" ref="AG411:AG474" si="86">Q411*$E$14</f>
        <v>0</v>
      </c>
      <c r="AH411" s="58">
        <f t="shared" ref="AH411:AH474" si="87">R411*$E$15</f>
        <v>0</v>
      </c>
      <c r="AI411" s="58">
        <f t="shared" ref="AI411:AI474" si="88">S411*$E$16</f>
        <v>0</v>
      </c>
      <c r="AJ411" s="58">
        <f t="shared" ref="AJ411:AJ474" si="89">T411*$E$17</f>
        <v>0</v>
      </c>
      <c r="AK411" s="58">
        <f t="shared" ref="AK411:AK474" si="90">U411*$E$18</f>
        <v>0</v>
      </c>
      <c r="AL411" s="58">
        <f t="shared" ref="AL411:AL474" si="91">V411*$E$19</f>
        <v>0</v>
      </c>
      <c r="AM411" s="58">
        <f t="shared" si="81"/>
        <v>0</v>
      </c>
      <c r="AN411" s="62">
        <f t="shared" si="82"/>
        <v>0</v>
      </c>
      <c r="AO411" s="61">
        <f t="shared" si="83"/>
        <v>0</v>
      </c>
      <c r="AP411" s="61">
        <f t="shared" si="84"/>
        <v>0</v>
      </c>
    </row>
    <row r="412" spans="3:42" s="17" customFormat="1" x14ac:dyDescent="0.25">
      <c r="C412" s="216" t="s">
        <v>229</v>
      </c>
      <c r="D412" s="217"/>
      <c r="E412" s="90"/>
      <c r="F412" s="198"/>
      <c r="G412" s="214"/>
      <c r="H412" s="199"/>
      <c r="I412" s="78"/>
      <c r="J412" s="79"/>
      <c r="K412" s="78"/>
      <c r="L412" s="113"/>
      <c r="M412" s="155"/>
      <c r="N412" s="114" t="str">
        <f>IFERROR(MIN(VLOOKUP(ROUNDDOWN(M412,0),'Aide calcul'!$B$2:$C$282,2,FALSE),L412+1),"")</f>
        <v/>
      </c>
      <c r="O412" s="115" t="str">
        <f t="shared" ref="O412:O475" si="92">IFERROR(TRUNC(N412-0.5),"")</f>
        <v/>
      </c>
      <c r="P412" s="173"/>
      <c r="Q412" s="173"/>
      <c r="R412" s="173"/>
      <c r="S412" s="173"/>
      <c r="T412" s="173"/>
      <c r="U412" s="173"/>
      <c r="V412" s="173"/>
      <c r="W412" s="78"/>
      <c r="X412" s="78"/>
      <c r="Y412" s="116" t="str">
        <f>IFERROR(ROUND('Informations générales'!$D$66*(AE412/SUM($AE$27:$AE$403))/12,0)*12,"")</f>
        <v/>
      </c>
      <c r="Z412" s="117"/>
      <c r="AA412" s="116" t="str">
        <f t="shared" ref="AA412:AA475" si="93">IFERROR(Y412/AM412,"")</f>
        <v/>
      </c>
      <c r="AB412" s="78"/>
      <c r="AC412" s="92"/>
      <c r="AD412" s="78"/>
      <c r="AE412" s="58">
        <f t="shared" ref="AE412:AE475" si="94">AM412*(SUM(1,AN412,AO412,AP412))</f>
        <v>0</v>
      </c>
      <c r="AF412" s="58">
        <f t="shared" si="85"/>
        <v>0</v>
      </c>
      <c r="AG412" s="58">
        <f t="shared" si="86"/>
        <v>0</v>
      </c>
      <c r="AH412" s="58">
        <f t="shared" si="87"/>
        <v>0</v>
      </c>
      <c r="AI412" s="58">
        <f t="shared" si="88"/>
        <v>0</v>
      </c>
      <c r="AJ412" s="58">
        <f t="shared" si="89"/>
        <v>0</v>
      </c>
      <c r="AK412" s="58">
        <f t="shared" si="90"/>
        <v>0</v>
      </c>
      <c r="AL412" s="58">
        <f t="shared" si="91"/>
        <v>0</v>
      </c>
      <c r="AM412" s="58">
        <f t="shared" ref="AM412:AM475" si="95">SUM(AF412:AL412)</f>
        <v>0</v>
      </c>
      <c r="AN412" s="62">
        <f t="shared" ref="AN412:AN475" si="96">IFERROR(I412*$E$12,0)</f>
        <v>0</v>
      </c>
      <c r="AO412" s="61">
        <f t="shared" ref="AO412:AO476" si="97">IFERROR(VLOOKUP(W412,$H$12:$I$22,2,FALSE),0)</f>
        <v>0</v>
      </c>
      <c r="AP412" s="61">
        <f t="shared" ref="AP412:AP476" si="98">IFERROR(VLOOKUP(X412,$L$12:$N$19,3,FALSE),0)</f>
        <v>0</v>
      </c>
    </row>
    <row r="413" spans="3:42" s="17" customFormat="1" x14ac:dyDescent="0.25">
      <c r="C413" s="216" t="s">
        <v>229</v>
      </c>
      <c r="D413" s="217"/>
      <c r="E413" s="90"/>
      <c r="F413" s="198"/>
      <c r="G413" s="214"/>
      <c r="H413" s="199"/>
      <c r="I413" s="78"/>
      <c r="J413" s="79"/>
      <c r="K413" s="78"/>
      <c r="L413" s="113"/>
      <c r="M413" s="155"/>
      <c r="N413" s="114" t="str">
        <f>IFERROR(MIN(VLOOKUP(ROUNDDOWN(M413,0),'Aide calcul'!$B$2:$C$282,2,FALSE),L413+1),"")</f>
        <v/>
      </c>
      <c r="O413" s="115" t="str">
        <f t="shared" si="92"/>
        <v/>
      </c>
      <c r="P413" s="173"/>
      <c r="Q413" s="173"/>
      <c r="R413" s="173"/>
      <c r="S413" s="173"/>
      <c r="T413" s="173"/>
      <c r="U413" s="173"/>
      <c r="V413" s="173"/>
      <c r="W413" s="78"/>
      <c r="X413" s="78"/>
      <c r="Y413" s="116" t="str">
        <f>IFERROR(ROUND('Informations générales'!$D$66*(AE413/SUM($AE$27:$AE$403))/12,0)*12,"")</f>
        <v/>
      </c>
      <c r="Z413" s="117"/>
      <c r="AA413" s="116" t="str">
        <f t="shared" si="93"/>
        <v/>
      </c>
      <c r="AB413" s="78"/>
      <c r="AC413" s="92"/>
      <c r="AD413" s="78"/>
      <c r="AE413" s="58">
        <f t="shared" si="94"/>
        <v>0</v>
      </c>
      <c r="AF413" s="58">
        <f t="shared" si="85"/>
        <v>0</v>
      </c>
      <c r="AG413" s="58">
        <f t="shared" si="86"/>
        <v>0</v>
      </c>
      <c r="AH413" s="58">
        <f t="shared" si="87"/>
        <v>0</v>
      </c>
      <c r="AI413" s="58">
        <f t="shared" si="88"/>
        <v>0</v>
      </c>
      <c r="AJ413" s="58">
        <f t="shared" si="89"/>
        <v>0</v>
      </c>
      <c r="AK413" s="58">
        <f t="shared" si="90"/>
        <v>0</v>
      </c>
      <c r="AL413" s="58">
        <f t="shared" si="91"/>
        <v>0</v>
      </c>
      <c r="AM413" s="58">
        <f t="shared" si="95"/>
        <v>0</v>
      </c>
      <c r="AN413" s="62">
        <f t="shared" si="96"/>
        <v>0</v>
      </c>
      <c r="AO413" s="61">
        <f t="shared" si="97"/>
        <v>0</v>
      </c>
      <c r="AP413" s="61">
        <f t="shared" si="98"/>
        <v>0</v>
      </c>
    </row>
    <row r="414" spans="3:42" s="17" customFormat="1" x14ac:dyDescent="0.25">
      <c r="C414" s="216" t="s">
        <v>229</v>
      </c>
      <c r="D414" s="217"/>
      <c r="E414" s="90"/>
      <c r="F414" s="198"/>
      <c r="G414" s="214"/>
      <c r="H414" s="199"/>
      <c r="I414" s="78"/>
      <c r="J414" s="79"/>
      <c r="K414" s="78"/>
      <c r="L414" s="113"/>
      <c r="M414" s="155"/>
      <c r="N414" s="114" t="str">
        <f>IFERROR(MIN(VLOOKUP(ROUNDDOWN(M414,0),'Aide calcul'!$B$2:$C$282,2,FALSE),L414+1),"")</f>
        <v/>
      </c>
      <c r="O414" s="115" t="str">
        <f t="shared" si="92"/>
        <v/>
      </c>
      <c r="P414" s="173"/>
      <c r="Q414" s="173"/>
      <c r="R414" s="173"/>
      <c r="S414" s="173"/>
      <c r="T414" s="173"/>
      <c r="U414" s="173"/>
      <c r="V414" s="173"/>
      <c r="W414" s="78"/>
      <c r="X414" s="78"/>
      <c r="Y414" s="116" t="str">
        <f>IFERROR(ROUND('Informations générales'!$D$66*(AE414/SUM($AE$27:$AE$403))/12,0)*12,"")</f>
        <v/>
      </c>
      <c r="Z414" s="117"/>
      <c r="AA414" s="116" t="str">
        <f t="shared" si="93"/>
        <v/>
      </c>
      <c r="AB414" s="78"/>
      <c r="AC414" s="92"/>
      <c r="AD414" s="78"/>
      <c r="AE414" s="58">
        <f t="shared" si="94"/>
        <v>0</v>
      </c>
      <c r="AF414" s="58">
        <f t="shared" si="85"/>
        <v>0</v>
      </c>
      <c r="AG414" s="58">
        <f t="shared" si="86"/>
        <v>0</v>
      </c>
      <c r="AH414" s="58">
        <f t="shared" si="87"/>
        <v>0</v>
      </c>
      <c r="AI414" s="58">
        <f t="shared" si="88"/>
        <v>0</v>
      </c>
      <c r="AJ414" s="58">
        <f t="shared" si="89"/>
        <v>0</v>
      </c>
      <c r="AK414" s="58">
        <f t="shared" si="90"/>
        <v>0</v>
      </c>
      <c r="AL414" s="58">
        <f t="shared" si="91"/>
        <v>0</v>
      </c>
      <c r="AM414" s="58">
        <f t="shared" si="95"/>
        <v>0</v>
      </c>
      <c r="AN414" s="62">
        <f t="shared" si="96"/>
        <v>0</v>
      </c>
      <c r="AO414" s="61">
        <f t="shared" si="97"/>
        <v>0</v>
      </c>
      <c r="AP414" s="61">
        <f t="shared" si="98"/>
        <v>0</v>
      </c>
    </row>
    <row r="415" spans="3:42" s="17" customFormat="1" x14ac:dyDescent="0.25">
      <c r="C415" s="216" t="s">
        <v>229</v>
      </c>
      <c r="D415" s="217"/>
      <c r="E415" s="90"/>
      <c r="F415" s="198"/>
      <c r="G415" s="214"/>
      <c r="H415" s="199"/>
      <c r="I415" s="78"/>
      <c r="J415" s="79"/>
      <c r="K415" s="78"/>
      <c r="L415" s="113"/>
      <c r="M415" s="155"/>
      <c r="N415" s="114" t="str">
        <f>IFERROR(MIN(VLOOKUP(ROUNDDOWN(M415,0),'Aide calcul'!$B$2:$C$282,2,FALSE),L415+1),"")</f>
        <v/>
      </c>
      <c r="O415" s="115" t="str">
        <f t="shared" si="92"/>
        <v/>
      </c>
      <c r="P415" s="173"/>
      <c r="Q415" s="173"/>
      <c r="R415" s="173"/>
      <c r="S415" s="173"/>
      <c r="T415" s="173"/>
      <c r="U415" s="173"/>
      <c r="V415" s="173"/>
      <c r="W415" s="78"/>
      <c r="X415" s="78"/>
      <c r="Y415" s="116" t="str">
        <f>IFERROR(ROUND('Informations générales'!$D$66*(AE415/SUM($AE$27:$AE$403))/12,0)*12,"")</f>
        <v/>
      </c>
      <c r="Z415" s="117"/>
      <c r="AA415" s="116" t="str">
        <f t="shared" si="93"/>
        <v/>
      </c>
      <c r="AB415" s="78"/>
      <c r="AC415" s="92"/>
      <c r="AD415" s="78"/>
      <c r="AE415" s="58">
        <f t="shared" si="94"/>
        <v>0</v>
      </c>
      <c r="AF415" s="58">
        <f t="shared" si="85"/>
        <v>0</v>
      </c>
      <c r="AG415" s="58">
        <f t="shared" si="86"/>
        <v>0</v>
      </c>
      <c r="AH415" s="58">
        <f t="shared" si="87"/>
        <v>0</v>
      </c>
      <c r="AI415" s="58">
        <f t="shared" si="88"/>
        <v>0</v>
      </c>
      <c r="AJ415" s="58">
        <f t="shared" si="89"/>
        <v>0</v>
      </c>
      <c r="AK415" s="58">
        <f t="shared" si="90"/>
        <v>0</v>
      </c>
      <c r="AL415" s="58">
        <f t="shared" si="91"/>
        <v>0</v>
      </c>
      <c r="AM415" s="58">
        <f t="shared" si="95"/>
        <v>0</v>
      </c>
      <c r="AN415" s="62">
        <f t="shared" si="96"/>
        <v>0</v>
      </c>
      <c r="AO415" s="61">
        <f t="shared" si="97"/>
        <v>0</v>
      </c>
      <c r="AP415" s="61">
        <f t="shared" si="98"/>
        <v>0</v>
      </c>
    </row>
    <row r="416" spans="3:42" s="17" customFormat="1" x14ac:dyDescent="0.25">
      <c r="C416" s="216" t="s">
        <v>229</v>
      </c>
      <c r="D416" s="217"/>
      <c r="E416" s="90"/>
      <c r="F416" s="198"/>
      <c r="G416" s="214"/>
      <c r="H416" s="199"/>
      <c r="I416" s="78"/>
      <c r="J416" s="79"/>
      <c r="K416" s="78"/>
      <c r="L416" s="113"/>
      <c r="M416" s="155"/>
      <c r="N416" s="114" t="str">
        <f>IFERROR(MIN(VLOOKUP(ROUNDDOWN(M416,0),'Aide calcul'!$B$2:$C$282,2,FALSE),L416+1),"")</f>
        <v/>
      </c>
      <c r="O416" s="115" t="str">
        <f t="shared" si="92"/>
        <v/>
      </c>
      <c r="P416" s="173"/>
      <c r="Q416" s="173"/>
      <c r="R416" s="173"/>
      <c r="S416" s="173"/>
      <c r="T416" s="173"/>
      <c r="U416" s="173"/>
      <c r="V416" s="173"/>
      <c r="W416" s="78"/>
      <c r="X416" s="78"/>
      <c r="Y416" s="116" t="str">
        <f>IFERROR(ROUND('Informations générales'!$D$66*(AE416/SUM($AE$27:$AE$403))/12,0)*12,"")</f>
        <v/>
      </c>
      <c r="Z416" s="117"/>
      <c r="AA416" s="116" t="str">
        <f t="shared" si="93"/>
        <v/>
      </c>
      <c r="AB416" s="78"/>
      <c r="AC416" s="92"/>
      <c r="AD416" s="78"/>
      <c r="AE416" s="58">
        <f t="shared" si="94"/>
        <v>0</v>
      </c>
      <c r="AF416" s="58">
        <f t="shared" si="85"/>
        <v>0</v>
      </c>
      <c r="AG416" s="58">
        <f t="shared" si="86"/>
        <v>0</v>
      </c>
      <c r="AH416" s="58">
        <f t="shared" si="87"/>
        <v>0</v>
      </c>
      <c r="AI416" s="58">
        <f t="shared" si="88"/>
        <v>0</v>
      </c>
      <c r="AJ416" s="58">
        <f t="shared" si="89"/>
        <v>0</v>
      </c>
      <c r="AK416" s="58">
        <f t="shared" si="90"/>
        <v>0</v>
      </c>
      <c r="AL416" s="58">
        <f t="shared" si="91"/>
        <v>0</v>
      </c>
      <c r="AM416" s="58">
        <f t="shared" si="95"/>
        <v>0</v>
      </c>
      <c r="AN416" s="62">
        <f t="shared" si="96"/>
        <v>0</v>
      </c>
      <c r="AO416" s="61">
        <f t="shared" si="97"/>
        <v>0</v>
      </c>
      <c r="AP416" s="61">
        <f t="shared" si="98"/>
        <v>0</v>
      </c>
    </row>
    <row r="417" spans="3:42" s="17" customFormat="1" x14ac:dyDescent="0.25">
      <c r="C417" s="216" t="s">
        <v>229</v>
      </c>
      <c r="D417" s="217"/>
      <c r="E417" s="90"/>
      <c r="F417" s="198"/>
      <c r="G417" s="214"/>
      <c r="H417" s="199"/>
      <c r="I417" s="78"/>
      <c r="J417" s="79"/>
      <c r="K417" s="78"/>
      <c r="L417" s="113"/>
      <c r="M417" s="155"/>
      <c r="N417" s="114" t="str">
        <f>IFERROR(MIN(VLOOKUP(ROUNDDOWN(M417,0),'Aide calcul'!$B$2:$C$282,2,FALSE),L417+1),"")</f>
        <v/>
      </c>
      <c r="O417" s="115" t="str">
        <f t="shared" si="92"/>
        <v/>
      </c>
      <c r="P417" s="173"/>
      <c r="Q417" s="173"/>
      <c r="R417" s="173"/>
      <c r="S417" s="173"/>
      <c r="T417" s="173"/>
      <c r="U417" s="173"/>
      <c r="V417" s="173"/>
      <c r="W417" s="78"/>
      <c r="X417" s="78"/>
      <c r="Y417" s="116" t="str">
        <f>IFERROR(ROUND('Informations générales'!$D$66*(AE417/SUM($AE$27:$AE$403))/12,0)*12,"")</f>
        <v/>
      </c>
      <c r="Z417" s="117"/>
      <c r="AA417" s="116" t="str">
        <f t="shared" si="93"/>
        <v/>
      </c>
      <c r="AB417" s="78"/>
      <c r="AC417" s="92"/>
      <c r="AD417" s="78"/>
      <c r="AE417" s="58">
        <f t="shared" si="94"/>
        <v>0</v>
      </c>
      <c r="AF417" s="58">
        <f t="shared" si="85"/>
        <v>0</v>
      </c>
      <c r="AG417" s="58">
        <f t="shared" si="86"/>
        <v>0</v>
      </c>
      <c r="AH417" s="58">
        <f t="shared" si="87"/>
        <v>0</v>
      </c>
      <c r="AI417" s="58">
        <f t="shared" si="88"/>
        <v>0</v>
      </c>
      <c r="AJ417" s="58">
        <f t="shared" si="89"/>
        <v>0</v>
      </c>
      <c r="AK417" s="58">
        <f t="shared" si="90"/>
        <v>0</v>
      </c>
      <c r="AL417" s="58">
        <f t="shared" si="91"/>
        <v>0</v>
      </c>
      <c r="AM417" s="58">
        <f t="shared" si="95"/>
        <v>0</v>
      </c>
      <c r="AN417" s="62">
        <f t="shared" si="96"/>
        <v>0</v>
      </c>
      <c r="AO417" s="61">
        <f t="shared" si="97"/>
        <v>0</v>
      </c>
      <c r="AP417" s="61">
        <f t="shared" si="98"/>
        <v>0</v>
      </c>
    </row>
    <row r="418" spans="3:42" s="17" customFormat="1" x14ac:dyDescent="0.25">
      <c r="C418" s="216" t="s">
        <v>229</v>
      </c>
      <c r="D418" s="217"/>
      <c r="E418" s="90"/>
      <c r="F418" s="198"/>
      <c r="G418" s="214"/>
      <c r="H418" s="199"/>
      <c r="I418" s="78"/>
      <c r="J418" s="79"/>
      <c r="K418" s="78"/>
      <c r="L418" s="113"/>
      <c r="M418" s="155"/>
      <c r="N418" s="114" t="str">
        <f>IFERROR(MIN(VLOOKUP(ROUNDDOWN(M418,0),'Aide calcul'!$B$2:$C$282,2,FALSE),L418+1),"")</f>
        <v/>
      </c>
      <c r="O418" s="115" t="str">
        <f t="shared" si="92"/>
        <v/>
      </c>
      <c r="P418" s="173"/>
      <c r="Q418" s="173"/>
      <c r="R418" s="173"/>
      <c r="S418" s="173"/>
      <c r="T418" s="173"/>
      <c r="U418" s="173"/>
      <c r="V418" s="173"/>
      <c r="W418" s="78"/>
      <c r="X418" s="78"/>
      <c r="Y418" s="116" t="str">
        <f>IFERROR(ROUND('Informations générales'!$D$66*(AE418/SUM($AE$27:$AE$403))/12,0)*12,"")</f>
        <v/>
      </c>
      <c r="Z418" s="117"/>
      <c r="AA418" s="116" t="str">
        <f t="shared" si="93"/>
        <v/>
      </c>
      <c r="AB418" s="78"/>
      <c r="AC418" s="92"/>
      <c r="AD418" s="78"/>
      <c r="AE418" s="58">
        <f t="shared" si="94"/>
        <v>0</v>
      </c>
      <c r="AF418" s="58">
        <f t="shared" si="85"/>
        <v>0</v>
      </c>
      <c r="AG418" s="58">
        <f t="shared" si="86"/>
        <v>0</v>
      </c>
      <c r="AH418" s="58">
        <f t="shared" si="87"/>
        <v>0</v>
      </c>
      <c r="AI418" s="58">
        <f t="shared" si="88"/>
        <v>0</v>
      </c>
      <c r="AJ418" s="58">
        <f t="shared" si="89"/>
        <v>0</v>
      </c>
      <c r="AK418" s="58">
        <f t="shared" si="90"/>
        <v>0</v>
      </c>
      <c r="AL418" s="58">
        <f t="shared" si="91"/>
        <v>0</v>
      </c>
      <c r="AM418" s="58">
        <f t="shared" si="95"/>
        <v>0</v>
      </c>
      <c r="AN418" s="62">
        <f t="shared" si="96"/>
        <v>0</v>
      </c>
      <c r="AO418" s="61">
        <f t="shared" si="97"/>
        <v>0</v>
      </c>
      <c r="AP418" s="61">
        <f t="shared" si="98"/>
        <v>0</v>
      </c>
    </row>
    <row r="419" spans="3:42" s="17" customFormat="1" x14ac:dyDescent="0.25">
      <c r="C419" s="216" t="s">
        <v>229</v>
      </c>
      <c r="D419" s="217"/>
      <c r="E419" s="90"/>
      <c r="F419" s="198"/>
      <c r="G419" s="214"/>
      <c r="H419" s="199"/>
      <c r="I419" s="78"/>
      <c r="J419" s="79"/>
      <c r="K419" s="78"/>
      <c r="L419" s="113"/>
      <c r="M419" s="155"/>
      <c r="N419" s="114" t="str">
        <f>IFERROR(MIN(VLOOKUP(ROUNDDOWN(M419,0),'Aide calcul'!$B$2:$C$282,2,FALSE),L419+1),"")</f>
        <v/>
      </c>
      <c r="O419" s="115" t="str">
        <f t="shared" si="92"/>
        <v/>
      </c>
      <c r="P419" s="173"/>
      <c r="Q419" s="173"/>
      <c r="R419" s="173"/>
      <c r="S419" s="173"/>
      <c r="T419" s="173"/>
      <c r="U419" s="173"/>
      <c r="V419" s="173"/>
      <c r="W419" s="78"/>
      <c r="X419" s="78"/>
      <c r="Y419" s="116" t="str">
        <f>IFERROR(ROUND('Informations générales'!$D$66*(AE419/SUM($AE$27:$AE$403))/12,0)*12,"")</f>
        <v/>
      </c>
      <c r="Z419" s="117"/>
      <c r="AA419" s="116" t="str">
        <f t="shared" si="93"/>
        <v/>
      </c>
      <c r="AB419" s="78"/>
      <c r="AC419" s="92"/>
      <c r="AD419" s="78"/>
      <c r="AE419" s="58">
        <f t="shared" si="94"/>
        <v>0</v>
      </c>
      <c r="AF419" s="58">
        <f t="shared" si="85"/>
        <v>0</v>
      </c>
      <c r="AG419" s="58">
        <f t="shared" si="86"/>
        <v>0</v>
      </c>
      <c r="AH419" s="58">
        <f t="shared" si="87"/>
        <v>0</v>
      </c>
      <c r="AI419" s="58">
        <f t="shared" si="88"/>
        <v>0</v>
      </c>
      <c r="AJ419" s="58">
        <f t="shared" si="89"/>
        <v>0</v>
      </c>
      <c r="AK419" s="58">
        <f t="shared" si="90"/>
        <v>0</v>
      </c>
      <c r="AL419" s="58">
        <f t="shared" si="91"/>
        <v>0</v>
      </c>
      <c r="AM419" s="58">
        <f t="shared" si="95"/>
        <v>0</v>
      </c>
      <c r="AN419" s="62">
        <f t="shared" si="96"/>
        <v>0</v>
      </c>
      <c r="AO419" s="61">
        <f t="shared" si="97"/>
        <v>0</v>
      </c>
      <c r="AP419" s="61">
        <f t="shared" si="98"/>
        <v>0</v>
      </c>
    </row>
    <row r="420" spans="3:42" s="17" customFormat="1" x14ac:dyDescent="0.25">
      <c r="C420" s="216" t="s">
        <v>229</v>
      </c>
      <c r="D420" s="217"/>
      <c r="E420" s="90"/>
      <c r="F420" s="198"/>
      <c r="G420" s="214"/>
      <c r="H420" s="199"/>
      <c r="I420" s="78"/>
      <c r="J420" s="79"/>
      <c r="K420" s="78"/>
      <c r="L420" s="113"/>
      <c r="M420" s="155"/>
      <c r="N420" s="114" t="str">
        <f>IFERROR(MIN(VLOOKUP(ROUNDDOWN(M420,0),'Aide calcul'!$B$2:$C$282,2,FALSE),L420+1),"")</f>
        <v/>
      </c>
      <c r="O420" s="115" t="str">
        <f t="shared" si="92"/>
        <v/>
      </c>
      <c r="P420" s="173"/>
      <c r="Q420" s="173"/>
      <c r="R420" s="173"/>
      <c r="S420" s="173"/>
      <c r="T420" s="173"/>
      <c r="U420" s="173"/>
      <c r="V420" s="173"/>
      <c r="W420" s="78"/>
      <c r="X420" s="78"/>
      <c r="Y420" s="116" t="str">
        <f>IFERROR(ROUND('Informations générales'!$D$66*(AE420/SUM($AE$27:$AE$403))/12,0)*12,"")</f>
        <v/>
      </c>
      <c r="Z420" s="117"/>
      <c r="AA420" s="116" t="str">
        <f t="shared" si="93"/>
        <v/>
      </c>
      <c r="AB420" s="78"/>
      <c r="AC420" s="92"/>
      <c r="AD420" s="78"/>
      <c r="AE420" s="58">
        <f t="shared" si="94"/>
        <v>0</v>
      </c>
      <c r="AF420" s="58">
        <f t="shared" si="85"/>
        <v>0</v>
      </c>
      <c r="AG420" s="58">
        <f t="shared" si="86"/>
        <v>0</v>
      </c>
      <c r="AH420" s="58">
        <f t="shared" si="87"/>
        <v>0</v>
      </c>
      <c r="AI420" s="58">
        <f t="shared" si="88"/>
        <v>0</v>
      </c>
      <c r="AJ420" s="58">
        <f t="shared" si="89"/>
        <v>0</v>
      </c>
      <c r="AK420" s="58">
        <f t="shared" si="90"/>
        <v>0</v>
      </c>
      <c r="AL420" s="58">
        <f t="shared" si="91"/>
        <v>0</v>
      </c>
      <c r="AM420" s="58">
        <f t="shared" si="95"/>
        <v>0</v>
      </c>
      <c r="AN420" s="62">
        <f t="shared" si="96"/>
        <v>0</v>
      </c>
      <c r="AO420" s="61">
        <f t="shared" si="97"/>
        <v>0</v>
      </c>
      <c r="AP420" s="61">
        <f t="shared" si="98"/>
        <v>0</v>
      </c>
    </row>
    <row r="421" spans="3:42" s="17" customFormat="1" x14ac:dyDescent="0.25">
      <c r="C421" s="216" t="s">
        <v>229</v>
      </c>
      <c r="D421" s="217"/>
      <c r="E421" s="90"/>
      <c r="F421" s="198"/>
      <c r="G421" s="214"/>
      <c r="H421" s="199"/>
      <c r="I421" s="78"/>
      <c r="J421" s="79"/>
      <c r="K421" s="78"/>
      <c r="L421" s="113"/>
      <c r="M421" s="155"/>
      <c r="N421" s="114" t="str">
        <f>IFERROR(MIN(VLOOKUP(ROUNDDOWN(M421,0),'Aide calcul'!$B$2:$C$282,2,FALSE),L421+1),"")</f>
        <v/>
      </c>
      <c r="O421" s="115" t="str">
        <f t="shared" si="92"/>
        <v/>
      </c>
      <c r="P421" s="173"/>
      <c r="Q421" s="173"/>
      <c r="R421" s="173"/>
      <c r="S421" s="173"/>
      <c r="T421" s="173"/>
      <c r="U421" s="173"/>
      <c r="V421" s="173"/>
      <c r="W421" s="78"/>
      <c r="X421" s="78"/>
      <c r="Y421" s="116" t="str">
        <f>IFERROR(ROUND('Informations générales'!$D$66*(AE421/SUM($AE$27:$AE$403))/12,0)*12,"")</f>
        <v/>
      </c>
      <c r="Z421" s="117"/>
      <c r="AA421" s="116" t="str">
        <f t="shared" si="93"/>
        <v/>
      </c>
      <c r="AB421" s="78"/>
      <c r="AC421" s="92"/>
      <c r="AD421" s="78"/>
      <c r="AE421" s="58">
        <f t="shared" si="94"/>
        <v>0</v>
      </c>
      <c r="AF421" s="58">
        <f t="shared" si="85"/>
        <v>0</v>
      </c>
      <c r="AG421" s="58">
        <f t="shared" si="86"/>
        <v>0</v>
      </c>
      <c r="AH421" s="58">
        <f t="shared" si="87"/>
        <v>0</v>
      </c>
      <c r="AI421" s="58">
        <f t="shared" si="88"/>
        <v>0</v>
      </c>
      <c r="AJ421" s="58">
        <f t="shared" si="89"/>
        <v>0</v>
      </c>
      <c r="AK421" s="58">
        <f t="shared" si="90"/>
        <v>0</v>
      </c>
      <c r="AL421" s="58">
        <f t="shared" si="91"/>
        <v>0</v>
      </c>
      <c r="AM421" s="58">
        <f t="shared" si="95"/>
        <v>0</v>
      </c>
      <c r="AN421" s="62">
        <f t="shared" si="96"/>
        <v>0</v>
      </c>
      <c r="AO421" s="61">
        <f t="shared" si="97"/>
        <v>0</v>
      </c>
      <c r="AP421" s="61">
        <f t="shared" si="98"/>
        <v>0</v>
      </c>
    </row>
    <row r="422" spans="3:42" s="17" customFormat="1" x14ac:dyDescent="0.25">
      <c r="C422" s="216" t="s">
        <v>229</v>
      </c>
      <c r="D422" s="217"/>
      <c r="E422" s="90"/>
      <c r="F422" s="198"/>
      <c r="G422" s="214"/>
      <c r="H422" s="199"/>
      <c r="I422" s="78"/>
      <c r="J422" s="79"/>
      <c r="K422" s="78"/>
      <c r="L422" s="113"/>
      <c r="M422" s="155"/>
      <c r="N422" s="114" t="str">
        <f>IFERROR(MIN(VLOOKUP(ROUNDDOWN(M422,0),'Aide calcul'!$B$2:$C$282,2,FALSE),L422+1),"")</f>
        <v/>
      </c>
      <c r="O422" s="115" t="str">
        <f t="shared" si="92"/>
        <v/>
      </c>
      <c r="P422" s="173"/>
      <c r="Q422" s="173"/>
      <c r="R422" s="173"/>
      <c r="S422" s="173"/>
      <c r="T422" s="173"/>
      <c r="U422" s="173"/>
      <c r="V422" s="173"/>
      <c r="W422" s="78"/>
      <c r="X422" s="78"/>
      <c r="Y422" s="116" t="str">
        <f>IFERROR(ROUND('Informations générales'!$D$66*(AE422/SUM($AE$27:$AE$403))/12,0)*12,"")</f>
        <v/>
      </c>
      <c r="Z422" s="117"/>
      <c r="AA422" s="116" t="str">
        <f t="shared" si="93"/>
        <v/>
      </c>
      <c r="AB422" s="78"/>
      <c r="AC422" s="92"/>
      <c r="AD422" s="78"/>
      <c r="AE422" s="58">
        <f t="shared" si="94"/>
        <v>0</v>
      </c>
      <c r="AF422" s="58">
        <f t="shared" si="85"/>
        <v>0</v>
      </c>
      <c r="AG422" s="58">
        <f t="shared" si="86"/>
        <v>0</v>
      </c>
      <c r="AH422" s="58">
        <f t="shared" si="87"/>
        <v>0</v>
      </c>
      <c r="AI422" s="58">
        <f t="shared" si="88"/>
        <v>0</v>
      </c>
      <c r="AJ422" s="58">
        <f t="shared" si="89"/>
        <v>0</v>
      </c>
      <c r="AK422" s="58">
        <f t="shared" si="90"/>
        <v>0</v>
      </c>
      <c r="AL422" s="58">
        <f t="shared" si="91"/>
        <v>0</v>
      </c>
      <c r="AM422" s="58">
        <f t="shared" si="95"/>
        <v>0</v>
      </c>
      <c r="AN422" s="62">
        <f t="shared" si="96"/>
        <v>0</v>
      </c>
      <c r="AO422" s="61">
        <f t="shared" si="97"/>
        <v>0</v>
      </c>
      <c r="AP422" s="61">
        <f t="shared" si="98"/>
        <v>0</v>
      </c>
    </row>
    <row r="423" spans="3:42" s="17" customFormat="1" x14ac:dyDescent="0.25">
      <c r="C423" s="216" t="s">
        <v>229</v>
      </c>
      <c r="D423" s="217"/>
      <c r="E423" s="90"/>
      <c r="F423" s="198"/>
      <c r="G423" s="214"/>
      <c r="H423" s="199"/>
      <c r="I423" s="78"/>
      <c r="J423" s="79"/>
      <c r="K423" s="78"/>
      <c r="L423" s="113"/>
      <c r="M423" s="155"/>
      <c r="N423" s="114" t="str">
        <f>IFERROR(MIN(VLOOKUP(ROUNDDOWN(M423,0),'Aide calcul'!$B$2:$C$282,2,FALSE),L423+1),"")</f>
        <v/>
      </c>
      <c r="O423" s="115" t="str">
        <f t="shared" si="92"/>
        <v/>
      </c>
      <c r="P423" s="173"/>
      <c r="Q423" s="173"/>
      <c r="R423" s="173"/>
      <c r="S423" s="173"/>
      <c r="T423" s="173"/>
      <c r="U423" s="173"/>
      <c r="V423" s="173"/>
      <c r="W423" s="78"/>
      <c r="X423" s="78"/>
      <c r="Y423" s="116" t="str">
        <f>IFERROR(ROUND('Informations générales'!$D$66*(AE423/SUM($AE$27:$AE$403))/12,0)*12,"")</f>
        <v/>
      </c>
      <c r="Z423" s="117"/>
      <c r="AA423" s="116" t="str">
        <f t="shared" si="93"/>
        <v/>
      </c>
      <c r="AB423" s="78"/>
      <c r="AC423" s="92"/>
      <c r="AD423" s="78"/>
      <c r="AE423" s="58">
        <f t="shared" si="94"/>
        <v>0</v>
      </c>
      <c r="AF423" s="58">
        <f t="shared" si="85"/>
        <v>0</v>
      </c>
      <c r="AG423" s="58">
        <f t="shared" si="86"/>
        <v>0</v>
      </c>
      <c r="AH423" s="58">
        <f t="shared" si="87"/>
        <v>0</v>
      </c>
      <c r="AI423" s="58">
        <f t="shared" si="88"/>
        <v>0</v>
      </c>
      <c r="AJ423" s="58">
        <f t="shared" si="89"/>
        <v>0</v>
      </c>
      <c r="AK423" s="58">
        <f t="shared" si="90"/>
        <v>0</v>
      </c>
      <c r="AL423" s="58">
        <f t="shared" si="91"/>
        <v>0</v>
      </c>
      <c r="AM423" s="58">
        <f t="shared" si="95"/>
        <v>0</v>
      </c>
      <c r="AN423" s="62">
        <f t="shared" si="96"/>
        <v>0</v>
      </c>
      <c r="AO423" s="61">
        <f t="shared" si="97"/>
        <v>0</v>
      </c>
      <c r="AP423" s="61">
        <f t="shared" si="98"/>
        <v>0</v>
      </c>
    </row>
    <row r="424" spans="3:42" s="17" customFormat="1" x14ac:dyDescent="0.25">
      <c r="C424" s="216" t="s">
        <v>229</v>
      </c>
      <c r="D424" s="217"/>
      <c r="E424" s="90"/>
      <c r="F424" s="198"/>
      <c r="G424" s="214"/>
      <c r="H424" s="199"/>
      <c r="I424" s="78"/>
      <c r="J424" s="79"/>
      <c r="K424" s="78"/>
      <c r="L424" s="113"/>
      <c r="M424" s="155"/>
      <c r="N424" s="114" t="str">
        <f>IFERROR(MIN(VLOOKUP(ROUNDDOWN(M424,0),'Aide calcul'!$B$2:$C$282,2,FALSE),L424+1),"")</f>
        <v/>
      </c>
      <c r="O424" s="115" t="str">
        <f t="shared" si="92"/>
        <v/>
      </c>
      <c r="P424" s="173"/>
      <c r="Q424" s="173"/>
      <c r="R424" s="173"/>
      <c r="S424" s="173"/>
      <c r="T424" s="173"/>
      <c r="U424" s="173"/>
      <c r="V424" s="173"/>
      <c r="W424" s="78"/>
      <c r="X424" s="78"/>
      <c r="Y424" s="116" t="str">
        <f>IFERROR(ROUND('Informations générales'!$D$66*(AE424/SUM($AE$27:$AE$403))/12,0)*12,"")</f>
        <v/>
      </c>
      <c r="Z424" s="117"/>
      <c r="AA424" s="116" t="str">
        <f t="shared" si="93"/>
        <v/>
      </c>
      <c r="AB424" s="78"/>
      <c r="AC424" s="92"/>
      <c r="AD424" s="78"/>
      <c r="AE424" s="58">
        <f t="shared" si="94"/>
        <v>0</v>
      </c>
      <c r="AF424" s="58">
        <f t="shared" si="85"/>
        <v>0</v>
      </c>
      <c r="AG424" s="58">
        <f t="shared" si="86"/>
        <v>0</v>
      </c>
      <c r="AH424" s="58">
        <f t="shared" si="87"/>
        <v>0</v>
      </c>
      <c r="AI424" s="58">
        <f t="shared" si="88"/>
        <v>0</v>
      </c>
      <c r="AJ424" s="58">
        <f t="shared" si="89"/>
        <v>0</v>
      </c>
      <c r="AK424" s="58">
        <f t="shared" si="90"/>
        <v>0</v>
      </c>
      <c r="AL424" s="58">
        <f t="shared" si="91"/>
        <v>0</v>
      </c>
      <c r="AM424" s="58">
        <f t="shared" si="95"/>
        <v>0</v>
      </c>
      <c r="AN424" s="62">
        <f t="shared" si="96"/>
        <v>0</v>
      </c>
      <c r="AO424" s="61">
        <f t="shared" si="97"/>
        <v>0</v>
      </c>
      <c r="AP424" s="61">
        <f t="shared" si="98"/>
        <v>0</v>
      </c>
    </row>
    <row r="425" spans="3:42" s="17" customFormat="1" x14ac:dyDescent="0.25">
      <c r="C425" s="216" t="s">
        <v>229</v>
      </c>
      <c r="D425" s="217"/>
      <c r="E425" s="90"/>
      <c r="F425" s="198"/>
      <c r="G425" s="214"/>
      <c r="H425" s="199"/>
      <c r="I425" s="78"/>
      <c r="J425" s="79"/>
      <c r="K425" s="78"/>
      <c r="L425" s="113"/>
      <c r="M425" s="155"/>
      <c r="N425" s="114" t="str">
        <f>IFERROR(MIN(VLOOKUP(ROUNDDOWN(M425,0),'Aide calcul'!$B$2:$C$282,2,FALSE),L425+1),"")</f>
        <v/>
      </c>
      <c r="O425" s="115" t="str">
        <f t="shared" si="92"/>
        <v/>
      </c>
      <c r="P425" s="173"/>
      <c r="Q425" s="173"/>
      <c r="R425" s="173"/>
      <c r="S425" s="173"/>
      <c r="T425" s="173"/>
      <c r="U425" s="173"/>
      <c r="V425" s="173"/>
      <c r="W425" s="78"/>
      <c r="X425" s="78"/>
      <c r="Y425" s="116" t="str">
        <f>IFERROR(ROUND('Informations générales'!$D$66*(AE425/SUM($AE$27:$AE$403))/12,0)*12,"")</f>
        <v/>
      </c>
      <c r="Z425" s="117"/>
      <c r="AA425" s="116" t="str">
        <f t="shared" si="93"/>
        <v/>
      </c>
      <c r="AB425" s="78"/>
      <c r="AC425" s="92"/>
      <c r="AD425" s="78"/>
      <c r="AE425" s="58">
        <f t="shared" si="94"/>
        <v>0</v>
      </c>
      <c r="AF425" s="58">
        <f t="shared" si="85"/>
        <v>0</v>
      </c>
      <c r="AG425" s="58">
        <f t="shared" si="86"/>
        <v>0</v>
      </c>
      <c r="AH425" s="58">
        <f t="shared" si="87"/>
        <v>0</v>
      </c>
      <c r="AI425" s="58">
        <f t="shared" si="88"/>
        <v>0</v>
      </c>
      <c r="AJ425" s="58">
        <f t="shared" si="89"/>
        <v>0</v>
      </c>
      <c r="AK425" s="58">
        <f t="shared" si="90"/>
        <v>0</v>
      </c>
      <c r="AL425" s="58">
        <f t="shared" si="91"/>
        <v>0</v>
      </c>
      <c r="AM425" s="58">
        <f t="shared" si="95"/>
        <v>0</v>
      </c>
      <c r="AN425" s="62">
        <f t="shared" si="96"/>
        <v>0</v>
      </c>
      <c r="AO425" s="61">
        <f t="shared" si="97"/>
        <v>0</v>
      </c>
      <c r="AP425" s="61">
        <f t="shared" si="98"/>
        <v>0</v>
      </c>
    </row>
    <row r="426" spans="3:42" s="17" customFormat="1" x14ac:dyDescent="0.25">
      <c r="C426" s="216" t="s">
        <v>229</v>
      </c>
      <c r="D426" s="217"/>
      <c r="E426" s="90"/>
      <c r="F426" s="198"/>
      <c r="G426" s="214"/>
      <c r="H426" s="199"/>
      <c r="I426" s="78"/>
      <c r="J426" s="79"/>
      <c r="K426" s="78"/>
      <c r="L426" s="113"/>
      <c r="M426" s="155"/>
      <c r="N426" s="114" t="str">
        <f>IFERROR(MIN(VLOOKUP(ROUNDDOWN(M426,0),'Aide calcul'!$B$2:$C$282,2,FALSE),L426+1),"")</f>
        <v/>
      </c>
      <c r="O426" s="115" t="str">
        <f t="shared" si="92"/>
        <v/>
      </c>
      <c r="P426" s="173"/>
      <c r="Q426" s="173"/>
      <c r="R426" s="173"/>
      <c r="S426" s="173"/>
      <c r="T426" s="173"/>
      <c r="U426" s="173"/>
      <c r="V426" s="173"/>
      <c r="W426" s="78"/>
      <c r="X426" s="78"/>
      <c r="Y426" s="116" t="str">
        <f>IFERROR(ROUND('Informations générales'!$D$66*(AE426/SUM($AE$27:$AE$403))/12,0)*12,"")</f>
        <v/>
      </c>
      <c r="Z426" s="117"/>
      <c r="AA426" s="116" t="str">
        <f t="shared" si="93"/>
        <v/>
      </c>
      <c r="AB426" s="78"/>
      <c r="AC426" s="92"/>
      <c r="AD426" s="78"/>
      <c r="AE426" s="58">
        <f t="shared" si="94"/>
        <v>0</v>
      </c>
      <c r="AF426" s="58">
        <f t="shared" si="85"/>
        <v>0</v>
      </c>
      <c r="AG426" s="58">
        <f t="shared" si="86"/>
        <v>0</v>
      </c>
      <c r="AH426" s="58">
        <f t="shared" si="87"/>
        <v>0</v>
      </c>
      <c r="AI426" s="58">
        <f t="shared" si="88"/>
        <v>0</v>
      </c>
      <c r="AJ426" s="58">
        <f t="shared" si="89"/>
        <v>0</v>
      </c>
      <c r="AK426" s="58">
        <f t="shared" si="90"/>
        <v>0</v>
      </c>
      <c r="AL426" s="58">
        <f t="shared" si="91"/>
        <v>0</v>
      </c>
      <c r="AM426" s="58">
        <f t="shared" si="95"/>
        <v>0</v>
      </c>
      <c r="AN426" s="62">
        <f t="shared" si="96"/>
        <v>0</v>
      </c>
      <c r="AO426" s="61">
        <f t="shared" si="97"/>
        <v>0</v>
      </c>
      <c r="AP426" s="61">
        <f t="shared" si="98"/>
        <v>0</v>
      </c>
    </row>
    <row r="427" spans="3:42" s="17" customFormat="1" x14ac:dyDescent="0.25">
      <c r="C427" s="216" t="s">
        <v>229</v>
      </c>
      <c r="D427" s="217"/>
      <c r="E427" s="90"/>
      <c r="F427" s="198"/>
      <c r="G427" s="214"/>
      <c r="H427" s="199"/>
      <c r="I427" s="78"/>
      <c r="J427" s="79"/>
      <c r="K427" s="78"/>
      <c r="L427" s="113"/>
      <c r="M427" s="155"/>
      <c r="N427" s="114" t="str">
        <f>IFERROR(MIN(VLOOKUP(ROUNDDOWN(M427,0),'Aide calcul'!$B$2:$C$282,2,FALSE),L427+1),"")</f>
        <v/>
      </c>
      <c r="O427" s="115" t="str">
        <f t="shared" si="92"/>
        <v/>
      </c>
      <c r="P427" s="173"/>
      <c r="Q427" s="173"/>
      <c r="R427" s="173"/>
      <c r="S427" s="173"/>
      <c r="T427" s="173"/>
      <c r="U427" s="173"/>
      <c r="V427" s="173"/>
      <c r="W427" s="78"/>
      <c r="X427" s="78"/>
      <c r="Y427" s="116" t="str">
        <f>IFERROR(ROUND('Informations générales'!$D$66*(AE427/SUM($AE$27:$AE$403))/12,0)*12,"")</f>
        <v/>
      </c>
      <c r="Z427" s="117"/>
      <c r="AA427" s="116" t="str">
        <f t="shared" si="93"/>
        <v/>
      </c>
      <c r="AB427" s="78"/>
      <c r="AC427" s="92"/>
      <c r="AD427" s="78"/>
      <c r="AE427" s="58">
        <f t="shared" si="94"/>
        <v>0</v>
      </c>
      <c r="AF427" s="58">
        <f t="shared" si="85"/>
        <v>0</v>
      </c>
      <c r="AG427" s="58">
        <f t="shared" si="86"/>
        <v>0</v>
      </c>
      <c r="AH427" s="58">
        <f t="shared" si="87"/>
        <v>0</v>
      </c>
      <c r="AI427" s="58">
        <f t="shared" si="88"/>
        <v>0</v>
      </c>
      <c r="AJ427" s="58">
        <f t="shared" si="89"/>
        <v>0</v>
      </c>
      <c r="AK427" s="58">
        <f t="shared" si="90"/>
        <v>0</v>
      </c>
      <c r="AL427" s="58">
        <f t="shared" si="91"/>
        <v>0</v>
      </c>
      <c r="AM427" s="58">
        <f t="shared" si="95"/>
        <v>0</v>
      </c>
      <c r="AN427" s="62">
        <f t="shared" si="96"/>
        <v>0</v>
      </c>
      <c r="AO427" s="61">
        <f t="shared" si="97"/>
        <v>0</v>
      </c>
      <c r="AP427" s="61">
        <f t="shared" si="98"/>
        <v>0</v>
      </c>
    </row>
    <row r="428" spans="3:42" s="17" customFormat="1" x14ac:dyDescent="0.25">
      <c r="C428" s="216" t="s">
        <v>229</v>
      </c>
      <c r="D428" s="217"/>
      <c r="E428" s="90"/>
      <c r="F428" s="198"/>
      <c r="G428" s="214"/>
      <c r="H428" s="199"/>
      <c r="I428" s="78"/>
      <c r="J428" s="79"/>
      <c r="K428" s="78"/>
      <c r="L428" s="113"/>
      <c r="M428" s="155"/>
      <c r="N428" s="114" t="str">
        <f>IFERROR(MIN(VLOOKUP(ROUNDDOWN(M428,0),'Aide calcul'!$B$2:$C$282,2,FALSE),L428+1),"")</f>
        <v/>
      </c>
      <c r="O428" s="115" t="str">
        <f t="shared" si="92"/>
        <v/>
      </c>
      <c r="P428" s="173"/>
      <c r="Q428" s="173"/>
      <c r="R428" s="173"/>
      <c r="S428" s="173"/>
      <c r="T428" s="173"/>
      <c r="U428" s="173"/>
      <c r="V428" s="173"/>
      <c r="W428" s="78"/>
      <c r="X428" s="78"/>
      <c r="Y428" s="116" t="str">
        <f>IFERROR(ROUND('Informations générales'!$D$66*(AE428/SUM($AE$27:$AE$403))/12,0)*12,"")</f>
        <v/>
      </c>
      <c r="Z428" s="117"/>
      <c r="AA428" s="116" t="str">
        <f t="shared" si="93"/>
        <v/>
      </c>
      <c r="AB428" s="78"/>
      <c r="AC428" s="92"/>
      <c r="AD428" s="78"/>
      <c r="AE428" s="58">
        <f t="shared" si="94"/>
        <v>0</v>
      </c>
      <c r="AF428" s="58">
        <f t="shared" si="85"/>
        <v>0</v>
      </c>
      <c r="AG428" s="58">
        <f t="shared" si="86"/>
        <v>0</v>
      </c>
      <c r="AH428" s="58">
        <f t="shared" si="87"/>
        <v>0</v>
      </c>
      <c r="AI428" s="58">
        <f t="shared" si="88"/>
        <v>0</v>
      </c>
      <c r="AJ428" s="58">
        <f t="shared" si="89"/>
        <v>0</v>
      </c>
      <c r="AK428" s="58">
        <f t="shared" si="90"/>
        <v>0</v>
      </c>
      <c r="AL428" s="58">
        <f t="shared" si="91"/>
        <v>0</v>
      </c>
      <c r="AM428" s="58">
        <f t="shared" si="95"/>
        <v>0</v>
      </c>
      <c r="AN428" s="62">
        <f t="shared" si="96"/>
        <v>0</v>
      </c>
      <c r="AO428" s="61">
        <f t="shared" si="97"/>
        <v>0</v>
      </c>
      <c r="AP428" s="61">
        <f t="shared" si="98"/>
        <v>0</v>
      </c>
    </row>
    <row r="429" spans="3:42" s="17" customFormat="1" x14ac:dyDescent="0.25">
      <c r="C429" s="216" t="s">
        <v>229</v>
      </c>
      <c r="D429" s="217"/>
      <c r="E429" s="90"/>
      <c r="F429" s="198"/>
      <c r="G429" s="214"/>
      <c r="H429" s="199"/>
      <c r="I429" s="78"/>
      <c r="J429" s="79"/>
      <c r="K429" s="78"/>
      <c r="L429" s="113"/>
      <c r="M429" s="155"/>
      <c r="N429" s="114" t="str">
        <f>IFERROR(MIN(VLOOKUP(ROUNDDOWN(M429,0),'Aide calcul'!$B$2:$C$282,2,FALSE),L429+1),"")</f>
        <v/>
      </c>
      <c r="O429" s="115" t="str">
        <f t="shared" si="92"/>
        <v/>
      </c>
      <c r="P429" s="173"/>
      <c r="Q429" s="173"/>
      <c r="R429" s="173"/>
      <c r="S429" s="173"/>
      <c r="T429" s="173"/>
      <c r="U429" s="173"/>
      <c r="V429" s="173"/>
      <c r="W429" s="78"/>
      <c r="X429" s="78"/>
      <c r="Y429" s="116" t="str">
        <f>IFERROR(ROUND('Informations générales'!$D$66*(AE429/SUM($AE$27:$AE$403))/12,0)*12,"")</f>
        <v/>
      </c>
      <c r="Z429" s="117"/>
      <c r="AA429" s="116" t="str">
        <f t="shared" si="93"/>
        <v/>
      </c>
      <c r="AB429" s="78"/>
      <c r="AC429" s="92"/>
      <c r="AD429" s="78"/>
      <c r="AE429" s="58">
        <f t="shared" si="94"/>
        <v>0</v>
      </c>
      <c r="AF429" s="58">
        <f t="shared" si="85"/>
        <v>0</v>
      </c>
      <c r="AG429" s="58">
        <f t="shared" si="86"/>
        <v>0</v>
      </c>
      <c r="AH429" s="58">
        <f t="shared" si="87"/>
        <v>0</v>
      </c>
      <c r="AI429" s="58">
        <f t="shared" si="88"/>
        <v>0</v>
      </c>
      <c r="AJ429" s="58">
        <f t="shared" si="89"/>
        <v>0</v>
      </c>
      <c r="AK429" s="58">
        <f t="shared" si="90"/>
        <v>0</v>
      </c>
      <c r="AL429" s="58">
        <f t="shared" si="91"/>
        <v>0</v>
      </c>
      <c r="AM429" s="58">
        <f t="shared" si="95"/>
        <v>0</v>
      </c>
      <c r="AN429" s="62">
        <f t="shared" si="96"/>
        <v>0</v>
      </c>
      <c r="AO429" s="61">
        <f t="shared" si="97"/>
        <v>0</v>
      </c>
      <c r="AP429" s="61">
        <f t="shared" si="98"/>
        <v>0</v>
      </c>
    </row>
    <row r="430" spans="3:42" s="17" customFormat="1" x14ac:dyDescent="0.25">
      <c r="C430" s="216" t="s">
        <v>229</v>
      </c>
      <c r="D430" s="217"/>
      <c r="E430" s="90"/>
      <c r="F430" s="198"/>
      <c r="G430" s="214"/>
      <c r="H430" s="199"/>
      <c r="I430" s="78"/>
      <c r="J430" s="79"/>
      <c r="K430" s="78"/>
      <c r="L430" s="113"/>
      <c r="M430" s="155"/>
      <c r="N430" s="114" t="str">
        <f>IFERROR(MIN(VLOOKUP(ROUNDDOWN(M430,0),'Aide calcul'!$B$2:$C$282,2,FALSE),L430+1),"")</f>
        <v/>
      </c>
      <c r="O430" s="115" t="str">
        <f t="shared" si="92"/>
        <v/>
      </c>
      <c r="P430" s="173"/>
      <c r="Q430" s="173"/>
      <c r="R430" s="173"/>
      <c r="S430" s="173"/>
      <c r="T430" s="173"/>
      <c r="U430" s="173"/>
      <c r="V430" s="173"/>
      <c r="W430" s="78"/>
      <c r="X430" s="78"/>
      <c r="Y430" s="116" t="str">
        <f>IFERROR(ROUND('Informations générales'!$D$66*(AE430/SUM($AE$27:$AE$403))/12,0)*12,"")</f>
        <v/>
      </c>
      <c r="Z430" s="117"/>
      <c r="AA430" s="116" t="str">
        <f t="shared" si="93"/>
        <v/>
      </c>
      <c r="AB430" s="78"/>
      <c r="AC430" s="92"/>
      <c r="AD430" s="78"/>
      <c r="AE430" s="58">
        <f t="shared" si="94"/>
        <v>0</v>
      </c>
      <c r="AF430" s="58">
        <f t="shared" si="85"/>
        <v>0</v>
      </c>
      <c r="AG430" s="58">
        <f t="shared" si="86"/>
        <v>0</v>
      </c>
      <c r="AH430" s="58">
        <f t="shared" si="87"/>
        <v>0</v>
      </c>
      <c r="AI430" s="58">
        <f t="shared" si="88"/>
        <v>0</v>
      </c>
      <c r="AJ430" s="58">
        <f t="shared" si="89"/>
        <v>0</v>
      </c>
      <c r="AK430" s="58">
        <f t="shared" si="90"/>
        <v>0</v>
      </c>
      <c r="AL430" s="58">
        <f t="shared" si="91"/>
        <v>0</v>
      </c>
      <c r="AM430" s="58">
        <f t="shared" si="95"/>
        <v>0</v>
      </c>
      <c r="AN430" s="62">
        <f t="shared" si="96"/>
        <v>0</v>
      </c>
      <c r="AO430" s="61">
        <f t="shared" si="97"/>
        <v>0</v>
      </c>
      <c r="AP430" s="61">
        <f t="shared" si="98"/>
        <v>0</v>
      </c>
    </row>
    <row r="431" spans="3:42" s="17" customFormat="1" x14ac:dyDescent="0.25">
      <c r="C431" s="216" t="s">
        <v>229</v>
      </c>
      <c r="D431" s="217"/>
      <c r="E431" s="90"/>
      <c r="F431" s="198"/>
      <c r="G431" s="214"/>
      <c r="H431" s="199"/>
      <c r="I431" s="78"/>
      <c r="J431" s="79"/>
      <c r="K431" s="78"/>
      <c r="L431" s="113"/>
      <c r="M431" s="155"/>
      <c r="N431" s="114" t="str">
        <f>IFERROR(MIN(VLOOKUP(ROUNDDOWN(M431,0),'Aide calcul'!$B$2:$C$282,2,FALSE),L431+1),"")</f>
        <v/>
      </c>
      <c r="O431" s="115" t="str">
        <f t="shared" si="92"/>
        <v/>
      </c>
      <c r="P431" s="173"/>
      <c r="Q431" s="173"/>
      <c r="R431" s="173"/>
      <c r="S431" s="173"/>
      <c r="T431" s="173"/>
      <c r="U431" s="173"/>
      <c r="V431" s="173"/>
      <c r="W431" s="78"/>
      <c r="X431" s="78"/>
      <c r="Y431" s="116" t="str">
        <f>IFERROR(ROUND('Informations générales'!$D$66*(AE431/SUM($AE$27:$AE$403))/12,0)*12,"")</f>
        <v/>
      </c>
      <c r="Z431" s="117"/>
      <c r="AA431" s="116" t="str">
        <f t="shared" si="93"/>
        <v/>
      </c>
      <c r="AB431" s="78"/>
      <c r="AC431" s="92"/>
      <c r="AD431" s="78"/>
      <c r="AE431" s="58">
        <f t="shared" si="94"/>
        <v>0</v>
      </c>
      <c r="AF431" s="58">
        <f t="shared" si="85"/>
        <v>0</v>
      </c>
      <c r="AG431" s="58">
        <f t="shared" si="86"/>
        <v>0</v>
      </c>
      <c r="AH431" s="58">
        <f t="shared" si="87"/>
        <v>0</v>
      </c>
      <c r="AI431" s="58">
        <f t="shared" si="88"/>
        <v>0</v>
      </c>
      <c r="AJ431" s="58">
        <f t="shared" si="89"/>
        <v>0</v>
      </c>
      <c r="AK431" s="58">
        <f t="shared" si="90"/>
        <v>0</v>
      </c>
      <c r="AL431" s="58">
        <f t="shared" si="91"/>
        <v>0</v>
      </c>
      <c r="AM431" s="58">
        <f t="shared" si="95"/>
        <v>0</v>
      </c>
      <c r="AN431" s="62">
        <f t="shared" si="96"/>
        <v>0</v>
      </c>
      <c r="AO431" s="61">
        <f t="shared" si="97"/>
        <v>0</v>
      </c>
      <c r="AP431" s="61">
        <f t="shared" si="98"/>
        <v>0</v>
      </c>
    </row>
    <row r="432" spans="3:42" s="17" customFormat="1" x14ac:dyDescent="0.25">
      <c r="C432" s="216" t="s">
        <v>229</v>
      </c>
      <c r="D432" s="217"/>
      <c r="E432" s="90"/>
      <c r="F432" s="198"/>
      <c r="G432" s="214"/>
      <c r="H432" s="199"/>
      <c r="I432" s="78"/>
      <c r="J432" s="79"/>
      <c r="K432" s="78"/>
      <c r="L432" s="113"/>
      <c r="M432" s="155"/>
      <c r="N432" s="114" t="str">
        <f>IFERROR(MIN(VLOOKUP(ROUNDDOWN(M432,0),'Aide calcul'!$B$2:$C$282,2,FALSE),L432+1),"")</f>
        <v/>
      </c>
      <c r="O432" s="115" t="str">
        <f t="shared" si="92"/>
        <v/>
      </c>
      <c r="P432" s="173"/>
      <c r="Q432" s="173"/>
      <c r="R432" s="173"/>
      <c r="S432" s="173"/>
      <c r="T432" s="173"/>
      <c r="U432" s="173"/>
      <c r="V432" s="173"/>
      <c r="W432" s="78"/>
      <c r="X432" s="78"/>
      <c r="Y432" s="116" t="str">
        <f>IFERROR(ROUND('Informations générales'!$D$66*(AE432/SUM($AE$27:$AE$403))/12,0)*12,"")</f>
        <v/>
      </c>
      <c r="Z432" s="117"/>
      <c r="AA432" s="116" t="str">
        <f t="shared" si="93"/>
        <v/>
      </c>
      <c r="AB432" s="78"/>
      <c r="AC432" s="92"/>
      <c r="AD432" s="78"/>
      <c r="AE432" s="58">
        <f t="shared" si="94"/>
        <v>0</v>
      </c>
      <c r="AF432" s="58">
        <f t="shared" si="85"/>
        <v>0</v>
      </c>
      <c r="AG432" s="58">
        <f t="shared" si="86"/>
        <v>0</v>
      </c>
      <c r="AH432" s="58">
        <f t="shared" si="87"/>
        <v>0</v>
      </c>
      <c r="AI432" s="58">
        <f t="shared" si="88"/>
        <v>0</v>
      </c>
      <c r="AJ432" s="58">
        <f t="shared" si="89"/>
        <v>0</v>
      </c>
      <c r="AK432" s="58">
        <f t="shared" si="90"/>
        <v>0</v>
      </c>
      <c r="AL432" s="58">
        <f t="shared" si="91"/>
        <v>0</v>
      </c>
      <c r="AM432" s="58">
        <f t="shared" si="95"/>
        <v>0</v>
      </c>
      <c r="AN432" s="62">
        <f t="shared" si="96"/>
        <v>0</v>
      </c>
      <c r="AO432" s="61">
        <f t="shared" si="97"/>
        <v>0</v>
      </c>
      <c r="AP432" s="61">
        <f t="shared" si="98"/>
        <v>0</v>
      </c>
    </row>
    <row r="433" spans="3:42" s="17" customFormat="1" x14ac:dyDescent="0.25">
      <c r="C433" s="216" t="s">
        <v>229</v>
      </c>
      <c r="D433" s="217"/>
      <c r="E433" s="90"/>
      <c r="F433" s="198"/>
      <c r="G433" s="214"/>
      <c r="H433" s="199"/>
      <c r="I433" s="78"/>
      <c r="J433" s="79"/>
      <c r="K433" s="78"/>
      <c r="L433" s="113"/>
      <c r="M433" s="155"/>
      <c r="N433" s="114" t="str">
        <f>IFERROR(MIN(VLOOKUP(ROUNDDOWN(M433,0),'Aide calcul'!$B$2:$C$282,2,FALSE),L433+1),"")</f>
        <v/>
      </c>
      <c r="O433" s="115" t="str">
        <f t="shared" si="92"/>
        <v/>
      </c>
      <c r="P433" s="173"/>
      <c r="Q433" s="173"/>
      <c r="R433" s="173"/>
      <c r="S433" s="173"/>
      <c r="T433" s="173"/>
      <c r="U433" s="173"/>
      <c r="V433" s="173"/>
      <c r="W433" s="78"/>
      <c r="X433" s="78"/>
      <c r="Y433" s="116" t="str">
        <f>IFERROR(ROUND('Informations générales'!$D$66*(AE433/SUM($AE$27:$AE$403))/12,0)*12,"")</f>
        <v/>
      </c>
      <c r="Z433" s="117"/>
      <c r="AA433" s="116" t="str">
        <f t="shared" si="93"/>
        <v/>
      </c>
      <c r="AB433" s="78"/>
      <c r="AC433" s="92"/>
      <c r="AD433" s="78"/>
      <c r="AE433" s="58">
        <f t="shared" si="94"/>
        <v>0</v>
      </c>
      <c r="AF433" s="58">
        <f t="shared" si="85"/>
        <v>0</v>
      </c>
      <c r="AG433" s="58">
        <f t="shared" si="86"/>
        <v>0</v>
      </c>
      <c r="AH433" s="58">
        <f t="shared" si="87"/>
        <v>0</v>
      </c>
      <c r="AI433" s="58">
        <f t="shared" si="88"/>
        <v>0</v>
      </c>
      <c r="AJ433" s="58">
        <f t="shared" si="89"/>
        <v>0</v>
      </c>
      <c r="AK433" s="58">
        <f t="shared" si="90"/>
        <v>0</v>
      </c>
      <c r="AL433" s="58">
        <f t="shared" si="91"/>
        <v>0</v>
      </c>
      <c r="AM433" s="58">
        <f t="shared" si="95"/>
        <v>0</v>
      </c>
      <c r="AN433" s="62">
        <f t="shared" si="96"/>
        <v>0</v>
      </c>
      <c r="AO433" s="61">
        <f t="shared" si="97"/>
        <v>0</v>
      </c>
      <c r="AP433" s="61">
        <f t="shared" si="98"/>
        <v>0</v>
      </c>
    </row>
    <row r="434" spans="3:42" s="17" customFormat="1" x14ac:dyDescent="0.25">
      <c r="C434" s="216" t="s">
        <v>229</v>
      </c>
      <c r="D434" s="217"/>
      <c r="E434" s="90"/>
      <c r="F434" s="198"/>
      <c r="G434" s="214"/>
      <c r="H434" s="199"/>
      <c r="I434" s="78"/>
      <c r="J434" s="79"/>
      <c r="K434" s="78"/>
      <c r="L434" s="113"/>
      <c r="M434" s="155"/>
      <c r="N434" s="114" t="str">
        <f>IFERROR(MIN(VLOOKUP(ROUNDDOWN(M434,0),'Aide calcul'!$B$2:$C$282,2,FALSE),L434+1),"")</f>
        <v/>
      </c>
      <c r="O434" s="115" t="str">
        <f t="shared" si="92"/>
        <v/>
      </c>
      <c r="P434" s="173"/>
      <c r="Q434" s="173"/>
      <c r="R434" s="173"/>
      <c r="S434" s="173"/>
      <c r="T434" s="173"/>
      <c r="U434" s="173"/>
      <c r="V434" s="173"/>
      <c r="W434" s="78"/>
      <c r="X434" s="78"/>
      <c r="Y434" s="116" t="str">
        <f>IFERROR(ROUND('Informations générales'!$D$66*(AE434/SUM($AE$27:$AE$403))/12,0)*12,"")</f>
        <v/>
      </c>
      <c r="Z434" s="117"/>
      <c r="AA434" s="116" t="str">
        <f t="shared" si="93"/>
        <v/>
      </c>
      <c r="AB434" s="78"/>
      <c r="AC434" s="92"/>
      <c r="AD434" s="78"/>
      <c r="AE434" s="58">
        <f t="shared" si="94"/>
        <v>0</v>
      </c>
      <c r="AF434" s="58">
        <f t="shared" si="85"/>
        <v>0</v>
      </c>
      <c r="AG434" s="58">
        <f t="shared" si="86"/>
        <v>0</v>
      </c>
      <c r="AH434" s="58">
        <f t="shared" si="87"/>
        <v>0</v>
      </c>
      <c r="AI434" s="58">
        <f t="shared" si="88"/>
        <v>0</v>
      </c>
      <c r="AJ434" s="58">
        <f t="shared" si="89"/>
        <v>0</v>
      </c>
      <c r="AK434" s="58">
        <f t="shared" si="90"/>
        <v>0</v>
      </c>
      <c r="AL434" s="58">
        <f t="shared" si="91"/>
        <v>0</v>
      </c>
      <c r="AM434" s="58">
        <f t="shared" si="95"/>
        <v>0</v>
      </c>
      <c r="AN434" s="62">
        <f t="shared" si="96"/>
        <v>0</v>
      </c>
      <c r="AO434" s="61">
        <f t="shared" si="97"/>
        <v>0</v>
      </c>
      <c r="AP434" s="61">
        <f t="shared" si="98"/>
        <v>0</v>
      </c>
    </row>
    <row r="435" spans="3:42" s="17" customFormat="1" x14ac:dyDescent="0.25">
      <c r="C435" s="216" t="s">
        <v>229</v>
      </c>
      <c r="D435" s="217"/>
      <c r="E435" s="90"/>
      <c r="F435" s="198"/>
      <c r="G435" s="214"/>
      <c r="H435" s="199"/>
      <c r="I435" s="78"/>
      <c r="J435" s="79"/>
      <c r="K435" s="78"/>
      <c r="L435" s="113"/>
      <c r="M435" s="155"/>
      <c r="N435" s="114" t="str">
        <f>IFERROR(MIN(VLOOKUP(ROUNDDOWN(M435,0),'Aide calcul'!$B$2:$C$282,2,FALSE),L435+1),"")</f>
        <v/>
      </c>
      <c r="O435" s="115" t="str">
        <f t="shared" si="92"/>
        <v/>
      </c>
      <c r="P435" s="173"/>
      <c r="Q435" s="173"/>
      <c r="R435" s="173"/>
      <c r="S435" s="173"/>
      <c r="T435" s="173"/>
      <c r="U435" s="173"/>
      <c r="V435" s="173"/>
      <c r="W435" s="78"/>
      <c r="X435" s="78"/>
      <c r="Y435" s="116" t="str">
        <f>IFERROR(ROUND('Informations générales'!$D$66*(AE435/SUM($AE$27:$AE$403))/12,0)*12,"")</f>
        <v/>
      </c>
      <c r="Z435" s="117"/>
      <c r="AA435" s="116" t="str">
        <f t="shared" si="93"/>
        <v/>
      </c>
      <c r="AB435" s="78"/>
      <c r="AC435" s="92"/>
      <c r="AD435" s="78"/>
      <c r="AE435" s="58">
        <f t="shared" si="94"/>
        <v>0</v>
      </c>
      <c r="AF435" s="58">
        <f t="shared" si="85"/>
        <v>0</v>
      </c>
      <c r="AG435" s="58">
        <f t="shared" si="86"/>
        <v>0</v>
      </c>
      <c r="AH435" s="58">
        <f t="shared" si="87"/>
        <v>0</v>
      </c>
      <c r="AI435" s="58">
        <f t="shared" si="88"/>
        <v>0</v>
      </c>
      <c r="AJ435" s="58">
        <f t="shared" si="89"/>
        <v>0</v>
      </c>
      <c r="AK435" s="58">
        <f t="shared" si="90"/>
        <v>0</v>
      </c>
      <c r="AL435" s="58">
        <f t="shared" si="91"/>
        <v>0</v>
      </c>
      <c r="AM435" s="58">
        <f t="shared" si="95"/>
        <v>0</v>
      </c>
      <c r="AN435" s="62">
        <f t="shared" si="96"/>
        <v>0</v>
      </c>
      <c r="AO435" s="61">
        <f t="shared" si="97"/>
        <v>0</v>
      </c>
      <c r="AP435" s="61">
        <f t="shared" si="98"/>
        <v>0</v>
      </c>
    </row>
    <row r="436" spans="3:42" s="17" customFormat="1" x14ac:dyDescent="0.25">
      <c r="C436" s="216" t="s">
        <v>229</v>
      </c>
      <c r="D436" s="217"/>
      <c r="E436" s="90"/>
      <c r="F436" s="198"/>
      <c r="G436" s="214"/>
      <c r="H436" s="199"/>
      <c r="I436" s="78"/>
      <c r="J436" s="79"/>
      <c r="K436" s="78"/>
      <c r="L436" s="113"/>
      <c r="M436" s="155"/>
      <c r="N436" s="114" t="str">
        <f>IFERROR(MIN(VLOOKUP(ROUNDDOWN(M436,0),'Aide calcul'!$B$2:$C$282,2,FALSE),L436+1),"")</f>
        <v/>
      </c>
      <c r="O436" s="115" t="str">
        <f t="shared" si="92"/>
        <v/>
      </c>
      <c r="P436" s="173"/>
      <c r="Q436" s="173"/>
      <c r="R436" s="173"/>
      <c r="S436" s="173"/>
      <c r="T436" s="173"/>
      <c r="U436" s="173"/>
      <c r="V436" s="173"/>
      <c r="W436" s="78"/>
      <c r="X436" s="78"/>
      <c r="Y436" s="116" t="str">
        <f>IFERROR(ROUND('Informations générales'!$D$66*(AE436/SUM($AE$27:$AE$403))/12,0)*12,"")</f>
        <v/>
      </c>
      <c r="Z436" s="117"/>
      <c r="AA436" s="116" t="str">
        <f t="shared" si="93"/>
        <v/>
      </c>
      <c r="AB436" s="78"/>
      <c r="AC436" s="92"/>
      <c r="AD436" s="78"/>
      <c r="AE436" s="58">
        <f t="shared" si="94"/>
        <v>0</v>
      </c>
      <c r="AF436" s="58">
        <f t="shared" si="85"/>
        <v>0</v>
      </c>
      <c r="AG436" s="58">
        <f t="shared" si="86"/>
        <v>0</v>
      </c>
      <c r="AH436" s="58">
        <f t="shared" si="87"/>
        <v>0</v>
      </c>
      <c r="AI436" s="58">
        <f t="shared" si="88"/>
        <v>0</v>
      </c>
      <c r="AJ436" s="58">
        <f t="shared" si="89"/>
        <v>0</v>
      </c>
      <c r="AK436" s="58">
        <f t="shared" si="90"/>
        <v>0</v>
      </c>
      <c r="AL436" s="58">
        <f t="shared" si="91"/>
        <v>0</v>
      </c>
      <c r="AM436" s="58">
        <f t="shared" si="95"/>
        <v>0</v>
      </c>
      <c r="AN436" s="62">
        <f t="shared" si="96"/>
        <v>0</v>
      </c>
      <c r="AO436" s="61">
        <f t="shared" si="97"/>
        <v>0</v>
      </c>
      <c r="AP436" s="61">
        <f t="shared" si="98"/>
        <v>0</v>
      </c>
    </row>
    <row r="437" spans="3:42" s="17" customFormat="1" x14ac:dyDescent="0.25">
      <c r="C437" s="216" t="s">
        <v>229</v>
      </c>
      <c r="D437" s="217"/>
      <c r="E437" s="90"/>
      <c r="F437" s="198"/>
      <c r="G437" s="214"/>
      <c r="H437" s="199"/>
      <c r="I437" s="78"/>
      <c r="J437" s="79"/>
      <c r="K437" s="78"/>
      <c r="L437" s="113"/>
      <c r="M437" s="155"/>
      <c r="N437" s="114" t="str">
        <f>IFERROR(MIN(VLOOKUP(ROUNDDOWN(M437,0),'Aide calcul'!$B$2:$C$282,2,FALSE),L437+1),"")</f>
        <v/>
      </c>
      <c r="O437" s="115" t="str">
        <f t="shared" si="92"/>
        <v/>
      </c>
      <c r="P437" s="173"/>
      <c r="Q437" s="173"/>
      <c r="R437" s="173"/>
      <c r="S437" s="173"/>
      <c r="T437" s="173"/>
      <c r="U437" s="173"/>
      <c r="V437" s="173"/>
      <c r="W437" s="78"/>
      <c r="X437" s="78"/>
      <c r="Y437" s="116" t="str">
        <f>IFERROR(ROUND('Informations générales'!$D$66*(AE437/SUM($AE$27:$AE$403))/12,0)*12,"")</f>
        <v/>
      </c>
      <c r="Z437" s="117"/>
      <c r="AA437" s="116" t="str">
        <f t="shared" si="93"/>
        <v/>
      </c>
      <c r="AB437" s="78"/>
      <c r="AC437" s="92"/>
      <c r="AD437" s="78"/>
      <c r="AE437" s="58">
        <f t="shared" si="94"/>
        <v>0</v>
      </c>
      <c r="AF437" s="58">
        <f t="shared" si="85"/>
        <v>0</v>
      </c>
      <c r="AG437" s="58">
        <f t="shared" si="86"/>
        <v>0</v>
      </c>
      <c r="AH437" s="58">
        <f t="shared" si="87"/>
        <v>0</v>
      </c>
      <c r="AI437" s="58">
        <f t="shared" si="88"/>
        <v>0</v>
      </c>
      <c r="AJ437" s="58">
        <f t="shared" si="89"/>
        <v>0</v>
      </c>
      <c r="AK437" s="58">
        <f t="shared" si="90"/>
        <v>0</v>
      </c>
      <c r="AL437" s="58">
        <f t="shared" si="91"/>
        <v>0</v>
      </c>
      <c r="AM437" s="58">
        <f t="shared" si="95"/>
        <v>0</v>
      </c>
      <c r="AN437" s="62">
        <f t="shared" si="96"/>
        <v>0</v>
      </c>
      <c r="AO437" s="61">
        <f t="shared" si="97"/>
        <v>0</v>
      </c>
      <c r="AP437" s="61">
        <f t="shared" si="98"/>
        <v>0</v>
      </c>
    </row>
    <row r="438" spans="3:42" s="17" customFormat="1" x14ac:dyDescent="0.25">
      <c r="C438" s="216" t="s">
        <v>229</v>
      </c>
      <c r="D438" s="217"/>
      <c r="E438" s="90"/>
      <c r="F438" s="198"/>
      <c r="G438" s="214"/>
      <c r="H438" s="199"/>
      <c r="I438" s="78"/>
      <c r="J438" s="79"/>
      <c r="K438" s="78"/>
      <c r="L438" s="113"/>
      <c r="M438" s="155"/>
      <c r="N438" s="114" t="str">
        <f>IFERROR(MIN(VLOOKUP(ROUNDDOWN(M438,0),'Aide calcul'!$B$2:$C$282,2,FALSE),L438+1),"")</f>
        <v/>
      </c>
      <c r="O438" s="115" t="str">
        <f t="shared" si="92"/>
        <v/>
      </c>
      <c r="P438" s="173"/>
      <c r="Q438" s="173"/>
      <c r="R438" s="173"/>
      <c r="S438" s="173"/>
      <c r="T438" s="173"/>
      <c r="U438" s="173"/>
      <c r="V438" s="173"/>
      <c r="W438" s="78"/>
      <c r="X438" s="78"/>
      <c r="Y438" s="116" t="str">
        <f>IFERROR(ROUND('Informations générales'!$D$66*(AE438/SUM($AE$27:$AE$403))/12,0)*12,"")</f>
        <v/>
      </c>
      <c r="Z438" s="117"/>
      <c r="AA438" s="116" t="str">
        <f t="shared" si="93"/>
        <v/>
      </c>
      <c r="AB438" s="78"/>
      <c r="AC438" s="92"/>
      <c r="AD438" s="78"/>
      <c r="AE438" s="58">
        <f t="shared" si="94"/>
        <v>0</v>
      </c>
      <c r="AF438" s="58">
        <f t="shared" si="85"/>
        <v>0</v>
      </c>
      <c r="AG438" s="58">
        <f t="shared" si="86"/>
        <v>0</v>
      </c>
      <c r="AH438" s="58">
        <f t="shared" si="87"/>
        <v>0</v>
      </c>
      <c r="AI438" s="58">
        <f t="shared" si="88"/>
        <v>0</v>
      </c>
      <c r="AJ438" s="58">
        <f t="shared" si="89"/>
        <v>0</v>
      </c>
      <c r="AK438" s="58">
        <f t="shared" si="90"/>
        <v>0</v>
      </c>
      <c r="AL438" s="58">
        <f t="shared" si="91"/>
        <v>0</v>
      </c>
      <c r="AM438" s="58">
        <f t="shared" si="95"/>
        <v>0</v>
      </c>
      <c r="AN438" s="62">
        <f t="shared" si="96"/>
        <v>0</v>
      </c>
      <c r="AO438" s="61">
        <f t="shared" si="97"/>
        <v>0</v>
      </c>
      <c r="AP438" s="61">
        <f t="shared" si="98"/>
        <v>0</v>
      </c>
    </row>
    <row r="439" spans="3:42" s="17" customFormat="1" x14ac:dyDescent="0.25">
      <c r="C439" s="216" t="s">
        <v>229</v>
      </c>
      <c r="D439" s="217"/>
      <c r="E439" s="90"/>
      <c r="F439" s="198"/>
      <c r="G439" s="214"/>
      <c r="H439" s="199"/>
      <c r="I439" s="78"/>
      <c r="J439" s="79"/>
      <c r="K439" s="78"/>
      <c r="L439" s="113"/>
      <c r="M439" s="155"/>
      <c r="N439" s="114" t="str">
        <f>IFERROR(MIN(VLOOKUP(ROUNDDOWN(M439,0),'Aide calcul'!$B$2:$C$282,2,FALSE),L439+1),"")</f>
        <v/>
      </c>
      <c r="O439" s="115" t="str">
        <f t="shared" si="92"/>
        <v/>
      </c>
      <c r="P439" s="173"/>
      <c r="Q439" s="173"/>
      <c r="R439" s="173"/>
      <c r="S439" s="173"/>
      <c r="T439" s="173"/>
      <c r="U439" s="173"/>
      <c r="V439" s="173"/>
      <c r="W439" s="78"/>
      <c r="X439" s="78"/>
      <c r="Y439" s="116" t="str">
        <f>IFERROR(ROUND('Informations générales'!$D$66*(AE439/SUM($AE$27:$AE$403))/12,0)*12,"")</f>
        <v/>
      </c>
      <c r="Z439" s="117"/>
      <c r="AA439" s="116" t="str">
        <f t="shared" si="93"/>
        <v/>
      </c>
      <c r="AB439" s="78"/>
      <c r="AC439" s="92"/>
      <c r="AD439" s="78"/>
      <c r="AE439" s="58">
        <f t="shared" si="94"/>
        <v>0</v>
      </c>
      <c r="AF439" s="58">
        <f t="shared" si="85"/>
        <v>0</v>
      </c>
      <c r="AG439" s="58">
        <f t="shared" si="86"/>
        <v>0</v>
      </c>
      <c r="AH439" s="58">
        <f t="shared" si="87"/>
        <v>0</v>
      </c>
      <c r="AI439" s="58">
        <f t="shared" si="88"/>
        <v>0</v>
      </c>
      <c r="AJ439" s="58">
        <f t="shared" si="89"/>
        <v>0</v>
      </c>
      <c r="AK439" s="58">
        <f t="shared" si="90"/>
        <v>0</v>
      </c>
      <c r="AL439" s="58">
        <f t="shared" si="91"/>
        <v>0</v>
      </c>
      <c r="AM439" s="58">
        <f t="shared" si="95"/>
        <v>0</v>
      </c>
      <c r="AN439" s="62">
        <f t="shared" si="96"/>
        <v>0</v>
      </c>
      <c r="AO439" s="61">
        <f t="shared" si="97"/>
        <v>0</v>
      </c>
      <c r="AP439" s="61">
        <f t="shared" si="98"/>
        <v>0</v>
      </c>
    </row>
    <row r="440" spans="3:42" s="17" customFormat="1" x14ac:dyDescent="0.25">
      <c r="C440" s="216" t="s">
        <v>229</v>
      </c>
      <c r="D440" s="217"/>
      <c r="E440" s="90"/>
      <c r="F440" s="198"/>
      <c r="G440" s="214"/>
      <c r="H440" s="199"/>
      <c r="I440" s="78"/>
      <c r="J440" s="79"/>
      <c r="K440" s="78"/>
      <c r="L440" s="113"/>
      <c r="M440" s="155"/>
      <c r="N440" s="114" t="str">
        <f>IFERROR(MIN(VLOOKUP(ROUNDDOWN(M440,0),'Aide calcul'!$B$2:$C$282,2,FALSE),L440+1),"")</f>
        <v/>
      </c>
      <c r="O440" s="115" t="str">
        <f t="shared" si="92"/>
        <v/>
      </c>
      <c r="P440" s="173"/>
      <c r="Q440" s="173"/>
      <c r="R440" s="173"/>
      <c r="S440" s="173"/>
      <c r="T440" s="173"/>
      <c r="U440" s="173"/>
      <c r="V440" s="173"/>
      <c r="W440" s="78"/>
      <c r="X440" s="78"/>
      <c r="Y440" s="116" t="str">
        <f>IFERROR(ROUND('Informations générales'!$D$66*(AE440/SUM($AE$27:$AE$403))/12,0)*12,"")</f>
        <v/>
      </c>
      <c r="Z440" s="117"/>
      <c r="AA440" s="116" t="str">
        <f t="shared" si="93"/>
        <v/>
      </c>
      <c r="AB440" s="78"/>
      <c r="AC440" s="92"/>
      <c r="AD440" s="78"/>
      <c r="AE440" s="58">
        <f t="shared" si="94"/>
        <v>0</v>
      </c>
      <c r="AF440" s="58">
        <f t="shared" si="85"/>
        <v>0</v>
      </c>
      <c r="AG440" s="58">
        <f t="shared" si="86"/>
        <v>0</v>
      </c>
      <c r="AH440" s="58">
        <f t="shared" si="87"/>
        <v>0</v>
      </c>
      <c r="AI440" s="58">
        <f t="shared" si="88"/>
        <v>0</v>
      </c>
      <c r="AJ440" s="58">
        <f t="shared" si="89"/>
        <v>0</v>
      </c>
      <c r="AK440" s="58">
        <f t="shared" si="90"/>
        <v>0</v>
      </c>
      <c r="AL440" s="58">
        <f t="shared" si="91"/>
        <v>0</v>
      </c>
      <c r="AM440" s="58">
        <f t="shared" si="95"/>
        <v>0</v>
      </c>
      <c r="AN440" s="62">
        <f t="shared" si="96"/>
        <v>0</v>
      </c>
      <c r="AO440" s="61">
        <f t="shared" si="97"/>
        <v>0</v>
      </c>
      <c r="AP440" s="61">
        <f t="shared" si="98"/>
        <v>0</v>
      </c>
    </row>
    <row r="441" spans="3:42" s="17" customFormat="1" x14ac:dyDescent="0.25">
      <c r="C441" s="216" t="s">
        <v>229</v>
      </c>
      <c r="D441" s="217"/>
      <c r="E441" s="90"/>
      <c r="F441" s="198"/>
      <c r="G441" s="214"/>
      <c r="H441" s="199"/>
      <c r="I441" s="78"/>
      <c r="J441" s="79"/>
      <c r="K441" s="78"/>
      <c r="L441" s="113"/>
      <c r="M441" s="155"/>
      <c r="N441" s="114" t="str">
        <f>IFERROR(MIN(VLOOKUP(ROUNDDOWN(M441,0),'Aide calcul'!$B$2:$C$282,2,FALSE),L441+1),"")</f>
        <v/>
      </c>
      <c r="O441" s="115" t="str">
        <f t="shared" si="92"/>
        <v/>
      </c>
      <c r="P441" s="173"/>
      <c r="Q441" s="173"/>
      <c r="R441" s="173"/>
      <c r="S441" s="173"/>
      <c r="T441" s="173"/>
      <c r="U441" s="173"/>
      <c r="V441" s="173"/>
      <c r="W441" s="78"/>
      <c r="X441" s="78"/>
      <c r="Y441" s="116" t="str">
        <f>IFERROR(ROUND('Informations générales'!$D$66*(AE441/SUM($AE$27:$AE$403))/12,0)*12,"")</f>
        <v/>
      </c>
      <c r="Z441" s="117"/>
      <c r="AA441" s="116" t="str">
        <f t="shared" si="93"/>
        <v/>
      </c>
      <c r="AB441" s="78"/>
      <c r="AC441" s="92"/>
      <c r="AD441" s="78"/>
      <c r="AE441" s="58">
        <f t="shared" si="94"/>
        <v>0</v>
      </c>
      <c r="AF441" s="58">
        <f t="shared" si="85"/>
        <v>0</v>
      </c>
      <c r="AG441" s="58">
        <f t="shared" si="86"/>
        <v>0</v>
      </c>
      <c r="AH441" s="58">
        <f t="shared" si="87"/>
        <v>0</v>
      </c>
      <c r="AI441" s="58">
        <f t="shared" si="88"/>
        <v>0</v>
      </c>
      <c r="AJ441" s="58">
        <f t="shared" si="89"/>
        <v>0</v>
      </c>
      <c r="AK441" s="58">
        <f t="shared" si="90"/>
        <v>0</v>
      </c>
      <c r="AL441" s="58">
        <f t="shared" si="91"/>
        <v>0</v>
      </c>
      <c r="AM441" s="58">
        <f t="shared" si="95"/>
        <v>0</v>
      </c>
      <c r="AN441" s="62">
        <f t="shared" si="96"/>
        <v>0</v>
      </c>
      <c r="AO441" s="61">
        <f t="shared" si="97"/>
        <v>0</v>
      </c>
      <c r="AP441" s="61">
        <f t="shared" si="98"/>
        <v>0</v>
      </c>
    </row>
    <row r="442" spans="3:42" s="17" customFormat="1" x14ac:dyDescent="0.25">
      <c r="C442" s="216" t="s">
        <v>229</v>
      </c>
      <c r="D442" s="217"/>
      <c r="E442" s="90"/>
      <c r="F442" s="198"/>
      <c r="G442" s="214"/>
      <c r="H442" s="199"/>
      <c r="I442" s="78"/>
      <c r="J442" s="79"/>
      <c r="K442" s="78"/>
      <c r="L442" s="113"/>
      <c r="M442" s="155"/>
      <c r="N442" s="114" t="str">
        <f>IFERROR(MIN(VLOOKUP(ROUNDDOWN(M442,0),'Aide calcul'!$B$2:$C$282,2,FALSE),L442+1),"")</f>
        <v/>
      </c>
      <c r="O442" s="115" t="str">
        <f t="shared" si="92"/>
        <v/>
      </c>
      <c r="P442" s="173"/>
      <c r="Q442" s="173"/>
      <c r="R442" s="173"/>
      <c r="S442" s="173"/>
      <c r="T442" s="173"/>
      <c r="U442" s="173"/>
      <c r="V442" s="173"/>
      <c r="W442" s="78"/>
      <c r="X442" s="78"/>
      <c r="Y442" s="116" t="str">
        <f>IFERROR(ROUND('Informations générales'!$D$66*(AE442/SUM($AE$27:$AE$403))/12,0)*12,"")</f>
        <v/>
      </c>
      <c r="Z442" s="117"/>
      <c r="AA442" s="116" t="str">
        <f t="shared" si="93"/>
        <v/>
      </c>
      <c r="AB442" s="78"/>
      <c r="AC442" s="92"/>
      <c r="AD442" s="78"/>
      <c r="AE442" s="58">
        <f t="shared" si="94"/>
        <v>0</v>
      </c>
      <c r="AF442" s="58">
        <f t="shared" si="85"/>
        <v>0</v>
      </c>
      <c r="AG442" s="58">
        <f t="shared" si="86"/>
        <v>0</v>
      </c>
      <c r="AH442" s="58">
        <f t="shared" si="87"/>
        <v>0</v>
      </c>
      <c r="AI442" s="58">
        <f t="shared" si="88"/>
        <v>0</v>
      </c>
      <c r="AJ442" s="58">
        <f t="shared" si="89"/>
        <v>0</v>
      </c>
      <c r="AK442" s="58">
        <f t="shared" si="90"/>
        <v>0</v>
      </c>
      <c r="AL442" s="58">
        <f t="shared" si="91"/>
        <v>0</v>
      </c>
      <c r="AM442" s="58">
        <f t="shared" si="95"/>
        <v>0</v>
      </c>
      <c r="AN442" s="62">
        <f t="shared" si="96"/>
        <v>0</v>
      </c>
      <c r="AO442" s="61">
        <f t="shared" si="97"/>
        <v>0</v>
      </c>
      <c r="AP442" s="61">
        <f t="shared" si="98"/>
        <v>0</v>
      </c>
    </row>
    <row r="443" spans="3:42" s="17" customFormat="1" x14ac:dyDescent="0.25">
      <c r="C443" s="216" t="s">
        <v>229</v>
      </c>
      <c r="D443" s="217"/>
      <c r="E443" s="90"/>
      <c r="F443" s="198"/>
      <c r="G443" s="214"/>
      <c r="H443" s="199"/>
      <c r="I443" s="78"/>
      <c r="J443" s="79"/>
      <c r="K443" s="78"/>
      <c r="L443" s="113"/>
      <c r="M443" s="155"/>
      <c r="N443" s="114" t="str">
        <f>IFERROR(MIN(VLOOKUP(ROUNDDOWN(M443,0),'Aide calcul'!$B$2:$C$282,2,FALSE),L443+1),"")</f>
        <v/>
      </c>
      <c r="O443" s="115" t="str">
        <f t="shared" si="92"/>
        <v/>
      </c>
      <c r="P443" s="173"/>
      <c r="Q443" s="173"/>
      <c r="R443" s="173"/>
      <c r="S443" s="173"/>
      <c r="T443" s="173"/>
      <c r="U443" s="173"/>
      <c r="V443" s="173"/>
      <c r="W443" s="78"/>
      <c r="X443" s="78"/>
      <c r="Y443" s="116" t="str">
        <f>IFERROR(ROUND('Informations générales'!$D$66*(AE443/SUM($AE$27:$AE$403))/12,0)*12,"")</f>
        <v/>
      </c>
      <c r="Z443" s="117"/>
      <c r="AA443" s="116" t="str">
        <f t="shared" si="93"/>
        <v/>
      </c>
      <c r="AB443" s="78"/>
      <c r="AC443" s="92"/>
      <c r="AD443" s="78"/>
      <c r="AE443" s="58">
        <f t="shared" si="94"/>
        <v>0</v>
      </c>
      <c r="AF443" s="58">
        <f t="shared" si="85"/>
        <v>0</v>
      </c>
      <c r="AG443" s="58">
        <f t="shared" si="86"/>
        <v>0</v>
      </c>
      <c r="AH443" s="58">
        <f t="shared" si="87"/>
        <v>0</v>
      </c>
      <c r="AI443" s="58">
        <f t="shared" si="88"/>
        <v>0</v>
      </c>
      <c r="AJ443" s="58">
        <f t="shared" si="89"/>
        <v>0</v>
      </c>
      <c r="AK443" s="58">
        <f t="shared" si="90"/>
        <v>0</v>
      </c>
      <c r="AL443" s="58">
        <f t="shared" si="91"/>
        <v>0</v>
      </c>
      <c r="AM443" s="58">
        <f t="shared" si="95"/>
        <v>0</v>
      </c>
      <c r="AN443" s="62">
        <f t="shared" si="96"/>
        <v>0</v>
      </c>
      <c r="AO443" s="61">
        <f t="shared" si="97"/>
        <v>0</v>
      </c>
      <c r="AP443" s="61">
        <f t="shared" si="98"/>
        <v>0</v>
      </c>
    </row>
    <row r="444" spans="3:42" s="17" customFormat="1" x14ac:dyDescent="0.25">
      <c r="C444" s="216" t="s">
        <v>229</v>
      </c>
      <c r="D444" s="217"/>
      <c r="E444" s="90"/>
      <c r="F444" s="198"/>
      <c r="G444" s="214"/>
      <c r="H444" s="199"/>
      <c r="I444" s="78"/>
      <c r="J444" s="79"/>
      <c r="K444" s="78"/>
      <c r="L444" s="113"/>
      <c r="M444" s="155"/>
      <c r="N444" s="114" t="str">
        <f>IFERROR(MIN(VLOOKUP(ROUNDDOWN(M444,0),'Aide calcul'!$B$2:$C$282,2,FALSE),L444+1),"")</f>
        <v/>
      </c>
      <c r="O444" s="115" t="str">
        <f t="shared" si="92"/>
        <v/>
      </c>
      <c r="P444" s="173"/>
      <c r="Q444" s="173"/>
      <c r="R444" s="173"/>
      <c r="S444" s="173"/>
      <c r="T444" s="173"/>
      <c r="U444" s="173"/>
      <c r="V444" s="173"/>
      <c r="W444" s="78"/>
      <c r="X444" s="78"/>
      <c r="Y444" s="116" t="str">
        <f>IFERROR(ROUND('Informations générales'!$D$66*(AE444/SUM($AE$27:$AE$403))/12,0)*12,"")</f>
        <v/>
      </c>
      <c r="Z444" s="117"/>
      <c r="AA444" s="116" t="str">
        <f t="shared" si="93"/>
        <v/>
      </c>
      <c r="AB444" s="78"/>
      <c r="AC444" s="92"/>
      <c r="AD444" s="78"/>
      <c r="AE444" s="58">
        <f t="shared" si="94"/>
        <v>0</v>
      </c>
      <c r="AF444" s="58">
        <f t="shared" si="85"/>
        <v>0</v>
      </c>
      <c r="AG444" s="58">
        <f t="shared" si="86"/>
        <v>0</v>
      </c>
      <c r="AH444" s="58">
        <f t="shared" si="87"/>
        <v>0</v>
      </c>
      <c r="AI444" s="58">
        <f t="shared" si="88"/>
        <v>0</v>
      </c>
      <c r="AJ444" s="58">
        <f t="shared" si="89"/>
        <v>0</v>
      </c>
      <c r="AK444" s="58">
        <f t="shared" si="90"/>
        <v>0</v>
      </c>
      <c r="AL444" s="58">
        <f t="shared" si="91"/>
        <v>0</v>
      </c>
      <c r="AM444" s="58">
        <f t="shared" si="95"/>
        <v>0</v>
      </c>
      <c r="AN444" s="62">
        <f t="shared" si="96"/>
        <v>0</v>
      </c>
      <c r="AO444" s="61">
        <f t="shared" si="97"/>
        <v>0</v>
      </c>
      <c r="AP444" s="61">
        <f t="shared" si="98"/>
        <v>0</v>
      </c>
    </row>
    <row r="445" spans="3:42" s="17" customFormat="1" x14ac:dyDescent="0.25">
      <c r="C445" s="216" t="s">
        <v>229</v>
      </c>
      <c r="D445" s="217"/>
      <c r="E445" s="90"/>
      <c r="F445" s="198"/>
      <c r="G445" s="214"/>
      <c r="H445" s="199"/>
      <c r="I445" s="78"/>
      <c r="J445" s="79"/>
      <c r="K445" s="78"/>
      <c r="L445" s="113"/>
      <c r="M445" s="155"/>
      <c r="N445" s="114" t="str">
        <f>IFERROR(MIN(VLOOKUP(ROUNDDOWN(M445,0),'Aide calcul'!$B$2:$C$282,2,FALSE),L445+1),"")</f>
        <v/>
      </c>
      <c r="O445" s="115" t="str">
        <f t="shared" si="92"/>
        <v/>
      </c>
      <c r="P445" s="173"/>
      <c r="Q445" s="173"/>
      <c r="R445" s="173"/>
      <c r="S445" s="173"/>
      <c r="T445" s="173"/>
      <c r="U445" s="173"/>
      <c r="V445" s="173"/>
      <c r="W445" s="78"/>
      <c r="X445" s="78"/>
      <c r="Y445" s="116" t="str">
        <f>IFERROR(ROUND('Informations générales'!$D$66*(AE445/SUM($AE$27:$AE$403))/12,0)*12,"")</f>
        <v/>
      </c>
      <c r="Z445" s="117"/>
      <c r="AA445" s="116" t="str">
        <f t="shared" si="93"/>
        <v/>
      </c>
      <c r="AB445" s="78"/>
      <c r="AC445" s="92"/>
      <c r="AD445" s="78"/>
      <c r="AE445" s="58">
        <f t="shared" si="94"/>
        <v>0</v>
      </c>
      <c r="AF445" s="58">
        <f t="shared" si="85"/>
        <v>0</v>
      </c>
      <c r="AG445" s="58">
        <f t="shared" si="86"/>
        <v>0</v>
      </c>
      <c r="AH445" s="58">
        <f t="shared" si="87"/>
        <v>0</v>
      </c>
      <c r="AI445" s="58">
        <f t="shared" si="88"/>
        <v>0</v>
      </c>
      <c r="AJ445" s="58">
        <f t="shared" si="89"/>
        <v>0</v>
      </c>
      <c r="AK445" s="58">
        <f t="shared" si="90"/>
        <v>0</v>
      </c>
      <c r="AL445" s="58">
        <f t="shared" si="91"/>
        <v>0</v>
      </c>
      <c r="AM445" s="58">
        <f t="shared" si="95"/>
        <v>0</v>
      </c>
      <c r="AN445" s="62">
        <f t="shared" si="96"/>
        <v>0</v>
      </c>
      <c r="AO445" s="61">
        <f t="shared" si="97"/>
        <v>0</v>
      </c>
      <c r="AP445" s="61">
        <f t="shared" si="98"/>
        <v>0</v>
      </c>
    </row>
    <row r="446" spans="3:42" s="17" customFormat="1" x14ac:dyDescent="0.25">
      <c r="C446" s="216" t="s">
        <v>229</v>
      </c>
      <c r="D446" s="217"/>
      <c r="E446" s="90"/>
      <c r="F446" s="198"/>
      <c r="G446" s="214"/>
      <c r="H446" s="199"/>
      <c r="I446" s="78"/>
      <c r="J446" s="79"/>
      <c r="K446" s="78"/>
      <c r="L446" s="113"/>
      <c r="M446" s="155"/>
      <c r="N446" s="114" t="str">
        <f>IFERROR(MIN(VLOOKUP(ROUNDDOWN(M446,0),'Aide calcul'!$B$2:$C$282,2,FALSE),L446+1),"")</f>
        <v/>
      </c>
      <c r="O446" s="115" t="str">
        <f t="shared" si="92"/>
        <v/>
      </c>
      <c r="P446" s="173"/>
      <c r="Q446" s="173"/>
      <c r="R446" s="173"/>
      <c r="S446" s="173"/>
      <c r="T446" s="173"/>
      <c r="U446" s="173"/>
      <c r="V446" s="173"/>
      <c r="W446" s="78"/>
      <c r="X446" s="78"/>
      <c r="Y446" s="116" t="str">
        <f>IFERROR(ROUND('Informations générales'!$D$66*(AE446/SUM($AE$27:$AE$403))/12,0)*12,"")</f>
        <v/>
      </c>
      <c r="Z446" s="117"/>
      <c r="AA446" s="116" t="str">
        <f t="shared" si="93"/>
        <v/>
      </c>
      <c r="AB446" s="78"/>
      <c r="AC446" s="92"/>
      <c r="AD446" s="78"/>
      <c r="AE446" s="58">
        <f t="shared" si="94"/>
        <v>0</v>
      </c>
      <c r="AF446" s="58">
        <f t="shared" si="85"/>
        <v>0</v>
      </c>
      <c r="AG446" s="58">
        <f t="shared" si="86"/>
        <v>0</v>
      </c>
      <c r="AH446" s="58">
        <f t="shared" si="87"/>
        <v>0</v>
      </c>
      <c r="AI446" s="58">
        <f t="shared" si="88"/>
        <v>0</v>
      </c>
      <c r="AJ446" s="58">
        <f t="shared" si="89"/>
        <v>0</v>
      </c>
      <c r="AK446" s="58">
        <f t="shared" si="90"/>
        <v>0</v>
      </c>
      <c r="AL446" s="58">
        <f t="shared" si="91"/>
        <v>0</v>
      </c>
      <c r="AM446" s="58">
        <f t="shared" si="95"/>
        <v>0</v>
      </c>
      <c r="AN446" s="62">
        <f t="shared" si="96"/>
        <v>0</v>
      </c>
      <c r="AO446" s="61">
        <f t="shared" si="97"/>
        <v>0</v>
      </c>
      <c r="AP446" s="61">
        <f t="shared" si="98"/>
        <v>0</v>
      </c>
    </row>
    <row r="447" spans="3:42" s="17" customFormat="1" x14ac:dyDescent="0.25">
      <c r="C447" s="216" t="s">
        <v>229</v>
      </c>
      <c r="D447" s="217"/>
      <c r="E447" s="90"/>
      <c r="F447" s="198"/>
      <c r="G447" s="214"/>
      <c r="H447" s="199"/>
      <c r="I447" s="78"/>
      <c r="J447" s="79"/>
      <c r="K447" s="78"/>
      <c r="L447" s="113"/>
      <c r="M447" s="155"/>
      <c r="N447" s="114" t="str">
        <f>IFERROR(MIN(VLOOKUP(ROUNDDOWN(M447,0),'Aide calcul'!$B$2:$C$282,2,FALSE),L447+1),"")</f>
        <v/>
      </c>
      <c r="O447" s="115" t="str">
        <f t="shared" si="92"/>
        <v/>
      </c>
      <c r="P447" s="173"/>
      <c r="Q447" s="173"/>
      <c r="R447" s="173"/>
      <c r="S447" s="173"/>
      <c r="T447" s="173"/>
      <c r="U447" s="173"/>
      <c r="V447" s="173"/>
      <c r="W447" s="78"/>
      <c r="X447" s="78"/>
      <c r="Y447" s="116" t="str">
        <f>IFERROR(ROUND('Informations générales'!$D$66*(AE447/SUM($AE$27:$AE$403))/12,0)*12,"")</f>
        <v/>
      </c>
      <c r="Z447" s="117"/>
      <c r="AA447" s="116" t="str">
        <f t="shared" si="93"/>
        <v/>
      </c>
      <c r="AB447" s="78"/>
      <c r="AC447" s="92"/>
      <c r="AD447" s="78"/>
      <c r="AE447" s="58">
        <f t="shared" si="94"/>
        <v>0</v>
      </c>
      <c r="AF447" s="58">
        <f t="shared" si="85"/>
        <v>0</v>
      </c>
      <c r="AG447" s="58">
        <f t="shared" si="86"/>
        <v>0</v>
      </c>
      <c r="AH447" s="58">
        <f t="shared" si="87"/>
        <v>0</v>
      </c>
      <c r="AI447" s="58">
        <f t="shared" si="88"/>
        <v>0</v>
      </c>
      <c r="AJ447" s="58">
        <f t="shared" si="89"/>
        <v>0</v>
      </c>
      <c r="AK447" s="58">
        <f t="shared" si="90"/>
        <v>0</v>
      </c>
      <c r="AL447" s="58">
        <f t="shared" si="91"/>
        <v>0</v>
      </c>
      <c r="AM447" s="58">
        <f t="shared" si="95"/>
        <v>0</v>
      </c>
      <c r="AN447" s="62">
        <f t="shared" si="96"/>
        <v>0</v>
      </c>
      <c r="AO447" s="61">
        <f t="shared" si="97"/>
        <v>0</v>
      </c>
      <c r="AP447" s="61">
        <f t="shared" si="98"/>
        <v>0</v>
      </c>
    </row>
    <row r="448" spans="3:42" s="17" customFormat="1" x14ac:dyDescent="0.25">
      <c r="C448" s="216" t="s">
        <v>229</v>
      </c>
      <c r="D448" s="217"/>
      <c r="E448" s="90"/>
      <c r="F448" s="198"/>
      <c r="G448" s="214"/>
      <c r="H448" s="199"/>
      <c r="I448" s="78"/>
      <c r="J448" s="79"/>
      <c r="K448" s="78"/>
      <c r="L448" s="113"/>
      <c r="M448" s="155"/>
      <c r="N448" s="114" t="str">
        <f>IFERROR(MIN(VLOOKUP(ROUNDDOWN(M448,0),'Aide calcul'!$B$2:$C$282,2,FALSE),L448+1),"")</f>
        <v/>
      </c>
      <c r="O448" s="115" t="str">
        <f t="shared" si="92"/>
        <v/>
      </c>
      <c r="P448" s="173"/>
      <c r="Q448" s="173"/>
      <c r="R448" s="173"/>
      <c r="S448" s="173"/>
      <c r="T448" s="173"/>
      <c r="U448" s="173"/>
      <c r="V448" s="173"/>
      <c r="W448" s="78"/>
      <c r="X448" s="78"/>
      <c r="Y448" s="116" t="str">
        <f>IFERROR(ROUND('Informations générales'!$D$66*(AE448/SUM($AE$27:$AE$403))/12,0)*12,"")</f>
        <v/>
      </c>
      <c r="Z448" s="117"/>
      <c r="AA448" s="116" t="str">
        <f t="shared" si="93"/>
        <v/>
      </c>
      <c r="AB448" s="78"/>
      <c r="AC448" s="92"/>
      <c r="AD448" s="78"/>
      <c r="AE448" s="58">
        <f t="shared" si="94"/>
        <v>0</v>
      </c>
      <c r="AF448" s="58">
        <f t="shared" si="85"/>
        <v>0</v>
      </c>
      <c r="AG448" s="58">
        <f t="shared" si="86"/>
        <v>0</v>
      </c>
      <c r="AH448" s="58">
        <f t="shared" si="87"/>
        <v>0</v>
      </c>
      <c r="AI448" s="58">
        <f t="shared" si="88"/>
        <v>0</v>
      </c>
      <c r="AJ448" s="58">
        <f t="shared" si="89"/>
        <v>0</v>
      </c>
      <c r="AK448" s="58">
        <f t="shared" si="90"/>
        <v>0</v>
      </c>
      <c r="AL448" s="58">
        <f t="shared" si="91"/>
        <v>0</v>
      </c>
      <c r="AM448" s="58">
        <f t="shared" si="95"/>
        <v>0</v>
      </c>
      <c r="AN448" s="62">
        <f t="shared" si="96"/>
        <v>0</v>
      </c>
      <c r="AO448" s="61">
        <f t="shared" si="97"/>
        <v>0</v>
      </c>
      <c r="AP448" s="61">
        <f t="shared" si="98"/>
        <v>0</v>
      </c>
    </row>
    <row r="449" spans="3:42" s="17" customFormat="1" x14ac:dyDescent="0.25">
      <c r="C449" s="216" t="s">
        <v>229</v>
      </c>
      <c r="D449" s="217"/>
      <c r="E449" s="90"/>
      <c r="F449" s="198"/>
      <c r="G449" s="214"/>
      <c r="H449" s="199"/>
      <c r="I449" s="78"/>
      <c r="J449" s="79"/>
      <c r="K449" s="78"/>
      <c r="L449" s="113"/>
      <c r="M449" s="155"/>
      <c r="N449" s="114" t="str">
        <f>IFERROR(MIN(VLOOKUP(ROUNDDOWN(M449,0),'Aide calcul'!$B$2:$C$282,2,FALSE),L449+1),"")</f>
        <v/>
      </c>
      <c r="O449" s="115" t="str">
        <f t="shared" si="92"/>
        <v/>
      </c>
      <c r="P449" s="173"/>
      <c r="Q449" s="173"/>
      <c r="R449" s="173"/>
      <c r="S449" s="173"/>
      <c r="T449" s="173"/>
      <c r="U449" s="173"/>
      <c r="V449" s="173"/>
      <c r="W449" s="78"/>
      <c r="X449" s="78"/>
      <c r="Y449" s="116" t="str">
        <f>IFERROR(ROUND('Informations générales'!$D$66*(AE449/SUM($AE$27:$AE$403))/12,0)*12,"")</f>
        <v/>
      </c>
      <c r="Z449" s="117"/>
      <c r="AA449" s="116" t="str">
        <f t="shared" si="93"/>
        <v/>
      </c>
      <c r="AB449" s="78"/>
      <c r="AC449" s="92"/>
      <c r="AD449" s="78"/>
      <c r="AE449" s="58">
        <f t="shared" si="94"/>
        <v>0</v>
      </c>
      <c r="AF449" s="58">
        <f t="shared" si="85"/>
        <v>0</v>
      </c>
      <c r="AG449" s="58">
        <f t="shared" si="86"/>
        <v>0</v>
      </c>
      <c r="AH449" s="58">
        <f t="shared" si="87"/>
        <v>0</v>
      </c>
      <c r="AI449" s="58">
        <f t="shared" si="88"/>
        <v>0</v>
      </c>
      <c r="AJ449" s="58">
        <f t="shared" si="89"/>
        <v>0</v>
      </c>
      <c r="AK449" s="58">
        <f t="shared" si="90"/>
        <v>0</v>
      </c>
      <c r="AL449" s="58">
        <f t="shared" si="91"/>
        <v>0</v>
      </c>
      <c r="AM449" s="58">
        <f t="shared" si="95"/>
        <v>0</v>
      </c>
      <c r="AN449" s="62">
        <f t="shared" si="96"/>
        <v>0</v>
      </c>
      <c r="AO449" s="61">
        <f t="shared" si="97"/>
        <v>0</v>
      </c>
      <c r="AP449" s="61">
        <f t="shared" si="98"/>
        <v>0</v>
      </c>
    </row>
    <row r="450" spans="3:42" s="17" customFormat="1" x14ac:dyDescent="0.25">
      <c r="C450" s="216" t="s">
        <v>229</v>
      </c>
      <c r="D450" s="217"/>
      <c r="E450" s="90"/>
      <c r="F450" s="198"/>
      <c r="G450" s="214"/>
      <c r="H450" s="199"/>
      <c r="I450" s="78"/>
      <c r="J450" s="79"/>
      <c r="K450" s="78"/>
      <c r="L450" s="113"/>
      <c r="M450" s="155"/>
      <c r="N450" s="114" t="str">
        <f>IFERROR(MIN(VLOOKUP(ROUNDDOWN(M450,0),'Aide calcul'!$B$2:$C$282,2,FALSE),L450+1),"")</f>
        <v/>
      </c>
      <c r="O450" s="115" t="str">
        <f t="shared" si="92"/>
        <v/>
      </c>
      <c r="P450" s="173"/>
      <c r="Q450" s="173"/>
      <c r="R450" s="173"/>
      <c r="S450" s="173"/>
      <c r="T450" s="173"/>
      <c r="U450" s="173"/>
      <c r="V450" s="173"/>
      <c r="W450" s="78"/>
      <c r="X450" s="78"/>
      <c r="Y450" s="116" t="str">
        <f>IFERROR(ROUND('Informations générales'!$D$66*(AE450/SUM($AE$27:$AE$403))/12,0)*12,"")</f>
        <v/>
      </c>
      <c r="Z450" s="117"/>
      <c r="AA450" s="116" t="str">
        <f t="shared" si="93"/>
        <v/>
      </c>
      <c r="AB450" s="78"/>
      <c r="AC450" s="92"/>
      <c r="AD450" s="78"/>
      <c r="AE450" s="58">
        <f t="shared" si="94"/>
        <v>0</v>
      </c>
      <c r="AF450" s="58">
        <f t="shared" si="85"/>
        <v>0</v>
      </c>
      <c r="AG450" s="58">
        <f t="shared" si="86"/>
        <v>0</v>
      </c>
      <c r="AH450" s="58">
        <f t="shared" si="87"/>
        <v>0</v>
      </c>
      <c r="AI450" s="58">
        <f t="shared" si="88"/>
        <v>0</v>
      </c>
      <c r="AJ450" s="58">
        <f t="shared" si="89"/>
        <v>0</v>
      </c>
      <c r="AK450" s="58">
        <f t="shared" si="90"/>
        <v>0</v>
      </c>
      <c r="AL450" s="58">
        <f t="shared" si="91"/>
        <v>0</v>
      </c>
      <c r="AM450" s="58">
        <f t="shared" si="95"/>
        <v>0</v>
      </c>
      <c r="AN450" s="62">
        <f t="shared" si="96"/>
        <v>0</v>
      </c>
      <c r="AO450" s="61">
        <f t="shared" si="97"/>
        <v>0</v>
      </c>
      <c r="AP450" s="61">
        <f t="shared" si="98"/>
        <v>0</v>
      </c>
    </row>
    <row r="451" spans="3:42" s="17" customFormat="1" x14ac:dyDescent="0.25">
      <c r="C451" s="216" t="s">
        <v>229</v>
      </c>
      <c r="D451" s="217"/>
      <c r="E451" s="90"/>
      <c r="F451" s="198"/>
      <c r="G451" s="214"/>
      <c r="H451" s="199"/>
      <c r="I451" s="78"/>
      <c r="J451" s="79"/>
      <c r="K451" s="78"/>
      <c r="L451" s="113"/>
      <c r="M451" s="155"/>
      <c r="N451" s="114" t="str">
        <f>IFERROR(MIN(VLOOKUP(ROUNDDOWN(M451,0),'Aide calcul'!$B$2:$C$282,2,FALSE),L451+1),"")</f>
        <v/>
      </c>
      <c r="O451" s="115" t="str">
        <f t="shared" si="92"/>
        <v/>
      </c>
      <c r="P451" s="173"/>
      <c r="Q451" s="173"/>
      <c r="R451" s="173"/>
      <c r="S451" s="173"/>
      <c r="T451" s="173"/>
      <c r="U451" s="173"/>
      <c r="V451" s="173"/>
      <c r="W451" s="78"/>
      <c r="X451" s="78"/>
      <c r="Y451" s="116" t="str">
        <f>IFERROR(ROUND('Informations générales'!$D$66*(AE451/SUM($AE$27:$AE$403))/12,0)*12,"")</f>
        <v/>
      </c>
      <c r="Z451" s="117"/>
      <c r="AA451" s="116" t="str">
        <f t="shared" si="93"/>
        <v/>
      </c>
      <c r="AB451" s="78"/>
      <c r="AC451" s="92"/>
      <c r="AD451" s="78"/>
      <c r="AE451" s="58">
        <f t="shared" si="94"/>
        <v>0</v>
      </c>
      <c r="AF451" s="58">
        <f t="shared" si="85"/>
        <v>0</v>
      </c>
      <c r="AG451" s="58">
        <f t="shared" si="86"/>
        <v>0</v>
      </c>
      <c r="AH451" s="58">
        <f t="shared" si="87"/>
        <v>0</v>
      </c>
      <c r="AI451" s="58">
        <f t="shared" si="88"/>
        <v>0</v>
      </c>
      <c r="AJ451" s="58">
        <f t="shared" si="89"/>
        <v>0</v>
      </c>
      <c r="AK451" s="58">
        <f t="shared" si="90"/>
        <v>0</v>
      </c>
      <c r="AL451" s="58">
        <f t="shared" si="91"/>
        <v>0</v>
      </c>
      <c r="AM451" s="58">
        <f t="shared" si="95"/>
        <v>0</v>
      </c>
      <c r="AN451" s="62">
        <f t="shared" si="96"/>
        <v>0</v>
      </c>
      <c r="AO451" s="61">
        <f t="shared" si="97"/>
        <v>0</v>
      </c>
      <c r="AP451" s="61">
        <f t="shared" si="98"/>
        <v>0</v>
      </c>
    </row>
    <row r="452" spans="3:42" s="17" customFormat="1" x14ac:dyDescent="0.25">
      <c r="C452" s="216" t="s">
        <v>229</v>
      </c>
      <c r="D452" s="217"/>
      <c r="E452" s="90"/>
      <c r="F452" s="198"/>
      <c r="G452" s="214"/>
      <c r="H452" s="199"/>
      <c r="I452" s="78"/>
      <c r="J452" s="79"/>
      <c r="K452" s="78"/>
      <c r="L452" s="113"/>
      <c r="M452" s="155"/>
      <c r="N452" s="114" t="str">
        <f>IFERROR(MIN(VLOOKUP(ROUNDDOWN(M452,0),'Aide calcul'!$B$2:$C$282,2,FALSE),L452+1),"")</f>
        <v/>
      </c>
      <c r="O452" s="115" t="str">
        <f t="shared" si="92"/>
        <v/>
      </c>
      <c r="P452" s="173"/>
      <c r="Q452" s="173"/>
      <c r="R452" s="173"/>
      <c r="S452" s="173"/>
      <c r="T452" s="173"/>
      <c r="U452" s="173"/>
      <c r="V452" s="173"/>
      <c r="W452" s="78"/>
      <c r="X452" s="78"/>
      <c r="Y452" s="116" t="str">
        <f>IFERROR(ROUND('Informations générales'!$D$66*(AE452/SUM($AE$27:$AE$403))/12,0)*12,"")</f>
        <v/>
      </c>
      <c r="Z452" s="117"/>
      <c r="AA452" s="116" t="str">
        <f t="shared" si="93"/>
        <v/>
      </c>
      <c r="AB452" s="78"/>
      <c r="AC452" s="92"/>
      <c r="AD452" s="78"/>
      <c r="AE452" s="58">
        <f t="shared" si="94"/>
        <v>0</v>
      </c>
      <c r="AF452" s="58">
        <f t="shared" si="85"/>
        <v>0</v>
      </c>
      <c r="AG452" s="58">
        <f t="shared" si="86"/>
        <v>0</v>
      </c>
      <c r="AH452" s="58">
        <f t="shared" si="87"/>
        <v>0</v>
      </c>
      <c r="AI452" s="58">
        <f t="shared" si="88"/>
        <v>0</v>
      </c>
      <c r="AJ452" s="58">
        <f t="shared" si="89"/>
        <v>0</v>
      </c>
      <c r="AK452" s="58">
        <f t="shared" si="90"/>
        <v>0</v>
      </c>
      <c r="AL452" s="58">
        <f t="shared" si="91"/>
        <v>0</v>
      </c>
      <c r="AM452" s="58">
        <f t="shared" si="95"/>
        <v>0</v>
      </c>
      <c r="AN452" s="62">
        <f t="shared" si="96"/>
        <v>0</v>
      </c>
      <c r="AO452" s="61">
        <f t="shared" si="97"/>
        <v>0</v>
      </c>
      <c r="AP452" s="61">
        <f t="shared" si="98"/>
        <v>0</v>
      </c>
    </row>
    <row r="453" spans="3:42" s="17" customFormat="1" x14ac:dyDescent="0.25">
      <c r="C453" s="216" t="s">
        <v>229</v>
      </c>
      <c r="D453" s="217"/>
      <c r="E453" s="90"/>
      <c r="F453" s="198"/>
      <c r="G453" s="214"/>
      <c r="H453" s="199"/>
      <c r="I453" s="78"/>
      <c r="J453" s="79"/>
      <c r="K453" s="78"/>
      <c r="L453" s="113"/>
      <c r="M453" s="155"/>
      <c r="N453" s="114" t="str">
        <f>IFERROR(MIN(VLOOKUP(ROUNDDOWN(M453,0),'Aide calcul'!$B$2:$C$282,2,FALSE),L453+1),"")</f>
        <v/>
      </c>
      <c r="O453" s="115" t="str">
        <f t="shared" si="92"/>
        <v/>
      </c>
      <c r="P453" s="173"/>
      <c r="Q453" s="173"/>
      <c r="R453" s="173"/>
      <c r="S453" s="173"/>
      <c r="T453" s="173"/>
      <c r="U453" s="173"/>
      <c r="V453" s="173"/>
      <c r="W453" s="78"/>
      <c r="X453" s="78"/>
      <c r="Y453" s="116" t="str">
        <f>IFERROR(ROUND('Informations générales'!$D$66*(AE453/SUM($AE$27:$AE$403))/12,0)*12,"")</f>
        <v/>
      </c>
      <c r="Z453" s="117"/>
      <c r="AA453" s="116" t="str">
        <f t="shared" si="93"/>
        <v/>
      </c>
      <c r="AB453" s="78"/>
      <c r="AC453" s="92"/>
      <c r="AD453" s="78"/>
      <c r="AE453" s="58">
        <f t="shared" si="94"/>
        <v>0</v>
      </c>
      <c r="AF453" s="58">
        <f t="shared" si="85"/>
        <v>0</v>
      </c>
      <c r="AG453" s="58">
        <f t="shared" si="86"/>
        <v>0</v>
      </c>
      <c r="AH453" s="58">
        <f t="shared" si="87"/>
        <v>0</v>
      </c>
      <c r="AI453" s="58">
        <f t="shared" si="88"/>
        <v>0</v>
      </c>
      <c r="AJ453" s="58">
        <f t="shared" si="89"/>
        <v>0</v>
      </c>
      <c r="AK453" s="58">
        <f t="shared" si="90"/>
        <v>0</v>
      </c>
      <c r="AL453" s="58">
        <f t="shared" si="91"/>
        <v>0</v>
      </c>
      <c r="AM453" s="58">
        <f t="shared" si="95"/>
        <v>0</v>
      </c>
      <c r="AN453" s="62">
        <f t="shared" si="96"/>
        <v>0</v>
      </c>
      <c r="AO453" s="61">
        <f t="shared" si="97"/>
        <v>0</v>
      </c>
      <c r="AP453" s="61">
        <f t="shared" si="98"/>
        <v>0</v>
      </c>
    </row>
    <row r="454" spans="3:42" s="17" customFormat="1" x14ac:dyDescent="0.25">
      <c r="C454" s="216" t="s">
        <v>229</v>
      </c>
      <c r="D454" s="217"/>
      <c r="E454" s="90"/>
      <c r="F454" s="198"/>
      <c r="G454" s="214"/>
      <c r="H454" s="199"/>
      <c r="I454" s="78"/>
      <c r="J454" s="79"/>
      <c r="K454" s="78"/>
      <c r="L454" s="113"/>
      <c r="M454" s="155"/>
      <c r="N454" s="114" t="str">
        <f>IFERROR(MIN(VLOOKUP(ROUNDDOWN(M454,0),'Aide calcul'!$B$2:$C$282,2,FALSE),L454+1),"")</f>
        <v/>
      </c>
      <c r="O454" s="115" t="str">
        <f t="shared" si="92"/>
        <v/>
      </c>
      <c r="P454" s="173"/>
      <c r="Q454" s="173"/>
      <c r="R454" s="173"/>
      <c r="S454" s="173"/>
      <c r="T454" s="173"/>
      <c r="U454" s="173"/>
      <c r="V454" s="173"/>
      <c r="W454" s="78"/>
      <c r="X454" s="78"/>
      <c r="Y454" s="116" t="str">
        <f>IFERROR(ROUND('Informations générales'!$D$66*(AE454/SUM($AE$27:$AE$403))/12,0)*12,"")</f>
        <v/>
      </c>
      <c r="Z454" s="117"/>
      <c r="AA454" s="116" t="str">
        <f t="shared" si="93"/>
        <v/>
      </c>
      <c r="AB454" s="78"/>
      <c r="AC454" s="92"/>
      <c r="AD454" s="78"/>
      <c r="AE454" s="58">
        <f t="shared" si="94"/>
        <v>0</v>
      </c>
      <c r="AF454" s="58">
        <f t="shared" si="85"/>
        <v>0</v>
      </c>
      <c r="AG454" s="58">
        <f t="shared" si="86"/>
        <v>0</v>
      </c>
      <c r="AH454" s="58">
        <f t="shared" si="87"/>
        <v>0</v>
      </c>
      <c r="AI454" s="58">
        <f t="shared" si="88"/>
        <v>0</v>
      </c>
      <c r="AJ454" s="58">
        <f t="shared" si="89"/>
        <v>0</v>
      </c>
      <c r="AK454" s="58">
        <f t="shared" si="90"/>
        <v>0</v>
      </c>
      <c r="AL454" s="58">
        <f t="shared" si="91"/>
        <v>0</v>
      </c>
      <c r="AM454" s="58">
        <f t="shared" si="95"/>
        <v>0</v>
      </c>
      <c r="AN454" s="62">
        <f t="shared" si="96"/>
        <v>0</v>
      </c>
      <c r="AO454" s="61">
        <f t="shared" si="97"/>
        <v>0</v>
      </c>
      <c r="AP454" s="61">
        <f t="shared" si="98"/>
        <v>0</v>
      </c>
    </row>
    <row r="455" spans="3:42" s="17" customFormat="1" x14ac:dyDescent="0.25">
      <c r="C455" s="216" t="s">
        <v>229</v>
      </c>
      <c r="D455" s="217"/>
      <c r="E455" s="90"/>
      <c r="F455" s="198"/>
      <c r="G455" s="214"/>
      <c r="H455" s="199"/>
      <c r="I455" s="78"/>
      <c r="J455" s="79"/>
      <c r="K455" s="78"/>
      <c r="L455" s="113"/>
      <c r="M455" s="155"/>
      <c r="N455" s="114" t="str">
        <f>IFERROR(MIN(VLOOKUP(ROUNDDOWN(M455,0),'Aide calcul'!$B$2:$C$282,2,FALSE),L455+1),"")</f>
        <v/>
      </c>
      <c r="O455" s="115" t="str">
        <f t="shared" si="92"/>
        <v/>
      </c>
      <c r="P455" s="173"/>
      <c r="Q455" s="173"/>
      <c r="R455" s="173"/>
      <c r="S455" s="173"/>
      <c r="T455" s="173"/>
      <c r="U455" s="173"/>
      <c r="V455" s="173"/>
      <c r="W455" s="78"/>
      <c r="X455" s="78"/>
      <c r="Y455" s="116" t="str">
        <f>IFERROR(ROUND('Informations générales'!$D$66*(AE455/SUM($AE$27:$AE$403))/12,0)*12,"")</f>
        <v/>
      </c>
      <c r="Z455" s="117"/>
      <c r="AA455" s="116" t="str">
        <f t="shared" si="93"/>
        <v/>
      </c>
      <c r="AB455" s="78"/>
      <c r="AC455" s="92"/>
      <c r="AD455" s="78"/>
      <c r="AE455" s="58">
        <f t="shared" si="94"/>
        <v>0</v>
      </c>
      <c r="AF455" s="58">
        <f t="shared" si="85"/>
        <v>0</v>
      </c>
      <c r="AG455" s="58">
        <f t="shared" si="86"/>
        <v>0</v>
      </c>
      <c r="AH455" s="58">
        <f t="shared" si="87"/>
        <v>0</v>
      </c>
      <c r="AI455" s="58">
        <f t="shared" si="88"/>
        <v>0</v>
      </c>
      <c r="AJ455" s="58">
        <f t="shared" si="89"/>
        <v>0</v>
      </c>
      <c r="AK455" s="58">
        <f t="shared" si="90"/>
        <v>0</v>
      </c>
      <c r="AL455" s="58">
        <f t="shared" si="91"/>
        <v>0</v>
      </c>
      <c r="AM455" s="58">
        <f t="shared" si="95"/>
        <v>0</v>
      </c>
      <c r="AN455" s="62">
        <f t="shared" si="96"/>
        <v>0</v>
      </c>
      <c r="AO455" s="61">
        <f t="shared" si="97"/>
        <v>0</v>
      </c>
      <c r="AP455" s="61">
        <f t="shared" si="98"/>
        <v>0</v>
      </c>
    </row>
    <row r="456" spans="3:42" s="17" customFormat="1" x14ac:dyDescent="0.25">
      <c r="C456" s="216" t="s">
        <v>229</v>
      </c>
      <c r="D456" s="217"/>
      <c r="E456" s="90"/>
      <c r="F456" s="198"/>
      <c r="G456" s="214"/>
      <c r="H456" s="199"/>
      <c r="I456" s="78"/>
      <c r="J456" s="79"/>
      <c r="K456" s="78"/>
      <c r="L456" s="113"/>
      <c r="M456" s="155"/>
      <c r="N456" s="114" t="str">
        <f>IFERROR(MIN(VLOOKUP(ROUNDDOWN(M456,0),'Aide calcul'!$B$2:$C$282,2,FALSE),L456+1),"")</f>
        <v/>
      </c>
      <c r="O456" s="115" t="str">
        <f t="shared" si="92"/>
        <v/>
      </c>
      <c r="P456" s="173"/>
      <c r="Q456" s="173"/>
      <c r="R456" s="173"/>
      <c r="S456" s="173"/>
      <c r="T456" s="173"/>
      <c r="U456" s="173"/>
      <c r="V456" s="173"/>
      <c r="W456" s="78"/>
      <c r="X456" s="78"/>
      <c r="Y456" s="116" t="str">
        <f>IFERROR(ROUND('Informations générales'!$D$66*(AE456/SUM($AE$27:$AE$403))/12,0)*12,"")</f>
        <v/>
      </c>
      <c r="Z456" s="117"/>
      <c r="AA456" s="116" t="str">
        <f t="shared" si="93"/>
        <v/>
      </c>
      <c r="AB456" s="78"/>
      <c r="AC456" s="92"/>
      <c r="AD456" s="78"/>
      <c r="AE456" s="58">
        <f t="shared" si="94"/>
        <v>0</v>
      </c>
      <c r="AF456" s="58">
        <f t="shared" si="85"/>
        <v>0</v>
      </c>
      <c r="AG456" s="58">
        <f t="shared" si="86"/>
        <v>0</v>
      </c>
      <c r="AH456" s="58">
        <f t="shared" si="87"/>
        <v>0</v>
      </c>
      <c r="AI456" s="58">
        <f t="shared" si="88"/>
        <v>0</v>
      </c>
      <c r="AJ456" s="58">
        <f t="shared" si="89"/>
        <v>0</v>
      </c>
      <c r="AK456" s="58">
        <f t="shared" si="90"/>
        <v>0</v>
      </c>
      <c r="AL456" s="58">
        <f t="shared" si="91"/>
        <v>0</v>
      </c>
      <c r="AM456" s="58">
        <f t="shared" si="95"/>
        <v>0</v>
      </c>
      <c r="AN456" s="62">
        <f t="shared" si="96"/>
        <v>0</v>
      </c>
      <c r="AO456" s="61">
        <f t="shared" si="97"/>
        <v>0</v>
      </c>
      <c r="AP456" s="61">
        <f t="shared" si="98"/>
        <v>0</v>
      </c>
    </row>
    <row r="457" spans="3:42" s="17" customFormat="1" x14ac:dyDescent="0.25">
      <c r="C457" s="216" t="s">
        <v>229</v>
      </c>
      <c r="D457" s="217"/>
      <c r="E457" s="90"/>
      <c r="F457" s="198"/>
      <c r="G457" s="214"/>
      <c r="H457" s="199"/>
      <c r="I457" s="78"/>
      <c r="J457" s="79"/>
      <c r="K457" s="78"/>
      <c r="L457" s="113"/>
      <c r="M457" s="155"/>
      <c r="N457" s="114" t="str">
        <f>IFERROR(MIN(VLOOKUP(ROUNDDOWN(M457,0),'Aide calcul'!$B$2:$C$282,2,FALSE),L457+1),"")</f>
        <v/>
      </c>
      <c r="O457" s="115" t="str">
        <f t="shared" si="92"/>
        <v/>
      </c>
      <c r="P457" s="173"/>
      <c r="Q457" s="173"/>
      <c r="R457" s="173"/>
      <c r="S457" s="173"/>
      <c r="T457" s="173"/>
      <c r="U457" s="173"/>
      <c r="V457" s="173"/>
      <c r="W457" s="78"/>
      <c r="X457" s="78"/>
      <c r="Y457" s="116" t="str">
        <f>IFERROR(ROUND('Informations générales'!$D$66*(AE457/SUM($AE$27:$AE$403))/12,0)*12,"")</f>
        <v/>
      </c>
      <c r="Z457" s="117"/>
      <c r="AA457" s="116" t="str">
        <f t="shared" si="93"/>
        <v/>
      </c>
      <c r="AB457" s="78"/>
      <c r="AC457" s="92"/>
      <c r="AD457" s="78"/>
      <c r="AE457" s="58">
        <f t="shared" si="94"/>
        <v>0</v>
      </c>
      <c r="AF457" s="58">
        <f t="shared" si="85"/>
        <v>0</v>
      </c>
      <c r="AG457" s="58">
        <f t="shared" si="86"/>
        <v>0</v>
      </c>
      <c r="AH457" s="58">
        <f t="shared" si="87"/>
        <v>0</v>
      </c>
      <c r="AI457" s="58">
        <f t="shared" si="88"/>
        <v>0</v>
      </c>
      <c r="AJ457" s="58">
        <f t="shared" si="89"/>
        <v>0</v>
      </c>
      <c r="AK457" s="58">
        <f t="shared" si="90"/>
        <v>0</v>
      </c>
      <c r="AL457" s="58">
        <f t="shared" si="91"/>
        <v>0</v>
      </c>
      <c r="AM457" s="58">
        <f t="shared" si="95"/>
        <v>0</v>
      </c>
      <c r="AN457" s="62">
        <f t="shared" si="96"/>
        <v>0</v>
      </c>
      <c r="AO457" s="61">
        <f t="shared" si="97"/>
        <v>0</v>
      </c>
      <c r="AP457" s="61">
        <f t="shared" si="98"/>
        <v>0</v>
      </c>
    </row>
    <row r="458" spans="3:42" s="17" customFormat="1" x14ac:dyDescent="0.25">
      <c r="C458" s="216" t="s">
        <v>229</v>
      </c>
      <c r="D458" s="217"/>
      <c r="E458" s="90"/>
      <c r="F458" s="198"/>
      <c r="G458" s="214"/>
      <c r="H458" s="199"/>
      <c r="I458" s="78"/>
      <c r="J458" s="79"/>
      <c r="K458" s="78"/>
      <c r="L458" s="113"/>
      <c r="M458" s="155"/>
      <c r="N458" s="114" t="str">
        <f>IFERROR(MIN(VLOOKUP(ROUNDDOWN(M458,0),'Aide calcul'!$B$2:$C$282,2,FALSE),L458+1),"")</f>
        <v/>
      </c>
      <c r="O458" s="115" t="str">
        <f t="shared" si="92"/>
        <v/>
      </c>
      <c r="P458" s="173"/>
      <c r="Q458" s="173"/>
      <c r="R458" s="173"/>
      <c r="S458" s="173"/>
      <c r="T458" s="173"/>
      <c r="U458" s="173"/>
      <c r="V458" s="173"/>
      <c r="W458" s="78"/>
      <c r="X458" s="78"/>
      <c r="Y458" s="116" t="str">
        <f>IFERROR(ROUND('Informations générales'!$D$66*(AE458/SUM($AE$27:$AE$403))/12,0)*12,"")</f>
        <v/>
      </c>
      <c r="Z458" s="117"/>
      <c r="AA458" s="116" t="str">
        <f t="shared" si="93"/>
        <v/>
      </c>
      <c r="AB458" s="78"/>
      <c r="AC458" s="92"/>
      <c r="AD458" s="78"/>
      <c r="AE458" s="58">
        <f t="shared" si="94"/>
        <v>0</v>
      </c>
      <c r="AF458" s="58">
        <f t="shared" si="85"/>
        <v>0</v>
      </c>
      <c r="AG458" s="58">
        <f t="shared" si="86"/>
        <v>0</v>
      </c>
      <c r="AH458" s="58">
        <f t="shared" si="87"/>
        <v>0</v>
      </c>
      <c r="AI458" s="58">
        <f t="shared" si="88"/>
        <v>0</v>
      </c>
      <c r="AJ458" s="58">
        <f t="shared" si="89"/>
        <v>0</v>
      </c>
      <c r="AK458" s="58">
        <f t="shared" si="90"/>
        <v>0</v>
      </c>
      <c r="AL458" s="58">
        <f t="shared" si="91"/>
        <v>0</v>
      </c>
      <c r="AM458" s="58">
        <f t="shared" si="95"/>
        <v>0</v>
      </c>
      <c r="AN458" s="62">
        <f t="shared" si="96"/>
        <v>0</v>
      </c>
      <c r="AO458" s="61">
        <f t="shared" si="97"/>
        <v>0</v>
      </c>
      <c r="AP458" s="61">
        <f t="shared" si="98"/>
        <v>0</v>
      </c>
    </row>
    <row r="459" spans="3:42" s="17" customFormat="1" x14ac:dyDescent="0.25">
      <c r="C459" s="216" t="s">
        <v>229</v>
      </c>
      <c r="D459" s="217"/>
      <c r="E459" s="90"/>
      <c r="F459" s="198"/>
      <c r="G459" s="214"/>
      <c r="H459" s="199"/>
      <c r="I459" s="78"/>
      <c r="J459" s="79"/>
      <c r="K459" s="78"/>
      <c r="L459" s="113"/>
      <c r="M459" s="155"/>
      <c r="N459" s="114" t="str">
        <f>IFERROR(MIN(VLOOKUP(ROUNDDOWN(M459,0),'Aide calcul'!$B$2:$C$282,2,FALSE),L459+1),"")</f>
        <v/>
      </c>
      <c r="O459" s="115" t="str">
        <f t="shared" si="92"/>
        <v/>
      </c>
      <c r="P459" s="173"/>
      <c r="Q459" s="173"/>
      <c r="R459" s="173"/>
      <c r="S459" s="173"/>
      <c r="T459" s="173"/>
      <c r="U459" s="173"/>
      <c r="V459" s="173"/>
      <c r="W459" s="78"/>
      <c r="X459" s="78"/>
      <c r="Y459" s="116" t="str">
        <f>IFERROR(ROUND('Informations générales'!$D$66*(AE459/SUM($AE$27:$AE$403))/12,0)*12,"")</f>
        <v/>
      </c>
      <c r="Z459" s="117"/>
      <c r="AA459" s="116" t="str">
        <f t="shared" si="93"/>
        <v/>
      </c>
      <c r="AB459" s="78"/>
      <c r="AC459" s="92"/>
      <c r="AD459" s="78"/>
      <c r="AE459" s="58">
        <f t="shared" si="94"/>
        <v>0</v>
      </c>
      <c r="AF459" s="58">
        <f t="shared" si="85"/>
        <v>0</v>
      </c>
      <c r="AG459" s="58">
        <f t="shared" si="86"/>
        <v>0</v>
      </c>
      <c r="AH459" s="58">
        <f t="shared" si="87"/>
        <v>0</v>
      </c>
      <c r="AI459" s="58">
        <f t="shared" si="88"/>
        <v>0</v>
      </c>
      <c r="AJ459" s="58">
        <f t="shared" si="89"/>
        <v>0</v>
      </c>
      <c r="AK459" s="58">
        <f t="shared" si="90"/>
        <v>0</v>
      </c>
      <c r="AL459" s="58">
        <f t="shared" si="91"/>
        <v>0</v>
      </c>
      <c r="AM459" s="58">
        <f t="shared" si="95"/>
        <v>0</v>
      </c>
      <c r="AN459" s="62">
        <f t="shared" si="96"/>
        <v>0</v>
      </c>
      <c r="AO459" s="61">
        <f t="shared" si="97"/>
        <v>0</v>
      </c>
      <c r="AP459" s="61">
        <f t="shared" si="98"/>
        <v>0</v>
      </c>
    </row>
    <row r="460" spans="3:42" s="17" customFormat="1" x14ac:dyDescent="0.25">
      <c r="C460" s="216" t="s">
        <v>229</v>
      </c>
      <c r="D460" s="217"/>
      <c r="E460" s="90"/>
      <c r="F460" s="198"/>
      <c r="G460" s="214"/>
      <c r="H460" s="199"/>
      <c r="I460" s="78"/>
      <c r="J460" s="79"/>
      <c r="K460" s="78"/>
      <c r="L460" s="113"/>
      <c r="M460" s="155"/>
      <c r="N460" s="114" t="str">
        <f>IFERROR(MIN(VLOOKUP(ROUNDDOWN(M460,0),'Aide calcul'!$B$2:$C$282,2,FALSE),L460+1),"")</f>
        <v/>
      </c>
      <c r="O460" s="115" t="str">
        <f t="shared" si="92"/>
        <v/>
      </c>
      <c r="P460" s="173"/>
      <c r="Q460" s="173"/>
      <c r="R460" s="173"/>
      <c r="S460" s="173"/>
      <c r="T460" s="173"/>
      <c r="U460" s="173"/>
      <c r="V460" s="173"/>
      <c r="W460" s="78"/>
      <c r="X460" s="78"/>
      <c r="Y460" s="116" t="str">
        <f>IFERROR(ROUND('Informations générales'!$D$66*(AE460/SUM($AE$27:$AE$403))/12,0)*12,"")</f>
        <v/>
      </c>
      <c r="Z460" s="117"/>
      <c r="AA460" s="116" t="str">
        <f t="shared" si="93"/>
        <v/>
      </c>
      <c r="AB460" s="78"/>
      <c r="AC460" s="92"/>
      <c r="AD460" s="78"/>
      <c r="AE460" s="58">
        <f t="shared" si="94"/>
        <v>0</v>
      </c>
      <c r="AF460" s="58">
        <f t="shared" si="85"/>
        <v>0</v>
      </c>
      <c r="AG460" s="58">
        <f t="shared" si="86"/>
        <v>0</v>
      </c>
      <c r="AH460" s="58">
        <f t="shared" si="87"/>
        <v>0</v>
      </c>
      <c r="AI460" s="58">
        <f t="shared" si="88"/>
        <v>0</v>
      </c>
      <c r="AJ460" s="58">
        <f t="shared" si="89"/>
        <v>0</v>
      </c>
      <c r="AK460" s="58">
        <f t="shared" si="90"/>
        <v>0</v>
      </c>
      <c r="AL460" s="58">
        <f t="shared" si="91"/>
        <v>0</v>
      </c>
      <c r="AM460" s="58">
        <f t="shared" si="95"/>
        <v>0</v>
      </c>
      <c r="AN460" s="62">
        <f t="shared" si="96"/>
        <v>0</v>
      </c>
      <c r="AO460" s="61">
        <f t="shared" si="97"/>
        <v>0</v>
      </c>
      <c r="AP460" s="61">
        <f t="shared" si="98"/>
        <v>0</v>
      </c>
    </row>
    <row r="461" spans="3:42" s="17" customFormat="1" x14ac:dyDescent="0.25">
      <c r="C461" s="216" t="s">
        <v>229</v>
      </c>
      <c r="D461" s="217"/>
      <c r="E461" s="90"/>
      <c r="F461" s="198"/>
      <c r="G461" s="214"/>
      <c r="H461" s="199"/>
      <c r="I461" s="78"/>
      <c r="J461" s="79"/>
      <c r="K461" s="78"/>
      <c r="L461" s="113"/>
      <c r="M461" s="155"/>
      <c r="N461" s="114" t="str">
        <f>IFERROR(MIN(VLOOKUP(ROUNDDOWN(M461,0),'Aide calcul'!$B$2:$C$282,2,FALSE),L461+1),"")</f>
        <v/>
      </c>
      <c r="O461" s="115" t="str">
        <f t="shared" si="92"/>
        <v/>
      </c>
      <c r="P461" s="173"/>
      <c r="Q461" s="173"/>
      <c r="R461" s="173"/>
      <c r="S461" s="173"/>
      <c r="T461" s="173"/>
      <c r="U461" s="173"/>
      <c r="V461" s="173"/>
      <c r="W461" s="78"/>
      <c r="X461" s="78"/>
      <c r="Y461" s="116" t="str">
        <f>IFERROR(ROUND('Informations générales'!$D$66*(AE461/SUM($AE$27:$AE$403))/12,0)*12,"")</f>
        <v/>
      </c>
      <c r="Z461" s="117"/>
      <c r="AA461" s="116" t="str">
        <f t="shared" si="93"/>
        <v/>
      </c>
      <c r="AB461" s="78"/>
      <c r="AC461" s="92"/>
      <c r="AD461" s="78"/>
      <c r="AE461" s="58">
        <f t="shared" si="94"/>
        <v>0</v>
      </c>
      <c r="AF461" s="58">
        <f t="shared" si="85"/>
        <v>0</v>
      </c>
      <c r="AG461" s="58">
        <f t="shared" si="86"/>
        <v>0</v>
      </c>
      <c r="AH461" s="58">
        <f t="shared" si="87"/>
        <v>0</v>
      </c>
      <c r="AI461" s="58">
        <f t="shared" si="88"/>
        <v>0</v>
      </c>
      <c r="AJ461" s="58">
        <f t="shared" si="89"/>
        <v>0</v>
      </c>
      <c r="AK461" s="58">
        <f t="shared" si="90"/>
        <v>0</v>
      </c>
      <c r="AL461" s="58">
        <f t="shared" si="91"/>
        <v>0</v>
      </c>
      <c r="AM461" s="58">
        <f t="shared" si="95"/>
        <v>0</v>
      </c>
      <c r="AN461" s="62">
        <f t="shared" si="96"/>
        <v>0</v>
      </c>
      <c r="AO461" s="61">
        <f t="shared" si="97"/>
        <v>0</v>
      </c>
      <c r="AP461" s="61">
        <f t="shared" si="98"/>
        <v>0</v>
      </c>
    </row>
    <row r="462" spans="3:42" s="17" customFormat="1" x14ac:dyDescent="0.25">
      <c r="C462" s="216" t="s">
        <v>229</v>
      </c>
      <c r="D462" s="217"/>
      <c r="E462" s="90"/>
      <c r="F462" s="198"/>
      <c r="G462" s="214"/>
      <c r="H462" s="199"/>
      <c r="I462" s="78"/>
      <c r="J462" s="79"/>
      <c r="K462" s="78"/>
      <c r="L462" s="113"/>
      <c r="M462" s="155"/>
      <c r="N462" s="114" t="str">
        <f>IFERROR(MIN(VLOOKUP(ROUNDDOWN(M462,0),'Aide calcul'!$B$2:$C$282,2,FALSE),L462+1),"")</f>
        <v/>
      </c>
      <c r="O462" s="115" t="str">
        <f t="shared" si="92"/>
        <v/>
      </c>
      <c r="P462" s="173"/>
      <c r="Q462" s="173"/>
      <c r="R462" s="173"/>
      <c r="S462" s="173"/>
      <c r="T462" s="173"/>
      <c r="U462" s="173"/>
      <c r="V462" s="173"/>
      <c r="W462" s="78"/>
      <c r="X462" s="78"/>
      <c r="Y462" s="116" t="str">
        <f>IFERROR(ROUND('Informations générales'!$D$66*(AE462/SUM($AE$27:$AE$403))/12,0)*12,"")</f>
        <v/>
      </c>
      <c r="Z462" s="117"/>
      <c r="AA462" s="116" t="str">
        <f t="shared" si="93"/>
        <v/>
      </c>
      <c r="AB462" s="78"/>
      <c r="AC462" s="92"/>
      <c r="AD462" s="78"/>
      <c r="AE462" s="58">
        <f t="shared" si="94"/>
        <v>0</v>
      </c>
      <c r="AF462" s="58">
        <f t="shared" si="85"/>
        <v>0</v>
      </c>
      <c r="AG462" s="58">
        <f t="shared" si="86"/>
        <v>0</v>
      </c>
      <c r="AH462" s="58">
        <f t="shared" si="87"/>
        <v>0</v>
      </c>
      <c r="AI462" s="58">
        <f t="shared" si="88"/>
        <v>0</v>
      </c>
      <c r="AJ462" s="58">
        <f t="shared" si="89"/>
        <v>0</v>
      </c>
      <c r="AK462" s="58">
        <f t="shared" si="90"/>
        <v>0</v>
      </c>
      <c r="AL462" s="58">
        <f t="shared" si="91"/>
        <v>0</v>
      </c>
      <c r="AM462" s="58">
        <f t="shared" si="95"/>
        <v>0</v>
      </c>
      <c r="AN462" s="62">
        <f t="shared" si="96"/>
        <v>0</v>
      </c>
      <c r="AO462" s="61">
        <f t="shared" si="97"/>
        <v>0</v>
      </c>
      <c r="AP462" s="61">
        <f t="shared" si="98"/>
        <v>0</v>
      </c>
    </row>
    <row r="463" spans="3:42" s="17" customFormat="1" x14ac:dyDescent="0.25">
      <c r="C463" s="216" t="s">
        <v>229</v>
      </c>
      <c r="D463" s="217"/>
      <c r="E463" s="90"/>
      <c r="F463" s="198"/>
      <c r="G463" s="214"/>
      <c r="H463" s="199"/>
      <c r="I463" s="78"/>
      <c r="J463" s="79"/>
      <c r="K463" s="78"/>
      <c r="L463" s="113"/>
      <c r="M463" s="155"/>
      <c r="N463" s="114" t="str">
        <f>IFERROR(MIN(VLOOKUP(ROUNDDOWN(M463,0),'Aide calcul'!$B$2:$C$282,2,FALSE),L463+1),"")</f>
        <v/>
      </c>
      <c r="O463" s="115" t="str">
        <f t="shared" si="92"/>
        <v/>
      </c>
      <c r="P463" s="173"/>
      <c r="Q463" s="173"/>
      <c r="R463" s="173"/>
      <c r="S463" s="173"/>
      <c r="T463" s="173"/>
      <c r="U463" s="173"/>
      <c r="V463" s="173"/>
      <c r="W463" s="78"/>
      <c r="X463" s="78"/>
      <c r="Y463" s="116" t="str">
        <f>IFERROR(ROUND('Informations générales'!$D$66*(AE463/SUM($AE$27:$AE$403))/12,0)*12,"")</f>
        <v/>
      </c>
      <c r="Z463" s="117"/>
      <c r="AA463" s="116" t="str">
        <f t="shared" si="93"/>
        <v/>
      </c>
      <c r="AB463" s="78"/>
      <c r="AC463" s="92"/>
      <c r="AD463" s="78"/>
      <c r="AE463" s="58">
        <f t="shared" si="94"/>
        <v>0</v>
      </c>
      <c r="AF463" s="58">
        <f t="shared" si="85"/>
        <v>0</v>
      </c>
      <c r="AG463" s="58">
        <f t="shared" si="86"/>
        <v>0</v>
      </c>
      <c r="AH463" s="58">
        <f t="shared" si="87"/>
        <v>0</v>
      </c>
      <c r="AI463" s="58">
        <f t="shared" si="88"/>
        <v>0</v>
      </c>
      <c r="AJ463" s="58">
        <f t="shared" si="89"/>
        <v>0</v>
      </c>
      <c r="AK463" s="58">
        <f t="shared" si="90"/>
        <v>0</v>
      </c>
      <c r="AL463" s="58">
        <f t="shared" si="91"/>
        <v>0</v>
      </c>
      <c r="AM463" s="58">
        <f t="shared" si="95"/>
        <v>0</v>
      </c>
      <c r="AN463" s="62">
        <f t="shared" si="96"/>
        <v>0</v>
      </c>
      <c r="AO463" s="61">
        <f t="shared" si="97"/>
        <v>0</v>
      </c>
      <c r="AP463" s="61">
        <f t="shared" si="98"/>
        <v>0</v>
      </c>
    </row>
    <row r="464" spans="3:42" s="17" customFormat="1" x14ac:dyDescent="0.25">
      <c r="C464" s="216" t="s">
        <v>229</v>
      </c>
      <c r="D464" s="217"/>
      <c r="E464" s="90"/>
      <c r="F464" s="198"/>
      <c r="G464" s="214"/>
      <c r="H464" s="199"/>
      <c r="I464" s="78"/>
      <c r="J464" s="79"/>
      <c r="K464" s="78"/>
      <c r="L464" s="113"/>
      <c r="M464" s="155"/>
      <c r="N464" s="114" t="str">
        <f>IFERROR(MIN(VLOOKUP(ROUNDDOWN(M464,0),'Aide calcul'!$B$2:$C$282,2,FALSE),L464+1),"")</f>
        <v/>
      </c>
      <c r="O464" s="115" t="str">
        <f t="shared" si="92"/>
        <v/>
      </c>
      <c r="P464" s="173"/>
      <c r="Q464" s="173"/>
      <c r="R464" s="173"/>
      <c r="S464" s="173"/>
      <c r="T464" s="173"/>
      <c r="U464" s="173"/>
      <c r="V464" s="173"/>
      <c r="W464" s="78"/>
      <c r="X464" s="78"/>
      <c r="Y464" s="116" t="str">
        <f>IFERROR(ROUND('Informations générales'!$D$66*(AE464/SUM($AE$27:$AE$403))/12,0)*12,"")</f>
        <v/>
      </c>
      <c r="Z464" s="117"/>
      <c r="AA464" s="116" t="str">
        <f t="shared" si="93"/>
        <v/>
      </c>
      <c r="AB464" s="78"/>
      <c r="AC464" s="92"/>
      <c r="AD464" s="78"/>
      <c r="AE464" s="58">
        <f t="shared" si="94"/>
        <v>0</v>
      </c>
      <c r="AF464" s="58">
        <f t="shared" si="85"/>
        <v>0</v>
      </c>
      <c r="AG464" s="58">
        <f t="shared" si="86"/>
        <v>0</v>
      </c>
      <c r="AH464" s="58">
        <f t="shared" si="87"/>
        <v>0</v>
      </c>
      <c r="AI464" s="58">
        <f t="shared" si="88"/>
        <v>0</v>
      </c>
      <c r="AJ464" s="58">
        <f t="shared" si="89"/>
        <v>0</v>
      </c>
      <c r="AK464" s="58">
        <f t="shared" si="90"/>
        <v>0</v>
      </c>
      <c r="AL464" s="58">
        <f t="shared" si="91"/>
        <v>0</v>
      </c>
      <c r="AM464" s="58">
        <f t="shared" si="95"/>
        <v>0</v>
      </c>
      <c r="AN464" s="62">
        <f t="shared" si="96"/>
        <v>0</v>
      </c>
      <c r="AO464" s="61">
        <f t="shared" si="97"/>
        <v>0</v>
      </c>
      <c r="AP464" s="61">
        <f t="shared" si="98"/>
        <v>0</v>
      </c>
    </row>
    <row r="465" spans="3:42" s="17" customFormat="1" x14ac:dyDescent="0.25">
      <c r="C465" s="216" t="s">
        <v>229</v>
      </c>
      <c r="D465" s="217"/>
      <c r="E465" s="90"/>
      <c r="F465" s="198"/>
      <c r="G465" s="214"/>
      <c r="H465" s="199"/>
      <c r="I465" s="78"/>
      <c r="J465" s="79"/>
      <c r="K465" s="78"/>
      <c r="L465" s="113"/>
      <c r="M465" s="155"/>
      <c r="N465" s="114" t="str">
        <f>IFERROR(MIN(VLOOKUP(ROUNDDOWN(M465,0),'Aide calcul'!$B$2:$C$282,2,FALSE),L465+1),"")</f>
        <v/>
      </c>
      <c r="O465" s="115" t="str">
        <f t="shared" si="92"/>
        <v/>
      </c>
      <c r="P465" s="173"/>
      <c r="Q465" s="173"/>
      <c r="R465" s="173"/>
      <c r="S465" s="173"/>
      <c r="T465" s="173"/>
      <c r="U465" s="173"/>
      <c r="V465" s="173"/>
      <c r="W465" s="78"/>
      <c r="X465" s="78"/>
      <c r="Y465" s="116" t="str">
        <f>IFERROR(ROUND('Informations générales'!$D$66*(AE465/SUM($AE$27:$AE$403))/12,0)*12,"")</f>
        <v/>
      </c>
      <c r="Z465" s="117"/>
      <c r="AA465" s="116" t="str">
        <f t="shared" si="93"/>
        <v/>
      </c>
      <c r="AB465" s="78"/>
      <c r="AC465" s="92"/>
      <c r="AD465" s="78"/>
      <c r="AE465" s="58">
        <f t="shared" si="94"/>
        <v>0</v>
      </c>
      <c r="AF465" s="58">
        <f t="shared" si="85"/>
        <v>0</v>
      </c>
      <c r="AG465" s="58">
        <f t="shared" si="86"/>
        <v>0</v>
      </c>
      <c r="AH465" s="58">
        <f t="shared" si="87"/>
        <v>0</v>
      </c>
      <c r="AI465" s="58">
        <f t="shared" si="88"/>
        <v>0</v>
      </c>
      <c r="AJ465" s="58">
        <f t="shared" si="89"/>
        <v>0</v>
      </c>
      <c r="AK465" s="58">
        <f t="shared" si="90"/>
        <v>0</v>
      </c>
      <c r="AL465" s="58">
        <f t="shared" si="91"/>
        <v>0</v>
      </c>
      <c r="AM465" s="58">
        <f t="shared" si="95"/>
        <v>0</v>
      </c>
      <c r="AN465" s="62">
        <f t="shared" si="96"/>
        <v>0</v>
      </c>
      <c r="AO465" s="61">
        <f t="shared" si="97"/>
        <v>0</v>
      </c>
      <c r="AP465" s="61">
        <f t="shared" si="98"/>
        <v>0</v>
      </c>
    </row>
    <row r="466" spans="3:42" s="17" customFormat="1" x14ac:dyDescent="0.25">
      <c r="C466" s="216" t="s">
        <v>229</v>
      </c>
      <c r="D466" s="217"/>
      <c r="E466" s="90"/>
      <c r="F466" s="198"/>
      <c r="G466" s="214"/>
      <c r="H466" s="199"/>
      <c r="I466" s="78"/>
      <c r="J466" s="79"/>
      <c r="K466" s="78"/>
      <c r="L466" s="113"/>
      <c r="M466" s="155"/>
      <c r="N466" s="114" t="str">
        <f>IFERROR(MIN(VLOOKUP(ROUNDDOWN(M466,0),'Aide calcul'!$B$2:$C$282,2,FALSE),L466+1),"")</f>
        <v/>
      </c>
      <c r="O466" s="115" t="str">
        <f t="shared" si="92"/>
        <v/>
      </c>
      <c r="P466" s="173"/>
      <c r="Q466" s="173"/>
      <c r="R466" s="173"/>
      <c r="S466" s="173"/>
      <c r="T466" s="173"/>
      <c r="U466" s="173"/>
      <c r="V466" s="173"/>
      <c r="W466" s="78"/>
      <c r="X466" s="78"/>
      <c r="Y466" s="116" t="str">
        <f>IFERROR(ROUND('Informations générales'!$D$66*(AE466/SUM($AE$27:$AE$403))/12,0)*12,"")</f>
        <v/>
      </c>
      <c r="Z466" s="117"/>
      <c r="AA466" s="116" t="str">
        <f t="shared" si="93"/>
        <v/>
      </c>
      <c r="AB466" s="78"/>
      <c r="AC466" s="92"/>
      <c r="AD466" s="78"/>
      <c r="AE466" s="58">
        <f t="shared" si="94"/>
        <v>0</v>
      </c>
      <c r="AF466" s="58">
        <f t="shared" si="85"/>
        <v>0</v>
      </c>
      <c r="AG466" s="58">
        <f t="shared" si="86"/>
        <v>0</v>
      </c>
      <c r="AH466" s="58">
        <f t="shared" si="87"/>
        <v>0</v>
      </c>
      <c r="AI466" s="58">
        <f t="shared" si="88"/>
        <v>0</v>
      </c>
      <c r="AJ466" s="58">
        <f t="shared" si="89"/>
        <v>0</v>
      </c>
      <c r="AK466" s="58">
        <f t="shared" si="90"/>
        <v>0</v>
      </c>
      <c r="AL466" s="58">
        <f t="shared" si="91"/>
        <v>0</v>
      </c>
      <c r="AM466" s="58">
        <f t="shared" si="95"/>
        <v>0</v>
      </c>
      <c r="AN466" s="62">
        <f t="shared" si="96"/>
        <v>0</v>
      </c>
      <c r="AO466" s="61">
        <f t="shared" si="97"/>
        <v>0</v>
      </c>
      <c r="AP466" s="61">
        <f t="shared" si="98"/>
        <v>0</v>
      </c>
    </row>
    <row r="467" spans="3:42" s="17" customFormat="1" x14ac:dyDescent="0.25">
      <c r="C467" s="216" t="s">
        <v>229</v>
      </c>
      <c r="D467" s="217"/>
      <c r="E467" s="90"/>
      <c r="F467" s="198"/>
      <c r="G467" s="214"/>
      <c r="H467" s="199"/>
      <c r="I467" s="78"/>
      <c r="J467" s="79"/>
      <c r="K467" s="78"/>
      <c r="L467" s="113"/>
      <c r="M467" s="155"/>
      <c r="N467" s="114" t="str">
        <f>IFERROR(MIN(VLOOKUP(ROUNDDOWN(M467,0),'Aide calcul'!$B$2:$C$282,2,FALSE),L467+1),"")</f>
        <v/>
      </c>
      <c r="O467" s="115" t="str">
        <f t="shared" si="92"/>
        <v/>
      </c>
      <c r="P467" s="173"/>
      <c r="Q467" s="173"/>
      <c r="R467" s="173"/>
      <c r="S467" s="173"/>
      <c r="T467" s="173"/>
      <c r="U467" s="173"/>
      <c r="V467" s="173"/>
      <c r="W467" s="78"/>
      <c r="X467" s="78"/>
      <c r="Y467" s="116" t="str">
        <f>IFERROR(ROUND('Informations générales'!$D$66*(AE467/SUM($AE$27:$AE$403))/12,0)*12,"")</f>
        <v/>
      </c>
      <c r="Z467" s="117"/>
      <c r="AA467" s="116" t="str">
        <f t="shared" si="93"/>
        <v/>
      </c>
      <c r="AB467" s="78"/>
      <c r="AC467" s="92"/>
      <c r="AD467" s="78"/>
      <c r="AE467" s="58">
        <f t="shared" si="94"/>
        <v>0</v>
      </c>
      <c r="AF467" s="58">
        <f t="shared" si="85"/>
        <v>0</v>
      </c>
      <c r="AG467" s="58">
        <f t="shared" si="86"/>
        <v>0</v>
      </c>
      <c r="AH467" s="58">
        <f t="shared" si="87"/>
        <v>0</v>
      </c>
      <c r="AI467" s="58">
        <f t="shared" si="88"/>
        <v>0</v>
      </c>
      <c r="AJ467" s="58">
        <f t="shared" si="89"/>
        <v>0</v>
      </c>
      <c r="AK467" s="58">
        <f t="shared" si="90"/>
        <v>0</v>
      </c>
      <c r="AL467" s="58">
        <f t="shared" si="91"/>
        <v>0</v>
      </c>
      <c r="AM467" s="58">
        <f t="shared" si="95"/>
        <v>0</v>
      </c>
      <c r="AN467" s="62">
        <f t="shared" si="96"/>
        <v>0</v>
      </c>
      <c r="AO467" s="61">
        <f t="shared" si="97"/>
        <v>0</v>
      </c>
      <c r="AP467" s="61">
        <f t="shared" si="98"/>
        <v>0</v>
      </c>
    </row>
    <row r="468" spans="3:42" s="17" customFormat="1" x14ac:dyDescent="0.25">
      <c r="C468" s="216" t="s">
        <v>229</v>
      </c>
      <c r="D468" s="217"/>
      <c r="E468" s="90"/>
      <c r="F468" s="198"/>
      <c r="G468" s="214"/>
      <c r="H468" s="199"/>
      <c r="I468" s="78"/>
      <c r="J468" s="79"/>
      <c r="K468" s="78"/>
      <c r="L468" s="113"/>
      <c r="M468" s="155"/>
      <c r="N468" s="114" t="str">
        <f>IFERROR(MIN(VLOOKUP(ROUNDDOWN(M468,0),'Aide calcul'!$B$2:$C$282,2,FALSE),L468+1),"")</f>
        <v/>
      </c>
      <c r="O468" s="115" t="str">
        <f t="shared" si="92"/>
        <v/>
      </c>
      <c r="P468" s="173"/>
      <c r="Q468" s="173"/>
      <c r="R468" s="173"/>
      <c r="S468" s="173"/>
      <c r="T468" s="173"/>
      <c r="U468" s="173"/>
      <c r="V468" s="173"/>
      <c r="W468" s="78"/>
      <c r="X468" s="78"/>
      <c r="Y468" s="116" t="str">
        <f>IFERROR(ROUND('Informations générales'!$D$66*(AE468/SUM($AE$27:$AE$403))/12,0)*12,"")</f>
        <v/>
      </c>
      <c r="Z468" s="117"/>
      <c r="AA468" s="116" t="str">
        <f t="shared" si="93"/>
        <v/>
      </c>
      <c r="AB468" s="78"/>
      <c r="AC468" s="92"/>
      <c r="AD468" s="78"/>
      <c r="AE468" s="58">
        <f t="shared" si="94"/>
        <v>0</v>
      </c>
      <c r="AF468" s="58">
        <f t="shared" si="85"/>
        <v>0</v>
      </c>
      <c r="AG468" s="58">
        <f t="shared" si="86"/>
        <v>0</v>
      </c>
      <c r="AH468" s="58">
        <f t="shared" si="87"/>
        <v>0</v>
      </c>
      <c r="AI468" s="58">
        <f t="shared" si="88"/>
        <v>0</v>
      </c>
      <c r="AJ468" s="58">
        <f t="shared" si="89"/>
        <v>0</v>
      </c>
      <c r="AK468" s="58">
        <f t="shared" si="90"/>
        <v>0</v>
      </c>
      <c r="AL468" s="58">
        <f t="shared" si="91"/>
        <v>0</v>
      </c>
      <c r="AM468" s="58">
        <f t="shared" si="95"/>
        <v>0</v>
      </c>
      <c r="AN468" s="62">
        <f t="shared" si="96"/>
        <v>0</v>
      </c>
      <c r="AO468" s="61">
        <f t="shared" si="97"/>
        <v>0</v>
      </c>
      <c r="AP468" s="61">
        <f t="shared" si="98"/>
        <v>0</v>
      </c>
    </row>
    <row r="469" spans="3:42" s="17" customFormat="1" x14ac:dyDescent="0.25">
      <c r="C469" s="216" t="s">
        <v>229</v>
      </c>
      <c r="D469" s="217"/>
      <c r="E469" s="90"/>
      <c r="F469" s="198"/>
      <c r="G469" s="214"/>
      <c r="H469" s="199"/>
      <c r="I469" s="78"/>
      <c r="J469" s="79"/>
      <c r="K469" s="78"/>
      <c r="L469" s="113"/>
      <c r="M469" s="155"/>
      <c r="N469" s="114" t="str">
        <f>IFERROR(MIN(VLOOKUP(ROUNDDOWN(M469,0),'Aide calcul'!$B$2:$C$282,2,FALSE),L469+1),"")</f>
        <v/>
      </c>
      <c r="O469" s="115" t="str">
        <f t="shared" si="92"/>
        <v/>
      </c>
      <c r="P469" s="173"/>
      <c r="Q469" s="173"/>
      <c r="R469" s="173"/>
      <c r="S469" s="173"/>
      <c r="T469" s="173"/>
      <c r="U469" s="173"/>
      <c r="V469" s="173"/>
      <c r="W469" s="78"/>
      <c r="X469" s="78"/>
      <c r="Y469" s="116" t="str">
        <f>IFERROR(ROUND('Informations générales'!$D$66*(AE469/SUM($AE$27:$AE$403))/12,0)*12,"")</f>
        <v/>
      </c>
      <c r="Z469" s="117"/>
      <c r="AA469" s="116" t="str">
        <f t="shared" si="93"/>
        <v/>
      </c>
      <c r="AB469" s="78"/>
      <c r="AC469" s="92"/>
      <c r="AD469" s="78"/>
      <c r="AE469" s="58">
        <f t="shared" si="94"/>
        <v>0</v>
      </c>
      <c r="AF469" s="58">
        <f t="shared" si="85"/>
        <v>0</v>
      </c>
      <c r="AG469" s="58">
        <f t="shared" si="86"/>
        <v>0</v>
      </c>
      <c r="AH469" s="58">
        <f t="shared" si="87"/>
        <v>0</v>
      </c>
      <c r="AI469" s="58">
        <f t="shared" si="88"/>
        <v>0</v>
      </c>
      <c r="AJ469" s="58">
        <f t="shared" si="89"/>
        <v>0</v>
      </c>
      <c r="AK469" s="58">
        <f t="shared" si="90"/>
        <v>0</v>
      </c>
      <c r="AL469" s="58">
        <f t="shared" si="91"/>
        <v>0</v>
      </c>
      <c r="AM469" s="58">
        <f t="shared" si="95"/>
        <v>0</v>
      </c>
      <c r="AN469" s="62">
        <f t="shared" si="96"/>
        <v>0</v>
      </c>
      <c r="AO469" s="61">
        <f t="shared" si="97"/>
        <v>0</v>
      </c>
      <c r="AP469" s="61">
        <f t="shared" si="98"/>
        <v>0</v>
      </c>
    </row>
    <row r="470" spans="3:42" s="17" customFormat="1" x14ac:dyDescent="0.25">
      <c r="C470" s="216" t="s">
        <v>229</v>
      </c>
      <c r="D470" s="217"/>
      <c r="E470" s="90"/>
      <c r="F470" s="198"/>
      <c r="G470" s="214"/>
      <c r="H470" s="199"/>
      <c r="I470" s="78"/>
      <c r="J470" s="79"/>
      <c r="K470" s="78"/>
      <c r="L470" s="113"/>
      <c r="M470" s="155"/>
      <c r="N470" s="114" t="str">
        <f>IFERROR(MIN(VLOOKUP(ROUNDDOWN(M470,0),'Aide calcul'!$B$2:$C$282,2,FALSE),L470+1),"")</f>
        <v/>
      </c>
      <c r="O470" s="115" t="str">
        <f t="shared" si="92"/>
        <v/>
      </c>
      <c r="P470" s="173"/>
      <c r="Q470" s="173"/>
      <c r="R470" s="173"/>
      <c r="S470" s="173"/>
      <c r="T470" s="173"/>
      <c r="U470" s="173"/>
      <c r="V470" s="173"/>
      <c r="W470" s="78"/>
      <c r="X470" s="78"/>
      <c r="Y470" s="116" t="str">
        <f>IFERROR(ROUND('Informations générales'!$D$66*(AE470/SUM($AE$27:$AE$403))/12,0)*12,"")</f>
        <v/>
      </c>
      <c r="Z470" s="117"/>
      <c r="AA470" s="116" t="str">
        <f t="shared" si="93"/>
        <v/>
      </c>
      <c r="AB470" s="78"/>
      <c r="AC470" s="92"/>
      <c r="AD470" s="78"/>
      <c r="AE470" s="58">
        <f t="shared" si="94"/>
        <v>0</v>
      </c>
      <c r="AF470" s="58">
        <f t="shared" si="85"/>
        <v>0</v>
      </c>
      <c r="AG470" s="58">
        <f t="shared" si="86"/>
        <v>0</v>
      </c>
      <c r="AH470" s="58">
        <f t="shared" si="87"/>
        <v>0</v>
      </c>
      <c r="AI470" s="58">
        <f t="shared" si="88"/>
        <v>0</v>
      </c>
      <c r="AJ470" s="58">
        <f t="shared" si="89"/>
        <v>0</v>
      </c>
      <c r="AK470" s="58">
        <f t="shared" si="90"/>
        <v>0</v>
      </c>
      <c r="AL470" s="58">
        <f t="shared" si="91"/>
        <v>0</v>
      </c>
      <c r="AM470" s="58">
        <f t="shared" si="95"/>
        <v>0</v>
      </c>
      <c r="AN470" s="62">
        <f t="shared" si="96"/>
        <v>0</v>
      </c>
      <c r="AO470" s="61">
        <f t="shared" si="97"/>
        <v>0</v>
      </c>
      <c r="AP470" s="61">
        <f t="shared" si="98"/>
        <v>0</v>
      </c>
    </row>
    <row r="471" spans="3:42" s="17" customFormat="1" x14ac:dyDescent="0.25">
      <c r="C471" s="216" t="s">
        <v>229</v>
      </c>
      <c r="D471" s="217"/>
      <c r="E471" s="90"/>
      <c r="F471" s="198"/>
      <c r="G471" s="214"/>
      <c r="H471" s="199"/>
      <c r="I471" s="78"/>
      <c r="J471" s="79"/>
      <c r="K471" s="78"/>
      <c r="L471" s="113"/>
      <c r="M471" s="155"/>
      <c r="N471" s="114" t="str">
        <f>IFERROR(MIN(VLOOKUP(ROUNDDOWN(M471,0),'Aide calcul'!$B$2:$C$282,2,FALSE),L471+1),"")</f>
        <v/>
      </c>
      <c r="O471" s="115" t="str">
        <f t="shared" si="92"/>
        <v/>
      </c>
      <c r="P471" s="173"/>
      <c r="Q471" s="173"/>
      <c r="R471" s="173"/>
      <c r="S471" s="173"/>
      <c r="T471" s="173"/>
      <c r="U471" s="173"/>
      <c r="V471" s="173"/>
      <c r="W471" s="78"/>
      <c r="X471" s="78"/>
      <c r="Y471" s="116" t="str">
        <f>IFERROR(ROUND('Informations générales'!$D$66*(AE471/SUM($AE$27:$AE$403))/12,0)*12,"")</f>
        <v/>
      </c>
      <c r="Z471" s="117"/>
      <c r="AA471" s="116" t="str">
        <f t="shared" si="93"/>
        <v/>
      </c>
      <c r="AB471" s="78"/>
      <c r="AC471" s="92"/>
      <c r="AD471" s="78"/>
      <c r="AE471" s="58">
        <f t="shared" si="94"/>
        <v>0</v>
      </c>
      <c r="AF471" s="58">
        <f t="shared" si="85"/>
        <v>0</v>
      </c>
      <c r="AG471" s="58">
        <f t="shared" si="86"/>
        <v>0</v>
      </c>
      <c r="AH471" s="58">
        <f t="shared" si="87"/>
        <v>0</v>
      </c>
      <c r="AI471" s="58">
        <f t="shared" si="88"/>
        <v>0</v>
      </c>
      <c r="AJ471" s="58">
        <f t="shared" si="89"/>
        <v>0</v>
      </c>
      <c r="AK471" s="58">
        <f t="shared" si="90"/>
        <v>0</v>
      </c>
      <c r="AL471" s="58">
        <f t="shared" si="91"/>
        <v>0</v>
      </c>
      <c r="AM471" s="58">
        <f t="shared" si="95"/>
        <v>0</v>
      </c>
      <c r="AN471" s="62">
        <f t="shared" si="96"/>
        <v>0</v>
      </c>
      <c r="AO471" s="61">
        <f t="shared" si="97"/>
        <v>0</v>
      </c>
      <c r="AP471" s="61">
        <f t="shared" si="98"/>
        <v>0</v>
      </c>
    </row>
    <row r="472" spans="3:42" s="17" customFormat="1" x14ac:dyDescent="0.25">
      <c r="C472" s="216" t="s">
        <v>229</v>
      </c>
      <c r="D472" s="217"/>
      <c r="E472" s="90"/>
      <c r="F472" s="198"/>
      <c r="G472" s="214"/>
      <c r="H472" s="199"/>
      <c r="I472" s="78"/>
      <c r="J472" s="79"/>
      <c r="K472" s="78"/>
      <c r="L472" s="113"/>
      <c r="M472" s="155"/>
      <c r="N472" s="114" t="str">
        <f>IFERROR(MIN(VLOOKUP(ROUNDDOWN(M472,0),'Aide calcul'!$B$2:$C$282,2,FALSE),L472+1),"")</f>
        <v/>
      </c>
      <c r="O472" s="115" t="str">
        <f t="shared" si="92"/>
        <v/>
      </c>
      <c r="P472" s="173"/>
      <c r="Q472" s="173"/>
      <c r="R472" s="173"/>
      <c r="S472" s="173"/>
      <c r="T472" s="173"/>
      <c r="U472" s="173"/>
      <c r="V472" s="173"/>
      <c r="W472" s="78"/>
      <c r="X472" s="78"/>
      <c r="Y472" s="116" t="str">
        <f>IFERROR(ROUND('Informations générales'!$D$66*(AE472/SUM($AE$27:$AE$403))/12,0)*12,"")</f>
        <v/>
      </c>
      <c r="Z472" s="117"/>
      <c r="AA472" s="116" t="str">
        <f t="shared" si="93"/>
        <v/>
      </c>
      <c r="AB472" s="78"/>
      <c r="AC472" s="92"/>
      <c r="AD472" s="78"/>
      <c r="AE472" s="58">
        <f t="shared" si="94"/>
        <v>0</v>
      </c>
      <c r="AF472" s="58">
        <f t="shared" si="85"/>
        <v>0</v>
      </c>
      <c r="AG472" s="58">
        <f t="shared" si="86"/>
        <v>0</v>
      </c>
      <c r="AH472" s="58">
        <f t="shared" si="87"/>
        <v>0</v>
      </c>
      <c r="AI472" s="58">
        <f t="shared" si="88"/>
        <v>0</v>
      </c>
      <c r="AJ472" s="58">
        <f t="shared" si="89"/>
        <v>0</v>
      </c>
      <c r="AK472" s="58">
        <f t="shared" si="90"/>
        <v>0</v>
      </c>
      <c r="AL472" s="58">
        <f t="shared" si="91"/>
        <v>0</v>
      </c>
      <c r="AM472" s="58">
        <f t="shared" si="95"/>
        <v>0</v>
      </c>
      <c r="AN472" s="62">
        <f t="shared" si="96"/>
        <v>0</v>
      </c>
      <c r="AO472" s="61">
        <f t="shared" si="97"/>
        <v>0</v>
      </c>
      <c r="AP472" s="61">
        <f t="shared" si="98"/>
        <v>0</v>
      </c>
    </row>
    <row r="473" spans="3:42" s="17" customFormat="1" x14ac:dyDescent="0.25">
      <c r="C473" s="216" t="s">
        <v>229</v>
      </c>
      <c r="D473" s="217"/>
      <c r="E473" s="90"/>
      <c r="F473" s="198"/>
      <c r="G473" s="214"/>
      <c r="H473" s="199"/>
      <c r="I473" s="78"/>
      <c r="J473" s="79"/>
      <c r="K473" s="78"/>
      <c r="L473" s="113"/>
      <c r="M473" s="155"/>
      <c r="N473" s="114" t="str">
        <f>IFERROR(MIN(VLOOKUP(ROUNDDOWN(M473,0),'Aide calcul'!$B$2:$C$282,2,FALSE),L473+1),"")</f>
        <v/>
      </c>
      <c r="O473" s="115" t="str">
        <f t="shared" si="92"/>
        <v/>
      </c>
      <c r="P473" s="173"/>
      <c r="Q473" s="173"/>
      <c r="R473" s="173"/>
      <c r="S473" s="173"/>
      <c r="T473" s="173"/>
      <c r="U473" s="173"/>
      <c r="V473" s="173"/>
      <c r="W473" s="78"/>
      <c r="X473" s="78"/>
      <c r="Y473" s="116" t="str">
        <f>IFERROR(ROUND('Informations générales'!$D$66*(AE473/SUM($AE$27:$AE$403))/12,0)*12,"")</f>
        <v/>
      </c>
      <c r="Z473" s="117"/>
      <c r="AA473" s="116" t="str">
        <f t="shared" si="93"/>
        <v/>
      </c>
      <c r="AB473" s="78"/>
      <c r="AC473" s="92"/>
      <c r="AD473" s="78"/>
      <c r="AE473" s="58">
        <f t="shared" si="94"/>
        <v>0</v>
      </c>
      <c r="AF473" s="58">
        <f t="shared" si="85"/>
        <v>0</v>
      </c>
      <c r="AG473" s="58">
        <f t="shared" si="86"/>
        <v>0</v>
      </c>
      <c r="AH473" s="58">
        <f t="shared" si="87"/>
        <v>0</v>
      </c>
      <c r="AI473" s="58">
        <f t="shared" si="88"/>
        <v>0</v>
      </c>
      <c r="AJ473" s="58">
        <f t="shared" si="89"/>
        <v>0</v>
      </c>
      <c r="AK473" s="58">
        <f t="shared" si="90"/>
        <v>0</v>
      </c>
      <c r="AL473" s="58">
        <f t="shared" si="91"/>
        <v>0</v>
      </c>
      <c r="AM473" s="58">
        <f t="shared" si="95"/>
        <v>0</v>
      </c>
      <c r="AN473" s="62">
        <f t="shared" si="96"/>
        <v>0</v>
      </c>
      <c r="AO473" s="61">
        <f t="shared" si="97"/>
        <v>0</v>
      </c>
      <c r="AP473" s="61">
        <f t="shared" si="98"/>
        <v>0</v>
      </c>
    </row>
    <row r="474" spans="3:42" s="17" customFormat="1" x14ac:dyDescent="0.25">
      <c r="C474" s="216" t="s">
        <v>229</v>
      </c>
      <c r="D474" s="217"/>
      <c r="E474" s="90"/>
      <c r="F474" s="198"/>
      <c r="G474" s="214"/>
      <c r="H474" s="199"/>
      <c r="I474" s="78"/>
      <c r="J474" s="79"/>
      <c r="K474" s="78"/>
      <c r="L474" s="113"/>
      <c r="M474" s="155"/>
      <c r="N474" s="114" t="str">
        <f>IFERROR(MIN(VLOOKUP(ROUNDDOWN(M474,0),'Aide calcul'!$B$2:$C$282,2,FALSE),L474+1),"")</f>
        <v/>
      </c>
      <c r="O474" s="115" t="str">
        <f t="shared" si="92"/>
        <v/>
      </c>
      <c r="P474" s="173"/>
      <c r="Q474" s="173"/>
      <c r="R474" s="173"/>
      <c r="S474" s="173"/>
      <c r="T474" s="173"/>
      <c r="U474" s="173"/>
      <c r="V474" s="173"/>
      <c r="W474" s="78"/>
      <c r="X474" s="78"/>
      <c r="Y474" s="116" t="str">
        <f>IFERROR(ROUND('Informations générales'!$D$66*(AE474/SUM($AE$27:$AE$403))/12,0)*12,"")</f>
        <v/>
      </c>
      <c r="Z474" s="117"/>
      <c r="AA474" s="116" t="str">
        <f t="shared" si="93"/>
        <v/>
      </c>
      <c r="AB474" s="78"/>
      <c r="AC474" s="92"/>
      <c r="AD474" s="78"/>
      <c r="AE474" s="58">
        <f t="shared" si="94"/>
        <v>0</v>
      </c>
      <c r="AF474" s="58">
        <f t="shared" si="85"/>
        <v>0</v>
      </c>
      <c r="AG474" s="58">
        <f t="shared" si="86"/>
        <v>0</v>
      </c>
      <c r="AH474" s="58">
        <f t="shared" si="87"/>
        <v>0</v>
      </c>
      <c r="AI474" s="58">
        <f t="shared" si="88"/>
        <v>0</v>
      </c>
      <c r="AJ474" s="58">
        <f t="shared" si="89"/>
        <v>0</v>
      </c>
      <c r="AK474" s="58">
        <f t="shared" si="90"/>
        <v>0</v>
      </c>
      <c r="AL474" s="58">
        <f t="shared" si="91"/>
        <v>0</v>
      </c>
      <c r="AM474" s="58">
        <f t="shared" si="95"/>
        <v>0</v>
      </c>
      <c r="AN474" s="62">
        <f t="shared" si="96"/>
        <v>0</v>
      </c>
      <c r="AO474" s="61">
        <f t="shared" si="97"/>
        <v>0</v>
      </c>
      <c r="AP474" s="61">
        <f t="shared" si="98"/>
        <v>0</v>
      </c>
    </row>
    <row r="475" spans="3:42" s="17" customFormat="1" x14ac:dyDescent="0.25">
      <c r="C475" s="216" t="s">
        <v>229</v>
      </c>
      <c r="D475" s="217"/>
      <c r="E475" s="90"/>
      <c r="F475" s="198"/>
      <c r="G475" s="214"/>
      <c r="H475" s="199"/>
      <c r="I475" s="78"/>
      <c r="J475" s="79"/>
      <c r="K475" s="78"/>
      <c r="L475" s="113"/>
      <c r="M475" s="155"/>
      <c r="N475" s="114" t="str">
        <f>IFERROR(MIN(VLOOKUP(ROUNDDOWN(M475,0),'Aide calcul'!$B$2:$C$282,2,FALSE),L475+1),"")</f>
        <v/>
      </c>
      <c r="O475" s="115" t="str">
        <f t="shared" si="92"/>
        <v/>
      </c>
      <c r="P475" s="173"/>
      <c r="Q475" s="173"/>
      <c r="R475" s="173"/>
      <c r="S475" s="173"/>
      <c r="T475" s="173"/>
      <c r="U475" s="173"/>
      <c r="V475" s="173"/>
      <c r="W475" s="78"/>
      <c r="X475" s="78"/>
      <c r="Y475" s="116" t="str">
        <f>IFERROR(ROUND('Informations générales'!$D$66*(AE475/SUM($AE$27:$AE$403))/12,0)*12,"")</f>
        <v/>
      </c>
      <c r="Z475" s="117"/>
      <c r="AA475" s="116" t="str">
        <f t="shared" si="93"/>
        <v/>
      </c>
      <c r="AB475" s="78"/>
      <c r="AC475" s="92"/>
      <c r="AD475" s="78"/>
      <c r="AE475" s="58">
        <f t="shared" si="94"/>
        <v>0</v>
      </c>
      <c r="AF475" s="58">
        <f t="shared" ref="AF475:AF509" si="99">P475*$E$13</f>
        <v>0</v>
      </c>
      <c r="AG475" s="58">
        <f t="shared" ref="AG475:AG509" si="100">Q475*$E$14</f>
        <v>0</v>
      </c>
      <c r="AH475" s="58">
        <f t="shared" ref="AH475:AH509" si="101">R475*$E$15</f>
        <v>0</v>
      </c>
      <c r="AI475" s="58">
        <f t="shared" ref="AI475:AI509" si="102">S475*$E$16</f>
        <v>0</v>
      </c>
      <c r="AJ475" s="58">
        <f t="shared" ref="AJ475:AJ509" si="103">T475*$E$17</f>
        <v>0</v>
      </c>
      <c r="AK475" s="58">
        <f t="shared" ref="AK475:AK509" si="104">U475*$E$18</f>
        <v>0</v>
      </c>
      <c r="AL475" s="58">
        <f t="shared" ref="AL475:AL509" si="105">V475*$E$19</f>
        <v>0</v>
      </c>
      <c r="AM475" s="58">
        <f t="shared" si="95"/>
        <v>0</v>
      </c>
      <c r="AN475" s="62">
        <f t="shared" si="96"/>
        <v>0</v>
      </c>
      <c r="AO475" s="61">
        <f t="shared" si="97"/>
        <v>0</v>
      </c>
      <c r="AP475" s="61">
        <f t="shared" si="98"/>
        <v>0</v>
      </c>
    </row>
    <row r="476" spans="3:42" s="17" customFormat="1" x14ac:dyDescent="0.25">
      <c r="C476" s="216" t="s">
        <v>229</v>
      </c>
      <c r="D476" s="217"/>
      <c r="E476" s="90"/>
      <c r="F476" s="198"/>
      <c r="G476" s="214"/>
      <c r="H476" s="199"/>
      <c r="I476" s="78"/>
      <c r="J476" s="79"/>
      <c r="K476" s="78"/>
      <c r="L476" s="113"/>
      <c r="M476" s="155"/>
      <c r="N476" s="114" t="str">
        <f>IFERROR(MIN(VLOOKUP(ROUNDDOWN(M476,0),'Aide calcul'!$B$2:$C$282,2,FALSE),L476+1),"")</f>
        <v/>
      </c>
      <c r="O476" s="115" t="str">
        <f t="shared" ref="O476:O509" si="106">IFERROR(TRUNC(N476-0.5),"")</f>
        <v/>
      </c>
      <c r="P476" s="173"/>
      <c r="Q476" s="173"/>
      <c r="R476" s="173"/>
      <c r="S476" s="173"/>
      <c r="T476" s="173"/>
      <c r="U476" s="173"/>
      <c r="V476" s="173"/>
      <c r="W476" s="78"/>
      <c r="X476" s="78"/>
      <c r="Y476" s="116" t="str">
        <f>IFERROR(ROUND('Informations générales'!$D$66*(AE476/SUM($AE$27:$AE$403))/12,0)*12,"")</f>
        <v/>
      </c>
      <c r="Z476" s="117"/>
      <c r="AA476" s="116" t="str">
        <f t="shared" ref="AA476:AA509" si="107">IFERROR(Y476/AM476,"")</f>
        <v/>
      </c>
      <c r="AB476" s="78"/>
      <c r="AC476" s="92"/>
      <c r="AD476" s="78"/>
      <c r="AE476" s="58">
        <f t="shared" ref="AE476:AE509" si="108">AM476*(SUM(1,AN476,AO476,AP476))</f>
        <v>0</v>
      </c>
      <c r="AF476" s="58">
        <f t="shared" si="99"/>
        <v>0</v>
      </c>
      <c r="AG476" s="58">
        <f t="shared" si="100"/>
        <v>0</v>
      </c>
      <c r="AH476" s="58">
        <f t="shared" si="101"/>
        <v>0</v>
      </c>
      <c r="AI476" s="58">
        <f t="shared" si="102"/>
        <v>0</v>
      </c>
      <c r="AJ476" s="58">
        <f t="shared" si="103"/>
        <v>0</v>
      </c>
      <c r="AK476" s="58">
        <f t="shared" si="104"/>
        <v>0</v>
      </c>
      <c r="AL476" s="58">
        <f t="shared" si="105"/>
        <v>0</v>
      </c>
      <c r="AM476" s="58">
        <f t="shared" ref="AM476:AM509" si="109">SUM(AF476:AL476)</f>
        <v>0</v>
      </c>
      <c r="AN476" s="62">
        <f t="shared" ref="AN476:AN526" si="110">IFERROR(I476*$E$12,0)</f>
        <v>0</v>
      </c>
      <c r="AO476" s="61">
        <f t="shared" si="97"/>
        <v>0</v>
      </c>
      <c r="AP476" s="61">
        <f t="shared" si="98"/>
        <v>0</v>
      </c>
    </row>
    <row r="477" spans="3:42" s="17" customFormat="1" x14ac:dyDescent="0.25">
      <c r="C477" s="216" t="s">
        <v>229</v>
      </c>
      <c r="D477" s="217"/>
      <c r="E477" s="90"/>
      <c r="F477" s="198"/>
      <c r="G477" s="214"/>
      <c r="H477" s="199"/>
      <c r="I477" s="78"/>
      <c r="J477" s="79"/>
      <c r="K477" s="78"/>
      <c r="L477" s="113"/>
      <c r="M477" s="155"/>
      <c r="N477" s="114" t="str">
        <f>IFERROR(MIN(VLOOKUP(ROUNDDOWN(M477,0),'Aide calcul'!$B$2:$C$282,2,FALSE),L477+1),"")</f>
        <v/>
      </c>
      <c r="O477" s="115" t="str">
        <f t="shared" si="106"/>
        <v/>
      </c>
      <c r="P477" s="173"/>
      <c r="Q477" s="173"/>
      <c r="R477" s="173"/>
      <c r="S477" s="173"/>
      <c r="T477" s="173"/>
      <c r="U477" s="173"/>
      <c r="V477" s="173"/>
      <c r="W477" s="78"/>
      <c r="X477" s="78"/>
      <c r="Y477" s="116" t="str">
        <f>IFERROR(ROUND('Informations générales'!$D$66*(AE477/SUM($AE$27:$AE$403))/12,0)*12,"")</f>
        <v/>
      </c>
      <c r="Z477" s="117"/>
      <c r="AA477" s="116" t="str">
        <f t="shared" si="107"/>
        <v/>
      </c>
      <c r="AB477" s="78"/>
      <c r="AC477" s="92"/>
      <c r="AD477" s="78"/>
      <c r="AE477" s="58">
        <f t="shared" si="108"/>
        <v>0</v>
      </c>
      <c r="AF477" s="58">
        <f t="shared" si="99"/>
        <v>0</v>
      </c>
      <c r="AG477" s="58">
        <f t="shared" si="100"/>
        <v>0</v>
      </c>
      <c r="AH477" s="58">
        <f t="shared" si="101"/>
        <v>0</v>
      </c>
      <c r="AI477" s="58">
        <f t="shared" si="102"/>
        <v>0</v>
      </c>
      <c r="AJ477" s="58">
        <f t="shared" si="103"/>
        <v>0</v>
      </c>
      <c r="AK477" s="58">
        <f t="shared" si="104"/>
        <v>0</v>
      </c>
      <c r="AL477" s="58">
        <f t="shared" si="105"/>
        <v>0</v>
      </c>
      <c r="AM477" s="58">
        <f t="shared" si="109"/>
        <v>0</v>
      </c>
      <c r="AN477" s="62">
        <f t="shared" si="110"/>
        <v>0</v>
      </c>
      <c r="AO477" s="61">
        <f t="shared" ref="AO477:AO509" si="111">IFERROR(VLOOKUP(W477,$H$12:$I$22,2,FALSE),0)</f>
        <v>0</v>
      </c>
      <c r="AP477" s="61">
        <f t="shared" ref="AP477:AP509" si="112">IFERROR(VLOOKUP(X477,$L$12:$N$19,3,FALSE),0)</f>
        <v>0</v>
      </c>
    </row>
    <row r="478" spans="3:42" s="17" customFormat="1" x14ac:dyDescent="0.25">
      <c r="C478" s="216" t="s">
        <v>229</v>
      </c>
      <c r="D478" s="217"/>
      <c r="E478" s="90"/>
      <c r="F478" s="198"/>
      <c r="G478" s="214"/>
      <c r="H478" s="199"/>
      <c r="I478" s="78"/>
      <c r="J478" s="79"/>
      <c r="K478" s="78"/>
      <c r="L478" s="113"/>
      <c r="M478" s="155"/>
      <c r="N478" s="114" t="str">
        <f>IFERROR(MIN(VLOOKUP(ROUNDDOWN(M478,0),'Aide calcul'!$B$2:$C$282,2,FALSE),L478+1),"")</f>
        <v/>
      </c>
      <c r="O478" s="115" t="str">
        <f t="shared" si="106"/>
        <v/>
      </c>
      <c r="P478" s="173"/>
      <c r="Q478" s="173"/>
      <c r="R478" s="173"/>
      <c r="S478" s="173"/>
      <c r="T478" s="173"/>
      <c r="U478" s="173"/>
      <c r="V478" s="173"/>
      <c r="W478" s="78"/>
      <c r="X478" s="78"/>
      <c r="Y478" s="116" t="str">
        <f>IFERROR(ROUND('Informations générales'!$D$66*(AE478/SUM($AE$27:$AE$403))/12,0)*12,"")</f>
        <v/>
      </c>
      <c r="Z478" s="117"/>
      <c r="AA478" s="116" t="str">
        <f t="shared" si="107"/>
        <v/>
      </c>
      <c r="AB478" s="78"/>
      <c r="AC478" s="92"/>
      <c r="AD478" s="78"/>
      <c r="AE478" s="58">
        <f t="shared" si="108"/>
        <v>0</v>
      </c>
      <c r="AF478" s="58">
        <f t="shared" si="99"/>
        <v>0</v>
      </c>
      <c r="AG478" s="58">
        <f t="shared" si="100"/>
        <v>0</v>
      </c>
      <c r="AH478" s="58">
        <f t="shared" si="101"/>
        <v>0</v>
      </c>
      <c r="AI478" s="58">
        <f t="shared" si="102"/>
        <v>0</v>
      </c>
      <c r="AJ478" s="58">
        <f t="shared" si="103"/>
        <v>0</v>
      </c>
      <c r="AK478" s="58">
        <f t="shared" si="104"/>
        <v>0</v>
      </c>
      <c r="AL478" s="58">
        <f t="shared" si="105"/>
        <v>0</v>
      </c>
      <c r="AM478" s="58">
        <f t="shared" si="109"/>
        <v>0</v>
      </c>
      <c r="AN478" s="62">
        <f t="shared" si="110"/>
        <v>0</v>
      </c>
      <c r="AO478" s="61">
        <f t="shared" si="111"/>
        <v>0</v>
      </c>
      <c r="AP478" s="61">
        <f t="shared" si="112"/>
        <v>0</v>
      </c>
    </row>
    <row r="479" spans="3:42" s="17" customFormat="1" x14ac:dyDescent="0.25">
      <c r="C479" s="216" t="s">
        <v>229</v>
      </c>
      <c r="D479" s="217"/>
      <c r="E479" s="90"/>
      <c r="F479" s="198"/>
      <c r="G479" s="214"/>
      <c r="H479" s="199"/>
      <c r="I479" s="78"/>
      <c r="J479" s="79"/>
      <c r="K479" s="78"/>
      <c r="L479" s="113"/>
      <c r="M479" s="155"/>
      <c r="N479" s="114" t="str">
        <f>IFERROR(MIN(VLOOKUP(ROUNDDOWN(M479,0),'Aide calcul'!$B$2:$C$282,2,FALSE),L479+1),"")</f>
        <v/>
      </c>
      <c r="O479" s="115" t="str">
        <f t="shared" si="106"/>
        <v/>
      </c>
      <c r="P479" s="173"/>
      <c r="Q479" s="173"/>
      <c r="R479" s="173"/>
      <c r="S479" s="173"/>
      <c r="T479" s="173"/>
      <c r="U479" s="173"/>
      <c r="V479" s="173"/>
      <c r="W479" s="78"/>
      <c r="X479" s="78"/>
      <c r="Y479" s="116" t="str">
        <f>IFERROR(ROUND('Informations générales'!$D$66*(AE479/SUM($AE$27:$AE$403))/12,0)*12,"")</f>
        <v/>
      </c>
      <c r="Z479" s="117"/>
      <c r="AA479" s="116" t="str">
        <f t="shared" si="107"/>
        <v/>
      </c>
      <c r="AB479" s="78"/>
      <c r="AC479" s="92"/>
      <c r="AD479" s="78"/>
      <c r="AE479" s="58">
        <f t="shared" si="108"/>
        <v>0</v>
      </c>
      <c r="AF479" s="58">
        <f t="shared" si="99"/>
        <v>0</v>
      </c>
      <c r="AG479" s="58">
        <f t="shared" si="100"/>
        <v>0</v>
      </c>
      <c r="AH479" s="58">
        <f t="shared" si="101"/>
        <v>0</v>
      </c>
      <c r="AI479" s="58">
        <f t="shared" si="102"/>
        <v>0</v>
      </c>
      <c r="AJ479" s="58">
        <f t="shared" si="103"/>
        <v>0</v>
      </c>
      <c r="AK479" s="58">
        <f t="shared" si="104"/>
        <v>0</v>
      </c>
      <c r="AL479" s="58">
        <f t="shared" si="105"/>
        <v>0</v>
      </c>
      <c r="AM479" s="58">
        <f t="shared" si="109"/>
        <v>0</v>
      </c>
      <c r="AN479" s="62">
        <f t="shared" si="110"/>
        <v>0</v>
      </c>
      <c r="AO479" s="61">
        <f t="shared" si="111"/>
        <v>0</v>
      </c>
      <c r="AP479" s="61">
        <f t="shared" si="112"/>
        <v>0</v>
      </c>
    </row>
    <row r="480" spans="3:42" s="17" customFormat="1" x14ac:dyDescent="0.25">
      <c r="C480" s="216" t="s">
        <v>229</v>
      </c>
      <c r="D480" s="217"/>
      <c r="E480" s="90"/>
      <c r="F480" s="198"/>
      <c r="G480" s="214"/>
      <c r="H480" s="199"/>
      <c r="I480" s="78"/>
      <c r="J480" s="79"/>
      <c r="K480" s="78"/>
      <c r="L480" s="113"/>
      <c r="M480" s="155"/>
      <c r="N480" s="114" t="str">
        <f>IFERROR(MIN(VLOOKUP(ROUNDDOWN(M480,0),'Aide calcul'!$B$2:$C$282,2,FALSE),L480+1),"")</f>
        <v/>
      </c>
      <c r="O480" s="115" t="str">
        <f t="shared" si="106"/>
        <v/>
      </c>
      <c r="P480" s="173"/>
      <c r="Q480" s="173"/>
      <c r="R480" s="173"/>
      <c r="S480" s="173"/>
      <c r="T480" s="173"/>
      <c r="U480" s="173"/>
      <c r="V480" s="173"/>
      <c r="W480" s="78"/>
      <c r="X480" s="78"/>
      <c r="Y480" s="116" t="str">
        <f>IFERROR(ROUND('Informations générales'!$D$66*(AE480/SUM($AE$27:$AE$403))/12,0)*12,"")</f>
        <v/>
      </c>
      <c r="Z480" s="117"/>
      <c r="AA480" s="116" t="str">
        <f t="shared" si="107"/>
        <v/>
      </c>
      <c r="AB480" s="78"/>
      <c r="AC480" s="92"/>
      <c r="AD480" s="78"/>
      <c r="AE480" s="58">
        <f t="shared" si="108"/>
        <v>0</v>
      </c>
      <c r="AF480" s="58">
        <f t="shared" si="99"/>
        <v>0</v>
      </c>
      <c r="AG480" s="58">
        <f t="shared" si="100"/>
        <v>0</v>
      </c>
      <c r="AH480" s="58">
        <f t="shared" si="101"/>
        <v>0</v>
      </c>
      <c r="AI480" s="58">
        <f t="shared" si="102"/>
        <v>0</v>
      </c>
      <c r="AJ480" s="58">
        <f t="shared" si="103"/>
        <v>0</v>
      </c>
      <c r="AK480" s="58">
        <f t="shared" si="104"/>
        <v>0</v>
      </c>
      <c r="AL480" s="58">
        <f t="shared" si="105"/>
        <v>0</v>
      </c>
      <c r="AM480" s="58">
        <f t="shared" si="109"/>
        <v>0</v>
      </c>
      <c r="AN480" s="62">
        <f t="shared" si="110"/>
        <v>0</v>
      </c>
      <c r="AO480" s="61">
        <f t="shared" si="111"/>
        <v>0</v>
      </c>
      <c r="AP480" s="61">
        <f t="shared" si="112"/>
        <v>0</v>
      </c>
    </row>
    <row r="481" spans="3:42" s="17" customFormat="1" x14ac:dyDescent="0.25">
      <c r="C481" s="216" t="s">
        <v>229</v>
      </c>
      <c r="D481" s="217"/>
      <c r="E481" s="90"/>
      <c r="F481" s="198"/>
      <c r="G481" s="214"/>
      <c r="H481" s="199"/>
      <c r="I481" s="78"/>
      <c r="J481" s="79"/>
      <c r="K481" s="78"/>
      <c r="L481" s="113"/>
      <c r="M481" s="155"/>
      <c r="N481" s="114" t="str">
        <f>IFERROR(MIN(VLOOKUP(ROUNDDOWN(M481,0),'Aide calcul'!$B$2:$C$282,2,FALSE),L481+1),"")</f>
        <v/>
      </c>
      <c r="O481" s="115" t="str">
        <f t="shared" si="106"/>
        <v/>
      </c>
      <c r="P481" s="173"/>
      <c r="Q481" s="173"/>
      <c r="R481" s="173"/>
      <c r="S481" s="173"/>
      <c r="T481" s="173"/>
      <c r="U481" s="173"/>
      <c r="V481" s="173"/>
      <c r="W481" s="78"/>
      <c r="X481" s="78"/>
      <c r="Y481" s="116" t="str">
        <f>IFERROR(ROUND('Informations générales'!$D$66*(AE481/SUM($AE$27:$AE$403))/12,0)*12,"")</f>
        <v/>
      </c>
      <c r="Z481" s="117"/>
      <c r="AA481" s="116" t="str">
        <f t="shared" si="107"/>
        <v/>
      </c>
      <c r="AB481" s="78"/>
      <c r="AC481" s="92"/>
      <c r="AD481" s="78"/>
      <c r="AE481" s="58">
        <f t="shared" si="108"/>
        <v>0</v>
      </c>
      <c r="AF481" s="58">
        <f t="shared" si="99"/>
        <v>0</v>
      </c>
      <c r="AG481" s="58">
        <f t="shared" si="100"/>
        <v>0</v>
      </c>
      <c r="AH481" s="58">
        <f t="shared" si="101"/>
        <v>0</v>
      </c>
      <c r="AI481" s="58">
        <f t="shared" si="102"/>
        <v>0</v>
      </c>
      <c r="AJ481" s="58">
        <f t="shared" si="103"/>
        <v>0</v>
      </c>
      <c r="AK481" s="58">
        <f t="shared" si="104"/>
        <v>0</v>
      </c>
      <c r="AL481" s="58">
        <f t="shared" si="105"/>
        <v>0</v>
      </c>
      <c r="AM481" s="58">
        <f t="shared" si="109"/>
        <v>0</v>
      </c>
      <c r="AN481" s="62">
        <f t="shared" si="110"/>
        <v>0</v>
      </c>
      <c r="AO481" s="61">
        <f t="shared" si="111"/>
        <v>0</v>
      </c>
      <c r="AP481" s="61">
        <f t="shared" si="112"/>
        <v>0</v>
      </c>
    </row>
    <row r="482" spans="3:42" s="17" customFormat="1" x14ac:dyDescent="0.25">
      <c r="C482" s="216" t="s">
        <v>229</v>
      </c>
      <c r="D482" s="217"/>
      <c r="E482" s="90"/>
      <c r="F482" s="198"/>
      <c r="G482" s="214"/>
      <c r="H482" s="199"/>
      <c r="I482" s="78"/>
      <c r="J482" s="79"/>
      <c r="K482" s="78"/>
      <c r="L482" s="113"/>
      <c r="M482" s="155"/>
      <c r="N482" s="114" t="str">
        <f>IFERROR(MIN(VLOOKUP(ROUNDDOWN(M482,0),'Aide calcul'!$B$2:$C$282,2,FALSE),L482+1),"")</f>
        <v/>
      </c>
      <c r="O482" s="115" t="str">
        <f t="shared" si="106"/>
        <v/>
      </c>
      <c r="P482" s="173"/>
      <c r="Q482" s="173"/>
      <c r="R482" s="173"/>
      <c r="S482" s="173"/>
      <c r="T482" s="173"/>
      <c r="U482" s="173"/>
      <c r="V482" s="173"/>
      <c r="W482" s="78"/>
      <c r="X482" s="78"/>
      <c r="Y482" s="116" t="str">
        <f>IFERROR(ROUND('Informations générales'!$D$66*(AE482/SUM($AE$27:$AE$403))/12,0)*12,"")</f>
        <v/>
      </c>
      <c r="Z482" s="117"/>
      <c r="AA482" s="116" t="str">
        <f t="shared" si="107"/>
        <v/>
      </c>
      <c r="AB482" s="78"/>
      <c r="AC482" s="92"/>
      <c r="AD482" s="78"/>
      <c r="AE482" s="58">
        <f t="shared" si="108"/>
        <v>0</v>
      </c>
      <c r="AF482" s="58">
        <f t="shared" si="99"/>
        <v>0</v>
      </c>
      <c r="AG482" s="58">
        <f t="shared" si="100"/>
        <v>0</v>
      </c>
      <c r="AH482" s="58">
        <f t="shared" si="101"/>
        <v>0</v>
      </c>
      <c r="AI482" s="58">
        <f t="shared" si="102"/>
        <v>0</v>
      </c>
      <c r="AJ482" s="58">
        <f t="shared" si="103"/>
        <v>0</v>
      </c>
      <c r="AK482" s="58">
        <f t="shared" si="104"/>
        <v>0</v>
      </c>
      <c r="AL482" s="58">
        <f t="shared" si="105"/>
        <v>0</v>
      </c>
      <c r="AM482" s="58">
        <f t="shared" si="109"/>
        <v>0</v>
      </c>
      <c r="AN482" s="62">
        <f t="shared" si="110"/>
        <v>0</v>
      </c>
      <c r="AO482" s="61">
        <f t="shared" si="111"/>
        <v>0</v>
      </c>
      <c r="AP482" s="61">
        <f t="shared" si="112"/>
        <v>0</v>
      </c>
    </row>
    <row r="483" spans="3:42" s="17" customFormat="1" x14ac:dyDescent="0.25">
      <c r="C483" s="216" t="s">
        <v>229</v>
      </c>
      <c r="D483" s="217"/>
      <c r="E483" s="90"/>
      <c r="F483" s="198"/>
      <c r="G483" s="214"/>
      <c r="H483" s="199"/>
      <c r="I483" s="78"/>
      <c r="J483" s="79"/>
      <c r="K483" s="78"/>
      <c r="L483" s="113"/>
      <c r="M483" s="155"/>
      <c r="N483" s="114" t="str">
        <f>IFERROR(MIN(VLOOKUP(ROUNDDOWN(M483,0),'Aide calcul'!$B$2:$C$282,2,FALSE),L483+1),"")</f>
        <v/>
      </c>
      <c r="O483" s="115" t="str">
        <f t="shared" si="106"/>
        <v/>
      </c>
      <c r="P483" s="173"/>
      <c r="Q483" s="173"/>
      <c r="R483" s="173"/>
      <c r="S483" s="173"/>
      <c r="T483" s="173"/>
      <c r="U483" s="173"/>
      <c r="V483" s="173"/>
      <c r="W483" s="78"/>
      <c r="X483" s="78"/>
      <c r="Y483" s="116" t="str">
        <f>IFERROR(ROUND('Informations générales'!$D$66*(AE483/SUM($AE$27:$AE$403))/12,0)*12,"")</f>
        <v/>
      </c>
      <c r="Z483" s="117"/>
      <c r="AA483" s="116" t="str">
        <f t="shared" si="107"/>
        <v/>
      </c>
      <c r="AB483" s="78"/>
      <c r="AC483" s="92"/>
      <c r="AD483" s="78"/>
      <c r="AE483" s="58">
        <f t="shared" si="108"/>
        <v>0</v>
      </c>
      <c r="AF483" s="58">
        <f t="shared" si="99"/>
        <v>0</v>
      </c>
      <c r="AG483" s="58">
        <f t="shared" si="100"/>
        <v>0</v>
      </c>
      <c r="AH483" s="58">
        <f t="shared" si="101"/>
        <v>0</v>
      </c>
      <c r="AI483" s="58">
        <f t="shared" si="102"/>
        <v>0</v>
      </c>
      <c r="AJ483" s="58">
        <f t="shared" si="103"/>
        <v>0</v>
      </c>
      <c r="AK483" s="58">
        <f t="shared" si="104"/>
        <v>0</v>
      </c>
      <c r="AL483" s="58">
        <f t="shared" si="105"/>
        <v>0</v>
      </c>
      <c r="AM483" s="58">
        <f t="shared" si="109"/>
        <v>0</v>
      </c>
      <c r="AN483" s="62">
        <f t="shared" si="110"/>
        <v>0</v>
      </c>
      <c r="AO483" s="61">
        <f t="shared" si="111"/>
        <v>0</v>
      </c>
      <c r="AP483" s="61">
        <f t="shared" si="112"/>
        <v>0</v>
      </c>
    </row>
    <row r="484" spans="3:42" s="17" customFormat="1" x14ac:dyDescent="0.25">
      <c r="C484" s="216" t="s">
        <v>229</v>
      </c>
      <c r="D484" s="217"/>
      <c r="E484" s="90"/>
      <c r="F484" s="198"/>
      <c r="G484" s="214"/>
      <c r="H484" s="199"/>
      <c r="I484" s="78"/>
      <c r="J484" s="79"/>
      <c r="K484" s="78"/>
      <c r="L484" s="113"/>
      <c r="M484" s="155"/>
      <c r="N484" s="114" t="str">
        <f>IFERROR(MIN(VLOOKUP(ROUNDDOWN(M484,0),'Aide calcul'!$B$2:$C$282,2,FALSE),L484+1),"")</f>
        <v/>
      </c>
      <c r="O484" s="115" t="str">
        <f t="shared" si="106"/>
        <v/>
      </c>
      <c r="P484" s="173"/>
      <c r="Q484" s="173"/>
      <c r="R484" s="173"/>
      <c r="S484" s="173"/>
      <c r="T484" s="173"/>
      <c r="U484" s="173"/>
      <c r="V484" s="173"/>
      <c r="W484" s="78"/>
      <c r="X484" s="78"/>
      <c r="Y484" s="116" t="str">
        <f>IFERROR(ROUND('Informations générales'!$D$66*(AE484/SUM($AE$27:$AE$403))/12,0)*12,"")</f>
        <v/>
      </c>
      <c r="Z484" s="117"/>
      <c r="AA484" s="116" t="str">
        <f t="shared" si="107"/>
        <v/>
      </c>
      <c r="AB484" s="78"/>
      <c r="AC484" s="92"/>
      <c r="AD484" s="78"/>
      <c r="AE484" s="58">
        <f t="shared" si="108"/>
        <v>0</v>
      </c>
      <c r="AF484" s="58">
        <f t="shared" si="99"/>
        <v>0</v>
      </c>
      <c r="AG484" s="58">
        <f t="shared" si="100"/>
        <v>0</v>
      </c>
      <c r="AH484" s="58">
        <f t="shared" si="101"/>
        <v>0</v>
      </c>
      <c r="AI484" s="58">
        <f t="shared" si="102"/>
        <v>0</v>
      </c>
      <c r="AJ484" s="58">
        <f t="shared" si="103"/>
        <v>0</v>
      </c>
      <c r="AK484" s="58">
        <f t="shared" si="104"/>
        <v>0</v>
      </c>
      <c r="AL484" s="58">
        <f t="shared" si="105"/>
        <v>0</v>
      </c>
      <c r="AM484" s="58">
        <f t="shared" si="109"/>
        <v>0</v>
      </c>
      <c r="AN484" s="62">
        <f t="shared" si="110"/>
        <v>0</v>
      </c>
      <c r="AO484" s="61">
        <f t="shared" si="111"/>
        <v>0</v>
      </c>
      <c r="AP484" s="61">
        <f t="shared" si="112"/>
        <v>0</v>
      </c>
    </row>
    <row r="485" spans="3:42" s="17" customFormat="1" x14ac:dyDescent="0.25">
      <c r="C485" s="216" t="s">
        <v>229</v>
      </c>
      <c r="D485" s="217"/>
      <c r="E485" s="90"/>
      <c r="F485" s="198"/>
      <c r="G485" s="214"/>
      <c r="H485" s="199"/>
      <c r="I485" s="78"/>
      <c r="J485" s="79"/>
      <c r="K485" s="78"/>
      <c r="L485" s="113"/>
      <c r="M485" s="155"/>
      <c r="N485" s="114" t="str">
        <f>IFERROR(MIN(VLOOKUP(ROUNDDOWN(M485,0),'Aide calcul'!$B$2:$C$282,2,FALSE),L485+1),"")</f>
        <v/>
      </c>
      <c r="O485" s="115" t="str">
        <f t="shared" si="106"/>
        <v/>
      </c>
      <c r="P485" s="173"/>
      <c r="Q485" s="173"/>
      <c r="R485" s="173"/>
      <c r="S485" s="173"/>
      <c r="T485" s="173"/>
      <c r="U485" s="173"/>
      <c r="V485" s="173"/>
      <c r="W485" s="78"/>
      <c r="X485" s="78"/>
      <c r="Y485" s="116" t="str">
        <f>IFERROR(ROUND('Informations générales'!$D$66*(AE485/SUM($AE$27:$AE$403))/12,0)*12,"")</f>
        <v/>
      </c>
      <c r="Z485" s="117"/>
      <c r="AA485" s="116" t="str">
        <f t="shared" si="107"/>
        <v/>
      </c>
      <c r="AB485" s="78"/>
      <c r="AC485" s="92"/>
      <c r="AD485" s="78"/>
      <c r="AE485" s="58">
        <f t="shared" si="108"/>
        <v>0</v>
      </c>
      <c r="AF485" s="58">
        <f t="shared" si="99"/>
        <v>0</v>
      </c>
      <c r="AG485" s="58">
        <f t="shared" si="100"/>
        <v>0</v>
      </c>
      <c r="AH485" s="58">
        <f t="shared" si="101"/>
        <v>0</v>
      </c>
      <c r="AI485" s="58">
        <f t="shared" si="102"/>
        <v>0</v>
      </c>
      <c r="AJ485" s="58">
        <f t="shared" si="103"/>
        <v>0</v>
      </c>
      <c r="AK485" s="58">
        <f t="shared" si="104"/>
        <v>0</v>
      </c>
      <c r="AL485" s="58">
        <f t="shared" si="105"/>
        <v>0</v>
      </c>
      <c r="AM485" s="58">
        <f t="shared" si="109"/>
        <v>0</v>
      </c>
      <c r="AN485" s="62">
        <f t="shared" si="110"/>
        <v>0</v>
      </c>
      <c r="AO485" s="61">
        <f t="shared" si="111"/>
        <v>0</v>
      </c>
      <c r="AP485" s="61">
        <f t="shared" si="112"/>
        <v>0</v>
      </c>
    </row>
    <row r="486" spans="3:42" s="17" customFormat="1" x14ac:dyDescent="0.25">
      <c r="C486" s="216" t="s">
        <v>229</v>
      </c>
      <c r="D486" s="217"/>
      <c r="E486" s="90"/>
      <c r="F486" s="198"/>
      <c r="G486" s="214"/>
      <c r="H486" s="199"/>
      <c r="I486" s="78"/>
      <c r="J486" s="79"/>
      <c r="K486" s="78"/>
      <c r="L486" s="113"/>
      <c r="M486" s="155"/>
      <c r="N486" s="114" t="str">
        <f>IFERROR(MIN(VLOOKUP(ROUNDDOWN(M486,0),'Aide calcul'!$B$2:$C$282,2,FALSE),L486+1),"")</f>
        <v/>
      </c>
      <c r="O486" s="115" t="str">
        <f t="shared" si="106"/>
        <v/>
      </c>
      <c r="P486" s="173"/>
      <c r="Q486" s="173"/>
      <c r="R486" s="173"/>
      <c r="S486" s="173"/>
      <c r="T486" s="173"/>
      <c r="U486" s="173"/>
      <c r="V486" s="173"/>
      <c r="W486" s="78"/>
      <c r="X486" s="78"/>
      <c r="Y486" s="116" t="str">
        <f>IFERROR(ROUND('Informations générales'!$D$66*(AE486/SUM($AE$27:$AE$403))/12,0)*12,"")</f>
        <v/>
      </c>
      <c r="Z486" s="117"/>
      <c r="AA486" s="116" t="str">
        <f t="shared" si="107"/>
        <v/>
      </c>
      <c r="AB486" s="78"/>
      <c r="AC486" s="92"/>
      <c r="AD486" s="78"/>
      <c r="AE486" s="58">
        <f t="shared" si="108"/>
        <v>0</v>
      </c>
      <c r="AF486" s="58">
        <f t="shared" si="99"/>
        <v>0</v>
      </c>
      <c r="AG486" s="58">
        <f t="shared" si="100"/>
        <v>0</v>
      </c>
      <c r="AH486" s="58">
        <f t="shared" si="101"/>
        <v>0</v>
      </c>
      <c r="AI486" s="58">
        <f t="shared" si="102"/>
        <v>0</v>
      </c>
      <c r="AJ486" s="58">
        <f t="shared" si="103"/>
        <v>0</v>
      </c>
      <c r="AK486" s="58">
        <f t="shared" si="104"/>
        <v>0</v>
      </c>
      <c r="AL486" s="58">
        <f t="shared" si="105"/>
        <v>0</v>
      </c>
      <c r="AM486" s="58">
        <f t="shared" si="109"/>
        <v>0</v>
      </c>
      <c r="AN486" s="62">
        <f t="shared" si="110"/>
        <v>0</v>
      </c>
      <c r="AO486" s="61">
        <f t="shared" si="111"/>
        <v>0</v>
      </c>
      <c r="AP486" s="61">
        <f t="shared" si="112"/>
        <v>0</v>
      </c>
    </row>
    <row r="487" spans="3:42" s="17" customFormat="1" x14ac:dyDescent="0.25">
      <c r="C487" s="216" t="s">
        <v>229</v>
      </c>
      <c r="D487" s="217"/>
      <c r="E487" s="90"/>
      <c r="F487" s="198"/>
      <c r="G487" s="214"/>
      <c r="H487" s="199"/>
      <c r="I487" s="78"/>
      <c r="J487" s="79"/>
      <c r="K487" s="78"/>
      <c r="L487" s="113"/>
      <c r="M487" s="155"/>
      <c r="N487" s="114" t="str">
        <f>IFERROR(MIN(VLOOKUP(ROUNDDOWN(M487,0),'Aide calcul'!$B$2:$C$282,2,FALSE),L487+1),"")</f>
        <v/>
      </c>
      <c r="O487" s="115" t="str">
        <f t="shared" si="106"/>
        <v/>
      </c>
      <c r="P487" s="173"/>
      <c r="Q487" s="173"/>
      <c r="R487" s="173"/>
      <c r="S487" s="173"/>
      <c r="T487" s="173"/>
      <c r="U487" s="173"/>
      <c r="V487" s="173"/>
      <c r="W487" s="78"/>
      <c r="X487" s="78"/>
      <c r="Y487" s="116" t="str">
        <f>IFERROR(ROUND('Informations générales'!$D$66*(AE487/SUM($AE$27:$AE$403))/12,0)*12,"")</f>
        <v/>
      </c>
      <c r="Z487" s="117"/>
      <c r="AA487" s="116" t="str">
        <f t="shared" si="107"/>
        <v/>
      </c>
      <c r="AB487" s="78"/>
      <c r="AC487" s="92"/>
      <c r="AD487" s="78"/>
      <c r="AE487" s="58">
        <f t="shared" si="108"/>
        <v>0</v>
      </c>
      <c r="AF487" s="58">
        <f t="shared" si="99"/>
        <v>0</v>
      </c>
      <c r="AG487" s="58">
        <f t="shared" si="100"/>
        <v>0</v>
      </c>
      <c r="AH487" s="58">
        <f t="shared" si="101"/>
        <v>0</v>
      </c>
      <c r="AI487" s="58">
        <f t="shared" si="102"/>
        <v>0</v>
      </c>
      <c r="AJ487" s="58">
        <f t="shared" si="103"/>
        <v>0</v>
      </c>
      <c r="AK487" s="58">
        <f t="shared" si="104"/>
        <v>0</v>
      </c>
      <c r="AL487" s="58">
        <f t="shared" si="105"/>
        <v>0</v>
      </c>
      <c r="AM487" s="58">
        <f t="shared" si="109"/>
        <v>0</v>
      </c>
      <c r="AN487" s="62">
        <f t="shared" si="110"/>
        <v>0</v>
      </c>
      <c r="AO487" s="61">
        <f t="shared" si="111"/>
        <v>0</v>
      </c>
      <c r="AP487" s="61">
        <f t="shared" si="112"/>
        <v>0</v>
      </c>
    </row>
    <row r="488" spans="3:42" s="17" customFormat="1" x14ac:dyDescent="0.25">
      <c r="C488" s="216" t="s">
        <v>229</v>
      </c>
      <c r="D488" s="217"/>
      <c r="E488" s="90"/>
      <c r="F488" s="198"/>
      <c r="G488" s="214"/>
      <c r="H488" s="199"/>
      <c r="I488" s="78"/>
      <c r="J488" s="79"/>
      <c r="K488" s="78"/>
      <c r="L488" s="113"/>
      <c r="M488" s="155"/>
      <c r="N488" s="114" t="str">
        <f>IFERROR(MIN(VLOOKUP(ROUNDDOWN(M488,0),'Aide calcul'!$B$2:$C$282,2,FALSE),L488+1),"")</f>
        <v/>
      </c>
      <c r="O488" s="115" t="str">
        <f t="shared" si="106"/>
        <v/>
      </c>
      <c r="P488" s="173"/>
      <c r="Q488" s="173"/>
      <c r="R488" s="173"/>
      <c r="S488" s="173"/>
      <c r="T488" s="173"/>
      <c r="U488" s="173"/>
      <c r="V488" s="173"/>
      <c r="W488" s="78"/>
      <c r="X488" s="78"/>
      <c r="Y488" s="116" t="str">
        <f>IFERROR(ROUND('Informations générales'!$D$66*(AE488/SUM($AE$27:$AE$403))/12,0)*12,"")</f>
        <v/>
      </c>
      <c r="Z488" s="117"/>
      <c r="AA488" s="116" t="str">
        <f t="shared" si="107"/>
        <v/>
      </c>
      <c r="AB488" s="78"/>
      <c r="AC488" s="92"/>
      <c r="AD488" s="78"/>
      <c r="AE488" s="58">
        <f t="shared" si="108"/>
        <v>0</v>
      </c>
      <c r="AF488" s="58">
        <f t="shared" si="99"/>
        <v>0</v>
      </c>
      <c r="AG488" s="58">
        <f t="shared" si="100"/>
        <v>0</v>
      </c>
      <c r="AH488" s="58">
        <f t="shared" si="101"/>
        <v>0</v>
      </c>
      <c r="AI488" s="58">
        <f t="shared" si="102"/>
        <v>0</v>
      </c>
      <c r="AJ488" s="58">
        <f t="shared" si="103"/>
        <v>0</v>
      </c>
      <c r="AK488" s="58">
        <f t="shared" si="104"/>
        <v>0</v>
      </c>
      <c r="AL488" s="58">
        <f t="shared" si="105"/>
        <v>0</v>
      </c>
      <c r="AM488" s="58">
        <f t="shared" si="109"/>
        <v>0</v>
      </c>
      <c r="AN488" s="62">
        <f t="shared" si="110"/>
        <v>0</v>
      </c>
      <c r="AO488" s="61">
        <f t="shared" si="111"/>
        <v>0</v>
      </c>
      <c r="AP488" s="61">
        <f t="shared" si="112"/>
        <v>0</v>
      </c>
    </row>
    <row r="489" spans="3:42" s="17" customFormat="1" x14ac:dyDescent="0.25">
      <c r="C489" s="216" t="s">
        <v>229</v>
      </c>
      <c r="D489" s="217"/>
      <c r="E489" s="90"/>
      <c r="F489" s="198"/>
      <c r="G489" s="214"/>
      <c r="H489" s="199"/>
      <c r="I489" s="78"/>
      <c r="J489" s="79"/>
      <c r="K489" s="78"/>
      <c r="L489" s="113"/>
      <c r="M489" s="155"/>
      <c r="N489" s="114" t="str">
        <f>IFERROR(MIN(VLOOKUP(ROUNDDOWN(M489,0),'Aide calcul'!$B$2:$C$282,2,FALSE),L489+1),"")</f>
        <v/>
      </c>
      <c r="O489" s="115" t="str">
        <f t="shared" si="106"/>
        <v/>
      </c>
      <c r="P489" s="173"/>
      <c r="Q489" s="173"/>
      <c r="R489" s="173"/>
      <c r="S489" s="173"/>
      <c r="T489" s="173"/>
      <c r="U489" s="173"/>
      <c r="V489" s="173"/>
      <c r="W489" s="78"/>
      <c r="X489" s="78"/>
      <c r="Y489" s="116" t="str">
        <f>IFERROR(ROUND('Informations générales'!$D$66*(AE489/SUM($AE$27:$AE$403))/12,0)*12,"")</f>
        <v/>
      </c>
      <c r="Z489" s="117"/>
      <c r="AA489" s="116" t="str">
        <f t="shared" si="107"/>
        <v/>
      </c>
      <c r="AB489" s="78"/>
      <c r="AC489" s="92"/>
      <c r="AD489" s="78"/>
      <c r="AE489" s="58">
        <f t="shared" si="108"/>
        <v>0</v>
      </c>
      <c r="AF489" s="58">
        <f t="shared" si="99"/>
        <v>0</v>
      </c>
      <c r="AG489" s="58">
        <f t="shared" si="100"/>
        <v>0</v>
      </c>
      <c r="AH489" s="58">
        <f t="shared" si="101"/>
        <v>0</v>
      </c>
      <c r="AI489" s="58">
        <f t="shared" si="102"/>
        <v>0</v>
      </c>
      <c r="AJ489" s="58">
        <f t="shared" si="103"/>
        <v>0</v>
      </c>
      <c r="AK489" s="58">
        <f t="shared" si="104"/>
        <v>0</v>
      </c>
      <c r="AL489" s="58">
        <f t="shared" si="105"/>
        <v>0</v>
      </c>
      <c r="AM489" s="58">
        <f t="shared" si="109"/>
        <v>0</v>
      </c>
      <c r="AN489" s="62">
        <f t="shared" si="110"/>
        <v>0</v>
      </c>
      <c r="AO489" s="61">
        <f t="shared" si="111"/>
        <v>0</v>
      </c>
      <c r="AP489" s="61">
        <f t="shared" si="112"/>
        <v>0</v>
      </c>
    </row>
    <row r="490" spans="3:42" s="17" customFormat="1" x14ac:dyDescent="0.25">
      <c r="C490" s="216" t="s">
        <v>229</v>
      </c>
      <c r="D490" s="217"/>
      <c r="E490" s="90"/>
      <c r="F490" s="198"/>
      <c r="G490" s="214"/>
      <c r="H490" s="199"/>
      <c r="I490" s="78"/>
      <c r="J490" s="79"/>
      <c r="K490" s="78"/>
      <c r="L490" s="113"/>
      <c r="M490" s="155"/>
      <c r="N490" s="114" t="str">
        <f>IFERROR(MIN(VLOOKUP(ROUNDDOWN(M490,0),'Aide calcul'!$B$2:$C$282,2,FALSE),L490+1),"")</f>
        <v/>
      </c>
      <c r="O490" s="115" t="str">
        <f t="shared" si="106"/>
        <v/>
      </c>
      <c r="P490" s="173"/>
      <c r="Q490" s="173"/>
      <c r="R490" s="173"/>
      <c r="S490" s="173"/>
      <c r="T490" s="173"/>
      <c r="U490" s="173"/>
      <c r="V490" s="173"/>
      <c r="W490" s="78"/>
      <c r="X490" s="78"/>
      <c r="Y490" s="116" t="str">
        <f>IFERROR(ROUND('Informations générales'!$D$66*(AE490/SUM($AE$27:$AE$403))/12,0)*12,"")</f>
        <v/>
      </c>
      <c r="Z490" s="117"/>
      <c r="AA490" s="116" t="str">
        <f t="shared" si="107"/>
        <v/>
      </c>
      <c r="AB490" s="78"/>
      <c r="AC490" s="92"/>
      <c r="AD490" s="78"/>
      <c r="AE490" s="58">
        <f t="shared" si="108"/>
        <v>0</v>
      </c>
      <c r="AF490" s="58">
        <f t="shared" si="99"/>
        <v>0</v>
      </c>
      <c r="AG490" s="58">
        <f t="shared" si="100"/>
        <v>0</v>
      </c>
      <c r="AH490" s="58">
        <f t="shared" si="101"/>
        <v>0</v>
      </c>
      <c r="AI490" s="58">
        <f t="shared" si="102"/>
        <v>0</v>
      </c>
      <c r="AJ490" s="58">
        <f t="shared" si="103"/>
        <v>0</v>
      </c>
      <c r="AK490" s="58">
        <f t="shared" si="104"/>
        <v>0</v>
      </c>
      <c r="AL490" s="58">
        <f t="shared" si="105"/>
        <v>0</v>
      </c>
      <c r="AM490" s="58">
        <f t="shared" si="109"/>
        <v>0</v>
      </c>
      <c r="AN490" s="62">
        <f t="shared" si="110"/>
        <v>0</v>
      </c>
      <c r="AO490" s="61">
        <f t="shared" si="111"/>
        <v>0</v>
      </c>
      <c r="AP490" s="61">
        <f t="shared" si="112"/>
        <v>0</v>
      </c>
    </row>
    <row r="491" spans="3:42" s="17" customFormat="1" x14ac:dyDescent="0.25">
      <c r="C491" s="216" t="s">
        <v>229</v>
      </c>
      <c r="D491" s="217"/>
      <c r="E491" s="90"/>
      <c r="F491" s="198"/>
      <c r="G491" s="214"/>
      <c r="H491" s="199"/>
      <c r="I491" s="78"/>
      <c r="J491" s="79"/>
      <c r="K491" s="78"/>
      <c r="L491" s="113"/>
      <c r="M491" s="155"/>
      <c r="N491" s="114" t="str">
        <f>IFERROR(MIN(VLOOKUP(ROUNDDOWN(M491,0),'Aide calcul'!$B$2:$C$282,2,FALSE),L491+1),"")</f>
        <v/>
      </c>
      <c r="O491" s="115" t="str">
        <f t="shared" si="106"/>
        <v/>
      </c>
      <c r="P491" s="173"/>
      <c r="Q491" s="173"/>
      <c r="R491" s="173"/>
      <c r="S491" s="173"/>
      <c r="T491" s="173"/>
      <c r="U491" s="173"/>
      <c r="V491" s="173"/>
      <c r="W491" s="78"/>
      <c r="X491" s="78"/>
      <c r="Y491" s="116" t="str">
        <f>IFERROR(ROUND('Informations générales'!$D$66*(AE491/SUM($AE$27:$AE$403))/12,0)*12,"")</f>
        <v/>
      </c>
      <c r="Z491" s="117"/>
      <c r="AA491" s="116" t="str">
        <f t="shared" si="107"/>
        <v/>
      </c>
      <c r="AB491" s="78"/>
      <c r="AC491" s="92"/>
      <c r="AD491" s="78"/>
      <c r="AE491" s="58">
        <f t="shared" si="108"/>
        <v>0</v>
      </c>
      <c r="AF491" s="58">
        <f t="shared" si="99"/>
        <v>0</v>
      </c>
      <c r="AG491" s="58">
        <f t="shared" si="100"/>
        <v>0</v>
      </c>
      <c r="AH491" s="58">
        <f t="shared" si="101"/>
        <v>0</v>
      </c>
      <c r="AI491" s="58">
        <f t="shared" si="102"/>
        <v>0</v>
      </c>
      <c r="AJ491" s="58">
        <f t="shared" si="103"/>
        <v>0</v>
      </c>
      <c r="AK491" s="58">
        <f t="shared" si="104"/>
        <v>0</v>
      </c>
      <c r="AL491" s="58">
        <f t="shared" si="105"/>
        <v>0</v>
      </c>
      <c r="AM491" s="58">
        <f t="shared" si="109"/>
        <v>0</v>
      </c>
      <c r="AN491" s="62">
        <f t="shared" si="110"/>
        <v>0</v>
      </c>
      <c r="AO491" s="61">
        <f t="shared" si="111"/>
        <v>0</v>
      </c>
      <c r="AP491" s="61">
        <f t="shared" si="112"/>
        <v>0</v>
      </c>
    </row>
    <row r="492" spans="3:42" s="17" customFormat="1" x14ac:dyDescent="0.25">
      <c r="C492" s="216" t="s">
        <v>229</v>
      </c>
      <c r="D492" s="217"/>
      <c r="E492" s="90"/>
      <c r="F492" s="198"/>
      <c r="G492" s="214"/>
      <c r="H492" s="199"/>
      <c r="I492" s="78"/>
      <c r="J492" s="79"/>
      <c r="K492" s="78"/>
      <c r="L492" s="113"/>
      <c r="M492" s="155"/>
      <c r="N492" s="114" t="str">
        <f>IFERROR(MIN(VLOOKUP(ROUNDDOWN(M492,0),'Aide calcul'!$B$2:$C$282,2,FALSE),L492+1),"")</f>
        <v/>
      </c>
      <c r="O492" s="115" t="str">
        <f t="shared" si="106"/>
        <v/>
      </c>
      <c r="P492" s="173"/>
      <c r="Q492" s="173"/>
      <c r="R492" s="173"/>
      <c r="S492" s="173"/>
      <c r="T492" s="173"/>
      <c r="U492" s="173"/>
      <c r="V492" s="173"/>
      <c r="W492" s="78"/>
      <c r="X492" s="78"/>
      <c r="Y492" s="116" t="str">
        <f>IFERROR(ROUND('Informations générales'!$D$66*(AE492/SUM($AE$27:$AE$403))/12,0)*12,"")</f>
        <v/>
      </c>
      <c r="Z492" s="117"/>
      <c r="AA492" s="116" t="str">
        <f t="shared" si="107"/>
        <v/>
      </c>
      <c r="AB492" s="78"/>
      <c r="AC492" s="92"/>
      <c r="AD492" s="78"/>
      <c r="AE492" s="58">
        <f t="shared" si="108"/>
        <v>0</v>
      </c>
      <c r="AF492" s="58">
        <f t="shared" si="99"/>
        <v>0</v>
      </c>
      <c r="AG492" s="58">
        <f t="shared" si="100"/>
        <v>0</v>
      </c>
      <c r="AH492" s="58">
        <f t="shared" si="101"/>
        <v>0</v>
      </c>
      <c r="AI492" s="58">
        <f t="shared" si="102"/>
        <v>0</v>
      </c>
      <c r="AJ492" s="58">
        <f t="shared" si="103"/>
        <v>0</v>
      </c>
      <c r="AK492" s="58">
        <f t="shared" si="104"/>
        <v>0</v>
      </c>
      <c r="AL492" s="58">
        <f t="shared" si="105"/>
        <v>0</v>
      </c>
      <c r="AM492" s="58">
        <f t="shared" si="109"/>
        <v>0</v>
      </c>
      <c r="AN492" s="62">
        <f t="shared" si="110"/>
        <v>0</v>
      </c>
      <c r="AO492" s="61">
        <f t="shared" si="111"/>
        <v>0</v>
      </c>
      <c r="AP492" s="61">
        <f t="shared" si="112"/>
        <v>0</v>
      </c>
    </row>
    <row r="493" spans="3:42" s="17" customFormat="1" x14ac:dyDescent="0.25">
      <c r="C493" s="216" t="s">
        <v>229</v>
      </c>
      <c r="D493" s="217"/>
      <c r="E493" s="90"/>
      <c r="F493" s="198"/>
      <c r="G493" s="214"/>
      <c r="H493" s="199"/>
      <c r="I493" s="78"/>
      <c r="J493" s="79"/>
      <c r="K493" s="78"/>
      <c r="L493" s="113"/>
      <c r="M493" s="155"/>
      <c r="N493" s="114" t="str">
        <f>IFERROR(MIN(VLOOKUP(ROUNDDOWN(M493,0),'Aide calcul'!$B$2:$C$282,2,FALSE),L493+1),"")</f>
        <v/>
      </c>
      <c r="O493" s="115" t="str">
        <f t="shared" si="106"/>
        <v/>
      </c>
      <c r="P493" s="173"/>
      <c r="Q493" s="173"/>
      <c r="R493" s="173"/>
      <c r="S493" s="173"/>
      <c r="T493" s="173"/>
      <c r="U493" s="173"/>
      <c r="V493" s="173"/>
      <c r="W493" s="78"/>
      <c r="X493" s="78"/>
      <c r="Y493" s="116" t="str">
        <f>IFERROR(ROUND('Informations générales'!$D$66*(AE493/SUM($AE$27:$AE$403))/12,0)*12,"")</f>
        <v/>
      </c>
      <c r="Z493" s="117"/>
      <c r="AA493" s="116" t="str">
        <f t="shared" si="107"/>
        <v/>
      </c>
      <c r="AB493" s="78"/>
      <c r="AC493" s="92"/>
      <c r="AD493" s="78"/>
      <c r="AE493" s="58">
        <f t="shared" si="108"/>
        <v>0</v>
      </c>
      <c r="AF493" s="58">
        <f t="shared" si="99"/>
        <v>0</v>
      </c>
      <c r="AG493" s="58">
        <f t="shared" si="100"/>
        <v>0</v>
      </c>
      <c r="AH493" s="58">
        <f t="shared" si="101"/>
        <v>0</v>
      </c>
      <c r="AI493" s="58">
        <f t="shared" si="102"/>
        <v>0</v>
      </c>
      <c r="AJ493" s="58">
        <f t="shared" si="103"/>
        <v>0</v>
      </c>
      <c r="AK493" s="58">
        <f t="shared" si="104"/>
        <v>0</v>
      </c>
      <c r="AL493" s="58">
        <f t="shared" si="105"/>
        <v>0</v>
      </c>
      <c r="AM493" s="58">
        <f t="shared" si="109"/>
        <v>0</v>
      </c>
      <c r="AN493" s="62">
        <f t="shared" si="110"/>
        <v>0</v>
      </c>
      <c r="AO493" s="61">
        <f t="shared" si="111"/>
        <v>0</v>
      </c>
      <c r="AP493" s="61">
        <f t="shared" si="112"/>
        <v>0</v>
      </c>
    </row>
    <row r="494" spans="3:42" s="17" customFormat="1" x14ac:dyDescent="0.25">
      <c r="C494" s="216" t="s">
        <v>229</v>
      </c>
      <c r="D494" s="217"/>
      <c r="E494" s="90"/>
      <c r="F494" s="198"/>
      <c r="G494" s="214"/>
      <c r="H494" s="199"/>
      <c r="I494" s="78"/>
      <c r="J494" s="79"/>
      <c r="K494" s="78"/>
      <c r="L494" s="113"/>
      <c r="M494" s="155"/>
      <c r="N494" s="114" t="str">
        <f>IFERROR(MIN(VLOOKUP(ROUNDDOWN(M494,0),'Aide calcul'!$B$2:$C$282,2,FALSE),L494+1),"")</f>
        <v/>
      </c>
      <c r="O494" s="115" t="str">
        <f t="shared" si="106"/>
        <v/>
      </c>
      <c r="P494" s="173"/>
      <c r="Q494" s="173"/>
      <c r="R494" s="173"/>
      <c r="S494" s="173"/>
      <c r="T494" s="173"/>
      <c r="U494" s="173"/>
      <c r="V494" s="173"/>
      <c r="W494" s="78"/>
      <c r="X494" s="78"/>
      <c r="Y494" s="116" t="str">
        <f>IFERROR(ROUND('Informations générales'!$D$66*(AE494/SUM($AE$27:$AE$403))/12,0)*12,"")</f>
        <v/>
      </c>
      <c r="Z494" s="117"/>
      <c r="AA494" s="116" t="str">
        <f t="shared" si="107"/>
        <v/>
      </c>
      <c r="AB494" s="78"/>
      <c r="AC494" s="92"/>
      <c r="AD494" s="78"/>
      <c r="AE494" s="58">
        <f t="shared" si="108"/>
        <v>0</v>
      </c>
      <c r="AF494" s="58">
        <f t="shared" si="99"/>
        <v>0</v>
      </c>
      <c r="AG494" s="58">
        <f t="shared" si="100"/>
        <v>0</v>
      </c>
      <c r="AH494" s="58">
        <f t="shared" si="101"/>
        <v>0</v>
      </c>
      <c r="AI494" s="58">
        <f t="shared" si="102"/>
        <v>0</v>
      </c>
      <c r="AJ494" s="58">
        <f t="shared" si="103"/>
        <v>0</v>
      </c>
      <c r="AK494" s="58">
        <f t="shared" si="104"/>
        <v>0</v>
      </c>
      <c r="AL494" s="58">
        <f t="shared" si="105"/>
        <v>0</v>
      </c>
      <c r="AM494" s="58">
        <f t="shared" si="109"/>
        <v>0</v>
      </c>
      <c r="AN494" s="62">
        <f t="shared" si="110"/>
        <v>0</v>
      </c>
      <c r="AO494" s="61">
        <f t="shared" si="111"/>
        <v>0</v>
      </c>
      <c r="AP494" s="61">
        <f t="shared" si="112"/>
        <v>0</v>
      </c>
    </row>
    <row r="495" spans="3:42" s="17" customFormat="1" x14ac:dyDescent="0.25">
      <c r="C495" s="216" t="s">
        <v>229</v>
      </c>
      <c r="D495" s="217"/>
      <c r="E495" s="90"/>
      <c r="F495" s="198"/>
      <c r="G495" s="214"/>
      <c r="H495" s="199"/>
      <c r="I495" s="78"/>
      <c r="J495" s="79"/>
      <c r="K495" s="78"/>
      <c r="L495" s="113"/>
      <c r="M495" s="155"/>
      <c r="N495" s="114" t="str">
        <f>IFERROR(MIN(VLOOKUP(ROUNDDOWN(M495,0),'Aide calcul'!$B$2:$C$282,2,FALSE),L495+1),"")</f>
        <v/>
      </c>
      <c r="O495" s="115" t="str">
        <f t="shared" si="106"/>
        <v/>
      </c>
      <c r="P495" s="173"/>
      <c r="Q495" s="173"/>
      <c r="R495" s="173"/>
      <c r="S495" s="173"/>
      <c r="T495" s="173"/>
      <c r="U495" s="173"/>
      <c r="V495" s="173"/>
      <c r="W495" s="78"/>
      <c r="X495" s="78"/>
      <c r="Y495" s="116" t="str">
        <f>IFERROR(ROUND('Informations générales'!$D$66*(AE495/SUM($AE$27:$AE$403))/12,0)*12,"")</f>
        <v/>
      </c>
      <c r="Z495" s="117"/>
      <c r="AA495" s="116" t="str">
        <f t="shared" si="107"/>
        <v/>
      </c>
      <c r="AB495" s="78"/>
      <c r="AC495" s="92"/>
      <c r="AD495" s="78"/>
      <c r="AE495" s="58">
        <f t="shared" si="108"/>
        <v>0</v>
      </c>
      <c r="AF495" s="58">
        <f t="shared" si="99"/>
        <v>0</v>
      </c>
      <c r="AG495" s="58">
        <f t="shared" si="100"/>
        <v>0</v>
      </c>
      <c r="AH495" s="58">
        <f t="shared" si="101"/>
        <v>0</v>
      </c>
      <c r="AI495" s="58">
        <f t="shared" si="102"/>
        <v>0</v>
      </c>
      <c r="AJ495" s="58">
        <f t="shared" si="103"/>
        <v>0</v>
      </c>
      <c r="AK495" s="58">
        <f t="shared" si="104"/>
        <v>0</v>
      </c>
      <c r="AL495" s="58">
        <f t="shared" si="105"/>
        <v>0</v>
      </c>
      <c r="AM495" s="58">
        <f t="shared" si="109"/>
        <v>0</v>
      </c>
      <c r="AN495" s="62">
        <f t="shared" si="110"/>
        <v>0</v>
      </c>
      <c r="AO495" s="61">
        <f t="shared" si="111"/>
        <v>0</v>
      </c>
      <c r="AP495" s="61">
        <f t="shared" si="112"/>
        <v>0</v>
      </c>
    </row>
    <row r="496" spans="3:42" s="17" customFormat="1" x14ac:dyDescent="0.25">
      <c r="C496" s="216" t="s">
        <v>229</v>
      </c>
      <c r="D496" s="217"/>
      <c r="E496" s="90"/>
      <c r="F496" s="198"/>
      <c r="G496" s="214"/>
      <c r="H496" s="199"/>
      <c r="I496" s="78"/>
      <c r="J496" s="79"/>
      <c r="K496" s="78"/>
      <c r="L496" s="113"/>
      <c r="M496" s="155"/>
      <c r="N496" s="114" t="str">
        <f>IFERROR(MIN(VLOOKUP(ROUNDDOWN(M496,0),'Aide calcul'!$B$2:$C$282,2,FALSE),L496+1),"")</f>
        <v/>
      </c>
      <c r="O496" s="115" t="str">
        <f t="shared" si="106"/>
        <v/>
      </c>
      <c r="P496" s="173"/>
      <c r="Q496" s="173"/>
      <c r="R496" s="173"/>
      <c r="S496" s="173"/>
      <c r="T496" s="173"/>
      <c r="U496" s="173"/>
      <c r="V496" s="173"/>
      <c r="W496" s="78"/>
      <c r="X496" s="78"/>
      <c r="Y496" s="116" t="str">
        <f>IFERROR(ROUND('Informations générales'!$D$66*(AE496/SUM($AE$27:$AE$403))/12,0)*12,"")</f>
        <v/>
      </c>
      <c r="Z496" s="117"/>
      <c r="AA496" s="116" t="str">
        <f t="shared" si="107"/>
        <v/>
      </c>
      <c r="AB496" s="78"/>
      <c r="AC496" s="92"/>
      <c r="AD496" s="78"/>
      <c r="AE496" s="58">
        <f t="shared" si="108"/>
        <v>0</v>
      </c>
      <c r="AF496" s="58">
        <f t="shared" si="99"/>
        <v>0</v>
      </c>
      <c r="AG496" s="58">
        <f t="shared" si="100"/>
        <v>0</v>
      </c>
      <c r="AH496" s="58">
        <f t="shared" si="101"/>
        <v>0</v>
      </c>
      <c r="AI496" s="58">
        <f t="shared" si="102"/>
        <v>0</v>
      </c>
      <c r="AJ496" s="58">
        <f t="shared" si="103"/>
        <v>0</v>
      </c>
      <c r="AK496" s="58">
        <f t="shared" si="104"/>
        <v>0</v>
      </c>
      <c r="AL496" s="58">
        <f t="shared" si="105"/>
        <v>0</v>
      </c>
      <c r="AM496" s="58">
        <f t="shared" si="109"/>
        <v>0</v>
      </c>
      <c r="AN496" s="62">
        <f t="shared" si="110"/>
        <v>0</v>
      </c>
      <c r="AO496" s="61">
        <f t="shared" si="111"/>
        <v>0</v>
      </c>
      <c r="AP496" s="61">
        <f t="shared" si="112"/>
        <v>0</v>
      </c>
    </row>
    <row r="497" spans="3:42" s="17" customFormat="1" x14ac:dyDescent="0.25">
      <c r="C497" s="216" t="s">
        <v>229</v>
      </c>
      <c r="D497" s="217"/>
      <c r="E497" s="90"/>
      <c r="F497" s="198"/>
      <c r="G497" s="214"/>
      <c r="H497" s="199"/>
      <c r="I497" s="78"/>
      <c r="J497" s="79"/>
      <c r="K497" s="78"/>
      <c r="L497" s="113"/>
      <c r="M497" s="155"/>
      <c r="N497" s="114" t="str">
        <f>IFERROR(MIN(VLOOKUP(ROUNDDOWN(M497,0),'Aide calcul'!$B$2:$C$282,2,FALSE),L497+1),"")</f>
        <v/>
      </c>
      <c r="O497" s="115" t="str">
        <f t="shared" si="106"/>
        <v/>
      </c>
      <c r="P497" s="173"/>
      <c r="Q497" s="173"/>
      <c r="R497" s="173"/>
      <c r="S497" s="173"/>
      <c r="T497" s="173"/>
      <c r="U497" s="173"/>
      <c r="V497" s="173"/>
      <c r="W497" s="78"/>
      <c r="X497" s="78"/>
      <c r="Y497" s="116" t="str">
        <f>IFERROR(ROUND('Informations générales'!$D$66*(AE497/SUM($AE$27:$AE$403))/12,0)*12,"")</f>
        <v/>
      </c>
      <c r="Z497" s="117"/>
      <c r="AA497" s="116" t="str">
        <f t="shared" si="107"/>
        <v/>
      </c>
      <c r="AB497" s="78"/>
      <c r="AC497" s="92"/>
      <c r="AD497" s="78"/>
      <c r="AE497" s="58">
        <f t="shared" si="108"/>
        <v>0</v>
      </c>
      <c r="AF497" s="58">
        <f t="shared" si="99"/>
        <v>0</v>
      </c>
      <c r="AG497" s="58">
        <f t="shared" si="100"/>
        <v>0</v>
      </c>
      <c r="AH497" s="58">
        <f t="shared" si="101"/>
        <v>0</v>
      </c>
      <c r="AI497" s="58">
        <f t="shared" si="102"/>
        <v>0</v>
      </c>
      <c r="AJ497" s="58">
        <f t="shared" si="103"/>
        <v>0</v>
      </c>
      <c r="AK497" s="58">
        <f t="shared" si="104"/>
        <v>0</v>
      </c>
      <c r="AL497" s="58">
        <f t="shared" si="105"/>
        <v>0</v>
      </c>
      <c r="AM497" s="58">
        <f t="shared" si="109"/>
        <v>0</v>
      </c>
      <c r="AN497" s="62">
        <f t="shared" si="110"/>
        <v>0</v>
      </c>
      <c r="AO497" s="61">
        <f t="shared" si="111"/>
        <v>0</v>
      </c>
      <c r="AP497" s="61">
        <f t="shared" si="112"/>
        <v>0</v>
      </c>
    </row>
    <row r="498" spans="3:42" s="17" customFormat="1" x14ac:dyDescent="0.25">
      <c r="C498" s="216" t="s">
        <v>229</v>
      </c>
      <c r="D498" s="217"/>
      <c r="E498" s="90"/>
      <c r="F498" s="198"/>
      <c r="G498" s="214"/>
      <c r="H498" s="199"/>
      <c r="I498" s="78"/>
      <c r="J498" s="79"/>
      <c r="K498" s="78"/>
      <c r="L498" s="113"/>
      <c r="M498" s="155"/>
      <c r="N498" s="114" t="str">
        <f>IFERROR(MIN(VLOOKUP(ROUNDDOWN(M498,0),'Aide calcul'!$B$2:$C$282,2,FALSE),L498+1),"")</f>
        <v/>
      </c>
      <c r="O498" s="115" t="str">
        <f t="shared" si="106"/>
        <v/>
      </c>
      <c r="P498" s="173"/>
      <c r="Q498" s="173"/>
      <c r="R498" s="173"/>
      <c r="S498" s="173"/>
      <c r="T498" s="173"/>
      <c r="U498" s="173"/>
      <c r="V498" s="173"/>
      <c r="W498" s="78"/>
      <c r="X498" s="78"/>
      <c r="Y498" s="116" t="str">
        <f>IFERROR(ROUND('Informations générales'!$D$66*(AE498/SUM($AE$27:$AE$403))/12,0)*12,"")</f>
        <v/>
      </c>
      <c r="Z498" s="117"/>
      <c r="AA498" s="116" t="str">
        <f t="shared" si="107"/>
        <v/>
      </c>
      <c r="AB498" s="78"/>
      <c r="AC498" s="92"/>
      <c r="AD498" s="78"/>
      <c r="AE498" s="58">
        <f t="shared" si="108"/>
        <v>0</v>
      </c>
      <c r="AF498" s="58">
        <f t="shared" si="99"/>
        <v>0</v>
      </c>
      <c r="AG498" s="58">
        <f t="shared" si="100"/>
        <v>0</v>
      </c>
      <c r="AH498" s="58">
        <f t="shared" si="101"/>
        <v>0</v>
      </c>
      <c r="AI498" s="58">
        <f t="shared" si="102"/>
        <v>0</v>
      </c>
      <c r="AJ498" s="58">
        <f t="shared" si="103"/>
        <v>0</v>
      </c>
      <c r="AK498" s="58">
        <f t="shared" si="104"/>
        <v>0</v>
      </c>
      <c r="AL498" s="58">
        <f t="shared" si="105"/>
        <v>0</v>
      </c>
      <c r="AM498" s="58">
        <f t="shared" si="109"/>
        <v>0</v>
      </c>
      <c r="AN498" s="62">
        <f t="shared" si="110"/>
        <v>0</v>
      </c>
      <c r="AO498" s="61">
        <f t="shared" si="111"/>
        <v>0</v>
      </c>
      <c r="AP498" s="61">
        <f t="shared" si="112"/>
        <v>0</v>
      </c>
    </row>
    <row r="499" spans="3:42" s="17" customFormat="1" x14ac:dyDescent="0.25">
      <c r="C499" s="216" t="s">
        <v>229</v>
      </c>
      <c r="D499" s="217"/>
      <c r="E499" s="90"/>
      <c r="F499" s="198"/>
      <c r="G499" s="214"/>
      <c r="H499" s="199"/>
      <c r="I499" s="78"/>
      <c r="J499" s="79"/>
      <c r="K499" s="78"/>
      <c r="L499" s="113"/>
      <c r="M499" s="155"/>
      <c r="N499" s="114" t="str">
        <f>IFERROR(MIN(VLOOKUP(ROUNDDOWN(M499,0),'Aide calcul'!$B$2:$C$282,2,FALSE),L499+1),"")</f>
        <v/>
      </c>
      <c r="O499" s="115" t="str">
        <f t="shared" si="106"/>
        <v/>
      </c>
      <c r="P499" s="173"/>
      <c r="Q499" s="173"/>
      <c r="R499" s="173"/>
      <c r="S499" s="173"/>
      <c r="T499" s="173"/>
      <c r="U499" s="173"/>
      <c r="V499" s="173"/>
      <c r="W499" s="78"/>
      <c r="X499" s="78"/>
      <c r="Y499" s="116" t="str">
        <f>IFERROR(ROUND('Informations générales'!$D$66*(AE499/SUM($AE$27:$AE$403))/12,0)*12,"")</f>
        <v/>
      </c>
      <c r="Z499" s="117"/>
      <c r="AA499" s="116" t="str">
        <f t="shared" si="107"/>
        <v/>
      </c>
      <c r="AB499" s="78"/>
      <c r="AC499" s="92"/>
      <c r="AD499" s="78"/>
      <c r="AE499" s="58">
        <f t="shared" si="108"/>
        <v>0</v>
      </c>
      <c r="AF499" s="58">
        <f t="shared" si="99"/>
        <v>0</v>
      </c>
      <c r="AG499" s="58">
        <f t="shared" si="100"/>
        <v>0</v>
      </c>
      <c r="AH499" s="58">
        <f t="shared" si="101"/>
        <v>0</v>
      </c>
      <c r="AI499" s="58">
        <f t="shared" si="102"/>
        <v>0</v>
      </c>
      <c r="AJ499" s="58">
        <f t="shared" si="103"/>
        <v>0</v>
      </c>
      <c r="AK499" s="58">
        <f t="shared" si="104"/>
        <v>0</v>
      </c>
      <c r="AL499" s="58">
        <f t="shared" si="105"/>
        <v>0</v>
      </c>
      <c r="AM499" s="58">
        <f t="shared" si="109"/>
        <v>0</v>
      </c>
      <c r="AN499" s="62">
        <f t="shared" si="110"/>
        <v>0</v>
      </c>
      <c r="AO499" s="61">
        <f t="shared" si="111"/>
        <v>0</v>
      </c>
      <c r="AP499" s="61">
        <f t="shared" si="112"/>
        <v>0</v>
      </c>
    </row>
    <row r="500" spans="3:42" s="17" customFormat="1" x14ac:dyDescent="0.25">
      <c r="C500" s="216" t="s">
        <v>229</v>
      </c>
      <c r="D500" s="217"/>
      <c r="E500" s="90"/>
      <c r="F500" s="198"/>
      <c r="G500" s="214"/>
      <c r="H500" s="199"/>
      <c r="I500" s="78"/>
      <c r="J500" s="79"/>
      <c r="K500" s="78"/>
      <c r="L500" s="113"/>
      <c r="M500" s="155"/>
      <c r="N500" s="114" t="str">
        <f>IFERROR(MIN(VLOOKUP(ROUNDDOWN(M500,0),'Aide calcul'!$B$2:$C$282,2,FALSE),L500+1),"")</f>
        <v/>
      </c>
      <c r="O500" s="115" t="str">
        <f t="shared" si="106"/>
        <v/>
      </c>
      <c r="P500" s="173"/>
      <c r="Q500" s="173"/>
      <c r="R500" s="173"/>
      <c r="S500" s="173"/>
      <c r="T500" s="173"/>
      <c r="U500" s="173"/>
      <c r="V500" s="173"/>
      <c r="W500" s="78"/>
      <c r="X500" s="78"/>
      <c r="Y500" s="116" t="str">
        <f>IFERROR(ROUND('Informations générales'!$D$66*(AE500/SUM($AE$27:$AE$403))/12,0)*12,"")</f>
        <v/>
      </c>
      <c r="Z500" s="117"/>
      <c r="AA500" s="116" t="str">
        <f t="shared" si="107"/>
        <v/>
      </c>
      <c r="AB500" s="78"/>
      <c r="AC500" s="92"/>
      <c r="AD500" s="78"/>
      <c r="AE500" s="58">
        <f t="shared" si="108"/>
        <v>0</v>
      </c>
      <c r="AF500" s="58">
        <f t="shared" si="99"/>
        <v>0</v>
      </c>
      <c r="AG500" s="58">
        <f t="shared" si="100"/>
        <v>0</v>
      </c>
      <c r="AH500" s="58">
        <f t="shared" si="101"/>
        <v>0</v>
      </c>
      <c r="AI500" s="58">
        <f t="shared" si="102"/>
        <v>0</v>
      </c>
      <c r="AJ500" s="58">
        <f t="shared" si="103"/>
        <v>0</v>
      </c>
      <c r="AK500" s="58">
        <f t="shared" si="104"/>
        <v>0</v>
      </c>
      <c r="AL500" s="58">
        <f t="shared" si="105"/>
        <v>0</v>
      </c>
      <c r="AM500" s="58">
        <f t="shared" si="109"/>
        <v>0</v>
      </c>
      <c r="AN500" s="62">
        <f t="shared" si="110"/>
        <v>0</v>
      </c>
      <c r="AO500" s="61">
        <f t="shared" si="111"/>
        <v>0</v>
      </c>
      <c r="AP500" s="61">
        <f t="shared" si="112"/>
        <v>0</v>
      </c>
    </row>
    <row r="501" spans="3:42" s="17" customFormat="1" x14ac:dyDescent="0.25">
      <c r="C501" s="216" t="s">
        <v>229</v>
      </c>
      <c r="D501" s="217"/>
      <c r="E501" s="90"/>
      <c r="F501" s="198"/>
      <c r="G501" s="214"/>
      <c r="H501" s="199"/>
      <c r="I501" s="78"/>
      <c r="J501" s="79"/>
      <c r="K501" s="78"/>
      <c r="L501" s="113"/>
      <c r="M501" s="155"/>
      <c r="N501" s="114" t="str">
        <f>IFERROR(MIN(VLOOKUP(ROUNDDOWN(M501,0),'Aide calcul'!$B$2:$C$282,2,FALSE),L501+1),"")</f>
        <v/>
      </c>
      <c r="O501" s="115" t="str">
        <f t="shared" si="106"/>
        <v/>
      </c>
      <c r="P501" s="173"/>
      <c r="Q501" s="173"/>
      <c r="R501" s="173"/>
      <c r="S501" s="173"/>
      <c r="T501" s="173"/>
      <c r="U501" s="173"/>
      <c r="V501" s="173"/>
      <c r="W501" s="78"/>
      <c r="X501" s="78"/>
      <c r="Y501" s="116" t="str">
        <f>IFERROR(ROUND('Informations générales'!$D$66*(AE501/SUM($AE$27:$AE$403))/12,0)*12,"")</f>
        <v/>
      </c>
      <c r="Z501" s="117"/>
      <c r="AA501" s="116" t="str">
        <f t="shared" si="107"/>
        <v/>
      </c>
      <c r="AB501" s="78"/>
      <c r="AC501" s="92"/>
      <c r="AD501" s="78"/>
      <c r="AE501" s="58">
        <f t="shared" si="108"/>
        <v>0</v>
      </c>
      <c r="AF501" s="58">
        <f t="shared" si="99"/>
        <v>0</v>
      </c>
      <c r="AG501" s="58">
        <f t="shared" si="100"/>
        <v>0</v>
      </c>
      <c r="AH501" s="58">
        <f t="shared" si="101"/>
        <v>0</v>
      </c>
      <c r="AI501" s="58">
        <f t="shared" si="102"/>
        <v>0</v>
      </c>
      <c r="AJ501" s="58">
        <f t="shared" si="103"/>
        <v>0</v>
      </c>
      <c r="AK501" s="58">
        <f t="shared" si="104"/>
        <v>0</v>
      </c>
      <c r="AL501" s="58">
        <f t="shared" si="105"/>
        <v>0</v>
      </c>
      <c r="AM501" s="58">
        <f t="shared" si="109"/>
        <v>0</v>
      </c>
      <c r="AN501" s="62">
        <f t="shared" si="110"/>
        <v>0</v>
      </c>
      <c r="AO501" s="61">
        <f t="shared" si="111"/>
        <v>0</v>
      </c>
      <c r="AP501" s="61">
        <f t="shared" si="112"/>
        <v>0</v>
      </c>
    </row>
    <row r="502" spans="3:42" s="17" customFormat="1" x14ac:dyDescent="0.25">
      <c r="C502" s="216" t="s">
        <v>229</v>
      </c>
      <c r="D502" s="217"/>
      <c r="E502" s="90"/>
      <c r="F502" s="198"/>
      <c r="G502" s="214"/>
      <c r="H502" s="199"/>
      <c r="I502" s="78"/>
      <c r="J502" s="79"/>
      <c r="K502" s="78"/>
      <c r="L502" s="113"/>
      <c r="M502" s="155"/>
      <c r="N502" s="114" t="str">
        <f>IFERROR(MIN(VLOOKUP(ROUNDDOWN(M502,0),'Aide calcul'!$B$2:$C$282,2,FALSE),L502+1),"")</f>
        <v/>
      </c>
      <c r="O502" s="115" t="str">
        <f t="shared" si="106"/>
        <v/>
      </c>
      <c r="P502" s="173"/>
      <c r="Q502" s="173"/>
      <c r="R502" s="173"/>
      <c r="S502" s="173"/>
      <c r="T502" s="173"/>
      <c r="U502" s="173"/>
      <c r="V502" s="173"/>
      <c r="W502" s="78"/>
      <c r="X502" s="78"/>
      <c r="Y502" s="116" t="str">
        <f>IFERROR(ROUND('Informations générales'!$D$66*(AE502/SUM($AE$27:$AE$403))/12,0)*12,"")</f>
        <v/>
      </c>
      <c r="Z502" s="117"/>
      <c r="AA502" s="116" t="str">
        <f t="shared" si="107"/>
        <v/>
      </c>
      <c r="AB502" s="78"/>
      <c r="AC502" s="92"/>
      <c r="AD502" s="78"/>
      <c r="AE502" s="58">
        <f t="shared" si="108"/>
        <v>0</v>
      </c>
      <c r="AF502" s="58">
        <f t="shared" si="99"/>
        <v>0</v>
      </c>
      <c r="AG502" s="58">
        <f t="shared" si="100"/>
        <v>0</v>
      </c>
      <c r="AH502" s="58">
        <f t="shared" si="101"/>
        <v>0</v>
      </c>
      <c r="AI502" s="58">
        <f t="shared" si="102"/>
        <v>0</v>
      </c>
      <c r="AJ502" s="58">
        <f t="shared" si="103"/>
        <v>0</v>
      </c>
      <c r="AK502" s="58">
        <f t="shared" si="104"/>
        <v>0</v>
      </c>
      <c r="AL502" s="58">
        <f t="shared" si="105"/>
        <v>0</v>
      </c>
      <c r="AM502" s="58">
        <f t="shared" si="109"/>
        <v>0</v>
      </c>
      <c r="AN502" s="62">
        <f t="shared" si="110"/>
        <v>0</v>
      </c>
      <c r="AO502" s="61">
        <f t="shared" si="111"/>
        <v>0</v>
      </c>
      <c r="AP502" s="61">
        <f t="shared" si="112"/>
        <v>0</v>
      </c>
    </row>
    <row r="503" spans="3:42" s="17" customFormat="1" x14ac:dyDescent="0.25">
      <c r="C503" s="216" t="s">
        <v>229</v>
      </c>
      <c r="D503" s="217"/>
      <c r="E503" s="90"/>
      <c r="F503" s="198"/>
      <c r="G503" s="214"/>
      <c r="H503" s="199"/>
      <c r="I503" s="78"/>
      <c r="J503" s="79"/>
      <c r="K503" s="78"/>
      <c r="L503" s="113"/>
      <c r="M503" s="155"/>
      <c r="N503" s="114" t="str">
        <f>IFERROR(MIN(VLOOKUP(ROUNDDOWN(M503,0),'Aide calcul'!$B$2:$C$282,2,FALSE),L503+1),"")</f>
        <v/>
      </c>
      <c r="O503" s="115" t="str">
        <f t="shared" si="106"/>
        <v/>
      </c>
      <c r="P503" s="173"/>
      <c r="Q503" s="173"/>
      <c r="R503" s="173"/>
      <c r="S503" s="173"/>
      <c r="T503" s="173"/>
      <c r="U503" s="173"/>
      <c r="V503" s="173"/>
      <c r="W503" s="78"/>
      <c r="X503" s="78"/>
      <c r="Y503" s="116" t="str">
        <f>IFERROR(ROUND('Informations générales'!$D$66*(AE503/SUM($AE$27:$AE$403))/12,0)*12,"")</f>
        <v/>
      </c>
      <c r="Z503" s="117"/>
      <c r="AA503" s="116" t="str">
        <f t="shared" si="107"/>
        <v/>
      </c>
      <c r="AB503" s="78"/>
      <c r="AC503" s="92"/>
      <c r="AD503" s="78"/>
      <c r="AE503" s="58">
        <f t="shared" si="108"/>
        <v>0</v>
      </c>
      <c r="AF503" s="58">
        <f t="shared" si="99"/>
        <v>0</v>
      </c>
      <c r="AG503" s="58">
        <f t="shared" si="100"/>
        <v>0</v>
      </c>
      <c r="AH503" s="58">
        <f t="shared" si="101"/>
        <v>0</v>
      </c>
      <c r="AI503" s="58">
        <f t="shared" si="102"/>
        <v>0</v>
      </c>
      <c r="AJ503" s="58">
        <f t="shared" si="103"/>
        <v>0</v>
      </c>
      <c r="AK503" s="58">
        <f t="shared" si="104"/>
        <v>0</v>
      </c>
      <c r="AL503" s="58">
        <f t="shared" si="105"/>
        <v>0</v>
      </c>
      <c r="AM503" s="58">
        <f t="shared" si="109"/>
        <v>0</v>
      </c>
      <c r="AN503" s="62">
        <f t="shared" si="110"/>
        <v>0</v>
      </c>
      <c r="AO503" s="61">
        <f t="shared" si="111"/>
        <v>0</v>
      </c>
      <c r="AP503" s="61">
        <f t="shared" si="112"/>
        <v>0</v>
      </c>
    </row>
    <row r="504" spans="3:42" s="17" customFormat="1" x14ac:dyDescent="0.25">
      <c r="C504" s="216" t="s">
        <v>229</v>
      </c>
      <c r="D504" s="217"/>
      <c r="E504" s="90"/>
      <c r="F504" s="198"/>
      <c r="G504" s="214"/>
      <c r="H504" s="199"/>
      <c r="I504" s="78"/>
      <c r="J504" s="79"/>
      <c r="K504" s="78"/>
      <c r="L504" s="113"/>
      <c r="M504" s="155"/>
      <c r="N504" s="114" t="str">
        <f>IFERROR(MIN(VLOOKUP(ROUNDDOWN(M504,0),'Aide calcul'!$B$2:$C$282,2,FALSE),L504+1),"")</f>
        <v/>
      </c>
      <c r="O504" s="115" t="str">
        <f t="shared" si="106"/>
        <v/>
      </c>
      <c r="P504" s="173"/>
      <c r="Q504" s="173"/>
      <c r="R504" s="173"/>
      <c r="S504" s="173"/>
      <c r="T504" s="173"/>
      <c r="U504" s="173"/>
      <c r="V504" s="173"/>
      <c r="W504" s="78"/>
      <c r="X504" s="78"/>
      <c r="Y504" s="116" t="str">
        <f>IFERROR(ROUND('Informations générales'!$D$66*(AE504/SUM($AE$27:$AE$403))/12,0)*12,"")</f>
        <v/>
      </c>
      <c r="Z504" s="117"/>
      <c r="AA504" s="116" t="str">
        <f t="shared" si="107"/>
        <v/>
      </c>
      <c r="AB504" s="78"/>
      <c r="AC504" s="92"/>
      <c r="AD504" s="78"/>
      <c r="AE504" s="58">
        <f t="shared" si="108"/>
        <v>0</v>
      </c>
      <c r="AF504" s="58">
        <f t="shared" si="99"/>
        <v>0</v>
      </c>
      <c r="AG504" s="58">
        <f t="shared" si="100"/>
        <v>0</v>
      </c>
      <c r="AH504" s="58">
        <f t="shared" si="101"/>
        <v>0</v>
      </c>
      <c r="AI504" s="58">
        <f t="shared" si="102"/>
        <v>0</v>
      </c>
      <c r="AJ504" s="58">
        <f t="shared" si="103"/>
        <v>0</v>
      </c>
      <c r="AK504" s="58">
        <f t="shared" si="104"/>
        <v>0</v>
      </c>
      <c r="AL504" s="58">
        <f t="shared" si="105"/>
        <v>0</v>
      </c>
      <c r="AM504" s="58">
        <f t="shared" si="109"/>
        <v>0</v>
      </c>
      <c r="AN504" s="62">
        <f t="shared" si="110"/>
        <v>0</v>
      </c>
      <c r="AO504" s="61">
        <f t="shared" si="111"/>
        <v>0</v>
      </c>
      <c r="AP504" s="61">
        <f t="shared" si="112"/>
        <v>0</v>
      </c>
    </row>
    <row r="505" spans="3:42" s="17" customFormat="1" x14ac:dyDescent="0.25">
      <c r="C505" s="216" t="s">
        <v>229</v>
      </c>
      <c r="D505" s="217"/>
      <c r="E505" s="90"/>
      <c r="F505" s="198"/>
      <c r="G505" s="214"/>
      <c r="H505" s="199"/>
      <c r="I505" s="78"/>
      <c r="J505" s="79"/>
      <c r="K505" s="78"/>
      <c r="L505" s="113"/>
      <c r="M505" s="155"/>
      <c r="N505" s="114" t="str">
        <f>IFERROR(MIN(VLOOKUP(ROUNDDOWN(M505,0),'Aide calcul'!$B$2:$C$282,2,FALSE),L505+1),"")</f>
        <v/>
      </c>
      <c r="O505" s="115" t="str">
        <f t="shared" si="106"/>
        <v/>
      </c>
      <c r="P505" s="173"/>
      <c r="Q505" s="173"/>
      <c r="R505" s="173"/>
      <c r="S505" s="173"/>
      <c r="T505" s="173"/>
      <c r="U505" s="173"/>
      <c r="V505" s="173"/>
      <c r="W505" s="78"/>
      <c r="X505" s="78"/>
      <c r="Y505" s="116" t="str">
        <f>IFERROR(ROUND('Informations générales'!$D$66*(AE505/SUM($AE$27:$AE$403))/12,0)*12,"")</f>
        <v/>
      </c>
      <c r="Z505" s="117"/>
      <c r="AA505" s="116" t="str">
        <f t="shared" si="107"/>
        <v/>
      </c>
      <c r="AB505" s="78"/>
      <c r="AC505" s="92"/>
      <c r="AD505" s="78"/>
      <c r="AE505" s="58">
        <f t="shared" si="108"/>
        <v>0</v>
      </c>
      <c r="AF505" s="58">
        <f t="shared" si="99"/>
        <v>0</v>
      </c>
      <c r="AG505" s="58">
        <f t="shared" si="100"/>
        <v>0</v>
      </c>
      <c r="AH505" s="58">
        <f t="shared" si="101"/>
        <v>0</v>
      </c>
      <c r="AI505" s="58">
        <f t="shared" si="102"/>
        <v>0</v>
      </c>
      <c r="AJ505" s="58">
        <f t="shared" si="103"/>
        <v>0</v>
      </c>
      <c r="AK505" s="58">
        <f t="shared" si="104"/>
        <v>0</v>
      </c>
      <c r="AL505" s="58">
        <f t="shared" si="105"/>
        <v>0</v>
      </c>
      <c r="AM505" s="58">
        <f t="shared" si="109"/>
        <v>0</v>
      </c>
      <c r="AN505" s="62">
        <f t="shared" si="110"/>
        <v>0</v>
      </c>
      <c r="AO505" s="61">
        <f t="shared" si="111"/>
        <v>0</v>
      </c>
      <c r="AP505" s="61">
        <f t="shared" si="112"/>
        <v>0</v>
      </c>
    </row>
    <row r="506" spans="3:42" s="17" customFormat="1" x14ac:dyDescent="0.25">
      <c r="C506" s="216" t="s">
        <v>229</v>
      </c>
      <c r="D506" s="217"/>
      <c r="E506" s="90"/>
      <c r="F506" s="198"/>
      <c r="G506" s="214"/>
      <c r="H506" s="199"/>
      <c r="I506" s="78"/>
      <c r="J506" s="79"/>
      <c r="K506" s="78"/>
      <c r="L506" s="113"/>
      <c r="M506" s="155"/>
      <c r="N506" s="114" t="str">
        <f>IFERROR(MIN(VLOOKUP(ROUNDDOWN(M506,0),'Aide calcul'!$B$2:$C$282,2,FALSE),L506+1),"")</f>
        <v/>
      </c>
      <c r="O506" s="115" t="str">
        <f t="shared" si="106"/>
        <v/>
      </c>
      <c r="P506" s="173"/>
      <c r="Q506" s="173"/>
      <c r="R506" s="173"/>
      <c r="S506" s="173"/>
      <c r="T506" s="173"/>
      <c r="U506" s="173"/>
      <c r="V506" s="173"/>
      <c r="W506" s="78"/>
      <c r="X506" s="78"/>
      <c r="Y506" s="116" t="str">
        <f>IFERROR(ROUND('Informations générales'!$D$66*(AE506/SUM($AE$27:$AE$403))/12,0)*12,"")</f>
        <v/>
      </c>
      <c r="Z506" s="117"/>
      <c r="AA506" s="116" t="str">
        <f t="shared" si="107"/>
        <v/>
      </c>
      <c r="AB506" s="78"/>
      <c r="AC506" s="92"/>
      <c r="AD506" s="78"/>
      <c r="AE506" s="58">
        <f t="shared" si="108"/>
        <v>0</v>
      </c>
      <c r="AF506" s="58">
        <f t="shared" si="99"/>
        <v>0</v>
      </c>
      <c r="AG506" s="58">
        <f t="shared" si="100"/>
        <v>0</v>
      </c>
      <c r="AH506" s="58">
        <f t="shared" si="101"/>
        <v>0</v>
      </c>
      <c r="AI506" s="58">
        <f t="shared" si="102"/>
        <v>0</v>
      </c>
      <c r="AJ506" s="58">
        <f t="shared" si="103"/>
        <v>0</v>
      </c>
      <c r="AK506" s="58">
        <f t="shared" si="104"/>
        <v>0</v>
      </c>
      <c r="AL506" s="58">
        <f t="shared" si="105"/>
        <v>0</v>
      </c>
      <c r="AM506" s="58">
        <f t="shared" si="109"/>
        <v>0</v>
      </c>
      <c r="AN506" s="62">
        <f t="shared" si="110"/>
        <v>0</v>
      </c>
      <c r="AO506" s="61">
        <f t="shared" si="111"/>
        <v>0</v>
      </c>
      <c r="AP506" s="61">
        <f t="shared" si="112"/>
        <v>0</v>
      </c>
    </row>
    <row r="507" spans="3:42" s="17" customFormat="1" x14ac:dyDescent="0.25">
      <c r="C507" s="216" t="s">
        <v>229</v>
      </c>
      <c r="D507" s="217"/>
      <c r="E507" s="90"/>
      <c r="F507" s="198"/>
      <c r="G507" s="214"/>
      <c r="H507" s="199"/>
      <c r="I507" s="78"/>
      <c r="J507" s="79"/>
      <c r="K507" s="78"/>
      <c r="L507" s="113"/>
      <c r="M507" s="155"/>
      <c r="N507" s="114" t="str">
        <f>IFERROR(MIN(VLOOKUP(ROUNDDOWN(M507,0),'Aide calcul'!$B$2:$C$282,2,FALSE),L507+1),"")</f>
        <v/>
      </c>
      <c r="O507" s="115" t="str">
        <f t="shared" si="106"/>
        <v/>
      </c>
      <c r="P507" s="173"/>
      <c r="Q507" s="173"/>
      <c r="R507" s="173"/>
      <c r="S507" s="173"/>
      <c r="T507" s="173"/>
      <c r="U507" s="173"/>
      <c r="V507" s="173"/>
      <c r="W507" s="78"/>
      <c r="X507" s="78"/>
      <c r="Y507" s="116" t="str">
        <f>IFERROR(ROUND('Informations générales'!$D$66*(AE507/SUM($AE$27:$AE$403))/12,0)*12,"")</f>
        <v/>
      </c>
      <c r="Z507" s="117"/>
      <c r="AA507" s="116" t="str">
        <f t="shared" si="107"/>
        <v/>
      </c>
      <c r="AB507" s="78"/>
      <c r="AC507" s="92"/>
      <c r="AD507" s="78"/>
      <c r="AE507" s="58">
        <f t="shared" si="108"/>
        <v>0</v>
      </c>
      <c r="AF507" s="58">
        <f t="shared" si="99"/>
        <v>0</v>
      </c>
      <c r="AG507" s="58">
        <f t="shared" si="100"/>
        <v>0</v>
      </c>
      <c r="AH507" s="58">
        <f t="shared" si="101"/>
        <v>0</v>
      </c>
      <c r="AI507" s="58">
        <f t="shared" si="102"/>
        <v>0</v>
      </c>
      <c r="AJ507" s="58">
        <f t="shared" si="103"/>
        <v>0</v>
      </c>
      <c r="AK507" s="58">
        <f t="shared" si="104"/>
        <v>0</v>
      </c>
      <c r="AL507" s="58">
        <f t="shared" si="105"/>
        <v>0</v>
      </c>
      <c r="AM507" s="58">
        <f t="shared" si="109"/>
        <v>0</v>
      </c>
      <c r="AN507" s="62">
        <f t="shared" si="110"/>
        <v>0</v>
      </c>
      <c r="AO507" s="61">
        <f t="shared" si="111"/>
        <v>0</v>
      </c>
      <c r="AP507" s="61">
        <f t="shared" si="112"/>
        <v>0</v>
      </c>
    </row>
    <row r="508" spans="3:42" s="17" customFormat="1" x14ac:dyDescent="0.25">
      <c r="C508" s="216" t="s">
        <v>229</v>
      </c>
      <c r="D508" s="217"/>
      <c r="E508" s="90"/>
      <c r="F508" s="198"/>
      <c r="G508" s="214"/>
      <c r="H508" s="199"/>
      <c r="I508" s="78"/>
      <c r="J508" s="79"/>
      <c r="K508" s="78"/>
      <c r="L508" s="113"/>
      <c r="M508" s="155"/>
      <c r="N508" s="114" t="str">
        <f>IFERROR(MIN(VLOOKUP(ROUNDDOWN(M508,0),'Aide calcul'!$B$2:$C$282,2,FALSE),L508+1),"")</f>
        <v/>
      </c>
      <c r="O508" s="115" t="str">
        <f t="shared" si="106"/>
        <v/>
      </c>
      <c r="P508" s="173"/>
      <c r="Q508" s="173"/>
      <c r="R508" s="173"/>
      <c r="S508" s="173"/>
      <c r="T508" s="173"/>
      <c r="U508" s="173"/>
      <c r="V508" s="173"/>
      <c r="W508" s="78"/>
      <c r="X508" s="78"/>
      <c r="Y508" s="116" t="str">
        <f>IFERROR(ROUND('Informations générales'!$D$66*(AE508/SUM($AE$27:$AE$403))/12,0)*12,"")</f>
        <v/>
      </c>
      <c r="Z508" s="117"/>
      <c r="AA508" s="116" t="str">
        <f t="shared" si="107"/>
        <v/>
      </c>
      <c r="AB508" s="78"/>
      <c r="AC508" s="92"/>
      <c r="AD508" s="78"/>
      <c r="AE508" s="58">
        <f t="shared" si="108"/>
        <v>0</v>
      </c>
      <c r="AF508" s="58">
        <f t="shared" si="99"/>
        <v>0</v>
      </c>
      <c r="AG508" s="58">
        <f t="shared" si="100"/>
        <v>0</v>
      </c>
      <c r="AH508" s="58">
        <f t="shared" si="101"/>
        <v>0</v>
      </c>
      <c r="AI508" s="58">
        <f t="shared" si="102"/>
        <v>0</v>
      </c>
      <c r="AJ508" s="58">
        <f t="shared" si="103"/>
        <v>0</v>
      </c>
      <c r="AK508" s="58">
        <f t="shared" si="104"/>
        <v>0</v>
      </c>
      <c r="AL508" s="58">
        <f t="shared" si="105"/>
        <v>0</v>
      </c>
      <c r="AM508" s="58">
        <f t="shared" si="109"/>
        <v>0</v>
      </c>
      <c r="AN508" s="62">
        <f t="shared" si="110"/>
        <v>0</v>
      </c>
      <c r="AO508" s="61">
        <f t="shared" si="111"/>
        <v>0</v>
      </c>
      <c r="AP508" s="61">
        <f t="shared" si="112"/>
        <v>0</v>
      </c>
    </row>
    <row r="509" spans="3:42" s="17" customFormat="1" x14ac:dyDescent="0.25">
      <c r="C509" s="216" t="s">
        <v>229</v>
      </c>
      <c r="D509" s="217"/>
      <c r="E509" s="90"/>
      <c r="F509" s="198"/>
      <c r="G509" s="214"/>
      <c r="H509" s="199"/>
      <c r="I509" s="78"/>
      <c r="J509" s="79"/>
      <c r="K509" s="78"/>
      <c r="L509" s="113"/>
      <c r="M509" s="155"/>
      <c r="N509" s="114" t="str">
        <f>IFERROR(MIN(VLOOKUP(ROUNDDOWN(M509,0),'Aide calcul'!$B$2:$C$282,2,FALSE),L509+1),"")</f>
        <v/>
      </c>
      <c r="O509" s="115" t="str">
        <f t="shared" si="106"/>
        <v/>
      </c>
      <c r="P509" s="173"/>
      <c r="Q509" s="173"/>
      <c r="R509" s="173"/>
      <c r="S509" s="173"/>
      <c r="T509" s="173"/>
      <c r="U509" s="173"/>
      <c r="V509" s="173"/>
      <c r="W509" s="78"/>
      <c r="X509" s="78"/>
      <c r="Y509" s="116" t="str">
        <f>IFERROR(ROUND('Informations générales'!$D$66*(AE509/SUM($AE$27:$AE$403))/12,0)*12,"")</f>
        <v/>
      </c>
      <c r="Z509" s="117"/>
      <c r="AA509" s="116" t="str">
        <f t="shared" si="107"/>
        <v/>
      </c>
      <c r="AB509" s="78"/>
      <c r="AC509" s="92"/>
      <c r="AD509" s="78"/>
      <c r="AE509" s="58">
        <f t="shared" si="108"/>
        <v>0</v>
      </c>
      <c r="AF509" s="58">
        <f t="shared" si="99"/>
        <v>0</v>
      </c>
      <c r="AG509" s="58">
        <f t="shared" si="100"/>
        <v>0</v>
      </c>
      <c r="AH509" s="58">
        <f t="shared" si="101"/>
        <v>0</v>
      </c>
      <c r="AI509" s="58">
        <f t="shared" si="102"/>
        <v>0</v>
      </c>
      <c r="AJ509" s="58">
        <f t="shared" si="103"/>
        <v>0</v>
      </c>
      <c r="AK509" s="58">
        <f t="shared" si="104"/>
        <v>0</v>
      </c>
      <c r="AL509" s="58">
        <f t="shared" si="105"/>
        <v>0</v>
      </c>
      <c r="AM509" s="58">
        <f t="shared" si="109"/>
        <v>0</v>
      </c>
      <c r="AN509" s="62">
        <f t="shared" si="110"/>
        <v>0</v>
      </c>
      <c r="AO509" s="61">
        <f t="shared" si="111"/>
        <v>0</v>
      </c>
      <c r="AP509" s="61">
        <f t="shared" si="112"/>
        <v>0</v>
      </c>
    </row>
    <row r="510" spans="3:42" s="17" customFormat="1" x14ac:dyDescent="0.25">
      <c r="C510" s="216" t="s">
        <v>229</v>
      </c>
      <c r="D510" s="217"/>
      <c r="E510" s="90"/>
      <c r="F510" s="198"/>
      <c r="G510" s="214"/>
      <c r="H510" s="199"/>
      <c r="I510" s="78"/>
      <c r="J510" s="79"/>
      <c r="K510" s="78"/>
      <c r="L510" s="113"/>
      <c r="M510" s="155"/>
      <c r="N510" s="114" t="str">
        <f>IFERROR(MIN(VLOOKUP(ROUNDDOWN(M510,0),'Aide calcul'!$B$2:$C$282,2,FALSE),L510+1),"")</f>
        <v/>
      </c>
      <c r="O510" s="115" t="str">
        <f t="shared" ref="O510:O526" si="113">IFERROR(TRUNC(N510-0.5),"")</f>
        <v/>
      </c>
      <c r="P510" s="173"/>
      <c r="Q510" s="173"/>
      <c r="R510" s="173"/>
      <c r="S510" s="173"/>
      <c r="T510" s="173"/>
      <c r="U510" s="173"/>
      <c r="V510" s="173"/>
      <c r="W510" s="78"/>
      <c r="X510" s="78"/>
      <c r="Y510" s="116" t="str">
        <f>IFERROR(ROUND('Informations générales'!$D$66*(AE510/SUM($AE$27:$AE$403))/12,0)*12,"")</f>
        <v/>
      </c>
      <c r="Z510" s="117"/>
      <c r="AA510" s="116" t="str">
        <f t="shared" ref="AA510:AA526" si="114">IFERROR(Y510/AM510,"")</f>
        <v/>
      </c>
      <c r="AB510" s="78"/>
      <c r="AC510" s="92"/>
      <c r="AD510" s="78"/>
      <c r="AE510" s="58">
        <f t="shared" ref="AE510:AE526" si="115">AM510*(SUM(1,AN510,AO510,AP510))</f>
        <v>0</v>
      </c>
      <c r="AF510" s="58">
        <f t="shared" ref="AF510:AF526" si="116">P510*$E$13</f>
        <v>0</v>
      </c>
      <c r="AG510" s="58">
        <f t="shared" ref="AG510:AG526" si="117">Q510*$E$14</f>
        <v>0</v>
      </c>
      <c r="AH510" s="58">
        <f t="shared" ref="AH510:AH526" si="118">R510*$E$15</f>
        <v>0</v>
      </c>
      <c r="AI510" s="58">
        <f t="shared" ref="AI510:AI526" si="119">S510*$E$16</f>
        <v>0</v>
      </c>
      <c r="AJ510" s="58">
        <f t="shared" ref="AJ510:AJ526" si="120">T510*$E$17</f>
        <v>0</v>
      </c>
      <c r="AK510" s="58">
        <f t="shared" ref="AK510:AK526" si="121">U510*$E$18</f>
        <v>0</v>
      </c>
      <c r="AL510" s="58">
        <f t="shared" ref="AL510:AL526" si="122">V510*$E$19</f>
        <v>0</v>
      </c>
      <c r="AM510" s="58">
        <f t="shared" ref="AM510:AM526" si="123">SUM(AF510:AL510)</f>
        <v>0</v>
      </c>
      <c r="AN510" s="62">
        <f t="shared" si="110"/>
        <v>0</v>
      </c>
      <c r="AO510" s="61">
        <f t="shared" ref="AO510:AO526" si="124">IFERROR(VLOOKUP(W510,$H$12:$I$22,2,FALSE),0)</f>
        <v>0</v>
      </c>
      <c r="AP510" s="61">
        <f t="shared" ref="AP510:AP526" si="125">IFERROR(VLOOKUP(X510,$L$12:$N$19,3,FALSE),0)</f>
        <v>0</v>
      </c>
    </row>
    <row r="511" spans="3:42" s="17" customFormat="1" x14ac:dyDescent="0.25">
      <c r="C511" s="216" t="s">
        <v>229</v>
      </c>
      <c r="D511" s="217"/>
      <c r="E511" s="90"/>
      <c r="F511" s="198"/>
      <c r="G511" s="214"/>
      <c r="H511" s="199"/>
      <c r="I511" s="78"/>
      <c r="J511" s="79"/>
      <c r="K511" s="78"/>
      <c r="L511" s="113"/>
      <c r="M511" s="155"/>
      <c r="N511" s="114" t="str">
        <f>IFERROR(MIN(VLOOKUP(ROUNDDOWN(M511,0),'Aide calcul'!$B$2:$C$282,2,FALSE),L511+1),"")</f>
        <v/>
      </c>
      <c r="O511" s="115" t="str">
        <f t="shared" si="113"/>
        <v/>
      </c>
      <c r="P511" s="173"/>
      <c r="Q511" s="173"/>
      <c r="R511" s="173"/>
      <c r="S511" s="173"/>
      <c r="T511" s="173"/>
      <c r="U511" s="173"/>
      <c r="V511" s="173"/>
      <c r="W511" s="78"/>
      <c r="X511" s="78"/>
      <c r="Y511" s="116" t="str">
        <f>IFERROR(ROUND('Informations générales'!$D$66*(AE511/SUM($AE$27:$AE$403))/12,0)*12,"")</f>
        <v/>
      </c>
      <c r="Z511" s="117"/>
      <c r="AA511" s="116" t="str">
        <f t="shared" si="114"/>
        <v/>
      </c>
      <c r="AB511" s="78"/>
      <c r="AC511" s="92"/>
      <c r="AD511" s="78"/>
      <c r="AE511" s="58">
        <f t="shared" si="115"/>
        <v>0</v>
      </c>
      <c r="AF511" s="58">
        <f t="shared" si="116"/>
        <v>0</v>
      </c>
      <c r="AG511" s="58">
        <f t="shared" si="117"/>
        <v>0</v>
      </c>
      <c r="AH511" s="58">
        <f t="shared" si="118"/>
        <v>0</v>
      </c>
      <c r="AI511" s="58">
        <f t="shared" si="119"/>
        <v>0</v>
      </c>
      <c r="AJ511" s="58">
        <f t="shared" si="120"/>
        <v>0</v>
      </c>
      <c r="AK511" s="58">
        <f t="shared" si="121"/>
        <v>0</v>
      </c>
      <c r="AL511" s="58">
        <f t="shared" si="122"/>
        <v>0</v>
      </c>
      <c r="AM511" s="58">
        <f t="shared" si="123"/>
        <v>0</v>
      </c>
      <c r="AN511" s="62">
        <f t="shared" si="110"/>
        <v>0</v>
      </c>
      <c r="AO511" s="61">
        <f t="shared" si="124"/>
        <v>0</v>
      </c>
      <c r="AP511" s="61">
        <f t="shared" si="125"/>
        <v>0</v>
      </c>
    </row>
    <row r="512" spans="3:42" s="17" customFormat="1" x14ac:dyDescent="0.25">
      <c r="C512" s="216" t="s">
        <v>229</v>
      </c>
      <c r="D512" s="217"/>
      <c r="E512" s="90"/>
      <c r="F512" s="198"/>
      <c r="G512" s="214"/>
      <c r="H512" s="199"/>
      <c r="I512" s="78"/>
      <c r="J512" s="79"/>
      <c r="K512" s="78"/>
      <c r="L512" s="113"/>
      <c r="M512" s="155"/>
      <c r="N512" s="114" t="str">
        <f>IFERROR(MIN(VLOOKUP(ROUNDDOWN(M512,0),'Aide calcul'!$B$2:$C$282,2,FALSE),L512+1),"")</f>
        <v/>
      </c>
      <c r="O512" s="115" t="str">
        <f t="shared" si="113"/>
        <v/>
      </c>
      <c r="P512" s="173"/>
      <c r="Q512" s="173"/>
      <c r="R512" s="173"/>
      <c r="S512" s="173"/>
      <c r="T512" s="173"/>
      <c r="U512" s="173"/>
      <c r="V512" s="173"/>
      <c r="W512" s="78"/>
      <c r="X512" s="78"/>
      <c r="Y512" s="116" t="str">
        <f>IFERROR(ROUND('Informations générales'!$D$66*(AE512/SUM($AE$27:$AE$403))/12,0)*12,"")</f>
        <v/>
      </c>
      <c r="Z512" s="117"/>
      <c r="AA512" s="116" t="str">
        <f t="shared" si="114"/>
        <v/>
      </c>
      <c r="AB512" s="78"/>
      <c r="AC512" s="92"/>
      <c r="AD512" s="78"/>
      <c r="AE512" s="58">
        <f t="shared" si="115"/>
        <v>0</v>
      </c>
      <c r="AF512" s="58">
        <f t="shared" si="116"/>
        <v>0</v>
      </c>
      <c r="AG512" s="58">
        <f t="shared" si="117"/>
        <v>0</v>
      </c>
      <c r="AH512" s="58">
        <f t="shared" si="118"/>
        <v>0</v>
      </c>
      <c r="AI512" s="58">
        <f t="shared" si="119"/>
        <v>0</v>
      </c>
      <c r="AJ512" s="58">
        <f t="shared" si="120"/>
        <v>0</v>
      </c>
      <c r="AK512" s="58">
        <f t="shared" si="121"/>
        <v>0</v>
      </c>
      <c r="AL512" s="58">
        <f t="shared" si="122"/>
        <v>0</v>
      </c>
      <c r="AM512" s="58">
        <f t="shared" si="123"/>
        <v>0</v>
      </c>
      <c r="AN512" s="62">
        <f t="shared" si="110"/>
        <v>0</v>
      </c>
      <c r="AO512" s="61">
        <f t="shared" si="124"/>
        <v>0</v>
      </c>
      <c r="AP512" s="61">
        <f t="shared" si="125"/>
        <v>0</v>
      </c>
    </row>
    <row r="513" spans="3:42" s="17" customFormat="1" x14ac:dyDescent="0.25">
      <c r="C513" s="216" t="s">
        <v>229</v>
      </c>
      <c r="D513" s="217"/>
      <c r="E513" s="90"/>
      <c r="F513" s="198"/>
      <c r="G513" s="214"/>
      <c r="H513" s="199"/>
      <c r="I513" s="78"/>
      <c r="J513" s="79"/>
      <c r="K513" s="78"/>
      <c r="L513" s="113"/>
      <c r="M513" s="155"/>
      <c r="N513" s="114" t="str">
        <f>IFERROR(MIN(VLOOKUP(ROUNDDOWN(M513,0),'Aide calcul'!$B$2:$C$282,2,FALSE),L513+1),"")</f>
        <v/>
      </c>
      <c r="O513" s="115" t="str">
        <f t="shared" si="113"/>
        <v/>
      </c>
      <c r="P513" s="173"/>
      <c r="Q513" s="173"/>
      <c r="R513" s="173"/>
      <c r="S513" s="173"/>
      <c r="T513" s="173"/>
      <c r="U513" s="173"/>
      <c r="V513" s="173"/>
      <c r="W513" s="78"/>
      <c r="X513" s="78"/>
      <c r="Y513" s="116" t="str">
        <f>IFERROR(ROUND('Informations générales'!$D$66*(AE513/SUM($AE$27:$AE$403))/12,0)*12,"")</f>
        <v/>
      </c>
      <c r="Z513" s="117"/>
      <c r="AA513" s="116" t="str">
        <f t="shared" si="114"/>
        <v/>
      </c>
      <c r="AB513" s="78"/>
      <c r="AC513" s="92"/>
      <c r="AD513" s="78"/>
      <c r="AE513" s="58">
        <f t="shared" si="115"/>
        <v>0</v>
      </c>
      <c r="AF513" s="58">
        <f t="shared" si="116"/>
        <v>0</v>
      </c>
      <c r="AG513" s="58">
        <f t="shared" si="117"/>
        <v>0</v>
      </c>
      <c r="AH513" s="58">
        <f t="shared" si="118"/>
        <v>0</v>
      </c>
      <c r="AI513" s="58">
        <f t="shared" si="119"/>
        <v>0</v>
      </c>
      <c r="AJ513" s="58">
        <f t="shared" si="120"/>
        <v>0</v>
      </c>
      <c r="AK513" s="58">
        <f t="shared" si="121"/>
        <v>0</v>
      </c>
      <c r="AL513" s="58">
        <f t="shared" si="122"/>
        <v>0</v>
      </c>
      <c r="AM513" s="58">
        <f t="shared" si="123"/>
        <v>0</v>
      </c>
      <c r="AN513" s="62">
        <f t="shared" si="110"/>
        <v>0</v>
      </c>
      <c r="AO513" s="61">
        <f t="shared" si="124"/>
        <v>0</v>
      </c>
      <c r="AP513" s="61">
        <f t="shared" si="125"/>
        <v>0</v>
      </c>
    </row>
    <row r="514" spans="3:42" s="17" customFormat="1" x14ac:dyDescent="0.25">
      <c r="C514" s="216" t="s">
        <v>229</v>
      </c>
      <c r="D514" s="217"/>
      <c r="E514" s="90"/>
      <c r="F514" s="198"/>
      <c r="G514" s="214"/>
      <c r="H514" s="199"/>
      <c r="I514" s="78"/>
      <c r="J514" s="79"/>
      <c r="K514" s="78"/>
      <c r="L514" s="113"/>
      <c r="M514" s="155"/>
      <c r="N514" s="114" t="str">
        <f>IFERROR(MIN(VLOOKUP(ROUNDDOWN(M514,0),'Aide calcul'!$B$2:$C$282,2,FALSE),L514+1),"")</f>
        <v/>
      </c>
      <c r="O514" s="115" t="str">
        <f t="shared" si="113"/>
        <v/>
      </c>
      <c r="P514" s="173"/>
      <c r="Q514" s="173"/>
      <c r="R514" s="173"/>
      <c r="S514" s="173"/>
      <c r="T514" s="173"/>
      <c r="U514" s="173"/>
      <c r="V514" s="173"/>
      <c r="W514" s="78"/>
      <c r="X514" s="78"/>
      <c r="Y514" s="116" t="str">
        <f>IFERROR(ROUND('Informations générales'!$D$66*(AE514/SUM($AE$27:$AE$403))/12,0)*12,"")</f>
        <v/>
      </c>
      <c r="Z514" s="117"/>
      <c r="AA514" s="116" t="str">
        <f t="shared" si="114"/>
        <v/>
      </c>
      <c r="AB514" s="78"/>
      <c r="AC514" s="92"/>
      <c r="AD514" s="78"/>
      <c r="AE514" s="58">
        <f t="shared" si="115"/>
        <v>0</v>
      </c>
      <c r="AF514" s="58">
        <f t="shared" si="116"/>
        <v>0</v>
      </c>
      <c r="AG514" s="58">
        <f t="shared" si="117"/>
        <v>0</v>
      </c>
      <c r="AH514" s="58">
        <f t="shared" si="118"/>
        <v>0</v>
      </c>
      <c r="AI514" s="58">
        <f t="shared" si="119"/>
        <v>0</v>
      </c>
      <c r="AJ514" s="58">
        <f t="shared" si="120"/>
        <v>0</v>
      </c>
      <c r="AK514" s="58">
        <f t="shared" si="121"/>
        <v>0</v>
      </c>
      <c r="AL514" s="58">
        <f t="shared" si="122"/>
        <v>0</v>
      </c>
      <c r="AM514" s="58">
        <f t="shared" si="123"/>
        <v>0</v>
      </c>
      <c r="AN514" s="62">
        <f t="shared" si="110"/>
        <v>0</v>
      </c>
      <c r="AO514" s="61">
        <f t="shared" si="124"/>
        <v>0</v>
      </c>
      <c r="AP514" s="61">
        <f t="shared" si="125"/>
        <v>0</v>
      </c>
    </row>
    <row r="515" spans="3:42" s="17" customFormat="1" x14ac:dyDescent="0.25">
      <c r="C515" s="216" t="s">
        <v>229</v>
      </c>
      <c r="D515" s="217"/>
      <c r="E515" s="90"/>
      <c r="F515" s="198"/>
      <c r="G515" s="214"/>
      <c r="H515" s="199"/>
      <c r="I515" s="78"/>
      <c r="J515" s="79"/>
      <c r="K515" s="78"/>
      <c r="L515" s="113"/>
      <c r="M515" s="155"/>
      <c r="N515" s="114" t="str">
        <f>IFERROR(MIN(VLOOKUP(ROUNDDOWN(M515,0),'Aide calcul'!$B$2:$C$282,2,FALSE),L515+1),"")</f>
        <v/>
      </c>
      <c r="O515" s="115" t="str">
        <f t="shared" si="113"/>
        <v/>
      </c>
      <c r="P515" s="173"/>
      <c r="Q515" s="173"/>
      <c r="R515" s="173"/>
      <c r="S515" s="173"/>
      <c r="T515" s="173"/>
      <c r="U515" s="173"/>
      <c r="V515" s="173"/>
      <c r="W515" s="78"/>
      <c r="X515" s="78"/>
      <c r="Y515" s="116" t="str">
        <f>IFERROR(ROUND('Informations générales'!$D$66*(AE515/SUM($AE$27:$AE$403))/12,0)*12,"")</f>
        <v/>
      </c>
      <c r="Z515" s="117"/>
      <c r="AA515" s="116" t="str">
        <f t="shared" si="114"/>
        <v/>
      </c>
      <c r="AB515" s="78"/>
      <c r="AC515" s="92"/>
      <c r="AD515" s="78"/>
      <c r="AE515" s="58">
        <f t="shared" si="115"/>
        <v>0</v>
      </c>
      <c r="AF515" s="58">
        <f t="shared" si="116"/>
        <v>0</v>
      </c>
      <c r="AG515" s="58">
        <f t="shared" si="117"/>
        <v>0</v>
      </c>
      <c r="AH515" s="58">
        <f t="shared" si="118"/>
        <v>0</v>
      </c>
      <c r="AI515" s="58">
        <f t="shared" si="119"/>
        <v>0</v>
      </c>
      <c r="AJ515" s="58">
        <f t="shared" si="120"/>
        <v>0</v>
      </c>
      <c r="AK515" s="58">
        <f t="shared" si="121"/>
        <v>0</v>
      </c>
      <c r="AL515" s="58">
        <f t="shared" si="122"/>
        <v>0</v>
      </c>
      <c r="AM515" s="58">
        <f t="shared" si="123"/>
        <v>0</v>
      </c>
      <c r="AN515" s="62">
        <f t="shared" si="110"/>
        <v>0</v>
      </c>
      <c r="AO515" s="61">
        <f t="shared" si="124"/>
        <v>0</v>
      </c>
      <c r="AP515" s="61">
        <f t="shared" si="125"/>
        <v>0</v>
      </c>
    </row>
    <row r="516" spans="3:42" s="17" customFormat="1" x14ac:dyDescent="0.25">
      <c r="C516" s="216" t="s">
        <v>229</v>
      </c>
      <c r="D516" s="217"/>
      <c r="E516" s="90"/>
      <c r="F516" s="198"/>
      <c r="G516" s="214"/>
      <c r="H516" s="199"/>
      <c r="I516" s="78"/>
      <c r="J516" s="79"/>
      <c r="K516" s="78"/>
      <c r="L516" s="113"/>
      <c r="M516" s="155"/>
      <c r="N516" s="114" t="str">
        <f>IFERROR(MIN(VLOOKUP(ROUNDDOWN(M516,0),'Aide calcul'!$B$2:$C$282,2,FALSE),L516+1),"")</f>
        <v/>
      </c>
      <c r="O516" s="115" t="str">
        <f t="shared" si="113"/>
        <v/>
      </c>
      <c r="P516" s="173"/>
      <c r="Q516" s="173"/>
      <c r="R516" s="173"/>
      <c r="S516" s="173"/>
      <c r="T516" s="173"/>
      <c r="U516" s="173"/>
      <c r="V516" s="173"/>
      <c r="W516" s="78"/>
      <c r="X516" s="78"/>
      <c r="Y516" s="116" t="str">
        <f>IFERROR(ROUND('Informations générales'!$D$66*(AE516/SUM($AE$27:$AE$403))/12,0)*12,"")</f>
        <v/>
      </c>
      <c r="Z516" s="117"/>
      <c r="AA516" s="116" t="str">
        <f t="shared" si="114"/>
        <v/>
      </c>
      <c r="AB516" s="78"/>
      <c r="AC516" s="92"/>
      <c r="AD516" s="78"/>
      <c r="AE516" s="58">
        <f t="shared" si="115"/>
        <v>0</v>
      </c>
      <c r="AF516" s="58">
        <f t="shared" si="116"/>
        <v>0</v>
      </c>
      <c r="AG516" s="58">
        <f t="shared" si="117"/>
        <v>0</v>
      </c>
      <c r="AH516" s="58">
        <f t="shared" si="118"/>
        <v>0</v>
      </c>
      <c r="AI516" s="58">
        <f t="shared" si="119"/>
        <v>0</v>
      </c>
      <c r="AJ516" s="58">
        <f t="shared" si="120"/>
        <v>0</v>
      </c>
      <c r="AK516" s="58">
        <f t="shared" si="121"/>
        <v>0</v>
      </c>
      <c r="AL516" s="58">
        <f t="shared" si="122"/>
        <v>0</v>
      </c>
      <c r="AM516" s="58">
        <f t="shared" si="123"/>
        <v>0</v>
      </c>
      <c r="AN516" s="62">
        <f t="shared" si="110"/>
        <v>0</v>
      </c>
      <c r="AO516" s="61">
        <f t="shared" si="124"/>
        <v>0</v>
      </c>
      <c r="AP516" s="61">
        <f t="shared" si="125"/>
        <v>0</v>
      </c>
    </row>
    <row r="517" spans="3:42" s="17" customFormat="1" x14ac:dyDescent="0.25">
      <c r="C517" s="216" t="s">
        <v>229</v>
      </c>
      <c r="D517" s="217"/>
      <c r="E517" s="90"/>
      <c r="F517" s="198"/>
      <c r="G517" s="214"/>
      <c r="H517" s="199"/>
      <c r="I517" s="78"/>
      <c r="J517" s="79"/>
      <c r="K517" s="78"/>
      <c r="L517" s="113"/>
      <c r="M517" s="155"/>
      <c r="N517" s="114" t="str">
        <f>IFERROR(MIN(VLOOKUP(ROUNDDOWN(M517,0),'Aide calcul'!$B$2:$C$282,2,FALSE),L517+1),"")</f>
        <v/>
      </c>
      <c r="O517" s="115" t="str">
        <f t="shared" si="113"/>
        <v/>
      </c>
      <c r="P517" s="173"/>
      <c r="Q517" s="173"/>
      <c r="R517" s="173"/>
      <c r="S517" s="173"/>
      <c r="T517" s="173"/>
      <c r="U517" s="173"/>
      <c r="V517" s="173"/>
      <c r="W517" s="78"/>
      <c r="X517" s="78"/>
      <c r="Y517" s="116" t="str">
        <f>IFERROR(ROUND('Informations générales'!$D$66*(AE517/SUM($AE$27:$AE$403))/12,0)*12,"")</f>
        <v/>
      </c>
      <c r="Z517" s="117"/>
      <c r="AA517" s="116" t="str">
        <f t="shared" si="114"/>
        <v/>
      </c>
      <c r="AB517" s="78"/>
      <c r="AC517" s="92"/>
      <c r="AD517" s="78"/>
      <c r="AE517" s="58">
        <f t="shared" si="115"/>
        <v>0</v>
      </c>
      <c r="AF517" s="58">
        <f t="shared" si="116"/>
        <v>0</v>
      </c>
      <c r="AG517" s="58">
        <f t="shared" si="117"/>
        <v>0</v>
      </c>
      <c r="AH517" s="58">
        <f t="shared" si="118"/>
        <v>0</v>
      </c>
      <c r="AI517" s="58">
        <f t="shared" si="119"/>
        <v>0</v>
      </c>
      <c r="AJ517" s="58">
        <f t="shared" si="120"/>
        <v>0</v>
      </c>
      <c r="AK517" s="58">
        <f t="shared" si="121"/>
        <v>0</v>
      </c>
      <c r="AL517" s="58">
        <f t="shared" si="122"/>
        <v>0</v>
      </c>
      <c r="AM517" s="58">
        <f t="shared" si="123"/>
        <v>0</v>
      </c>
      <c r="AN517" s="62">
        <f t="shared" si="110"/>
        <v>0</v>
      </c>
      <c r="AO517" s="61">
        <f t="shared" si="124"/>
        <v>0</v>
      </c>
      <c r="AP517" s="61">
        <f t="shared" si="125"/>
        <v>0</v>
      </c>
    </row>
    <row r="518" spans="3:42" s="17" customFormat="1" x14ac:dyDescent="0.25">
      <c r="C518" s="216" t="s">
        <v>229</v>
      </c>
      <c r="D518" s="217"/>
      <c r="E518" s="90"/>
      <c r="F518" s="198"/>
      <c r="G518" s="214"/>
      <c r="H518" s="199"/>
      <c r="I518" s="78"/>
      <c r="J518" s="79"/>
      <c r="K518" s="78"/>
      <c r="L518" s="113"/>
      <c r="M518" s="155"/>
      <c r="N518" s="114" t="str">
        <f>IFERROR(MIN(VLOOKUP(ROUNDDOWN(M518,0),'Aide calcul'!$B$2:$C$282,2,FALSE),L518+1),"")</f>
        <v/>
      </c>
      <c r="O518" s="115" t="str">
        <f t="shared" si="113"/>
        <v/>
      </c>
      <c r="P518" s="173"/>
      <c r="Q518" s="173"/>
      <c r="R518" s="173"/>
      <c r="S518" s="173"/>
      <c r="T518" s="173"/>
      <c r="U518" s="173"/>
      <c r="V518" s="173"/>
      <c r="W518" s="78"/>
      <c r="X518" s="78"/>
      <c r="Y518" s="116" t="str">
        <f>IFERROR(ROUND('Informations générales'!$D$66*(AE518/SUM($AE$27:$AE$403))/12,0)*12,"")</f>
        <v/>
      </c>
      <c r="Z518" s="117"/>
      <c r="AA518" s="116" t="str">
        <f t="shared" si="114"/>
        <v/>
      </c>
      <c r="AB518" s="78"/>
      <c r="AC518" s="92"/>
      <c r="AD518" s="78"/>
      <c r="AE518" s="58">
        <f t="shared" si="115"/>
        <v>0</v>
      </c>
      <c r="AF518" s="58">
        <f t="shared" si="116"/>
        <v>0</v>
      </c>
      <c r="AG518" s="58">
        <f t="shared" si="117"/>
        <v>0</v>
      </c>
      <c r="AH518" s="58">
        <f t="shared" si="118"/>
        <v>0</v>
      </c>
      <c r="AI518" s="58">
        <f t="shared" si="119"/>
        <v>0</v>
      </c>
      <c r="AJ518" s="58">
        <f t="shared" si="120"/>
        <v>0</v>
      </c>
      <c r="AK518" s="58">
        <f t="shared" si="121"/>
        <v>0</v>
      </c>
      <c r="AL518" s="58">
        <f t="shared" si="122"/>
        <v>0</v>
      </c>
      <c r="AM518" s="58">
        <f t="shared" si="123"/>
        <v>0</v>
      </c>
      <c r="AN518" s="62">
        <f t="shared" si="110"/>
        <v>0</v>
      </c>
      <c r="AO518" s="61">
        <f t="shared" si="124"/>
        <v>0</v>
      </c>
      <c r="AP518" s="61">
        <f t="shared" si="125"/>
        <v>0</v>
      </c>
    </row>
    <row r="519" spans="3:42" s="17" customFormat="1" x14ac:dyDescent="0.25">
      <c r="C519" s="216" t="s">
        <v>229</v>
      </c>
      <c r="D519" s="217"/>
      <c r="E519" s="90"/>
      <c r="F519" s="198"/>
      <c r="G519" s="214"/>
      <c r="H519" s="199"/>
      <c r="I519" s="78"/>
      <c r="J519" s="79"/>
      <c r="K519" s="78"/>
      <c r="L519" s="113"/>
      <c r="M519" s="155"/>
      <c r="N519" s="114" t="str">
        <f>IFERROR(MIN(VLOOKUP(ROUNDDOWN(M519,0),'Aide calcul'!$B$2:$C$282,2,FALSE),L519+1),"")</f>
        <v/>
      </c>
      <c r="O519" s="115" t="str">
        <f t="shared" si="113"/>
        <v/>
      </c>
      <c r="P519" s="173"/>
      <c r="Q519" s="173"/>
      <c r="R519" s="173"/>
      <c r="S519" s="173"/>
      <c r="T519" s="173"/>
      <c r="U519" s="173"/>
      <c r="V519" s="173"/>
      <c r="W519" s="78"/>
      <c r="X519" s="78"/>
      <c r="Y519" s="116" t="str">
        <f>IFERROR(ROUND('Informations générales'!$D$66*(AE519/SUM($AE$27:$AE$403))/12,0)*12,"")</f>
        <v/>
      </c>
      <c r="Z519" s="117"/>
      <c r="AA519" s="116" t="str">
        <f t="shared" si="114"/>
        <v/>
      </c>
      <c r="AB519" s="78"/>
      <c r="AC519" s="92"/>
      <c r="AD519" s="78"/>
      <c r="AE519" s="58">
        <f t="shared" si="115"/>
        <v>0</v>
      </c>
      <c r="AF519" s="58">
        <f t="shared" si="116"/>
        <v>0</v>
      </c>
      <c r="AG519" s="58">
        <f t="shared" si="117"/>
        <v>0</v>
      </c>
      <c r="AH519" s="58">
        <f t="shared" si="118"/>
        <v>0</v>
      </c>
      <c r="AI519" s="58">
        <f t="shared" si="119"/>
        <v>0</v>
      </c>
      <c r="AJ519" s="58">
        <f t="shared" si="120"/>
        <v>0</v>
      </c>
      <c r="AK519" s="58">
        <f t="shared" si="121"/>
        <v>0</v>
      </c>
      <c r="AL519" s="58">
        <f t="shared" si="122"/>
        <v>0</v>
      </c>
      <c r="AM519" s="58">
        <f t="shared" si="123"/>
        <v>0</v>
      </c>
      <c r="AN519" s="62">
        <f t="shared" si="110"/>
        <v>0</v>
      </c>
      <c r="AO519" s="61">
        <f t="shared" si="124"/>
        <v>0</v>
      </c>
      <c r="AP519" s="61">
        <f t="shared" si="125"/>
        <v>0</v>
      </c>
    </row>
    <row r="520" spans="3:42" s="17" customFormat="1" x14ac:dyDescent="0.25">
      <c r="C520" s="216" t="s">
        <v>229</v>
      </c>
      <c r="D520" s="217"/>
      <c r="E520" s="90"/>
      <c r="F520" s="198"/>
      <c r="G520" s="214"/>
      <c r="H520" s="199"/>
      <c r="I520" s="78"/>
      <c r="J520" s="79"/>
      <c r="K520" s="78"/>
      <c r="L520" s="113"/>
      <c r="M520" s="155"/>
      <c r="N520" s="114" t="str">
        <f>IFERROR(MIN(VLOOKUP(ROUNDDOWN(M520,0),'Aide calcul'!$B$2:$C$282,2,FALSE),L520+1),"")</f>
        <v/>
      </c>
      <c r="O520" s="115" t="str">
        <f t="shared" si="113"/>
        <v/>
      </c>
      <c r="P520" s="173"/>
      <c r="Q520" s="173"/>
      <c r="R520" s="173"/>
      <c r="S520" s="173"/>
      <c r="T520" s="173"/>
      <c r="U520" s="173"/>
      <c r="V520" s="173"/>
      <c r="W520" s="78"/>
      <c r="X520" s="78"/>
      <c r="Y520" s="116" t="str">
        <f>IFERROR(ROUND('Informations générales'!$D$66*(AE520/SUM($AE$27:$AE$403))/12,0)*12,"")</f>
        <v/>
      </c>
      <c r="Z520" s="117"/>
      <c r="AA520" s="116" t="str">
        <f t="shared" si="114"/>
        <v/>
      </c>
      <c r="AB520" s="78"/>
      <c r="AC520" s="92"/>
      <c r="AD520" s="78"/>
      <c r="AE520" s="58">
        <f t="shared" si="115"/>
        <v>0</v>
      </c>
      <c r="AF520" s="58">
        <f t="shared" si="116"/>
        <v>0</v>
      </c>
      <c r="AG520" s="58">
        <f t="shared" si="117"/>
        <v>0</v>
      </c>
      <c r="AH520" s="58">
        <f t="shared" si="118"/>
        <v>0</v>
      </c>
      <c r="AI520" s="58">
        <f t="shared" si="119"/>
        <v>0</v>
      </c>
      <c r="AJ520" s="58">
        <f t="shared" si="120"/>
        <v>0</v>
      </c>
      <c r="AK520" s="58">
        <f t="shared" si="121"/>
        <v>0</v>
      </c>
      <c r="AL520" s="58">
        <f t="shared" si="122"/>
        <v>0</v>
      </c>
      <c r="AM520" s="58">
        <f t="shared" si="123"/>
        <v>0</v>
      </c>
      <c r="AN520" s="62">
        <f t="shared" si="110"/>
        <v>0</v>
      </c>
      <c r="AO520" s="61">
        <f t="shared" si="124"/>
        <v>0</v>
      </c>
      <c r="AP520" s="61">
        <f t="shared" si="125"/>
        <v>0</v>
      </c>
    </row>
    <row r="521" spans="3:42" s="17" customFormat="1" x14ac:dyDescent="0.25">
      <c r="C521" s="216" t="s">
        <v>229</v>
      </c>
      <c r="D521" s="217"/>
      <c r="E521" s="90"/>
      <c r="F521" s="198"/>
      <c r="G521" s="214"/>
      <c r="H521" s="199"/>
      <c r="I521" s="78"/>
      <c r="J521" s="79"/>
      <c r="K521" s="78"/>
      <c r="L521" s="113"/>
      <c r="M521" s="155"/>
      <c r="N521" s="114" t="str">
        <f>IFERROR(MIN(VLOOKUP(ROUNDDOWN(M521,0),'Aide calcul'!$B$2:$C$282,2,FALSE),L521+1),"")</f>
        <v/>
      </c>
      <c r="O521" s="115" t="str">
        <f t="shared" si="113"/>
        <v/>
      </c>
      <c r="P521" s="173"/>
      <c r="Q521" s="173"/>
      <c r="R521" s="173"/>
      <c r="S521" s="173"/>
      <c r="T521" s="173"/>
      <c r="U521" s="173"/>
      <c r="V521" s="173"/>
      <c r="W521" s="78"/>
      <c r="X521" s="78"/>
      <c r="Y521" s="116" t="str">
        <f>IFERROR(ROUND('Informations générales'!$D$66*(AE521/SUM($AE$27:$AE$403))/12,0)*12,"")</f>
        <v/>
      </c>
      <c r="Z521" s="117"/>
      <c r="AA521" s="116" t="str">
        <f t="shared" si="114"/>
        <v/>
      </c>
      <c r="AB521" s="78"/>
      <c r="AC521" s="92"/>
      <c r="AD521" s="78"/>
      <c r="AE521" s="58">
        <f t="shared" si="115"/>
        <v>0</v>
      </c>
      <c r="AF521" s="58">
        <f t="shared" si="116"/>
        <v>0</v>
      </c>
      <c r="AG521" s="58">
        <f t="shared" si="117"/>
        <v>0</v>
      </c>
      <c r="AH521" s="58">
        <f t="shared" si="118"/>
        <v>0</v>
      </c>
      <c r="AI521" s="58">
        <f t="shared" si="119"/>
        <v>0</v>
      </c>
      <c r="AJ521" s="58">
        <f t="shared" si="120"/>
        <v>0</v>
      </c>
      <c r="AK521" s="58">
        <f t="shared" si="121"/>
        <v>0</v>
      </c>
      <c r="AL521" s="58">
        <f t="shared" si="122"/>
        <v>0</v>
      </c>
      <c r="AM521" s="58">
        <f t="shared" si="123"/>
        <v>0</v>
      </c>
      <c r="AN521" s="62">
        <f t="shared" si="110"/>
        <v>0</v>
      </c>
      <c r="AO521" s="61">
        <f t="shared" si="124"/>
        <v>0</v>
      </c>
      <c r="AP521" s="61">
        <f t="shared" si="125"/>
        <v>0</v>
      </c>
    </row>
    <row r="522" spans="3:42" s="17" customFormat="1" x14ac:dyDescent="0.25">
      <c r="C522" s="216" t="s">
        <v>229</v>
      </c>
      <c r="D522" s="217"/>
      <c r="E522" s="90"/>
      <c r="F522" s="198"/>
      <c r="G522" s="214"/>
      <c r="H522" s="199"/>
      <c r="I522" s="78"/>
      <c r="J522" s="79"/>
      <c r="K522" s="78"/>
      <c r="L522" s="113"/>
      <c r="M522" s="155"/>
      <c r="N522" s="114" t="str">
        <f>IFERROR(MIN(VLOOKUP(ROUNDDOWN(M522,0),'Aide calcul'!$B$2:$C$282,2,FALSE),L522+1),"")</f>
        <v/>
      </c>
      <c r="O522" s="115" t="str">
        <f t="shared" si="113"/>
        <v/>
      </c>
      <c r="P522" s="173"/>
      <c r="Q522" s="173"/>
      <c r="R522" s="173"/>
      <c r="S522" s="173"/>
      <c r="T522" s="173"/>
      <c r="U522" s="173"/>
      <c r="V522" s="173"/>
      <c r="W522" s="78"/>
      <c r="X522" s="78"/>
      <c r="Y522" s="116" t="str">
        <f>IFERROR(ROUND('Informations générales'!$D$66*(AE522/SUM($AE$27:$AE$403))/12,0)*12,"")</f>
        <v/>
      </c>
      <c r="Z522" s="117"/>
      <c r="AA522" s="116" t="str">
        <f t="shared" si="114"/>
        <v/>
      </c>
      <c r="AB522" s="78"/>
      <c r="AC522" s="92"/>
      <c r="AD522" s="78"/>
      <c r="AE522" s="58">
        <f t="shared" si="115"/>
        <v>0</v>
      </c>
      <c r="AF522" s="58">
        <f t="shared" si="116"/>
        <v>0</v>
      </c>
      <c r="AG522" s="58">
        <f t="shared" si="117"/>
        <v>0</v>
      </c>
      <c r="AH522" s="58">
        <f t="shared" si="118"/>
        <v>0</v>
      </c>
      <c r="AI522" s="58">
        <f t="shared" si="119"/>
        <v>0</v>
      </c>
      <c r="AJ522" s="58">
        <f t="shared" si="120"/>
        <v>0</v>
      </c>
      <c r="AK522" s="58">
        <f t="shared" si="121"/>
        <v>0</v>
      </c>
      <c r="AL522" s="58">
        <f t="shared" si="122"/>
        <v>0</v>
      </c>
      <c r="AM522" s="58">
        <f t="shared" si="123"/>
        <v>0</v>
      </c>
      <c r="AN522" s="62">
        <f t="shared" si="110"/>
        <v>0</v>
      </c>
      <c r="AO522" s="61">
        <f t="shared" si="124"/>
        <v>0</v>
      </c>
      <c r="AP522" s="61">
        <f t="shared" si="125"/>
        <v>0</v>
      </c>
    </row>
    <row r="523" spans="3:42" s="17" customFormat="1" x14ac:dyDescent="0.25">
      <c r="C523" s="216" t="s">
        <v>229</v>
      </c>
      <c r="D523" s="217"/>
      <c r="E523" s="90"/>
      <c r="F523" s="198"/>
      <c r="G523" s="214"/>
      <c r="H523" s="199"/>
      <c r="I523" s="78"/>
      <c r="J523" s="79"/>
      <c r="K523" s="78"/>
      <c r="L523" s="113"/>
      <c r="M523" s="155"/>
      <c r="N523" s="114" t="str">
        <f>IFERROR(MIN(VLOOKUP(ROUNDDOWN(M523,0),'Aide calcul'!$B$2:$C$282,2,FALSE),L523+1),"")</f>
        <v/>
      </c>
      <c r="O523" s="115" t="str">
        <f t="shared" si="113"/>
        <v/>
      </c>
      <c r="P523" s="173"/>
      <c r="Q523" s="173"/>
      <c r="R523" s="173"/>
      <c r="S523" s="173"/>
      <c r="T523" s="173"/>
      <c r="U523" s="173"/>
      <c r="V523" s="173"/>
      <c r="W523" s="78"/>
      <c r="X523" s="78"/>
      <c r="Y523" s="116" t="str">
        <f>IFERROR(ROUND('Informations générales'!$D$66*(AE523/SUM($AE$27:$AE$403))/12,0)*12,"")</f>
        <v/>
      </c>
      <c r="Z523" s="117"/>
      <c r="AA523" s="116" t="str">
        <f t="shared" si="114"/>
        <v/>
      </c>
      <c r="AB523" s="78"/>
      <c r="AC523" s="92"/>
      <c r="AD523" s="78"/>
      <c r="AE523" s="58">
        <f t="shared" si="115"/>
        <v>0</v>
      </c>
      <c r="AF523" s="58">
        <f t="shared" si="116"/>
        <v>0</v>
      </c>
      <c r="AG523" s="58">
        <f t="shared" si="117"/>
        <v>0</v>
      </c>
      <c r="AH523" s="58">
        <f t="shared" si="118"/>
        <v>0</v>
      </c>
      <c r="AI523" s="58">
        <f t="shared" si="119"/>
        <v>0</v>
      </c>
      <c r="AJ523" s="58">
        <f t="shared" si="120"/>
        <v>0</v>
      </c>
      <c r="AK523" s="58">
        <f t="shared" si="121"/>
        <v>0</v>
      </c>
      <c r="AL523" s="58">
        <f t="shared" si="122"/>
        <v>0</v>
      </c>
      <c r="AM523" s="58">
        <f t="shared" si="123"/>
        <v>0</v>
      </c>
      <c r="AN523" s="62">
        <f t="shared" si="110"/>
        <v>0</v>
      </c>
      <c r="AO523" s="61">
        <f t="shared" si="124"/>
        <v>0</v>
      </c>
      <c r="AP523" s="61">
        <f t="shared" si="125"/>
        <v>0</v>
      </c>
    </row>
    <row r="524" spans="3:42" s="17" customFormat="1" x14ac:dyDescent="0.25">
      <c r="C524" s="216" t="s">
        <v>229</v>
      </c>
      <c r="D524" s="217"/>
      <c r="E524" s="90"/>
      <c r="F524" s="198"/>
      <c r="G524" s="214"/>
      <c r="H524" s="199"/>
      <c r="I524" s="78"/>
      <c r="J524" s="79"/>
      <c r="K524" s="78"/>
      <c r="L524" s="113"/>
      <c r="M524" s="155"/>
      <c r="N524" s="114" t="str">
        <f>IFERROR(MIN(VLOOKUP(ROUNDDOWN(M524,0),'Aide calcul'!$B$2:$C$282,2,FALSE),L524+1),"")</f>
        <v/>
      </c>
      <c r="O524" s="115" t="str">
        <f t="shared" si="113"/>
        <v/>
      </c>
      <c r="P524" s="173"/>
      <c r="Q524" s="173"/>
      <c r="R524" s="173"/>
      <c r="S524" s="173"/>
      <c r="T524" s="173"/>
      <c r="U524" s="173"/>
      <c r="V524" s="173"/>
      <c r="W524" s="78"/>
      <c r="X524" s="78"/>
      <c r="Y524" s="116" t="str">
        <f>IFERROR(ROUND('Informations générales'!$D$66*(AE524/SUM($AE$27:$AE$403))/12,0)*12,"")</f>
        <v/>
      </c>
      <c r="Z524" s="117"/>
      <c r="AA524" s="116" t="str">
        <f t="shared" si="114"/>
        <v/>
      </c>
      <c r="AB524" s="78"/>
      <c r="AC524" s="92"/>
      <c r="AD524" s="78"/>
      <c r="AE524" s="58">
        <f t="shared" si="115"/>
        <v>0</v>
      </c>
      <c r="AF524" s="58">
        <f t="shared" si="116"/>
        <v>0</v>
      </c>
      <c r="AG524" s="58">
        <f t="shared" si="117"/>
        <v>0</v>
      </c>
      <c r="AH524" s="58">
        <f t="shared" si="118"/>
        <v>0</v>
      </c>
      <c r="AI524" s="58">
        <f t="shared" si="119"/>
        <v>0</v>
      </c>
      <c r="AJ524" s="58">
        <f t="shared" si="120"/>
        <v>0</v>
      </c>
      <c r="AK524" s="58">
        <f t="shared" si="121"/>
        <v>0</v>
      </c>
      <c r="AL524" s="58">
        <f t="shared" si="122"/>
        <v>0</v>
      </c>
      <c r="AM524" s="58">
        <f t="shared" si="123"/>
        <v>0</v>
      </c>
      <c r="AN524" s="62">
        <f t="shared" si="110"/>
        <v>0</v>
      </c>
      <c r="AO524" s="61">
        <f t="shared" si="124"/>
        <v>0</v>
      </c>
      <c r="AP524" s="61">
        <f t="shared" si="125"/>
        <v>0</v>
      </c>
    </row>
    <row r="525" spans="3:42" s="17" customFormat="1" x14ac:dyDescent="0.25">
      <c r="C525" s="216" t="s">
        <v>229</v>
      </c>
      <c r="D525" s="217"/>
      <c r="E525" s="90"/>
      <c r="F525" s="198"/>
      <c r="G525" s="214"/>
      <c r="H525" s="199"/>
      <c r="I525" s="78"/>
      <c r="J525" s="79"/>
      <c r="K525" s="78"/>
      <c r="L525" s="113"/>
      <c r="M525" s="155"/>
      <c r="N525" s="114" t="str">
        <f>IFERROR(MIN(VLOOKUP(ROUNDDOWN(M525,0),'Aide calcul'!$B$2:$C$282,2,FALSE),L525+1),"")</f>
        <v/>
      </c>
      <c r="O525" s="115" t="str">
        <f t="shared" si="113"/>
        <v/>
      </c>
      <c r="P525" s="173"/>
      <c r="Q525" s="173"/>
      <c r="R525" s="173"/>
      <c r="S525" s="173"/>
      <c r="T525" s="173"/>
      <c r="U525" s="173"/>
      <c r="V525" s="173"/>
      <c r="W525" s="78"/>
      <c r="X525" s="78"/>
      <c r="Y525" s="116" t="str">
        <f>IFERROR(ROUND('Informations générales'!$D$66*(AE525/SUM($AE$27:$AE$403))/12,0)*12,"")</f>
        <v/>
      </c>
      <c r="Z525" s="117"/>
      <c r="AA525" s="116" t="str">
        <f t="shared" si="114"/>
        <v/>
      </c>
      <c r="AB525" s="78"/>
      <c r="AC525" s="92"/>
      <c r="AD525" s="78"/>
      <c r="AE525" s="58">
        <f t="shared" si="115"/>
        <v>0</v>
      </c>
      <c r="AF525" s="58">
        <f t="shared" si="116"/>
        <v>0</v>
      </c>
      <c r="AG525" s="58">
        <f t="shared" si="117"/>
        <v>0</v>
      </c>
      <c r="AH525" s="58">
        <f t="shared" si="118"/>
        <v>0</v>
      </c>
      <c r="AI525" s="58">
        <f t="shared" si="119"/>
        <v>0</v>
      </c>
      <c r="AJ525" s="58">
        <f t="shared" si="120"/>
        <v>0</v>
      </c>
      <c r="AK525" s="58">
        <f t="shared" si="121"/>
        <v>0</v>
      </c>
      <c r="AL525" s="58">
        <f t="shared" si="122"/>
        <v>0</v>
      </c>
      <c r="AM525" s="58">
        <f t="shared" si="123"/>
        <v>0</v>
      </c>
      <c r="AN525" s="62">
        <f t="shared" si="110"/>
        <v>0</v>
      </c>
      <c r="AO525" s="61">
        <f t="shared" si="124"/>
        <v>0</v>
      </c>
      <c r="AP525" s="61">
        <f t="shared" si="125"/>
        <v>0</v>
      </c>
    </row>
    <row r="526" spans="3:42" s="17" customFormat="1" x14ac:dyDescent="0.25">
      <c r="C526" s="216" t="s">
        <v>229</v>
      </c>
      <c r="D526" s="217"/>
      <c r="E526" s="90"/>
      <c r="F526" s="198"/>
      <c r="G526" s="214"/>
      <c r="H526" s="199"/>
      <c r="I526" s="78"/>
      <c r="J526" s="79"/>
      <c r="K526" s="78"/>
      <c r="L526" s="113"/>
      <c r="M526" s="155"/>
      <c r="N526" s="114" t="str">
        <f>IFERROR(MIN(VLOOKUP(ROUNDDOWN(M526,0),'Aide calcul'!$B$2:$C$282,2,FALSE),L526+1),"")</f>
        <v/>
      </c>
      <c r="O526" s="115" t="str">
        <f t="shared" si="113"/>
        <v/>
      </c>
      <c r="P526" s="173"/>
      <c r="Q526" s="173"/>
      <c r="R526" s="173"/>
      <c r="S526" s="173"/>
      <c r="T526" s="173"/>
      <c r="U526" s="173"/>
      <c r="V526" s="173"/>
      <c r="W526" s="78"/>
      <c r="X526" s="78"/>
      <c r="Y526" s="116" t="str">
        <f>IFERROR(ROUND('Informations générales'!$D$66*(AE526/SUM($AE$27:$AE$403))/12,0)*12,"")</f>
        <v/>
      </c>
      <c r="Z526" s="117"/>
      <c r="AA526" s="116" t="str">
        <f t="shared" si="114"/>
        <v/>
      </c>
      <c r="AB526" s="78"/>
      <c r="AC526" s="92"/>
      <c r="AD526" s="78"/>
      <c r="AE526" s="58">
        <f t="shared" si="115"/>
        <v>0</v>
      </c>
      <c r="AF526" s="58">
        <f t="shared" si="116"/>
        <v>0</v>
      </c>
      <c r="AG526" s="58">
        <f t="shared" si="117"/>
        <v>0</v>
      </c>
      <c r="AH526" s="58">
        <f t="shared" si="118"/>
        <v>0</v>
      </c>
      <c r="AI526" s="58">
        <f t="shared" si="119"/>
        <v>0</v>
      </c>
      <c r="AJ526" s="58">
        <f t="shared" si="120"/>
        <v>0</v>
      </c>
      <c r="AK526" s="58">
        <f t="shared" si="121"/>
        <v>0</v>
      </c>
      <c r="AL526" s="58">
        <f t="shared" si="122"/>
        <v>0</v>
      </c>
      <c r="AM526" s="58">
        <f t="shared" si="123"/>
        <v>0</v>
      </c>
      <c r="AN526" s="62">
        <f t="shared" si="110"/>
        <v>0</v>
      </c>
      <c r="AO526" s="61">
        <f t="shared" si="124"/>
        <v>0</v>
      </c>
      <c r="AP526" s="61">
        <f t="shared" si="125"/>
        <v>0</v>
      </c>
    </row>
  </sheetData>
  <sheetProtection algorithmName="SHA-512" hashValue="FY7Os7XjbQpiq1CqNTW7FMUts82TPtVo0C9uCtmKxT+MVFo6pTV5pFTBgfuTrFVE/S0hbwKTRosFja1pWFC3Uw==" saltValue="2BmaykuqL7dW7cZCUe8dgw==" spinCount="100000" sheet="1" objects="1" scenarios="1"/>
  <mergeCells count="1003">
    <mergeCell ref="C11:E11"/>
    <mergeCell ref="C524:D524"/>
    <mergeCell ref="F524:H524"/>
    <mergeCell ref="C525:D525"/>
    <mergeCell ref="F525:H525"/>
    <mergeCell ref="C526:D526"/>
    <mergeCell ref="F526:H526"/>
    <mergeCell ref="C519:D519"/>
    <mergeCell ref="F519:H519"/>
    <mergeCell ref="C520:D520"/>
    <mergeCell ref="F520:H520"/>
    <mergeCell ref="C521:D521"/>
    <mergeCell ref="F521:H521"/>
    <mergeCell ref="C522:D522"/>
    <mergeCell ref="F522:H522"/>
    <mergeCell ref="C523:D523"/>
    <mergeCell ref="F523:H523"/>
    <mergeCell ref="C514:D514"/>
    <mergeCell ref="F514:H514"/>
    <mergeCell ref="C515:D515"/>
    <mergeCell ref="F515:H515"/>
    <mergeCell ref="C516:D516"/>
    <mergeCell ref="F516:H516"/>
    <mergeCell ref="C517:D517"/>
    <mergeCell ref="F517:H517"/>
    <mergeCell ref="C518:D518"/>
    <mergeCell ref="F518:H518"/>
    <mergeCell ref="C509:D509"/>
    <mergeCell ref="F509:H509"/>
    <mergeCell ref="C510:D510"/>
    <mergeCell ref="F510:H510"/>
    <mergeCell ref="C511:D511"/>
    <mergeCell ref="F511:H511"/>
    <mergeCell ref="C512:D512"/>
    <mergeCell ref="F512:H512"/>
    <mergeCell ref="C513:D513"/>
    <mergeCell ref="F513:H513"/>
    <mergeCell ref="C504:D504"/>
    <mergeCell ref="F504:H504"/>
    <mergeCell ref="C505:D505"/>
    <mergeCell ref="F505:H505"/>
    <mergeCell ref="C506:D506"/>
    <mergeCell ref="F506:H506"/>
    <mergeCell ref="C507:D507"/>
    <mergeCell ref="F507:H507"/>
    <mergeCell ref="C508:D508"/>
    <mergeCell ref="F508:H508"/>
    <mergeCell ref="C499:D499"/>
    <mergeCell ref="F499:H499"/>
    <mergeCell ref="C500:D500"/>
    <mergeCell ref="F500:H500"/>
    <mergeCell ref="C501:D501"/>
    <mergeCell ref="F501:H501"/>
    <mergeCell ref="C502:D502"/>
    <mergeCell ref="F502:H502"/>
    <mergeCell ref="C503:D503"/>
    <mergeCell ref="F503:H503"/>
    <mergeCell ref="C494:D494"/>
    <mergeCell ref="F494:H494"/>
    <mergeCell ref="C495:D495"/>
    <mergeCell ref="F495:H495"/>
    <mergeCell ref="C496:D496"/>
    <mergeCell ref="F496:H496"/>
    <mergeCell ref="C497:D497"/>
    <mergeCell ref="F497:H497"/>
    <mergeCell ref="C498:D498"/>
    <mergeCell ref="F498:H498"/>
    <mergeCell ref="C489:D489"/>
    <mergeCell ref="F489:H489"/>
    <mergeCell ref="C490:D490"/>
    <mergeCell ref="F490:H490"/>
    <mergeCell ref="C491:D491"/>
    <mergeCell ref="F491:H491"/>
    <mergeCell ref="C492:D492"/>
    <mergeCell ref="F492:H492"/>
    <mergeCell ref="C493:D493"/>
    <mergeCell ref="F493:H493"/>
    <mergeCell ref="C484:D484"/>
    <mergeCell ref="F484:H484"/>
    <mergeCell ref="C485:D485"/>
    <mergeCell ref="F485:H485"/>
    <mergeCell ref="C486:D486"/>
    <mergeCell ref="F486:H486"/>
    <mergeCell ref="C487:D487"/>
    <mergeCell ref="F487:H487"/>
    <mergeCell ref="C488:D488"/>
    <mergeCell ref="F488:H488"/>
    <mergeCell ref="C479:D479"/>
    <mergeCell ref="F479:H479"/>
    <mergeCell ref="C480:D480"/>
    <mergeCell ref="F480:H480"/>
    <mergeCell ref="C481:D481"/>
    <mergeCell ref="F481:H481"/>
    <mergeCell ref="C482:D482"/>
    <mergeCell ref="F482:H482"/>
    <mergeCell ref="C483:D483"/>
    <mergeCell ref="F483:H483"/>
    <mergeCell ref="C474:D474"/>
    <mergeCell ref="F474:H474"/>
    <mergeCell ref="C475:D475"/>
    <mergeCell ref="F475:H475"/>
    <mergeCell ref="C476:D476"/>
    <mergeCell ref="F476:H476"/>
    <mergeCell ref="C477:D477"/>
    <mergeCell ref="F477:H477"/>
    <mergeCell ref="C478:D478"/>
    <mergeCell ref="F478:H478"/>
    <mergeCell ref="C469:D469"/>
    <mergeCell ref="F469:H469"/>
    <mergeCell ref="C470:D470"/>
    <mergeCell ref="F470:H470"/>
    <mergeCell ref="C471:D471"/>
    <mergeCell ref="F471:H471"/>
    <mergeCell ref="C472:D472"/>
    <mergeCell ref="F472:H472"/>
    <mergeCell ref="C473:D473"/>
    <mergeCell ref="F473:H473"/>
    <mergeCell ref="C464:D464"/>
    <mergeCell ref="F464:H464"/>
    <mergeCell ref="C465:D465"/>
    <mergeCell ref="F465:H465"/>
    <mergeCell ref="C466:D466"/>
    <mergeCell ref="F466:H466"/>
    <mergeCell ref="C467:D467"/>
    <mergeCell ref="F467:H467"/>
    <mergeCell ref="C468:D468"/>
    <mergeCell ref="F468:H468"/>
    <mergeCell ref="C459:D459"/>
    <mergeCell ref="F459:H459"/>
    <mergeCell ref="C460:D460"/>
    <mergeCell ref="F460:H460"/>
    <mergeCell ref="C461:D461"/>
    <mergeCell ref="F461:H461"/>
    <mergeCell ref="C462:D462"/>
    <mergeCell ref="F462:H462"/>
    <mergeCell ref="C463:D463"/>
    <mergeCell ref="F463:H463"/>
    <mergeCell ref="C454:D454"/>
    <mergeCell ref="F454:H454"/>
    <mergeCell ref="C455:D455"/>
    <mergeCell ref="F455:H455"/>
    <mergeCell ref="C456:D456"/>
    <mergeCell ref="F456:H456"/>
    <mergeCell ref="C457:D457"/>
    <mergeCell ref="F457:H457"/>
    <mergeCell ref="C458:D458"/>
    <mergeCell ref="F458:H458"/>
    <mergeCell ref="C449:D449"/>
    <mergeCell ref="F449:H449"/>
    <mergeCell ref="C450:D450"/>
    <mergeCell ref="F450:H450"/>
    <mergeCell ref="C451:D451"/>
    <mergeCell ref="F451:H451"/>
    <mergeCell ref="C452:D452"/>
    <mergeCell ref="F452:H452"/>
    <mergeCell ref="C453:D453"/>
    <mergeCell ref="F453:H453"/>
    <mergeCell ref="C444:D444"/>
    <mergeCell ref="F444:H444"/>
    <mergeCell ref="C445:D445"/>
    <mergeCell ref="F445:H445"/>
    <mergeCell ref="C446:D446"/>
    <mergeCell ref="F446:H446"/>
    <mergeCell ref="C447:D447"/>
    <mergeCell ref="F447:H447"/>
    <mergeCell ref="C448:D448"/>
    <mergeCell ref="F448:H448"/>
    <mergeCell ref="C439:D439"/>
    <mergeCell ref="F439:H439"/>
    <mergeCell ref="C440:D440"/>
    <mergeCell ref="F440:H440"/>
    <mergeCell ref="C441:D441"/>
    <mergeCell ref="F441:H441"/>
    <mergeCell ref="C442:D442"/>
    <mergeCell ref="F442:H442"/>
    <mergeCell ref="C443:D443"/>
    <mergeCell ref="F443:H443"/>
    <mergeCell ref="C434:D434"/>
    <mergeCell ref="F434:H434"/>
    <mergeCell ref="C435:D435"/>
    <mergeCell ref="F435:H435"/>
    <mergeCell ref="C436:D436"/>
    <mergeCell ref="F436:H436"/>
    <mergeCell ref="C437:D437"/>
    <mergeCell ref="F437:H437"/>
    <mergeCell ref="C438:D438"/>
    <mergeCell ref="F438:H438"/>
    <mergeCell ref="C429:D429"/>
    <mergeCell ref="F429:H429"/>
    <mergeCell ref="C430:D430"/>
    <mergeCell ref="F430:H430"/>
    <mergeCell ref="C431:D431"/>
    <mergeCell ref="F431:H431"/>
    <mergeCell ref="C432:D432"/>
    <mergeCell ref="F432:H432"/>
    <mergeCell ref="C433:D433"/>
    <mergeCell ref="F433:H433"/>
    <mergeCell ref="C424:D424"/>
    <mergeCell ref="F424:H424"/>
    <mergeCell ref="C425:D425"/>
    <mergeCell ref="F425:H425"/>
    <mergeCell ref="C426:D426"/>
    <mergeCell ref="F426:H426"/>
    <mergeCell ref="C427:D427"/>
    <mergeCell ref="F427:H427"/>
    <mergeCell ref="C428:D428"/>
    <mergeCell ref="F428:H428"/>
    <mergeCell ref="C419:D419"/>
    <mergeCell ref="F419:H419"/>
    <mergeCell ref="C420:D420"/>
    <mergeCell ref="F420:H420"/>
    <mergeCell ref="C421:D421"/>
    <mergeCell ref="F421:H421"/>
    <mergeCell ref="C422:D422"/>
    <mergeCell ref="F422:H422"/>
    <mergeCell ref="C423:D423"/>
    <mergeCell ref="F423:H423"/>
    <mergeCell ref="C414:D414"/>
    <mergeCell ref="F414:H414"/>
    <mergeCell ref="C415:D415"/>
    <mergeCell ref="F415:H415"/>
    <mergeCell ref="C416:D416"/>
    <mergeCell ref="F416:H416"/>
    <mergeCell ref="C417:D417"/>
    <mergeCell ref="F417:H417"/>
    <mergeCell ref="C418:D418"/>
    <mergeCell ref="F418:H418"/>
    <mergeCell ref="C409:D409"/>
    <mergeCell ref="F409:H409"/>
    <mergeCell ref="C410:D410"/>
    <mergeCell ref="F410:H410"/>
    <mergeCell ref="C411:D411"/>
    <mergeCell ref="F411:H411"/>
    <mergeCell ref="C412:D412"/>
    <mergeCell ref="F412:H412"/>
    <mergeCell ref="C413:D413"/>
    <mergeCell ref="F413:H413"/>
    <mergeCell ref="C404:D404"/>
    <mergeCell ref="F404:H404"/>
    <mergeCell ref="C405:D405"/>
    <mergeCell ref="F405:H405"/>
    <mergeCell ref="C406:D406"/>
    <mergeCell ref="F406:H406"/>
    <mergeCell ref="C407:D407"/>
    <mergeCell ref="F407:H407"/>
    <mergeCell ref="C408:D408"/>
    <mergeCell ref="F408:H408"/>
    <mergeCell ref="C401:D401"/>
    <mergeCell ref="F401:H401"/>
    <mergeCell ref="C402:D402"/>
    <mergeCell ref="F402:H402"/>
    <mergeCell ref="C403:D403"/>
    <mergeCell ref="F403:H403"/>
    <mergeCell ref="C398:D398"/>
    <mergeCell ref="F398:H398"/>
    <mergeCell ref="C399:D399"/>
    <mergeCell ref="F399:H399"/>
    <mergeCell ref="C400:D400"/>
    <mergeCell ref="F400:H400"/>
    <mergeCell ref="C395:D395"/>
    <mergeCell ref="F395:H395"/>
    <mergeCell ref="C396:D396"/>
    <mergeCell ref="F396:H396"/>
    <mergeCell ref="C397:D397"/>
    <mergeCell ref="F397:H397"/>
    <mergeCell ref="C392:D392"/>
    <mergeCell ref="F392:H392"/>
    <mergeCell ref="C393:D393"/>
    <mergeCell ref="F393:H393"/>
    <mergeCell ref="C394:D394"/>
    <mergeCell ref="F394:H394"/>
    <mergeCell ref="C389:D389"/>
    <mergeCell ref="F389:H389"/>
    <mergeCell ref="C390:D390"/>
    <mergeCell ref="F390:H390"/>
    <mergeCell ref="C391:D391"/>
    <mergeCell ref="F391:H391"/>
    <mergeCell ref="C386:D386"/>
    <mergeCell ref="F386:H386"/>
    <mergeCell ref="C387:D387"/>
    <mergeCell ref="F387:H387"/>
    <mergeCell ref="C388:D388"/>
    <mergeCell ref="F388:H388"/>
    <mergeCell ref="C383:D383"/>
    <mergeCell ref="F383:H383"/>
    <mergeCell ref="C384:D384"/>
    <mergeCell ref="F384:H384"/>
    <mergeCell ref="C385:D385"/>
    <mergeCell ref="F385:H385"/>
    <mergeCell ref="C380:D380"/>
    <mergeCell ref="F380:H380"/>
    <mergeCell ref="C381:D381"/>
    <mergeCell ref="F381:H381"/>
    <mergeCell ref="C382:D382"/>
    <mergeCell ref="F382:H382"/>
    <mergeCell ref="C377:D377"/>
    <mergeCell ref="F377:H377"/>
    <mergeCell ref="C378:D378"/>
    <mergeCell ref="F378:H378"/>
    <mergeCell ref="C379:D379"/>
    <mergeCell ref="F379:H379"/>
    <mergeCell ref="C374:D374"/>
    <mergeCell ref="F374:H374"/>
    <mergeCell ref="C375:D375"/>
    <mergeCell ref="F375:H375"/>
    <mergeCell ref="C376:D376"/>
    <mergeCell ref="F376:H376"/>
    <mergeCell ref="C371:D371"/>
    <mergeCell ref="F371:H371"/>
    <mergeCell ref="C372:D372"/>
    <mergeCell ref="F372:H372"/>
    <mergeCell ref="C373:D373"/>
    <mergeCell ref="F373:H373"/>
    <mergeCell ref="C368:D368"/>
    <mergeCell ref="F368:H368"/>
    <mergeCell ref="C369:D369"/>
    <mergeCell ref="F369:H369"/>
    <mergeCell ref="C370:D370"/>
    <mergeCell ref="F370:H370"/>
    <mergeCell ref="C365:D365"/>
    <mergeCell ref="F365:H365"/>
    <mergeCell ref="C366:D366"/>
    <mergeCell ref="F366:H366"/>
    <mergeCell ref="C367:D367"/>
    <mergeCell ref="F367:H367"/>
    <mergeCell ref="C362:D362"/>
    <mergeCell ref="F362:H362"/>
    <mergeCell ref="C363:D363"/>
    <mergeCell ref="F363:H363"/>
    <mergeCell ref="C364:D364"/>
    <mergeCell ref="F364:H364"/>
    <mergeCell ref="C359:D359"/>
    <mergeCell ref="F359:H359"/>
    <mergeCell ref="C360:D360"/>
    <mergeCell ref="F360:H360"/>
    <mergeCell ref="C361:D361"/>
    <mergeCell ref="F361:H361"/>
    <mergeCell ref="C356:D356"/>
    <mergeCell ref="F356:H356"/>
    <mergeCell ref="C357:D357"/>
    <mergeCell ref="F357:H357"/>
    <mergeCell ref="C358:D358"/>
    <mergeCell ref="F358:H358"/>
    <mergeCell ref="C353:D353"/>
    <mergeCell ref="F353:H353"/>
    <mergeCell ref="C354:D354"/>
    <mergeCell ref="F354:H354"/>
    <mergeCell ref="C355:D355"/>
    <mergeCell ref="F355:H355"/>
    <mergeCell ref="C350:D350"/>
    <mergeCell ref="F350:H350"/>
    <mergeCell ref="C351:D351"/>
    <mergeCell ref="F351:H351"/>
    <mergeCell ref="C352:D352"/>
    <mergeCell ref="F352:H352"/>
    <mergeCell ref="C347:D347"/>
    <mergeCell ref="F347:H347"/>
    <mergeCell ref="C348:D348"/>
    <mergeCell ref="F348:H348"/>
    <mergeCell ref="C349:D349"/>
    <mergeCell ref="F349:H349"/>
    <mergeCell ref="C344:D344"/>
    <mergeCell ref="F344:H344"/>
    <mergeCell ref="C345:D345"/>
    <mergeCell ref="F345:H345"/>
    <mergeCell ref="C346:D346"/>
    <mergeCell ref="F346:H346"/>
    <mergeCell ref="C341:D341"/>
    <mergeCell ref="F341:H341"/>
    <mergeCell ref="C342:D342"/>
    <mergeCell ref="F342:H342"/>
    <mergeCell ref="C343:D343"/>
    <mergeCell ref="F343:H343"/>
    <mergeCell ref="C338:D338"/>
    <mergeCell ref="F338:H338"/>
    <mergeCell ref="C339:D339"/>
    <mergeCell ref="F339:H339"/>
    <mergeCell ref="C340:D340"/>
    <mergeCell ref="F340:H340"/>
    <mergeCell ref="C335:D335"/>
    <mergeCell ref="F335:H335"/>
    <mergeCell ref="C336:D336"/>
    <mergeCell ref="F336:H336"/>
    <mergeCell ref="C337:D337"/>
    <mergeCell ref="F337:H337"/>
    <mergeCell ref="C332:D332"/>
    <mergeCell ref="F332:H332"/>
    <mergeCell ref="C333:D333"/>
    <mergeCell ref="F333:H333"/>
    <mergeCell ref="C334:D334"/>
    <mergeCell ref="F334:H334"/>
    <mergeCell ref="C329:D329"/>
    <mergeCell ref="F329:H329"/>
    <mergeCell ref="C330:D330"/>
    <mergeCell ref="F330:H330"/>
    <mergeCell ref="C331:D331"/>
    <mergeCell ref="F331:H331"/>
    <mergeCell ref="C326:D326"/>
    <mergeCell ref="F326:H326"/>
    <mergeCell ref="C327:D327"/>
    <mergeCell ref="F327:H327"/>
    <mergeCell ref="C328:D328"/>
    <mergeCell ref="F328:H328"/>
    <mergeCell ref="C323:D323"/>
    <mergeCell ref="F323:H323"/>
    <mergeCell ref="C324:D324"/>
    <mergeCell ref="F324:H324"/>
    <mergeCell ref="C325:D325"/>
    <mergeCell ref="F325:H325"/>
    <mergeCell ref="C320:D320"/>
    <mergeCell ref="F320:H320"/>
    <mergeCell ref="C321:D321"/>
    <mergeCell ref="F321:H321"/>
    <mergeCell ref="C322:D322"/>
    <mergeCell ref="F322:H322"/>
    <mergeCell ref="C317:D317"/>
    <mergeCell ref="F317:H317"/>
    <mergeCell ref="C318:D318"/>
    <mergeCell ref="F318:H318"/>
    <mergeCell ref="C319:D319"/>
    <mergeCell ref="F319:H319"/>
    <mergeCell ref="C314:D314"/>
    <mergeCell ref="F314:H314"/>
    <mergeCell ref="C315:D315"/>
    <mergeCell ref="F315:H315"/>
    <mergeCell ref="C316:D316"/>
    <mergeCell ref="F316:H316"/>
    <mergeCell ref="C311:D311"/>
    <mergeCell ref="F311:H311"/>
    <mergeCell ref="C312:D312"/>
    <mergeCell ref="F312:H312"/>
    <mergeCell ref="C313:D313"/>
    <mergeCell ref="F313:H313"/>
    <mergeCell ref="C308:D308"/>
    <mergeCell ref="F308:H308"/>
    <mergeCell ref="C309:D309"/>
    <mergeCell ref="F309:H309"/>
    <mergeCell ref="C310:D310"/>
    <mergeCell ref="F310:H310"/>
    <mergeCell ref="C305:D305"/>
    <mergeCell ref="F305:H305"/>
    <mergeCell ref="C306:D306"/>
    <mergeCell ref="F306:H306"/>
    <mergeCell ref="C307:D307"/>
    <mergeCell ref="F307:H307"/>
    <mergeCell ref="C302:D302"/>
    <mergeCell ref="F302:H302"/>
    <mergeCell ref="C303:D303"/>
    <mergeCell ref="F303:H303"/>
    <mergeCell ref="C304:D304"/>
    <mergeCell ref="F304:H304"/>
    <mergeCell ref="C299:D299"/>
    <mergeCell ref="F299:H299"/>
    <mergeCell ref="C300:D300"/>
    <mergeCell ref="F300:H300"/>
    <mergeCell ref="C301:D301"/>
    <mergeCell ref="F301:H301"/>
    <mergeCell ref="C296:D296"/>
    <mergeCell ref="F296:H296"/>
    <mergeCell ref="C297:D297"/>
    <mergeCell ref="F297:H297"/>
    <mergeCell ref="C298:D298"/>
    <mergeCell ref="F298:H298"/>
    <mergeCell ref="C293:D293"/>
    <mergeCell ref="F293:H293"/>
    <mergeCell ref="C294:D294"/>
    <mergeCell ref="F294:H294"/>
    <mergeCell ref="C295:D295"/>
    <mergeCell ref="F295:H295"/>
    <mergeCell ref="C290:D290"/>
    <mergeCell ref="F290:H290"/>
    <mergeCell ref="C291:D291"/>
    <mergeCell ref="F291:H291"/>
    <mergeCell ref="C292:D292"/>
    <mergeCell ref="F292:H292"/>
    <mergeCell ref="C287:D287"/>
    <mergeCell ref="F287:H287"/>
    <mergeCell ref="C288:D288"/>
    <mergeCell ref="F288:H288"/>
    <mergeCell ref="C289:D289"/>
    <mergeCell ref="F289:H289"/>
    <mergeCell ref="C284:D284"/>
    <mergeCell ref="F284:H284"/>
    <mergeCell ref="C285:D285"/>
    <mergeCell ref="F285:H285"/>
    <mergeCell ref="C286:D286"/>
    <mergeCell ref="F286:H286"/>
    <mergeCell ref="C281:D281"/>
    <mergeCell ref="F281:H281"/>
    <mergeCell ref="C282:D282"/>
    <mergeCell ref="F282:H282"/>
    <mergeCell ref="C283:D283"/>
    <mergeCell ref="F283:H283"/>
    <mergeCell ref="C278:D278"/>
    <mergeCell ref="F278:H278"/>
    <mergeCell ref="C279:D279"/>
    <mergeCell ref="F279:H279"/>
    <mergeCell ref="C280:D280"/>
    <mergeCell ref="F280:H280"/>
    <mergeCell ref="C275:D275"/>
    <mergeCell ref="F275:H275"/>
    <mergeCell ref="C276:D276"/>
    <mergeCell ref="F276:H276"/>
    <mergeCell ref="C277:D277"/>
    <mergeCell ref="F277:H277"/>
    <mergeCell ref="C272:D272"/>
    <mergeCell ref="F272:H272"/>
    <mergeCell ref="C273:D273"/>
    <mergeCell ref="F273:H273"/>
    <mergeCell ref="C274:D274"/>
    <mergeCell ref="F274:H274"/>
    <mergeCell ref="C269:D269"/>
    <mergeCell ref="F269:H269"/>
    <mergeCell ref="C270:D270"/>
    <mergeCell ref="F270:H270"/>
    <mergeCell ref="C271:D271"/>
    <mergeCell ref="F271:H271"/>
    <mergeCell ref="C266:D266"/>
    <mergeCell ref="F266:H266"/>
    <mergeCell ref="C267:D267"/>
    <mergeCell ref="F267:H267"/>
    <mergeCell ref="C268:D268"/>
    <mergeCell ref="F268:H268"/>
    <mergeCell ref="C263:D263"/>
    <mergeCell ref="F263:H263"/>
    <mergeCell ref="C264:D264"/>
    <mergeCell ref="F264:H264"/>
    <mergeCell ref="C265:D265"/>
    <mergeCell ref="F265:H265"/>
    <mergeCell ref="C260:D260"/>
    <mergeCell ref="F260:H260"/>
    <mergeCell ref="C261:D261"/>
    <mergeCell ref="F261:H261"/>
    <mergeCell ref="C262:D262"/>
    <mergeCell ref="F262:H262"/>
    <mergeCell ref="C257:D257"/>
    <mergeCell ref="F257:H257"/>
    <mergeCell ref="C258:D258"/>
    <mergeCell ref="F258:H258"/>
    <mergeCell ref="C259:D259"/>
    <mergeCell ref="F259:H259"/>
    <mergeCell ref="C254:D254"/>
    <mergeCell ref="F254:H254"/>
    <mergeCell ref="C255:D255"/>
    <mergeCell ref="F255:H255"/>
    <mergeCell ref="C256:D256"/>
    <mergeCell ref="F256:H256"/>
    <mergeCell ref="C251:D251"/>
    <mergeCell ref="F251:H251"/>
    <mergeCell ref="C252:D252"/>
    <mergeCell ref="F252:H252"/>
    <mergeCell ref="C253:D253"/>
    <mergeCell ref="F253:H253"/>
    <mergeCell ref="C248:D248"/>
    <mergeCell ref="F248:H248"/>
    <mergeCell ref="C249:D249"/>
    <mergeCell ref="F249:H249"/>
    <mergeCell ref="C250:D250"/>
    <mergeCell ref="F250:H250"/>
    <mergeCell ref="C245:D245"/>
    <mergeCell ref="F245:H245"/>
    <mergeCell ref="C246:D246"/>
    <mergeCell ref="F246:H246"/>
    <mergeCell ref="C247:D247"/>
    <mergeCell ref="F247:H247"/>
    <mergeCell ref="C242:D242"/>
    <mergeCell ref="F242:H242"/>
    <mergeCell ref="C243:D243"/>
    <mergeCell ref="F243:H243"/>
    <mergeCell ref="C244:D244"/>
    <mergeCell ref="F244:H244"/>
    <mergeCell ref="C239:D239"/>
    <mergeCell ref="F239:H239"/>
    <mergeCell ref="C240:D240"/>
    <mergeCell ref="F240:H240"/>
    <mergeCell ref="C241:D241"/>
    <mergeCell ref="F241:H241"/>
    <mergeCell ref="C236:D236"/>
    <mergeCell ref="F236:H236"/>
    <mergeCell ref="C237:D237"/>
    <mergeCell ref="F237:H237"/>
    <mergeCell ref="C238:D238"/>
    <mergeCell ref="F238:H238"/>
    <mergeCell ref="C233:D233"/>
    <mergeCell ref="F233:H233"/>
    <mergeCell ref="C234:D234"/>
    <mergeCell ref="F234:H234"/>
    <mergeCell ref="C235:D235"/>
    <mergeCell ref="F235:H235"/>
    <mergeCell ref="C230:D230"/>
    <mergeCell ref="F230:H230"/>
    <mergeCell ref="C231:D231"/>
    <mergeCell ref="F231:H231"/>
    <mergeCell ref="C232:D232"/>
    <mergeCell ref="F232:H232"/>
    <mergeCell ref="C227:D227"/>
    <mergeCell ref="F227:H227"/>
    <mergeCell ref="C228:D228"/>
    <mergeCell ref="F228:H228"/>
    <mergeCell ref="C229:D229"/>
    <mergeCell ref="F229:H229"/>
    <mergeCell ref="C224:D224"/>
    <mergeCell ref="F224:H224"/>
    <mergeCell ref="C225:D225"/>
    <mergeCell ref="F225:H225"/>
    <mergeCell ref="C226:D226"/>
    <mergeCell ref="F226:H226"/>
    <mergeCell ref="C221:D221"/>
    <mergeCell ref="F221:H221"/>
    <mergeCell ref="C222:D222"/>
    <mergeCell ref="F222:H222"/>
    <mergeCell ref="C223:D223"/>
    <mergeCell ref="F223:H223"/>
    <mergeCell ref="C218:D218"/>
    <mergeCell ref="F218:H218"/>
    <mergeCell ref="C219:D219"/>
    <mergeCell ref="F219:H219"/>
    <mergeCell ref="C220:D220"/>
    <mergeCell ref="F220:H220"/>
    <mergeCell ref="C215:D215"/>
    <mergeCell ref="F215:H215"/>
    <mergeCell ref="C216:D216"/>
    <mergeCell ref="F216:H216"/>
    <mergeCell ref="C217:D217"/>
    <mergeCell ref="F217:H217"/>
    <mergeCell ref="C212:D212"/>
    <mergeCell ref="F212:H212"/>
    <mergeCell ref="C213:D213"/>
    <mergeCell ref="F213:H213"/>
    <mergeCell ref="C214:D214"/>
    <mergeCell ref="F214:H214"/>
    <mergeCell ref="C209:D209"/>
    <mergeCell ref="F209:H209"/>
    <mergeCell ref="C210:D210"/>
    <mergeCell ref="F210:H210"/>
    <mergeCell ref="C211:D211"/>
    <mergeCell ref="F211:H211"/>
    <mergeCell ref="C206:D206"/>
    <mergeCell ref="F206:H206"/>
    <mergeCell ref="C207:D207"/>
    <mergeCell ref="F207:H207"/>
    <mergeCell ref="C208:D208"/>
    <mergeCell ref="F208:H208"/>
    <mergeCell ref="C203:D203"/>
    <mergeCell ref="F203:H203"/>
    <mergeCell ref="C204:D204"/>
    <mergeCell ref="F204:H204"/>
    <mergeCell ref="C205:D205"/>
    <mergeCell ref="F205:H205"/>
    <mergeCell ref="C200:D200"/>
    <mergeCell ref="F200:H200"/>
    <mergeCell ref="C201:D201"/>
    <mergeCell ref="F201:H201"/>
    <mergeCell ref="C202:D202"/>
    <mergeCell ref="F202:H202"/>
    <mergeCell ref="C197:D197"/>
    <mergeCell ref="F197:H197"/>
    <mergeCell ref="C198:D198"/>
    <mergeCell ref="F198:H198"/>
    <mergeCell ref="C199:D199"/>
    <mergeCell ref="F199:H199"/>
    <mergeCell ref="C194:D194"/>
    <mergeCell ref="F194:H194"/>
    <mergeCell ref="C195:D195"/>
    <mergeCell ref="F195:H195"/>
    <mergeCell ref="C196:D196"/>
    <mergeCell ref="F196:H196"/>
    <mergeCell ref="C191:D191"/>
    <mergeCell ref="F191:H191"/>
    <mergeCell ref="C192:D192"/>
    <mergeCell ref="F192:H192"/>
    <mergeCell ref="C193:D193"/>
    <mergeCell ref="F193:H193"/>
    <mergeCell ref="C188:D188"/>
    <mergeCell ref="F188:H188"/>
    <mergeCell ref="C189:D189"/>
    <mergeCell ref="F189:H189"/>
    <mergeCell ref="C190:D190"/>
    <mergeCell ref="F190:H190"/>
    <mergeCell ref="C185:D185"/>
    <mergeCell ref="F185:H185"/>
    <mergeCell ref="C186:D186"/>
    <mergeCell ref="F186:H186"/>
    <mergeCell ref="C187:D187"/>
    <mergeCell ref="F187:H187"/>
    <mergeCell ref="C182:D182"/>
    <mergeCell ref="F182:H182"/>
    <mergeCell ref="C183:D183"/>
    <mergeCell ref="F183:H183"/>
    <mergeCell ref="C184:D184"/>
    <mergeCell ref="F184:H184"/>
    <mergeCell ref="C179:D179"/>
    <mergeCell ref="F179:H179"/>
    <mergeCell ref="C180:D180"/>
    <mergeCell ref="F180:H180"/>
    <mergeCell ref="C181:D181"/>
    <mergeCell ref="F181:H181"/>
    <mergeCell ref="C176:D176"/>
    <mergeCell ref="F176:H176"/>
    <mergeCell ref="C177:D177"/>
    <mergeCell ref="F177:H177"/>
    <mergeCell ref="C178:D178"/>
    <mergeCell ref="F178:H178"/>
    <mergeCell ref="C173:D173"/>
    <mergeCell ref="F173:H173"/>
    <mergeCell ref="C174:D174"/>
    <mergeCell ref="F174:H174"/>
    <mergeCell ref="C175:D175"/>
    <mergeCell ref="F175:H175"/>
    <mergeCell ref="C170:D170"/>
    <mergeCell ref="F170:H170"/>
    <mergeCell ref="C171:D171"/>
    <mergeCell ref="F171:H171"/>
    <mergeCell ref="C172:D172"/>
    <mergeCell ref="F172:H172"/>
    <mergeCell ref="C167:D167"/>
    <mergeCell ref="F167:H167"/>
    <mergeCell ref="C168:D168"/>
    <mergeCell ref="F168:H168"/>
    <mergeCell ref="C169:D169"/>
    <mergeCell ref="F169:H169"/>
    <mergeCell ref="C164:D164"/>
    <mergeCell ref="F164:H164"/>
    <mergeCell ref="C165:D165"/>
    <mergeCell ref="F165:H165"/>
    <mergeCell ref="C166:D166"/>
    <mergeCell ref="F166:H166"/>
    <mergeCell ref="C161:D161"/>
    <mergeCell ref="F161:H161"/>
    <mergeCell ref="C162:D162"/>
    <mergeCell ref="F162:H162"/>
    <mergeCell ref="C163:D163"/>
    <mergeCell ref="F163:H163"/>
    <mergeCell ref="C158:D158"/>
    <mergeCell ref="F158:H158"/>
    <mergeCell ref="C159:D159"/>
    <mergeCell ref="F159:H159"/>
    <mergeCell ref="C160:D160"/>
    <mergeCell ref="F160:H160"/>
    <mergeCell ref="C155:D155"/>
    <mergeCell ref="F155:H155"/>
    <mergeCell ref="C156:D156"/>
    <mergeCell ref="F156:H156"/>
    <mergeCell ref="C157:D157"/>
    <mergeCell ref="F157:H157"/>
    <mergeCell ref="C152:D152"/>
    <mergeCell ref="F152:H152"/>
    <mergeCell ref="C153:D153"/>
    <mergeCell ref="F153:H153"/>
    <mergeCell ref="C154:D154"/>
    <mergeCell ref="F154:H154"/>
    <mergeCell ref="C149:D149"/>
    <mergeCell ref="F149:H149"/>
    <mergeCell ref="C150:D150"/>
    <mergeCell ref="F150:H150"/>
    <mergeCell ref="C151:D151"/>
    <mergeCell ref="F151:H151"/>
    <mergeCell ref="C146:D146"/>
    <mergeCell ref="F146:H146"/>
    <mergeCell ref="C147:D147"/>
    <mergeCell ref="F147:H147"/>
    <mergeCell ref="C148:D148"/>
    <mergeCell ref="F148:H148"/>
    <mergeCell ref="C143:D143"/>
    <mergeCell ref="F143:H143"/>
    <mergeCell ref="C144:D144"/>
    <mergeCell ref="F144:H144"/>
    <mergeCell ref="C145:D145"/>
    <mergeCell ref="F145:H145"/>
    <mergeCell ref="C140:D140"/>
    <mergeCell ref="F140:H140"/>
    <mergeCell ref="C141:D141"/>
    <mergeCell ref="F141:H141"/>
    <mergeCell ref="C142:D142"/>
    <mergeCell ref="F142:H142"/>
    <mergeCell ref="C137:D137"/>
    <mergeCell ref="F137:H137"/>
    <mergeCell ref="C138:D138"/>
    <mergeCell ref="F138:H138"/>
    <mergeCell ref="C139:D139"/>
    <mergeCell ref="F139:H139"/>
    <mergeCell ref="C134:D134"/>
    <mergeCell ref="F134:H134"/>
    <mergeCell ref="C135:D135"/>
    <mergeCell ref="F135:H135"/>
    <mergeCell ref="C136:D136"/>
    <mergeCell ref="F136:H136"/>
    <mergeCell ref="C131:D131"/>
    <mergeCell ref="F131:H131"/>
    <mergeCell ref="C132:D132"/>
    <mergeCell ref="F132:H132"/>
    <mergeCell ref="C133:D133"/>
    <mergeCell ref="F133:H133"/>
    <mergeCell ref="C128:D128"/>
    <mergeCell ref="F128:H128"/>
    <mergeCell ref="C129:D129"/>
    <mergeCell ref="F129:H129"/>
    <mergeCell ref="C130:D130"/>
    <mergeCell ref="F130:H130"/>
    <mergeCell ref="C125:D125"/>
    <mergeCell ref="F125:H125"/>
    <mergeCell ref="C126:D126"/>
    <mergeCell ref="F126:H126"/>
    <mergeCell ref="C127:D127"/>
    <mergeCell ref="F127:H127"/>
    <mergeCell ref="C122:D122"/>
    <mergeCell ref="F122:H122"/>
    <mergeCell ref="C123:D123"/>
    <mergeCell ref="F123:H123"/>
    <mergeCell ref="C124:D124"/>
    <mergeCell ref="F124:H124"/>
    <mergeCell ref="C119:D119"/>
    <mergeCell ref="F119:H119"/>
    <mergeCell ref="C120:D120"/>
    <mergeCell ref="F120:H120"/>
    <mergeCell ref="C121:D121"/>
    <mergeCell ref="F121:H121"/>
    <mergeCell ref="C116:D116"/>
    <mergeCell ref="F116:H116"/>
    <mergeCell ref="C117:D117"/>
    <mergeCell ref="F117:H117"/>
    <mergeCell ref="C118:D118"/>
    <mergeCell ref="F118:H118"/>
    <mergeCell ref="C113:D113"/>
    <mergeCell ref="F113:H113"/>
    <mergeCell ref="C114:D114"/>
    <mergeCell ref="F114:H114"/>
    <mergeCell ref="C115:D115"/>
    <mergeCell ref="F115:H115"/>
    <mergeCell ref="C110:D110"/>
    <mergeCell ref="F110:H110"/>
    <mergeCell ref="C111:D111"/>
    <mergeCell ref="F111:H111"/>
    <mergeCell ref="C112:D112"/>
    <mergeCell ref="F112:H112"/>
    <mergeCell ref="C107:D107"/>
    <mergeCell ref="F107:H107"/>
    <mergeCell ref="C108:D108"/>
    <mergeCell ref="F108:H108"/>
    <mergeCell ref="C109:D109"/>
    <mergeCell ref="F109:H109"/>
    <mergeCell ref="C104:D104"/>
    <mergeCell ref="F104:H104"/>
    <mergeCell ref="C105:D105"/>
    <mergeCell ref="F105:H105"/>
    <mergeCell ref="C106:D106"/>
    <mergeCell ref="F106:H106"/>
    <mergeCell ref="C101:D101"/>
    <mergeCell ref="F101:H101"/>
    <mergeCell ref="C102:D102"/>
    <mergeCell ref="F102:H102"/>
    <mergeCell ref="C103:D103"/>
    <mergeCell ref="F103:H103"/>
    <mergeCell ref="C98:D98"/>
    <mergeCell ref="F98:H98"/>
    <mergeCell ref="C99:D99"/>
    <mergeCell ref="F99:H99"/>
    <mergeCell ref="C100:D100"/>
    <mergeCell ref="F100:H100"/>
    <mergeCell ref="C95:D95"/>
    <mergeCell ref="F95:H95"/>
    <mergeCell ref="C96:D96"/>
    <mergeCell ref="F96:H96"/>
    <mergeCell ref="C97:D97"/>
    <mergeCell ref="F97:H97"/>
    <mergeCell ref="C92:D92"/>
    <mergeCell ref="F92:H92"/>
    <mergeCell ref="C93:D93"/>
    <mergeCell ref="F93:H93"/>
    <mergeCell ref="C94:D94"/>
    <mergeCell ref="F94:H94"/>
    <mergeCell ref="C89:D89"/>
    <mergeCell ref="F89:H89"/>
    <mergeCell ref="C90:D90"/>
    <mergeCell ref="F90:H90"/>
    <mergeCell ref="C91:D91"/>
    <mergeCell ref="F91:H91"/>
    <mergeCell ref="C86:D86"/>
    <mergeCell ref="F86:H86"/>
    <mergeCell ref="C87:D87"/>
    <mergeCell ref="F87:H87"/>
    <mergeCell ref="C88:D88"/>
    <mergeCell ref="F88:H88"/>
    <mergeCell ref="C83:D83"/>
    <mergeCell ref="F83:H83"/>
    <mergeCell ref="C84:D84"/>
    <mergeCell ref="F84:H84"/>
    <mergeCell ref="C85:D85"/>
    <mergeCell ref="F85:H85"/>
    <mergeCell ref="C80:D80"/>
    <mergeCell ref="F80:H80"/>
    <mergeCell ref="C81:D81"/>
    <mergeCell ref="F81:H81"/>
    <mergeCell ref="C82:D82"/>
    <mergeCell ref="F82:H82"/>
    <mergeCell ref="C77:D77"/>
    <mergeCell ref="F77:H77"/>
    <mergeCell ref="C78:D78"/>
    <mergeCell ref="F78:H78"/>
    <mergeCell ref="C79:D79"/>
    <mergeCell ref="F79:H79"/>
    <mergeCell ref="C74:D74"/>
    <mergeCell ref="F74:H74"/>
    <mergeCell ref="C75:D75"/>
    <mergeCell ref="F75:H75"/>
    <mergeCell ref="C76:D76"/>
    <mergeCell ref="F76:H76"/>
    <mergeCell ref="C71:D71"/>
    <mergeCell ref="F71:H71"/>
    <mergeCell ref="C72:D72"/>
    <mergeCell ref="F72:H72"/>
    <mergeCell ref="C73:D73"/>
    <mergeCell ref="F73:H73"/>
    <mergeCell ref="C68:D68"/>
    <mergeCell ref="F68:H68"/>
    <mergeCell ref="C69:D69"/>
    <mergeCell ref="F69:H69"/>
    <mergeCell ref="C70:D70"/>
    <mergeCell ref="F70:H70"/>
    <mergeCell ref="C65:D65"/>
    <mergeCell ref="F65:H65"/>
    <mergeCell ref="C66:D66"/>
    <mergeCell ref="F66:H66"/>
    <mergeCell ref="C67:D67"/>
    <mergeCell ref="F67:H67"/>
    <mergeCell ref="C62:D62"/>
    <mergeCell ref="F62:H62"/>
    <mergeCell ref="C63:D63"/>
    <mergeCell ref="F63:H63"/>
    <mergeCell ref="C64:D64"/>
    <mergeCell ref="F64:H64"/>
    <mergeCell ref="C59:D59"/>
    <mergeCell ref="F59:H59"/>
    <mergeCell ref="C60:D60"/>
    <mergeCell ref="F60:H60"/>
    <mergeCell ref="C61:D61"/>
    <mergeCell ref="F61:H61"/>
    <mergeCell ref="C56:D56"/>
    <mergeCell ref="F56:H56"/>
    <mergeCell ref="C57:D57"/>
    <mergeCell ref="F57:H57"/>
    <mergeCell ref="C58:D58"/>
    <mergeCell ref="F58:H58"/>
    <mergeCell ref="C53:D53"/>
    <mergeCell ref="F53:H53"/>
    <mergeCell ref="C54:D54"/>
    <mergeCell ref="F54:H54"/>
    <mergeCell ref="C55:D55"/>
    <mergeCell ref="F55:H55"/>
    <mergeCell ref="C50:D50"/>
    <mergeCell ref="F50:H50"/>
    <mergeCell ref="C51:D51"/>
    <mergeCell ref="F51:H51"/>
    <mergeCell ref="C52:D52"/>
    <mergeCell ref="F52:H52"/>
    <mergeCell ref="C47:D47"/>
    <mergeCell ref="F47:H47"/>
    <mergeCell ref="C48:D48"/>
    <mergeCell ref="F48:H48"/>
    <mergeCell ref="C49:D49"/>
    <mergeCell ref="F49:H49"/>
    <mergeCell ref="C44:D44"/>
    <mergeCell ref="F44:H44"/>
    <mergeCell ref="C45:D45"/>
    <mergeCell ref="F45:H45"/>
    <mergeCell ref="C46:D46"/>
    <mergeCell ref="F46:H46"/>
    <mergeCell ref="C41:D41"/>
    <mergeCell ref="F41:H41"/>
    <mergeCell ref="C42:D42"/>
    <mergeCell ref="F42:H42"/>
    <mergeCell ref="C43:D43"/>
    <mergeCell ref="F43:H43"/>
    <mergeCell ref="C38:D38"/>
    <mergeCell ref="F38:H38"/>
    <mergeCell ref="C39:D39"/>
    <mergeCell ref="F39:H39"/>
    <mergeCell ref="C40:D40"/>
    <mergeCell ref="F40:H40"/>
    <mergeCell ref="C25:D25"/>
    <mergeCell ref="F25:H25"/>
    <mergeCell ref="C27:D27"/>
    <mergeCell ref="F27:H27"/>
    <mergeCell ref="C28:D28"/>
    <mergeCell ref="F28:H28"/>
    <mergeCell ref="C35:D35"/>
    <mergeCell ref="F35:H35"/>
    <mergeCell ref="C36:D36"/>
    <mergeCell ref="F36:H36"/>
    <mergeCell ref="C37:D37"/>
    <mergeCell ref="F37:H37"/>
    <mergeCell ref="C32:D32"/>
    <mergeCell ref="F32:H32"/>
    <mergeCell ref="C33:D33"/>
    <mergeCell ref="F33:H33"/>
    <mergeCell ref="C34:D34"/>
    <mergeCell ref="F34:H34"/>
    <mergeCell ref="C29:D29"/>
    <mergeCell ref="F29:H29"/>
    <mergeCell ref="C30:D30"/>
    <mergeCell ref="F30:H30"/>
    <mergeCell ref="C31:D31"/>
    <mergeCell ref="F31:H31"/>
  </mergeCells>
  <dataValidations count="2">
    <dataValidation type="list" allowBlank="1" showInputMessage="1" showErrorMessage="1" sqref="X27:X526">
      <formula1>$L$12:$L$19</formula1>
    </dataValidation>
    <dataValidation type="list" allowBlank="1" showInputMessage="1" showErrorMessage="1" sqref="W27:W526">
      <formula1>$H$12:$H$19</formula1>
    </dataValidation>
  </dataValidations>
  <pageMargins left="0.70866141732283472" right="0.70866141732283472" top="0.74803149606299213" bottom="0.74803149606299213" header="0.31496062992125984" footer="0.31496062992125984"/>
  <pageSetup paperSize="9" scale="25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Listes!$B$19:$B$74</xm:f>
          </x14:formula1>
          <xm:sqref>I27:I526</xm:sqref>
        </x14:dataValidation>
        <x14:dataValidation type="list" allowBlank="1" showInputMessage="1" showErrorMessage="1">
          <x14:formula1>
            <xm:f>Listes!$L$4:$L$15</xm:f>
          </x14:formula1>
          <xm:sqref>F27:H526</xm:sqref>
        </x14:dataValidation>
        <x14:dataValidation type="list" allowBlank="1" showInputMessage="1" showErrorMessage="1">
          <x14:formula1>
            <xm:f>Listes!$K$4:$K$8</xm:f>
          </x14:formula1>
          <xm:sqref>C27:D526</xm:sqref>
        </x14:dataValidation>
        <x14:dataValidation type="list" allowBlank="1" showInputMessage="1" showErrorMessage="1">
          <x14:formula1>
            <xm:f>Listes!$I$19:$I$23</xm:f>
          </x14:formula1>
          <xm:sqref>H12:H21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autoPageBreaks="0" fitToPage="1"/>
  </sheetPr>
  <dimension ref="A1:S52"/>
  <sheetViews>
    <sheetView showGridLines="0" showZeros="0" topLeftCell="A3" zoomScale="90" zoomScaleNormal="90" workbookViewId="0">
      <selection activeCell="C16" sqref="C16"/>
    </sheetView>
  </sheetViews>
  <sheetFormatPr baseColWidth="10" defaultRowHeight="15" x14ac:dyDescent="0.25"/>
  <cols>
    <col min="1" max="1" width="9" customWidth="1"/>
    <col min="2" max="2" width="6.5703125" customWidth="1"/>
    <col min="3" max="3" width="16.7109375" customWidth="1"/>
    <col min="4" max="5" width="13.7109375" customWidth="1"/>
    <col min="6" max="6" width="28.7109375" customWidth="1"/>
    <col min="7" max="7" width="28.7109375" style="1" customWidth="1"/>
    <col min="8" max="8" width="16.7109375" style="1" customWidth="1"/>
    <col min="9" max="9" width="13.7109375" customWidth="1"/>
    <col min="10" max="11" width="16.7109375" customWidth="1"/>
    <col min="12" max="12" width="39.7109375" customWidth="1"/>
    <col min="13" max="14" width="13.7109375" customWidth="1"/>
    <col min="15" max="16" width="16.7109375" customWidth="1"/>
    <col min="17" max="17" width="39.7109375" customWidth="1"/>
    <col min="18" max="18" width="13.7109375" customWidth="1"/>
    <col min="19" max="19" width="39.7109375" customWidth="1"/>
  </cols>
  <sheetData>
    <row r="1" spans="1:19" s="8" customFormat="1" x14ac:dyDescent="0.25">
      <c r="A1" s="13"/>
      <c r="B1" s="14" t="s">
        <v>10</v>
      </c>
    </row>
    <row r="2" spans="1:19" s="8" customFormat="1" x14ac:dyDescent="0.25">
      <c r="A2" s="13"/>
      <c r="B2" s="14" t="s">
        <v>11</v>
      </c>
    </row>
    <row r="3" spans="1:19" s="8" customFormat="1" x14ac:dyDescent="0.25">
      <c r="A3" s="13"/>
      <c r="B3" s="15" t="s">
        <v>12</v>
      </c>
      <c r="I3" s="185">
        <f ca="1">NOW()</f>
        <v>45762.434873611113</v>
      </c>
      <c r="J3" s="185"/>
    </row>
    <row r="4" spans="1:19" x14ac:dyDescent="0.25">
      <c r="G4"/>
      <c r="H4"/>
    </row>
    <row r="6" spans="1:19" ht="23.25" x14ac:dyDescent="0.35">
      <c r="B6" s="2" t="s">
        <v>293</v>
      </c>
    </row>
    <row r="7" spans="1:19" ht="8.25" customHeight="1" x14ac:dyDescent="0.35">
      <c r="B7" s="2"/>
    </row>
    <row r="8" spans="1:19" ht="18.75" x14ac:dyDescent="0.3">
      <c r="B8" s="175" t="s">
        <v>0</v>
      </c>
    </row>
    <row r="9" spans="1:19" ht="16.5" customHeight="1" x14ac:dyDescent="0.25">
      <c r="H9" s="222"/>
      <c r="I9" s="222"/>
      <c r="J9" s="222"/>
      <c r="K9" s="222"/>
    </row>
    <row r="11" spans="1:19" s="6" customFormat="1" ht="18.75" customHeight="1" x14ac:dyDescent="0.25">
      <c r="B11" s="12" t="s">
        <v>8</v>
      </c>
      <c r="C11" s="5"/>
      <c r="D11" s="5"/>
      <c r="E11" s="5"/>
      <c r="F11" s="5"/>
      <c r="G11" s="7"/>
      <c r="H11" s="7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s="6" customFormat="1" ht="10.5" customHeight="1" x14ac:dyDescent="0.25">
      <c r="B12" s="39"/>
      <c r="C12" s="40"/>
      <c r="D12" s="40"/>
      <c r="E12" s="40"/>
      <c r="F12" s="40"/>
      <c r="G12" s="41"/>
      <c r="H12" s="41"/>
      <c r="I12" s="40"/>
      <c r="J12" s="40"/>
      <c r="K12" s="40"/>
      <c r="L12" s="40"/>
      <c r="M12" s="43"/>
      <c r="N12" s="43"/>
      <c r="O12" s="43"/>
      <c r="P12" s="43"/>
      <c r="Q12" s="43"/>
      <c r="R12" s="40"/>
      <c r="S12" s="40"/>
    </row>
    <row r="13" spans="1:19" x14ac:dyDescent="0.25">
      <c r="I13" s="223" t="str">
        <f>IF('Informations générales'!E14="ZDPPE","LOCATIF - NON APPLICABLE","LOCATIF")</f>
        <v>LOCATIF</v>
      </c>
      <c r="J13" s="224"/>
      <c r="K13" s="224"/>
      <c r="L13" s="225"/>
      <c r="M13" s="226" t="str">
        <f>IF('Informations générales'!E14="ZDPPE","VENTE","VENTE - NON APPLICABLE")</f>
        <v>VENTE - NON APPLICABLE</v>
      </c>
      <c r="N13" s="227"/>
      <c r="O13" s="227"/>
      <c r="P13" s="227"/>
      <c r="Q13" s="227"/>
      <c r="R13" s="42"/>
    </row>
    <row r="14" spans="1:19" ht="44.25" customHeight="1" x14ac:dyDescent="0.25">
      <c r="B14" s="22"/>
      <c r="C14" s="19" t="s">
        <v>175</v>
      </c>
      <c r="D14" s="21" t="s">
        <v>129</v>
      </c>
      <c r="E14" s="21" t="s">
        <v>130</v>
      </c>
      <c r="F14" s="19" t="s">
        <v>188</v>
      </c>
      <c r="G14" s="21" t="s">
        <v>1</v>
      </c>
      <c r="H14" s="21" t="s">
        <v>2</v>
      </c>
      <c r="I14" s="21" t="s">
        <v>190</v>
      </c>
      <c r="J14" s="21" t="s">
        <v>146</v>
      </c>
      <c r="K14" s="21" t="s">
        <v>191</v>
      </c>
      <c r="L14" s="21" t="s">
        <v>147</v>
      </c>
      <c r="M14" s="21" t="s">
        <v>192</v>
      </c>
      <c r="N14" s="21" t="s">
        <v>193</v>
      </c>
      <c r="O14" s="21" t="s">
        <v>194</v>
      </c>
      <c r="P14" s="21" t="s">
        <v>148</v>
      </c>
      <c r="Q14" s="21" t="s">
        <v>149</v>
      </c>
      <c r="R14" s="21" t="s">
        <v>281</v>
      </c>
      <c r="S14" s="21" t="s">
        <v>139</v>
      </c>
    </row>
    <row r="15" spans="1:19" s="141" customFormat="1" x14ac:dyDescent="0.25">
      <c r="B15" s="142" t="s">
        <v>234</v>
      </c>
      <c r="C15" s="143"/>
      <c r="D15" s="144"/>
      <c r="E15" s="145"/>
      <c r="F15" s="146"/>
      <c r="G15" s="171"/>
      <c r="H15" s="159">
        <f>SUM(H16:H30)</f>
        <v>0</v>
      </c>
      <c r="I15" s="156"/>
      <c r="J15" s="147">
        <f>SUM(J16:J30)</f>
        <v>0</v>
      </c>
      <c r="K15" s="147">
        <f>SUM(K16:K30)</f>
        <v>0</v>
      </c>
      <c r="L15" s="148"/>
      <c r="M15" s="148"/>
      <c r="N15" s="152">
        <f>SUM(N16:N30)</f>
        <v>0</v>
      </c>
      <c r="O15" s="147">
        <f>SUM(O16:O30)</f>
        <v>0</v>
      </c>
      <c r="P15" s="147">
        <f>SUM(P16:P30)</f>
        <v>0</v>
      </c>
      <c r="Q15" s="148"/>
      <c r="R15" s="149"/>
      <c r="S15" s="148"/>
    </row>
    <row r="16" spans="1:19" s="16" customFormat="1" x14ac:dyDescent="0.25">
      <c r="B16" s="25"/>
      <c r="C16" s="93"/>
      <c r="D16" s="79"/>
      <c r="E16" s="78"/>
      <c r="F16" s="94"/>
      <c r="G16" s="93"/>
      <c r="H16" s="118" t="str">
        <f>IFERROR(IF('Informations générales'!E15="ZDPPE",N16*VLOOKUP(F16,Listes!$L$19:$M$27,2),I16*VLOOKUP(F16,Listes!$L$19:$M$27,2)),"")</f>
        <v/>
      </c>
      <c r="I16" s="157"/>
      <c r="J16" s="119"/>
      <c r="K16" s="120"/>
      <c r="L16" s="95"/>
      <c r="M16" s="95"/>
      <c r="N16" s="153"/>
      <c r="O16" s="120"/>
      <c r="P16" s="120"/>
      <c r="Q16" s="95"/>
      <c r="R16" s="121" t="str">
        <f>IFERROR(IF('Informations générales'!$E$14="ZDPPE",IF(P16=0,O16/N16,P16/N16),IF(K16=0,J16/I16,K16/I16)),"")</f>
        <v/>
      </c>
      <c r="S16" s="95"/>
    </row>
    <row r="17" spans="2:19" s="16" customFormat="1" x14ac:dyDescent="0.25">
      <c r="B17" s="25"/>
      <c r="C17" s="93"/>
      <c r="D17" s="79"/>
      <c r="E17" s="78"/>
      <c r="F17" s="94"/>
      <c r="G17" s="93"/>
      <c r="H17" s="118" t="str">
        <f>IFERROR(IF('Informations générales'!E15="ZDPPE",N17*VLOOKUP(F17,Listes!$L$19:$M$27,2),I17*VLOOKUP(F17,Listes!$L$19:$M$27,2)),"")</f>
        <v/>
      </c>
      <c r="I17" s="157"/>
      <c r="J17" s="119"/>
      <c r="K17" s="120"/>
      <c r="L17" s="95"/>
      <c r="M17" s="95"/>
      <c r="N17" s="153"/>
      <c r="O17" s="120"/>
      <c r="P17" s="120"/>
      <c r="Q17" s="95"/>
      <c r="R17" s="121" t="str">
        <f>IFERROR(IF('Informations générales'!$E$14="ZDPPE",IF(P17=0,O17/N17,P17/N17),IF(K17=0,J17/I17,K17/I17)),"")</f>
        <v/>
      </c>
      <c r="S17" s="95"/>
    </row>
    <row r="18" spans="2:19" s="16" customFormat="1" x14ac:dyDescent="0.25">
      <c r="B18" s="25"/>
      <c r="C18" s="93"/>
      <c r="D18" s="79"/>
      <c r="E18" s="78"/>
      <c r="F18" s="94"/>
      <c r="G18" s="93"/>
      <c r="H18" s="118" t="str">
        <f>IFERROR(IF('Informations générales'!E16="ZDPPE",N18*VLOOKUP(F18,Listes!$L$19:$M$27,2),I18*VLOOKUP(F18,Listes!$L$19:$M$27,2)),"")</f>
        <v/>
      </c>
      <c r="I18" s="157"/>
      <c r="J18" s="119"/>
      <c r="K18" s="120"/>
      <c r="L18" s="95"/>
      <c r="M18" s="95"/>
      <c r="N18" s="153"/>
      <c r="O18" s="120"/>
      <c r="P18" s="120"/>
      <c r="Q18" s="95"/>
      <c r="R18" s="121" t="str">
        <f>IFERROR(IF('Informations générales'!$E$14="ZDPPE",IF(P18=0,O18/N18,P18/N18),IF(K18=0,J18/I18,K18/I18)),"")</f>
        <v/>
      </c>
      <c r="S18" s="95"/>
    </row>
    <row r="19" spans="2:19" s="16" customFormat="1" x14ac:dyDescent="0.25">
      <c r="B19" s="25"/>
      <c r="C19" s="93"/>
      <c r="D19" s="79"/>
      <c r="E19" s="78"/>
      <c r="F19" s="94"/>
      <c r="G19" s="93"/>
      <c r="H19" s="118" t="str">
        <f>IFERROR(IF('Informations générales'!E17="ZDPPE",N19*VLOOKUP(F19,Listes!$L$19:$M$27,2),I19*VLOOKUP(F19,Listes!$L$19:$M$27,2)),"")</f>
        <v/>
      </c>
      <c r="I19" s="157"/>
      <c r="J19" s="119"/>
      <c r="K19" s="120"/>
      <c r="L19" s="95"/>
      <c r="M19" s="95"/>
      <c r="N19" s="153"/>
      <c r="O19" s="120"/>
      <c r="P19" s="120"/>
      <c r="Q19" s="95"/>
      <c r="R19" s="121" t="str">
        <f>IFERROR(IF('Informations générales'!$E$14="ZDPPE",IF(P19=0,O19/N19,P19/N19),IF(K19=0,J19/I19,K19/I19)),"")</f>
        <v/>
      </c>
      <c r="S19" s="95"/>
    </row>
    <row r="20" spans="2:19" s="16" customFormat="1" x14ac:dyDescent="0.25">
      <c r="B20" s="25"/>
      <c r="C20" s="93"/>
      <c r="D20" s="79"/>
      <c r="E20" s="78"/>
      <c r="F20" s="94"/>
      <c r="G20" s="93"/>
      <c r="H20" s="118" t="str">
        <f>IFERROR(IF('Informations générales'!E19="ZDPPE",N20*VLOOKUP(F20,Listes!$L$19:$M$27,2),I20*VLOOKUP(F20,Listes!$L$19:$M$27,2)),"")</f>
        <v/>
      </c>
      <c r="I20" s="157"/>
      <c r="J20" s="119"/>
      <c r="K20" s="120"/>
      <c r="L20" s="95"/>
      <c r="M20" s="95"/>
      <c r="N20" s="153"/>
      <c r="O20" s="120"/>
      <c r="P20" s="120"/>
      <c r="Q20" s="95"/>
      <c r="R20" s="121" t="str">
        <f>IFERROR(IF('Informations générales'!$E$14="ZDPPE",IF(P20=0,O20/N20,P20/N20),IF(K20=0,J20/I20,K20/I20)),"")</f>
        <v/>
      </c>
      <c r="S20" s="95"/>
    </row>
    <row r="21" spans="2:19" s="16" customFormat="1" x14ac:dyDescent="0.25">
      <c r="B21" s="25"/>
      <c r="C21" s="93"/>
      <c r="D21" s="79"/>
      <c r="E21" s="78"/>
      <c r="F21" s="94"/>
      <c r="G21" s="93"/>
      <c r="H21" s="118" t="str">
        <f>IFERROR(IF('Informations générales'!E19="ZDPPE",N21*VLOOKUP(F21,Listes!$L$19:$M$27,2),I21*VLOOKUP(F21,Listes!$L$19:$M$27,2)),"")</f>
        <v/>
      </c>
      <c r="I21" s="157"/>
      <c r="J21" s="119"/>
      <c r="K21" s="120"/>
      <c r="L21" s="95"/>
      <c r="M21" s="95"/>
      <c r="N21" s="153"/>
      <c r="O21" s="120"/>
      <c r="P21" s="120"/>
      <c r="Q21" s="95"/>
      <c r="R21" s="121" t="str">
        <f>IFERROR(IF('Informations générales'!$E$14="ZDPPE",IF(P21=0,O21/N21,P21/N21),IF(K21=0,J21/I21,K21/I21)),"")</f>
        <v/>
      </c>
      <c r="S21" s="95"/>
    </row>
    <row r="22" spans="2:19" s="16" customFormat="1" x14ac:dyDescent="0.25">
      <c r="B22" s="25"/>
      <c r="C22" s="93"/>
      <c r="D22" s="79"/>
      <c r="E22" s="78"/>
      <c r="F22" s="94"/>
      <c r="G22" s="93"/>
      <c r="H22" s="118" t="str">
        <f>IFERROR(IF('Informations générales'!E20="ZDPPE",N22*VLOOKUP(F22,Listes!$L$19:$M$27,2),I22*VLOOKUP(F22,Listes!$L$19:$M$27,2)),"")</f>
        <v/>
      </c>
      <c r="I22" s="157"/>
      <c r="J22" s="119"/>
      <c r="K22" s="120"/>
      <c r="L22" s="95"/>
      <c r="M22" s="95"/>
      <c r="N22" s="153"/>
      <c r="O22" s="120"/>
      <c r="P22" s="120"/>
      <c r="Q22" s="95"/>
      <c r="R22" s="121" t="str">
        <f>IFERROR(IF('Informations générales'!$E$14="ZDPPE",IF(P22=0,O22/N22,P22/N22),IF(K22=0,J22/I22,K22/I22)),"")</f>
        <v/>
      </c>
      <c r="S22" s="95"/>
    </row>
    <row r="23" spans="2:19" s="16" customFormat="1" x14ac:dyDescent="0.25">
      <c r="B23" s="25"/>
      <c r="C23" s="93"/>
      <c r="D23" s="79"/>
      <c r="E23" s="78"/>
      <c r="F23" s="94"/>
      <c r="G23" s="93"/>
      <c r="H23" s="118" t="str">
        <f>IFERROR(IF('Informations générales'!E21="ZDPPE",N23*VLOOKUP(F23,Listes!$L$19:$M$27,2),I23*VLOOKUP(F23,Listes!$L$19:$M$27,2)),"")</f>
        <v/>
      </c>
      <c r="I23" s="157"/>
      <c r="J23" s="119"/>
      <c r="K23" s="120"/>
      <c r="L23" s="95"/>
      <c r="M23" s="95"/>
      <c r="N23" s="153"/>
      <c r="O23" s="120"/>
      <c r="P23" s="120"/>
      <c r="Q23" s="95"/>
      <c r="R23" s="121" t="str">
        <f>IFERROR(IF('Informations générales'!$E$14="ZDPPE",IF(P23=0,O23/N23,P23/N23),IF(K23=0,J23/I23,K23/I23)),"")</f>
        <v/>
      </c>
      <c r="S23" s="95"/>
    </row>
    <row r="24" spans="2:19" s="16" customFormat="1" x14ac:dyDescent="0.25">
      <c r="B24" s="25"/>
      <c r="C24" s="93"/>
      <c r="D24" s="79"/>
      <c r="E24" s="78"/>
      <c r="F24" s="94"/>
      <c r="G24" s="93"/>
      <c r="H24" s="118" t="str">
        <f>IFERROR(IF('Informations générales'!E22="ZDPPE",N24*VLOOKUP(F24,Listes!$L$19:$M$27,2),I24*VLOOKUP(F24,Listes!$L$19:$M$27,2)),"")</f>
        <v/>
      </c>
      <c r="I24" s="157"/>
      <c r="J24" s="119"/>
      <c r="K24" s="120"/>
      <c r="L24" s="95"/>
      <c r="M24" s="95"/>
      <c r="N24" s="153"/>
      <c r="O24" s="120"/>
      <c r="P24" s="120"/>
      <c r="Q24" s="95"/>
      <c r="R24" s="121" t="str">
        <f>IFERROR(IF('Informations générales'!$E$14="ZDPPE",IF(P24=0,O24/N24,P24/N24),IF(K24=0,J24/I24,K24/I24)),"")</f>
        <v/>
      </c>
      <c r="S24" s="95"/>
    </row>
    <row r="25" spans="2:19" s="16" customFormat="1" x14ac:dyDescent="0.25">
      <c r="B25" s="25"/>
      <c r="C25" s="93"/>
      <c r="D25" s="79"/>
      <c r="E25" s="78"/>
      <c r="F25" s="94"/>
      <c r="G25" s="93"/>
      <c r="H25" s="118" t="str">
        <f>IFERROR(IF('Informations générales'!E23="ZDPPE",N25*VLOOKUP(F25,Listes!$L$19:$M$27,2),I25*VLOOKUP(F25,Listes!$L$19:$M$27,2)),"")</f>
        <v/>
      </c>
      <c r="I25" s="157"/>
      <c r="J25" s="119"/>
      <c r="K25" s="120"/>
      <c r="L25" s="95"/>
      <c r="M25" s="95"/>
      <c r="N25" s="153"/>
      <c r="O25" s="120"/>
      <c r="P25" s="120"/>
      <c r="Q25" s="95"/>
      <c r="R25" s="121" t="str">
        <f>IFERROR(IF('Informations générales'!$E$14="ZDPPE",IF(P25=0,O25/N25,P25/N25),IF(K25=0,J25/I25,K25/I25)),"")</f>
        <v/>
      </c>
      <c r="S25" s="95"/>
    </row>
    <row r="26" spans="2:19" s="16" customFormat="1" x14ac:dyDescent="0.25">
      <c r="B26" s="25"/>
      <c r="C26" s="93"/>
      <c r="D26" s="79"/>
      <c r="E26" s="78"/>
      <c r="F26" s="94"/>
      <c r="G26" s="93"/>
      <c r="H26" s="118" t="str">
        <f>IFERROR(IF('Informations générales'!E24="ZDPPE",N26*VLOOKUP(F26,Listes!$L$19:$M$27,2),I26*VLOOKUP(F26,Listes!$L$19:$M$27,2)),"")</f>
        <v/>
      </c>
      <c r="I26" s="157"/>
      <c r="J26" s="119"/>
      <c r="K26" s="120"/>
      <c r="L26" s="95"/>
      <c r="M26" s="95"/>
      <c r="N26" s="153"/>
      <c r="O26" s="120"/>
      <c r="P26" s="120"/>
      <c r="Q26" s="95"/>
      <c r="R26" s="121" t="str">
        <f>IFERROR(IF('Informations générales'!$E$14="ZDPPE",IF(P26=0,O26/N26,P26/N26),IF(K26=0,J26/I26,K26/I26)),"")</f>
        <v/>
      </c>
      <c r="S26" s="95"/>
    </row>
    <row r="27" spans="2:19" s="16" customFormat="1" x14ac:dyDescent="0.25">
      <c r="B27" s="25"/>
      <c r="C27" s="93"/>
      <c r="D27" s="79"/>
      <c r="E27" s="78"/>
      <c r="F27" s="94"/>
      <c r="G27" s="93"/>
      <c r="H27" s="118" t="str">
        <f>IFERROR(IF('Informations générales'!E25="ZDPPE",N27*VLOOKUP(F27,Listes!$L$19:$M$27,2),I27*VLOOKUP(F27,Listes!$L$19:$M$27,2)),"")</f>
        <v/>
      </c>
      <c r="I27" s="157"/>
      <c r="J27" s="119"/>
      <c r="K27" s="120"/>
      <c r="L27" s="95"/>
      <c r="M27" s="95"/>
      <c r="N27" s="153"/>
      <c r="O27" s="120"/>
      <c r="P27" s="120"/>
      <c r="Q27" s="95"/>
      <c r="R27" s="121" t="str">
        <f>IFERROR(IF('Informations générales'!$E$14="ZDPPE",IF(P27=0,O27/N27,P27/N27),IF(K27=0,J27/I27,K27/I27)),"")</f>
        <v/>
      </c>
      <c r="S27" s="95"/>
    </row>
    <row r="28" spans="2:19" s="16" customFormat="1" x14ac:dyDescent="0.25">
      <c r="B28" s="25"/>
      <c r="C28" s="93"/>
      <c r="D28" s="79"/>
      <c r="E28" s="78"/>
      <c r="F28" s="94"/>
      <c r="G28" s="93"/>
      <c r="H28" s="118" t="str">
        <f>IFERROR(IF('Informations générales'!E26="ZDPPE",N28*VLOOKUP(F28,Listes!$L$19:$M$27,2),I28*VLOOKUP(F28,Listes!$L$19:$M$27,2)),"")</f>
        <v/>
      </c>
      <c r="I28" s="157"/>
      <c r="J28" s="119"/>
      <c r="K28" s="120"/>
      <c r="L28" s="95"/>
      <c r="M28" s="95"/>
      <c r="N28" s="153"/>
      <c r="O28" s="120"/>
      <c r="P28" s="120"/>
      <c r="Q28" s="95"/>
      <c r="R28" s="121" t="str">
        <f>IFERROR(IF('Informations générales'!$E$14="ZDPPE",IF(P28=0,O28/N28,P28/N28),IF(K28=0,J28/I28,K28/I28)),"")</f>
        <v/>
      </c>
      <c r="S28" s="95"/>
    </row>
    <row r="29" spans="2:19" s="16" customFormat="1" x14ac:dyDescent="0.25">
      <c r="B29" s="25"/>
      <c r="C29" s="93"/>
      <c r="D29" s="79"/>
      <c r="E29" s="78"/>
      <c r="F29" s="94"/>
      <c r="G29" s="93"/>
      <c r="H29" s="118"/>
      <c r="I29" s="157"/>
      <c r="J29" s="119"/>
      <c r="K29" s="120"/>
      <c r="L29" s="95"/>
      <c r="M29" s="95"/>
      <c r="N29" s="153"/>
      <c r="O29" s="120"/>
      <c r="P29" s="120"/>
      <c r="Q29" s="95"/>
      <c r="R29" s="121" t="str">
        <f>IFERROR(IF('Informations générales'!$E$14="ZDPPE",IF(P29=0,O29/N29,P29/N29),IF(K29=0,J29/I29,K29/I29)),"")</f>
        <v/>
      </c>
      <c r="S29" s="95"/>
    </row>
    <row r="30" spans="2:19" s="16" customFormat="1" x14ac:dyDescent="0.25">
      <c r="B30" s="25"/>
      <c r="C30" s="93"/>
      <c r="D30" s="79"/>
      <c r="E30" s="78"/>
      <c r="F30" s="94"/>
      <c r="G30" s="93"/>
      <c r="H30" s="118"/>
      <c r="I30" s="157"/>
      <c r="J30" s="119"/>
      <c r="K30" s="120"/>
      <c r="L30" s="95"/>
      <c r="M30" s="95"/>
      <c r="N30" s="153"/>
      <c r="O30" s="120"/>
      <c r="P30" s="120"/>
      <c r="Q30" s="95"/>
      <c r="R30" s="121" t="str">
        <f>IFERROR(IF('Informations générales'!$E$14="ZDPPE",IF(P30=0,O30/N30,P30/N30),IF(K30=0,J30/I30,K30/I30)),"")</f>
        <v/>
      </c>
      <c r="S30" s="95"/>
    </row>
    <row r="33" spans="2:19" s="6" customFormat="1" ht="18.75" customHeight="1" x14ac:dyDescent="0.25">
      <c r="B33" s="12" t="s">
        <v>9</v>
      </c>
      <c r="C33" s="5"/>
      <c r="D33" s="5"/>
      <c r="E33" s="5"/>
      <c r="F33" s="5"/>
      <c r="G33" s="7"/>
      <c r="H33" s="7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2:19" ht="8.25" customHeight="1" x14ac:dyDescent="0.25">
      <c r="I34" s="45"/>
      <c r="J34" s="45"/>
      <c r="K34" s="45"/>
      <c r="L34" s="45"/>
    </row>
    <row r="35" spans="2:19" x14ac:dyDescent="0.25">
      <c r="I35" s="44"/>
      <c r="J35" s="223" t="str">
        <f>IF('Informations générales'!E14="ZDPPE","LOCATIF - NON APPLICABLE","LOCATIF")</f>
        <v>LOCATIF</v>
      </c>
      <c r="K35" s="224"/>
      <c r="L35" s="224"/>
      <c r="M35" s="223" t="str">
        <f>IF('Informations générales'!E14="ZDPPE","VENTE","VENTE - NON APPLICABLE")</f>
        <v>VENTE - NON APPLICABLE</v>
      </c>
      <c r="N35" s="224"/>
      <c r="O35" s="224"/>
      <c r="P35" s="224"/>
      <c r="Q35" s="225"/>
      <c r="R35" s="46"/>
      <c r="S35" s="29"/>
    </row>
    <row r="36" spans="2:19" ht="44.25" customHeight="1" x14ac:dyDescent="0.25">
      <c r="B36" s="22"/>
      <c r="C36" s="191" t="s">
        <v>175</v>
      </c>
      <c r="D36" s="192"/>
      <c r="E36" s="21" t="s">
        <v>130</v>
      </c>
      <c r="F36" s="19" t="s">
        <v>188</v>
      </c>
      <c r="G36" s="21" t="s">
        <v>1</v>
      </c>
      <c r="H36" s="21" t="s">
        <v>2</v>
      </c>
      <c r="I36" s="21" t="s">
        <v>189</v>
      </c>
      <c r="J36" s="21" t="s">
        <v>146</v>
      </c>
      <c r="K36" s="21" t="s">
        <v>191</v>
      </c>
      <c r="L36" s="21" t="s">
        <v>195</v>
      </c>
      <c r="M36" s="211" t="s">
        <v>192</v>
      </c>
      <c r="N36" s="213"/>
      <c r="O36" s="21" t="s">
        <v>194</v>
      </c>
      <c r="P36" s="21" t="s">
        <v>148</v>
      </c>
      <c r="Q36" s="21" t="s">
        <v>149</v>
      </c>
      <c r="R36" s="21" t="s">
        <v>282</v>
      </c>
      <c r="S36" s="21" t="s">
        <v>139</v>
      </c>
    </row>
    <row r="37" spans="2:19" s="141" customFormat="1" x14ac:dyDescent="0.25">
      <c r="B37" s="142" t="s">
        <v>234</v>
      </c>
      <c r="C37" s="143"/>
      <c r="D37" s="144"/>
      <c r="E37" s="145"/>
      <c r="F37" s="146"/>
      <c r="G37" s="171"/>
      <c r="H37" s="159">
        <f>SUM(H38:H52)</f>
        <v>0</v>
      </c>
      <c r="I37" s="150"/>
      <c r="J37" s="147">
        <f>SUM(J38:J52)</f>
        <v>0</v>
      </c>
      <c r="K37" s="147">
        <f>SUM(K38:K52)</f>
        <v>0</v>
      </c>
      <c r="L37" s="148"/>
      <c r="M37" s="220"/>
      <c r="N37" s="221"/>
      <c r="O37" s="147">
        <f>SUM(O38:O52)</f>
        <v>0</v>
      </c>
      <c r="P37" s="147">
        <f>SUM(P38:P52)</f>
        <v>0</v>
      </c>
      <c r="Q37" s="148"/>
      <c r="R37" s="151"/>
      <c r="S37" s="148"/>
    </row>
    <row r="38" spans="2:19" s="16" customFormat="1" x14ac:dyDescent="0.25">
      <c r="B38" s="25"/>
      <c r="C38" s="218"/>
      <c r="D38" s="219"/>
      <c r="E38" s="78"/>
      <c r="F38" s="94"/>
      <c r="G38" s="93"/>
      <c r="H38" s="118" t="str">
        <f>IFERROR(VLOOKUP(F38,Listes!$P$19:$Q$26,2)*I38,"")</f>
        <v/>
      </c>
      <c r="I38" s="122"/>
      <c r="J38" s="119"/>
      <c r="K38" s="120"/>
      <c r="L38" s="95"/>
      <c r="M38" s="189"/>
      <c r="N38" s="190"/>
      <c r="O38" s="120"/>
      <c r="P38" s="120"/>
      <c r="Q38" s="95"/>
      <c r="R38" s="123" t="str">
        <f>IFERROR(IF('Informations générales'!$E$14="ZDPPE",IF(P38&lt;&gt;0,P38/I38,O38/I38),IF(K38&lt;&gt;0,K38/I38,J38/I38)),"")</f>
        <v/>
      </c>
      <c r="S38" s="95"/>
    </row>
    <row r="39" spans="2:19" s="16" customFormat="1" x14ac:dyDescent="0.25">
      <c r="B39" s="25"/>
      <c r="C39" s="218"/>
      <c r="D39" s="219"/>
      <c r="E39" s="78"/>
      <c r="F39" s="94"/>
      <c r="G39" s="93"/>
      <c r="H39" s="118" t="str">
        <f>IFERROR(VLOOKUP(F39,Listes!$P$19:$Q$26,2)*I39,"")</f>
        <v/>
      </c>
      <c r="I39" s="122"/>
      <c r="J39" s="119"/>
      <c r="K39" s="120"/>
      <c r="L39" s="95"/>
      <c r="M39" s="189"/>
      <c r="N39" s="190"/>
      <c r="O39" s="120"/>
      <c r="P39" s="120"/>
      <c r="Q39" s="95"/>
      <c r="R39" s="123" t="str">
        <f>IFERROR(IF('Informations générales'!$E$14="ZDPPE",IF(P39&lt;&gt;0,P39/I39,O39/I39),IF(K39&lt;&gt;0,K39/I39,J39/I39)),"")</f>
        <v/>
      </c>
      <c r="S39" s="95"/>
    </row>
    <row r="40" spans="2:19" s="16" customFormat="1" x14ac:dyDescent="0.25">
      <c r="B40" s="25"/>
      <c r="C40" s="218"/>
      <c r="D40" s="219"/>
      <c r="E40" s="78"/>
      <c r="F40" s="94"/>
      <c r="G40" s="93"/>
      <c r="H40" s="118" t="str">
        <f>IFERROR(VLOOKUP(F40,Listes!$P$19:$Q$26,2)*I40,"")</f>
        <v/>
      </c>
      <c r="I40" s="122"/>
      <c r="J40" s="119"/>
      <c r="K40" s="120"/>
      <c r="L40" s="95"/>
      <c r="M40" s="189"/>
      <c r="N40" s="190"/>
      <c r="O40" s="120"/>
      <c r="P40" s="120"/>
      <c r="Q40" s="95"/>
      <c r="R40" s="123" t="str">
        <f>IFERROR(IF('Informations générales'!$E$14="ZDPPE",IF(P40&lt;&gt;0,P40/I40,O40/I40),IF(K40&lt;&gt;0,K40/I40,J40/I40)),"")</f>
        <v/>
      </c>
      <c r="S40" s="95"/>
    </row>
    <row r="41" spans="2:19" s="16" customFormat="1" x14ac:dyDescent="0.25">
      <c r="B41" s="25"/>
      <c r="C41" s="218"/>
      <c r="D41" s="219"/>
      <c r="E41" s="78"/>
      <c r="F41" s="94"/>
      <c r="G41" s="93"/>
      <c r="H41" s="118" t="str">
        <f>IFERROR(VLOOKUP(F41,Listes!$P$19:$Q$26,2)*I41,"")</f>
        <v/>
      </c>
      <c r="I41" s="122"/>
      <c r="J41" s="119"/>
      <c r="K41" s="120"/>
      <c r="L41" s="95"/>
      <c r="M41" s="189"/>
      <c r="N41" s="190"/>
      <c r="O41" s="120"/>
      <c r="P41" s="120"/>
      <c r="Q41" s="95"/>
      <c r="R41" s="123" t="str">
        <f>IFERROR(IF('Informations générales'!$E$14="ZDPPE",IF(P41&lt;&gt;0,P41/I41,O41/I41),IF(K41&lt;&gt;0,K41/I41,J41/I41)),"")</f>
        <v/>
      </c>
      <c r="S41" s="95"/>
    </row>
    <row r="42" spans="2:19" s="16" customFormat="1" x14ac:dyDescent="0.25">
      <c r="B42" s="25"/>
      <c r="C42" s="218"/>
      <c r="D42" s="219"/>
      <c r="E42" s="78"/>
      <c r="F42" s="94"/>
      <c r="G42" s="93"/>
      <c r="H42" s="118" t="str">
        <f>IFERROR(VLOOKUP(F42,Listes!$P$19:$Q$26,2)*I42,"")</f>
        <v/>
      </c>
      <c r="I42" s="122"/>
      <c r="J42" s="119"/>
      <c r="K42" s="120"/>
      <c r="L42" s="95"/>
      <c r="M42" s="189"/>
      <c r="N42" s="190"/>
      <c r="O42" s="120"/>
      <c r="P42" s="120"/>
      <c r="Q42" s="95"/>
      <c r="R42" s="123" t="str">
        <f>IFERROR(IF('Informations générales'!$E$14="ZDPPE",IF(P42&lt;&gt;0,P42/I42,O42/I42),IF(K42&lt;&gt;0,K42/I42,J42/I42)),"")</f>
        <v/>
      </c>
      <c r="S42" s="95"/>
    </row>
    <row r="43" spans="2:19" s="16" customFormat="1" x14ac:dyDescent="0.25">
      <c r="B43" s="25"/>
      <c r="C43" s="218"/>
      <c r="D43" s="219"/>
      <c r="E43" s="78"/>
      <c r="F43" s="94"/>
      <c r="G43" s="93"/>
      <c r="H43" s="118" t="str">
        <f>IFERROR(VLOOKUP(F43,Listes!$P$19:$Q$26,2)*I43,"")</f>
        <v/>
      </c>
      <c r="I43" s="122"/>
      <c r="J43" s="119"/>
      <c r="K43" s="120"/>
      <c r="L43" s="95"/>
      <c r="M43" s="189"/>
      <c r="N43" s="190"/>
      <c r="O43" s="120"/>
      <c r="P43" s="120"/>
      <c r="Q43" s="95"/>
      <c r="R43" s="123" t="str">
        <f>IFERROR(IF('Informations générales'!$E$14="ZDPPE",IF(P43&lt;&gt;0,P43/I43,O43/I43),IF(K43&lt;&gt;0,K43/I43,J43/I43)),"")</f>
        <v/>
      </c>
      <c r="S43" s="95"/>
    </row>
    <row r="44" spans="2:19" s="16" customFormat="1" x14ac:dyDescent="0.25">
      <c r="B44" s="25"/>
      <c r="C44" s="218"/>
      <c r="D44" s="219"/>
      <c r="E44" s="78"/>
      <c r="F44" s="94"/>
      <c r="G44" s="93"/>
      <c r="H44" s="118" t="str">
        <f>IFERROR(VLOOKUP(F44,Listes!$P$19:$Q$26,2)*I44,"")</f>
        <v/>
      </c>
      <c r="I44" s="122"/>
      <c r="J44" s="119"/>
      <c r="K44" s="120"/>
      <c r="L44" s="95"/>
      <c r="M44" s="189"/>
      <c r="N44" s="190"/>
      <c r="O44" s="120"/>
      <c r="P44" s="120"/>
      <c r="Q44" s="95"/>
      <c r="R44" s="123" t="str">
        <f>IFERROR(IF('Informations générales'!$E$14="ZDPPE",IF(P44&lt;&gt;0,P44/I44,O44/I44),IF(K44&lt;&gt;0,K44/I44,J44/I44)),"")</f>
        <v/>
      </c>
      <c r="S44" s="95"/>
    </row>
    <row r="45" spans="2:19" s="16" customFormat="1" x14ac:dyDescent="0.25">
      <c r="B45" s="25"/>
      <c r="C45" s="218"/>
      <c r="D45" s="219"/>
      <c r="E45" s="78"/>
      <c r="F45" s="94"/>
      <c r="G45" s="93"/>
      <c r="H45" s="118" t="str">
        <f>IFERROR(VLOOKUP(F45,Listes!$P$19:$Q$26,2)*I45,"")</f>
        <v/>
      </c>
      <c r="I45" s="122"/>
      <c r="J45" s="119"/>
      <c r="K45" s="120"/>
      <c r="L45" s="95"/>
      <c r="M45" s="189"/>
      <c r="N45" s="190"/>
      <c r="O45" s="120"/>
      <c r="P45" s="120"/>
      <c r="Q45" s="95"/>
      <c r="R45" s="123" t="str">
        <f>IFERROR(IF('Informations générales'!$E$14="ZDPPE",IF(P45&lt;&gt;0,P45/I45,O45/I45),IF(K45&lt;&gt;0,K45/I45,J45/I45)),"")</f>
        <v/>
      </c>
      <c r="S45" s="95"/>
    </row>
    <row r="46" spans="2:19" s="16" customFormat="1" x14ac:dyDescent="0.25">
      <c r="B46" s="25"/>
      <c r="C46" s="218"/>
      <c r="D46" s="219"/>
      <c r="E46" s="78"/>
      <c r="F46" s="94"/>
      <c r="G46" s="93"/>
      <c r="H46" s="118" t="str">
        <f>IFERROR(VLOOKUP(F46,Listes!$P$19:$Q$26,2)*I46,"")</f>
        <v/>
      </c>
      <c r="I46" s="122"/>
      <c r="J46" s="119"/>
      <c r="K46" s="120"/>
      <c r="L46" s="95"/>
      <c r="M46" s="189"/>
      <c r="N46" s="190"/>
      <c r="O46" s="120"/>
      <c r="P46" s="120"/>
      <c r="Q46" s="95"/>
      <c r="R46" s="123" t="str">
        <f>IFERROR(IF('Informations générales'!$E$14="ZDPPE",IF(P46&lt;&gt;0,P46/I46,O46/I46),IF(K46&lt;&gt;0,K46/I46,J46/I46)),"")</f>
        <v/>
      </c>
      <c r="S46" s="95"/>
    </row>
    <row r="47" spans="2:19" s="16" customFormat="1" x14ac:dyDescent="0.25">
      <c r="B47" s="25"/>
      <c r="C47" s="218"/>
      <c r="D47" s="219"/>
      <c r="E47" s="78"/>
      <c r="F47" s="94"/>
      <c r="G47" s="93"/>
      <c r="H47" s="118" t="str">
        <f>IFERROR(VLOOKUP(F47,Listes!$P$19:$Q$26,2)*I47,"")</f>
        <v/>
      </c>
      <c r="I47" s="122"/>
      <c r="J47" s="119"/>
      <c r="K47" s="120"/>
      <c r="L47" s="95"/>
      <c r="M47" s="189"/>
      <c r="N47" s="190"/>
      <c r="O47" s="120"/>
      <c r="P47" s="120"/>
      <c r="Q47" s="95"/>
      <c r="R47" s="123" t="str">
        <f>IFERROR(IF('Informations générales'!$E$14="ZDPPE",IF(P47&lt;&gt;0,P47/I47,O47/I47),IF(K47&lt;&gt;0,K47/I47,J47/I47)),"")</f>
        <v/>
      </c>
      <c r="S47" s="95"/>
    </row>
    <row r="48" spans="2:19" s="16" customFormat="1" x14ac:dyDescent="0.25">
      <c r="B48" s="25"/>
      <c r="C48" s="218"/>
      <c r="D48" s="219"/>
      <c r="E48" s="78"/>
      <c r="F48" s="94"/>
      <c r="G48" s="93"/>
      <c r="H48" s="118" t="str">
        <f>IFERROR(VLOOKUP(F48,Listes!$P$19:$Q$26,2)*I48,"")</f>
        <v/>
      </c>
      <c r="I48" s="122"/>
      <c r="J48" s="119"/>
      <c r="K48" s="120"/>
      <c r="L48" s="95"/>
      <c r="M48" s="189"/>
      <c r="N48" s="190"/>
      <c r="O48" s="120"/>
      <c r="P48" s="120"/>
      <c r="Q48" s="95"/>
      <c r="R48" s="123" t="str">
        <f>IFERROR(IF('Informations générales'!$E$14="ZDPPE",IF(P48&lt;&gt;0,P48/I48,O48/I48),IF(K48&lt;&gt;0,K48/I48,J48/I48)),"")</f>
        <v/>
      </c>
      <c r="S48" s="95"/>
    </row>
    <row r="49" spans="2:19" s="16" customFormat="1" x14ac:dyDescent="0.25">
      <c r="B49" s="25"/>
      <c r="C49" s="218"/>
      <c r="D49" s="219"/>
      <c r="E49" s="78"/>
      <c r="F49" s="94"/>
      <c r="G49" s="93"/>
      <c r="H49" s="118" t="str">
        <f>IFERROR(VLOOKUP(F49,Listes!$P$19:$Q$26,2)*I49,"")</f>
        <v/>
      </c>
      <c r="I49" s="122"/>
      <c r="J49" s="119"/>
      <c r="K49" s="120"/>
      <c r="L49" s="95"/>
      <c r="M49" s="189"/>
      <c r="N49" s="190"/>
      <c r="O49" s="120"/>
      <c r="P49" s="120"/>
      <c r="Q49" s="95"/>
      <c r="R49" s="123" t="str">
        <f>IFERROR(IF('Informations générales'!$E$14="ZDPPE",IF(P49&lt;&gt;0,P49/I49,O49/I49),IF(K49&lt;&gt;0,K49/I49,J49/I49)),"")</f>
        <v/>
      </c>
      <c r="S49" s="95"/>
    </row>
    <row r="50" spans="2:19" s="16" customFormat="1" x14ac:dyDescent="0.25">
      <c r="B50" s="25"/>
      <c r="C50" s="218"/>
      <c r="D50" s="219"/>
      <c r="E50" s="78"/>
      <c r="F50" s="94"/>
      <c r="G50" s="93"/>
      <c r="H50" s="118" t="str">
        <f>IFERROR(VLOOKUP(F50,Listes!$P$19:$Q$26,2)*I50,"")</f>
        <v/>
      </c>
      <c r="I50" s="122"/>
      <c r="J50" s="119"/>
      <c r="K50" s="120"/>
      <c r="L50" s="95"/>
      <c r="M50" s="189"/>
      <c r="N50" s="190"/>
      <c r="O50" s="120"/>
      <c r="P50" s="120"/>
      <c r="Q50" s="95"/>
      <c r="R50" s="123" t="str">
        <f>IFERROR(IF('Informations générales'!$E$14="ZDPPE",IF(P50&lt;&gt;0,P50/I50,O50/I50),IF(K50&lt;&gt;0,K50/I50,J50/I50)),"")</f>
        <v/>
      </c>
      <c r="S50" s="95"/>
    </row>
    <row r="51" spans="2:19" s="16" customFormat="1" x14ac:dyDescent="0.25">
      <c r="B51" s="25"/>
      <c r="C51" s="218"/>
      <c r="D51" s="219"/>
      <c r="E51" s="78"/>
      <c r="F51" s="94"/>
      <c r="G51" s="93"/>
      <c r="H51" s="118" t="str">
        <f>IFERROR(VLOOKUP(F51,Listes!$P$19:$Q$26,2)*I51,"")</f>
        <v/>
      </c>
      <c r="I51" s="122"/>
      <c r="J51" s="119"/>
      <c r="K51" s="120"/>
      <c r="L51" s="95"/>
      <c r="M51" s="189"/>
      <c r="N51" s="190"/>
      <c r="O51" s="120"/>
      <c r="P51" s="120"/>
      <c r="Q51" s="95"/>
      <c r="R51" s="123" t="str">
        <f>IFERROR(IF('Informations générales'!$E$14="ZDPPE",IF(P51&lt;&gt;0,P51/I51,O51/I51),IF(K51&lt;&gt;0,K51/I51,J51/I51)),"")</f>
        <v/>
      </c>
      <c r="S51" s="95"/>
    </row>
    <row r="52" spans="2:19" s="16" customFormat="1" x14ac:dyDescent="0.25">
      <c r="B52" s="25"/>
      <c r="C52" s="218"/>
      <c r="D52" s="219"/>
      <c r="E52" s="78"/>
      <c r="F52" s="94"/>
      <c r="G52" s="93"/>
      <c r="H52" s="118" t="str">
        <f>IFERROR(VLOOKUP(F52,Listes!$P$19:$Q$26,2)*I52,"")</f>
        <v/>
      </c>
      <c r="I52" s="122"/>
      <c r="J52" s="119"/>
      <c r="K52" s="120"/>
      <c r="L52" s="95"/>
      <c r="M52" s="189"/>
      <c r="N52" s="190"/>
      <c r="O52" s="120"/>
      <c r="P52" s="120"/>
      <c r="Q52" s="95"/>
      <c r="R52" s="123" t="str">
        <f>IFERROR(IF('Informations générales'!$E$14="ZDPPE",IF(P52&lt;&gt;0,P52/I52,O52/I52),IF(K52&lt;&gt;0,K52/I52,J52/I52)),"")</f>
        <v/>
      </c>
      <c r="S52" s="95"/>
    </row>
  </sheetData>
  <sheetProtection algorithmName="SHA-512" hashValue="OWEcIaxm//eVEl3EkFd5eS0zapTIolDqNeleNkE0bK1/4S+nVOVWFwG7yP409qR0OehjCNmNqq2J+RJpEeb8KQ==" saltValue="rFEZsfVmH03yFkYz0X04rA==" spinCount="100000" sheet="1" objects="1" scenarios="1"/>
  <mergeCells count="39">
    <mergeCell ref="H9:K9"/>
    <mergeCell ref="I13:L13"/>
    <mergeCell ref="M13:Q13"/>
    <mergeCell ref="J35:L35"/>
    <mergeCell ref="M35:Q35"/>
    <mergeCell ref="M36:N36"/>
    <mergeCell ref="M37:N37"/>
    <mergeCell ref="M38:N38"/>
    <mergeCell ref="M39:N39"/>
    <mergeCell ref="M40:N40"/>
    <mergeCell ref="M52:N52"/>
    <mergeCell ref="M47:N47"/>
    <mergeCell ref="M42:N42"/>
    <mergeCell ref="M43:N43"/>
    <mergeCell ref="M44:N44"/>
    <mergeCell ref="M45:N45"/>
    <mergeCell ref="M46:N46"/>
    <mergeCell ref="C41:D41"/>
    <mergeCell ref="M48:N48"/>
    <mergeCell ref="M49:N49"/>
    <mergeCell ref="M50:N50"/>
    <mergeCell ref="M51:N51"/>
    <mergeCell ref="M41:N41"/>
    <mergeCell ref="I3:J3"/>
    <mergeCell ref="C52:D52"/>
    <mergeCell ref="C47:D47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36:D36"/>
    <mergeCell ref="C38:D38"/>
    <mergeCell ref="C39:D39"/>
    <mergeCell ref="C40:D40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Listes!$B$19:$B$74</xm:f>
          </x14:formula1>
          <xm:sqref>C16:C30</xm:sqref>
        </x14:dataValidation>
        <x14:dataValidation type="list" allowBlank="1" showInputMessage="1" showErrorMessage="1">
          <x14:formula1>
            <xm:f>Listes!$L$19:$L$27</xm:f>
          </x14:formula1>
          <xm:sqref>F16:F30</xm:sqref>
        </x14:dataValidation>
        <x14:dataValidation type="list" allowBlank="1" showInputMessage="1" showErrorMessage="1">
          <x14:formula1>
            <xm:f>Listes!$P$19:$P$26</xm:f>
          </x14:formula1>
          <xm:sqref>F38:F52</xm:sqref>
        </x14:dataValidation>
        <x14:dataValidation type="list" allowBlank="1" showInputMessage="1" showErrorMessage="1">
          <x14:formula1>
            <xm:f>Listes!$C$19:$C$74</xm:f>
          </x14:formula1>
          <xm:sqref>C38:C52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autoPageBreaks="0" fitToPage="1"/>
  </sheetPr>
  <dimension ref="A1:M51"/>
  <sheetViews>
    <sheetView showGridLines="0" zoomScaleNormal="100" workbookViewId="0">
      <selection activeCell="C10" sqref="C10"/>
    </sheetView>
  </sheetViews>
  <sheetFormatPr baseColWidth="10" defaultRowHeight="15" x14ac:dyDescent="0.25"/>
  <cols>
    <col min="2" max="2" width="45.5703125" customWidth="1"/>
    <col min="3" max="3" width="22.5703125" customWidth="1"/>
    <col min="4" max="4" width="22.7109375" customWidth="1"/>
    <col min="5" max="5" width="2.140625" customWidth="1"/>
    <col min="6" max="7" width="18.7109375" customWidth="1"/>
    <col min="8" max="8" width="8.7109375" customWidth="1"/>
    <col min="9" max="9" width="18.7109375" customWidth="1"/>
    <col min="10" max="10" width="8.7109375" customWidth="1"/>
    <col min="11" max="13" width="13.7109375" customWidth="1"/>
  </cols>
  <sheetData>
    <row r="1" spans="1:13" s="18" customFormat="1" x14ac:dyDescent="0.25">
      <c r="A1" s="13"/>
      <c r="B1" s="14" t="s">
        <v>10</v>
      </c>
    </row>
    <row r="2" spans="1:13" s="18" customFormat="1" x14ac:dyDescent="0.25">
      <c r="A2" s="13"/>
      <c r="B2" s="14" t="s">
        <v>11</v>
      </c>
    </row>
    <row r="3" spans="1:13" s="18" customFormat="1" x14ac:dyDescent="0.25">
      <c r="A3" s="13"/>
      <c r="B3" s="15" t="s">
        <v>12</v>
      </c>
      <c r="I3" s="182">
        <f ca="1">NOW()</f>
        <v>45762.434873611113</v>
      </c>
      <c r="J3" s="228"/>
      <c r="K3" s="228"/>
      <c r="L3" s="182"/>
    </row>
    <row r="5" spans="1:13" x14ac:dyDescent="0.25">
      <c r="G5" s="1"/>
      <c r="H5" s="1"/>
      <c r="I5" s="183"/>
    </row>
    <row r="6" spans="1:13" ht="23.25" x14ac:dyDescent="0.35">
      <c r="B6" s="2" t="s">
        <v>293</v>
      </c>
      <c r="G6" s="1"/>
      <c r="H6" s="1"/>
    </row>
    <row r="7" spans="1:13" ht="8.25" customHeight="1" x14ac:dyDescent="0.25"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</row>
    <row r="8" spans="1:13" ht="18.75" x14ac:dyDescent="0.3">
      <c r="B8" s="175" t="s">
        <v>208</v>
      </c>
      <c r="G8" s="1"/>
      <c r="H8" s="1"/>
    </row>
    <row r="10" spans="1:13" x14ac:dyDescent="0.25">
      <c r="B10" t="s">
        <v>2</v>
      </c>
      <c r="C10" s="169">
        <f>SUM('Informations LOCATIF'!$Q$26,'Informations VENTE'!$N$26,'Surfaces commerciales &amp; garages'!$H$15,'Surfaces commerciales &amp; garages'!$H$37)</f>
        <v>0</v>
      </c>
    </row>
    <row r="11" spans="1:13" ht="8.25" customHeight="1" x14ac:dyDescent="0.25">
      <c r="C11" s="110"/>
    </row>
    <row r="12" spans="1:13" x14ac:dyDescent="0.25">
      <c r="B12" t="str">
        <f>IF('Informations générales'!$E$14="ZDPPE","Total prix de vente maximum autorisé","Total loyer annuel maximum autorisé")</f>
        <v>Total loyer annuel maximum autorisé</v>
      </c>
      <c r="C12" s="170">
        <f>IF('Informations générales'!$E$14="ZDPPE",SUM('Informations VENTE'!$Y$26,'Surfaces commerciales &amp; garages'!$O$15,'Surfaces commerciales &amp; garages'!$O$37),SUM('Informations LOCATIF'!$AD$26,'Surfaces commerciales &amp; garages'!$J$15,'Surfaces commerciales &amp; garages'!$J$37))</f>
        <v>0</v>
      </c>
    </row>
    <row r="13" spans="1:13" ht="6.75" customHeight="1" x14ac:dyDescent="0.25">
      <c r="C13" s="110"/>
    </row>
    <row r="14" spans="1:13" x14ac:dyDescent="0.25">
      <c r="A14" t="s">
        <v>104</v>
      </c>
      <c r="B14" t="str">
        <f>IF('Informations générales'!$E$14="ZDPPE","Total prix de vente effectifs (selon actes de vente)","Total loyer effectif (selon baux)")</f>
        <v>Total loyer effectif (selon baux)</v>
      </c>
      <c r="C14" s="170">
        <f>IF('Informations générales'!$E$14="ZDPPE",SUM('Informations VENTE'!$Z$26,'Surfaces commerciales &amp; garages'!$P$15,'Surfaces commerciales &amp; garages'!$P$37),SUM('Informations LOCATIF'!$AE$26,'Surfaces commerciales &amp; garages'!$K$15,'Surfaces commerciales &amp; garages'!$K$37))</f>
        <v>0</v>
      </c>
    </row>
    <row r="15" spans="1:13" ht="5.25" customHeight="1" x14ac:dyDescent="0.25"/>
    <row r="16" spans="1:13" ht="15.75" customHeight="1" x14ac:dyDescent="0.25">
      <c r="B16" s="73" t="s">
        <v>209</v>
      </c>
      <c r="C16" s="72"/>
      <c r="D16" s="72"/>
      <c r="E16" s="72"/>
      <c r="F16" s="73" t="s">
        <v>132</v>
      </c>
      <c r="G16" s="9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générales'!$E$43="Non"),"","- N/A")</f>
        <v>- N/A</v>
      </c>
      <c r="H16" s="72"/>
      <c r="I16" s="97" t="s">
        <v>221</v>
      </c>
      <c r="J16" s="100" t="str">
        <f>IF(OR('Informations générales'!$E$14="HM",'Informations générales'!$E$14="HM LUP"),"","- N/A")</f>
        <v>- N/A</v>
      </c>
      <c r="K16" s="98" t="s">
        <v>220</v>
      </c>
      <c r="L16" s="98"/>
      <c r="M16" s="99" t="str">
        <f>IF(AND(OR('Informations générales'!$E$14="HBM",'Informations générales'!$E$14="HBM LUP"),SUM($C$19:$C$25)&gt;50,'Informations générales'!$E$39&lt;&gt;"Non"),"","- N/A")</f>
        <v>- N/A</v>
      </c>
    </row>
    <row r="17" spans="2:13" ht="3" customHeight="1" x14ac:dyDescent="0.25"/>
    <row r="18" spans="2:13" s="77" customFormat="1" ht="30" customHeight="1" x14ac:dyDescent="0.25">
      <c r="B18" s="75" t="s">
        <v>52</v>
      </c>
      <c r="C18" s="76" t="str">
        <f>CONCATENATE("Nombre logements (",SUM($C$19:$C$30),")")</f>
        <v>Nombre logements (0)</v>
      </c>
      <c r="D18" s="76" t="str">
        <f ca="1">CONCATENATE("Nombre pièces (",SUM($D$19:$D$30),")")</f>
        <v>Nombre pièces (0)</v>
      </c>
      <c r="F18" s="75" t="s">
        <v>210</v>
      </c>
      <c r="G18" s="75" t="s">
        <v>211</v>
      </c>
      <c r="I18" s="76" t="s">
        <v>212</v>
      </c>
      <c r="K18" s="75" t="s">
        <v>213</v>
      </c>
      <c r="L18" s="76" t="s">
        <v>214</v>
      </c>
      <c r="M18" s="75" t="s">
        <v>215</v>
      </c>
    </row>
    <row r="19" spans="2:13" x14ac:dyDescent="0.25">
      <c r="B19" s="69" t="str">
        <f>IF('Informations générales'!F48&lt;&gt;"",'Informations générales'!F48," ")</f>
        <v xml:space="preserve"> </v>
      </c>
      <c r="C19" s="162" t="str">
        <f>IF('Informations générales'!$E$14="ZDPPE",IF(COUNTIF('Informations VENTE'!$F$27:$H$526,B19)&gt;0,COUNTIF('Informations VENTE'!$F$27:$H$526,B19),""),IF(COUNTIF('Informations LOCATIF'!$F$27:$H$526,B19)&gt;0,COUNTIF('Informations LOCATIF'!$F$27:$H$526,B19),""))</f>
        <v/>
      </c>
      <c r="D19" s="165" t="str">
        <f ca="1">IF('Informations générales'!$E$14="ZDPPE",IF(SUMIF('Informations VENTE'!$F$27:$H$526,B19,'Informations VENTE'!$N$27:$N$526)&gt;0,SUMIF('Informations VENTE'!$F$27:$H$526,B19,'Informations VENTE'!$N$27:$N$526),""),IF(SUMIF('Informations LOCATIF'!$F$27:$H$526,B19,'Informations LOCATIF'!$Q$27:$Q$526)&gt;0,SUMIF('Informations LOCATIF'!$F$27:$H$526,B19,'Informations LOCATIF'!$Q$27:$Q$526),""))</f>
        <v/>
      </c>
      <c r="E19" s="110"/>
      <c r="F19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LOCATIF'!$F$27:$F$526,B19,'Informations LOCATIF'!$M$27:$M$526,"=Oui") / (C19-SUM(COUNTIFS('Informations LOCATIF'!$F$27:$F$526,B19,'Informations LOCATIF'!$L$27:$L$526,"=IEPA"),COUNTIFS('Informations LOCATIF'!$F$27:$F$526,B19,'Informations LOCATIF'!$L$27:$L$526,"=Foyer"))),""),"")</f>
        <v/>
      </c>
      <c r="G19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LOCATIF'!$F$27:$F$526,B19,'Informations LOCATIF'!$M$27:$M$526,"=Oui") / (D19-SUM(SUMIFS('Informations LOCATIF'!$Q$27:$Q$526,'Informations LOCATIF'!$F$27:$F$526,B19,'Informations LOCATIF'!$L$27:$L$526,"=IEPA"),SUMIFS('Informations LOCATIF'!$Q$27:$Q$526,'Informations LOCATIF'!$F$27:$F$526,B19,'Informations LOCATIF'!$L$27:$L$526,"=Foyer"))),""),"")</f>
        <v/>
      </c>
      <c r="H19" s="110"/>
      <c r="I19" s="167" t="str">
        <f>IFERROR(IF(OR('Informations générales'!$E$14="HM",'Informations générales'!$E$14="HM LUP"),ROUNDUP(C19*0.6,0), ""),"")</f>
        <v/>
      </c>
      <c r="J19" s="110"/>
      <c r="K19" s="168" t="str">
        <f>IFERROR(IF(AND(OR('Informations générales'!$E$14="HBM",'Informations générales'!$E$14="HBM LUP"),SUM($C$19:$C$31)&gt;50,'Informations générales'!$E$39&lt;&gt;"Non"),ROUNDUP(C19*0.33,0),""),"")</f>
        <v/>
      </c>
      <c r="L19" s="168" t="str">
        <f>IFERROR(IF(AND(OR('Informations générales'!$E$14="HBM",'Informations générales'!$E$14="HBM LUP"),SUM($C$19:$C$25)&gt;50,'Informations générales'!$E$39&lt;&gt;"Non"),ROUNDDOWN(C19*0.66,0),""),"")</f>
        <v/>
      </c>
      <c r="M19" s="168" t="str">
        <f>IFERROR(IF(AND(OR('Informations générales'!$E$14="HBM",'Informations générales'!$E$14="HBM LUP"),SUM($C$19:$C$25)&gt;50,'Informations générales'!$E$39&lt;&gt;"Non"),ROUNDDOWN(C19*0.33,0),""),"")</f>
        <v/>
      </c>
    </row>
    <row r="20" spans="2:13" x14ac:dyDescent="0.25">
      <c r="B20" s="69" t="str">
        <f>IF('Informations générales'!F49&lt;&gt;"",'Informations générales'!F49," ")</f>
        <v xml:space="preserve"> </v>
      </c>
      <c r="C20" s="162" t="str">
        <f>IF('Informations générales'!$E$14="ZDPPE",IF(COUNTIF('Informations VENTE'!$F$27:$H$526,B20)&gt;0,COUNTIF('Informations VENTE'!$F$27:$H$526,B20),""),IF(COUNTIF('Informations LOCATIF'!$F$27:$H$526,B20)&gt;0,COUNTIF('Informations LOCATIF'!$F$27:$H$526,B20),""))</f>
        <v/>
      </c>
      <c r="D20" s="165" t="str">
        <f ca="1">IF('Informations générales'!$E$14="ZDPPE",IF(SUMIF('Informations VENTE'!$F$27:$H$526,B20,'Informations VENTE'!$N$27:$N$526)&gt;0,SUMIF('Informations VENTE'!$F$27:$H$526,B20,'Informations VENTE'!$N$27:$N$526),""),IF(SUMIF('Informations LOCATIF'!$F$27:$H$526,B20,'Informations LOCATIF'!$Q$27:$Q$526)&gt;0,SUMIF('Informations LOCATIF'!$F$27:$H$526,B20,'Informations LOCATIF'!$Q$27:$Q$526),""))</f>
        <v/>
      </c>
      <c r="E20" s="110"/>
      <c r="F20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LOCATIF'!$F$27:$F$526,B20,'Informations LOCATIF'!$M$27:$M$526,"=Oui") / (C20-SUM(COUNTIFS('Informations LOCATIF'!$F$27:$F$526,B20,'Informations LOCATIF'!$L$27:$L$526,"=IEPA"),COUNTIFS('Informations LOCATIF'!$F$27:$F$526,B20,'Informations LOCATIF'!$L$27:$L$526,"=Foyer"))),""),"")</f>
        <v/>
      </c>
      <c r="G20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LOCATIF'!$F$27:$F$526,B20,'Informations LOCATIF'!$M$27:$M$526,"=Oui") / (D20-SUM(SUMIFS('Informations LOCATIF'!$Q$27:$Q$526,'Informations LOCATIF'!$F$27:$F$526,B20,'Informations LOCATIF'!$L$27:$L$526,"=IEPA"),SUMIFS('Informations LOCATIF'!$Q$27:$Q$526,'Informations LOCATIF'!$F$27:$F$526,B20,'Informations LOCATIF'!$L$27:$L$526,"=Foyer"))),""),"")</f>
        <v/>
      </c>
      <c r="H20" s="110"/>
      <c r="I20" s="167" t="str">
        <f>IFERROR(IF(OR('Informations générales'!$E$14="HM",'Informations générales'!$E$14="HM LUP"),ROUNDUP(C20*0.6,0), ""),"")</f>
        <v/>
      </c>
      <c r="J20" s="110"/>
      <c r="K20" s="168" t="str">
        <f>IFERROR(IF(AND(OR('Informations générales'!$E$14="HBM",'Informations générales'!$E$14="HBM LUP"),SUM($C$19:$C$31)&gt;50,'Informations générales'!$E$39&lt;&gt;"Non"),ROUNDUP(C20*0.33,0),""),"")</f>
        <v/>
      </c>
      <c r="L20" s="168" t="str">
        <f>IFERROR(IF(AND(OR('Informations générales'!$E$14="HBM",'Informations générales'!$E$14="HBM LUP"),SUM($C$19:$C$25)&gt;50,'Informations générales'!$E$39&lt;&gt;"Non"),ROUNDDOWN(C20*0.66,0),""),"")</f>
        <v/>
      </c>
      <c r="M20" s="168" t="str">
        <f>IFERROR(IF(AND(OR('Informations générales'!$E$14="HBM",'Informations générales'!$E$14="HBM LUP"),SUM($C$19:$C$25)&gt;50,'Informations générales'!$E$39&lt;&gt;"Non"),ROUNDDOWN(C20*0.33,0),""),"")</f>
        <v/>
      </c>
    </row>
    <row r="21" spans="2:13" x14ac:dyDescent="0.25">
      <c r="B21" s="69" t="str">
        <f>IF('Informations générales'!F50&lt;&gt;"",'Informations générales'!F50," ")</f>
        <v xml:space="preserve"> </v>
      </c>
      <c r="C21" s="162" t="str">
        <f>IF('Informations générales'!$E$14="ZDPPE",IF(COUNTIF('Informations VENTE'!$F$27:$H$526,B21)&gt;0,COUNTIF('Informations VENTE'!$F$27:$H$526,B21),""),IF(COUNTIF('Informations LOCATIF'!$F$27:$H$526,B21)&gt;0,COUNTIF('Informations LOCATIF'!$F$27:$H$526,B21),""))</f>
        <v/>
      </c>
      <c r="D21" s="165" t="str">
        <f ca="1">IF('Informations générales'!$E$14="ZDPPE",IF(SUMIF('Informations VENTE'!$F$27:$H$526,B21,'Informations VENTE'!$N$27:$N$526)&gt;0,SUMIF('Informations VENTE'!$F$27:$H$526,B21,'Informations VENTE'!$N$27:$N$526),""),IF(SUMIF('Informations LOCATIF'!$F$27:$H$526,B21,'Informations LOCATIF'!$Q$27:$Q$526)&gt;0,SUMIF('Informations LOCATIF'!$F$27:$H$526,B21,'Informations LOCATIF'!$Q$27:$Q$526),""))</f>
        <v/>
      </c>
      <c r="E21" s="110"/>
      <c r="F21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LOCATIF'!$F$27:$F$526,B21,'Informations LOCATIF'!$M$27:$M$526,"=Oui") / (C21-SUM(COUNTIFS('Informations LOCATIF'!$F$27:$F$526,B21,'Informations LOCATIF'!$L$27:$L$526,"=IEPA"),COUNTIFS('Informations LOCATIF'!$F$27:$F$526,B21,'Informations LOCATIF'!$L$27:$L$526,"=Foyer"))),""),"")</f>
        <v/>
      </c>
      <c r="G21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LOCATIF'!$F$27:$F$526,B21,'Informations LOCATIF'!$M$27:$M$526,"=Oui") / (D21-SUM(SUMIFS('Informations LOCATIF'!$Q$27:$Q$526,'Informations LOCATIF'!$F$27:$F$526,B21,'Informations LOCATIF'!$L$27:$L$526,"=IEPA"),SUMIFS('Informations LOCATIF'!$Q$27:$Q$526,'Informations LOCATIF'!$F$27:$F$526,B21,'Informations LOCATIF'!$L$27:$L$526,"=Foyer"))),""),"")</f>
        <v/>
      </c>
      <c r="H21" s="110"/>
      <c r="I21" s="167" t="str">
        <f>IFERROR(IF(OR('Informations générales'!$E$14="HM",'Informations générales'!$E$14="HM LUP"),ROUNDUP(C21*0.6,0), ""),"")</f>
        <v/>
      </c>
      <c r="J21" s="110"/>
      <c r="K21" s="168" t="str">
        <f>IFERROR(IF(AND(OR('Informations générales'!$E$14="HBM",'Informations générales'!$E$14="HBM LUP"),SUM($C$19:$C$31)&gt;50,'Informations générales'!$E$39&lt;&gt;"Non"),ROUNDUP(C21*0.33,0),""),"")</f>
        <v/>
      </c>
      <c r="L21" s="168" t="str">
        <f>IFERROR(IF(AND(OR('Informations générales'!$E$14="HBM",'Informations générales'!$E$14="HBM LUP"),SUM($C$19:$C$25)&gt;50,'Informations générales'!$E$39&lt;&gt;"Non"),ROUNDDOWN(C21*0.66,0),""),"")</f>
        <v/>
      </c>
      <c r="M21" s="168" t="str">
        <f>IFERROR(IF(AND(OR('Informations générales'!$E$14="HBM",'Informations générales'!$E$14="HBM LUP"),SUM($C$19:$C$25)&gt;50,'Informations générales'!$E$39&lt;&gt;"Non"),ROUNDDOWN(C21*0.33,0),""),"")</f>
        <v/>
      </c>
    </row>
    <row r="22" spans="2:13" x14ac:dyDescent="0.25">
      <c r="B22" s="69" t="str">
        <f>IF('Informations générales'!F51&lt;&gt;"",'Informations générales'!F51," ")</f>
        <v xml:space="preserve"> </v>
      </c>
      <c r="C22" s="162" t="str">
        <f>IF('Informations générales'!$E$14="ZDPPE",IF(COUNTIF('Informations VENTE'!$F$27:$H$526,B22)&gt;0,COUNTIF('Informations VENTE'!$F$27:$H$526,B22),""),IF(COUNTIF('Informations LOCATIF'!$F$27:$H$526,B22)&gt;0,COUNTIF('Informations LOCATIF'!$F$27:$H$526,B22),""))</f>
        <v/>
      </c>
      <c r="D22" s="165" t="str">
        <f ca="1">IF('Informations générales'!$E$14="ZDPPE",IF(SUMIF('Informations VENTE'!$F$27:$H$526,B22,'Informations VENTE'!$N$27:$N$526)&gt;0,SUMIF('Informations VENTE'!$F$27:$H$526,B22,'Informations VENTE'!$N$27:$N$526),""),IF(SUMIF('Informations LOCATIF'!$F$27:$H$526,B22,'Informations LOCATIF'!$Q$27:$Q$526)&gt;0,SUMIF('Informations LOCATIF'!$F$27:$H$526,B22,'Informations LOCATIF'!$Q$27:$Q$526),""))</f>
        <v/>
      </c>
      <c r="E22" s="110"/>
      <c r="F22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LOCATIF'!$F$27:$F$526,B22,'Informations LOCATIF'!$M$27:$M$526,"=Oui") / (C22-SUM(COUNTIFS('Informations LOCATIF'!$F$27:$F$526,B22,'Informations LOCATIF'!$L$27:$L$526,"=IEPA"),COUNTIFS('Informations LOCATIF'!$F$27:$F$526,B22,'Informations LOCATIF'!$L$27:$L$526,"=Foyer"))),""),"")</f>
        <v/>
      </c>
      <c r="G22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LOCATIF'!$F$27:$F$526,B22,'Informations LOCATIF'!$M$27:$M$526,"=Oui") / (D22-SUM(SUMIFS('Informations LOCATIF'!$Q$27:$Q$526,'Informations LOCATIF'!$F$27:$F$526,B22,'Informations LOCATIF'!$L$27:$L$526,"=IEPA"),SUMIFS('Informations LOCATIF'!$Q$27:$Q$526,'Informations LOCATIF'!$F$27:$F$526,B22,'Informations LOCATIF'!$L$27:$L$526,"=Foyer"))),""),"")</f>
        <v/>
      </c>
      <c r="H22" s="110"/>
      <c r="I22" s="167" t="str">
        <f>IFERROR(IF(OR('Informations générales'!$E$14="HM",'Informations générales'!$E$14="HM LUP"),ROUNDUP(C22*0.6,0), ""),"")</f>
        <v/>
      </c>
      <c r="J22" s="110"/>
      <c r="K22" s="168" t="str">
        <f>IFERROR(IF(AND(OR('Informations générales'!$E$14="HBM",'Informations générales'!$E$14="HBM LUP"),SUM($C$19:$C$31)&gt;50,'Informations générales'!$E$39&lt;&gt;"Non"),ROUNDUP(C22*0.33,0),""),"")</f>
        <v/>
      </c>
      <c r="L22" s="168" t="str">
        <f>IFERROR(IF(AND(OR('Informations générales'!$E$14="HBM",'Informations générales'!$E$14="HBM LUP"),SUM($C$19:$C$25)&gt;50,'Informations générales'!$E$39&lt;&gt;"Non"),ROUNDDOWN(C22*0.66,0),""),"")</f>
        <v/>
      </c>
      <c r="M22" s="168" t="str">
        <f>IFERROR(IF(AND(OR('Informations générales'!$E$14="HBM",'Informations générales'!$E$14="HBM LUP"),SUM($C$19:$C$25)&gt;50,'Informations générales'!$E$39&lt;&gt;"Non"),ROUNDDOWN(C22*0.33,0),""),"")</f>
        <v/>
      </c>
    </row>
    <row r="23" spans="2:13" x14ac:dyDescent="0.25">
      <c r="B23" s="69" t="str">
        <f>IF('Informations générales'!F52&lt;&gt;"",'Informations générales'!F52," ")</f>
        <v xml:space="preserve"> </v>
      </c>
      <c r="C23" s="162" t="str">
        <f>IF('Informations générales'!$E$14="ZDPPE",IF(COUNTIF('Informations VENTE'!$F$27:$H$526,B23)&gt;0,COUNTIF('Informations VENTE'!$F$27:$H$526,B23),""),IF(COUNTIF('Informations LOCATIF'!$F$27:$H$526,B23)&gt;0,COUNTIF('Informations LOCATIF'!$F$27:$H$526,B23),""))</f>
        <v/>
      </c>
      <c r="D23" s="165" t="str">
        <f ca="1">IF('Informations générales'!$E$14="ZDPPE",IF(SUMIF('Informations VENTE'!$F$27:$H$526,B23,'Informations VENTE'!$N$27:$N$526)&gt;0,SUMIF('Informations VENTE'!$F$27:$H$526,B23,'Informations VENTE'!$N$27:$N$526),""),IF(SUMIF('Informations LOCATIF'!$F$27:$H$526,B23,'Informations LOCATIF'!$Q$27:$Q$526)&gt;0,SUMIF('Informations LOCATIF'!$F$27:$H$526,B23,'Informations LOCATIF'!$Q$27:$Q$526),""))</f>
        <v/>
      </c>
      <c r="E23" s="110"/>
      <c r="F23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LOCATIF'!$F$27:$F$526,B23,'Informations LOCATIF'!$M$27:$M$526,"=Oui") / (C23-SUM(COUNTIFS('Informations LOCATIF'!$F$27:$F$526,B23,'Informations LOCATIF'!$L$27:$L$526,"=IEPA"),COUNTIFS('Informations LOCATIF'!$F$27:$F$526,B23,'Informations LOCATIF'!$L$27:$L$526,"=Foyer"))),""),"")</f>
        <v/>
      </c>
      <c r="G23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LOCATIF'!$F$27:$F$526,B23,'Informations LOCATIF'!$M$27:$M$526,"=Oui") / (D23-SUM(SUMIFS('Informations LOCATIF'!$Q$27:$Q$526,'Informations LOCATIF'!$F$27:$F$526,B23,'Informations LOCATIF'!$L$27:$L$526,"=IEPA"),SUMIFS('Informations LOCATIF'!$Q$27:$Q$526,'Informations LOCATIF'!$F$27:$F$526,B23,'Informations LOCATIF'!$L$27:$L$526,"=Foyer"))),""),"")</f>
        <v/>
      </c>
      <c r="H23" s="110"/>
      <c r="I23" s="167" t="str">
        <f>IFERROR(IF(OR('Informations générales'!$E$14="HM",'Informations générales'!$E$14="HM LUP"),ROUNDUP(C23*0.6,0), ""),"")</f>
        <v/>
      </c>
      <c r="J23" s="110"/>
      <c r="K23" s="168" t="str">
        <f>IFERROR(IF(AND(OR('Informations générales'!$E$14="HBM",'Informations générales'!$E$14="HBM LUP"),SUM($C$19:$C$31)&gt;50,'Informations générales'!$E$39&lt;&gt;"Non"),ROUNDUP(C23*0.33,0),""),"")</f>
        <v/>
      </c>
      <c r="L23" s="168" t="str">
        <f>IFERROR(IF(AND(OR('Informations générales'!$E$14="HBM",'Informations générales'!$E$14="HBM LUP"),SUM($C$19:$C$25)&gt;50,'Informations générales'!$E$39&lt;&gt;"Non"),ROUNDDOWN(C23*0.66,0),""),"")</f>
        <v/>
      </c>
      <c r="M23" s="168" t="str">
        <f>IFERROR(IF(AND(OR('Informations générales'!$E$14="HBM",'Informations générales'!$E$14="HBM LUP"),SUM($C$19:$C$25)&gt;50,'Informations générales'!$E$39&lt;&gt;"Non"),ROUNDDOWN(C23*0.33,0),""),"")</f>
        <v/>
      </c>
    </row>
    <row r="24" spans="2:13" x14ac:dyDescent="0.25">
      <c r="B24" s="69" t="str">
        <f>IF('Informations générales'!F53&lt;&gt;"",'Informations générales'!F53," ")</f>
        <v xml:space="preserve"> </v>
      </c>
      <c r="C24" s="162" t="str">
        <f>IF('Informations générales'!$E$14="ZDPPE",IF(COUNTIF('Informations VENTE'!$F$27:$H$526,B24)&gt;0,COUNTIF('Informations VENTE'!$F$27:$H$526,B24),""),IF(COUNTIF('Informations LOCATIF'!$F$27:$H$526,B24)&gt;0,COUNTIF('Informations LOCATIF'!$F$27:$H$526,B24),""))</f>
        <v/>
      </c>
      <c r="D24" s="165" t="str">
        <f ca="1">IF('Informations générales'!$E$14="ZDPPE",IF(SUMIF('Informations VENTE'!$F$27:$H$526,B24,'Informations VENTE'!$N$27:$N$526)&gt;0,SUMIF('Informations VENTE'!$F$27:$H$526,B24,'Informations VENTE'!$N$27:$N$526),""),IF(SUMIF('Informations LOCATIF'!$F$27:$H$526,B24,'Informations LOCATIF'!$Q$27:$Q$526)&gt;0,SUMIF('Informations LOCATIF'!$F$27:$H$526,B24,'Informations LOCATIF'!$Q$27:$Q$526),""))</f>
        <v/>
      </c>
      <c r="E24" s="110"/>
      <c r="F24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LOCATIF'!$F$27:$F$526,B24,'Informations LOCATIF'!$M$27:$M$526,"=Oui") / (C24-SUM(COUNTIFS('Informations LOCATIF'!$F$27:$F$526,B24,'Informations LOCATIF'!$L$27:$L$526,"=IEPA"),COUNTIFS('Informations LOCATIF'!$F$27:$F$526,B24,'Informations LOCATIF'!$L$27:$L$526,"=Foyer"))),""),"")</f>
        <v/>
      </c>
      <c r="G24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LOCATIF'!$F$27:$F$526,B24,'Informations LOCATIF'!$M$27:$M$526,"=Oui") / (D24-SUM(SUMIFS('Informations LOCATIF'!$Q$27:$Q$526,'Informations LOCATIF'!$F$27:$F$526,B24,'Informations LOCATIF'!$L$27:$L$526,"=IEPA"),SUMIFS('Informations LOCATIF'!$Q$27:$Q$526,'Informations LOCATIF'!$F$27:$F$526,B24,'Informations LOCATIF'!$L$27:$L$526,"=Foyer"))),""),"")</f>
        <v/>
      </c>
      <c r="H24" s="110"/>
      <c r="I24" s="167" t="str">
        <f>IFERROR(IF(OR('Informations générales'!$E$14="HM",'Informations générales'!$E$14="HM LUP"),ROUNDUP(C24*0.6,0), ""),"")</f>
        <v/>
      </c>
      <c r="J24" s="110"/>
      <c r="K24" s="168" t="str">
        <f>IFERROR(IF(AND(OR('Informations générales'!$E$14="HBM",'Informations générales'!$E$14="HBM LUP"),SUM($C$19:$C$31)&gt;50,'Informations générales'!$E$39&lt;&gt;"Non"),ROUNDUP(C24*0.33,0),""),"")</f>
        <v/>
      </c>
      <c r="L24" s="168" t="str">
        <f>IFERROR(IF(AND(OR('Informations générales'!$E$14="HBM",'Informations générales'!$E$14="HBM LUP"),SUM($C$19:$C$25)&gt;50,'Informations générales'!$E$39&lt;&gt;"Non"),ROUNDDOWN(C24*0.66,0),""),"")</f>
        <v/>
      </c>
      <c r="M24" s="168" t="str">
        <f>IFERROR(IF(AND(OR('Informations générales'!$E$14="HBM",'Informations générales'!$E$14="HBM LUP"),SUM($C$19:$C$25)&gt;50,'Informations générales'!$E$39&lt;&gt;"Non"),ROUNDDOWN(C24*0.33,0),""),"")</f>
        <v/>
      </c>
    </row>
    <row r="25" spans="2:13" x14ac:dyDescent="0.25">
      <c r="B25" s="69" t="str">
        <f>IF('Informations générales'!F54&lt;&gt;"",'Informations générales'!F54," ")</f>
        <v xml:space="preserve"> </v>
      </c>
      <c r="C25" s="162" t="str">
        <f>IF('Informations générales'!$E$14="ZDPPE",IF(COUNTIF('Informations VENTE'!$F$27:$H$526,B25)&gt;0,COUNTIF('Informations VENTE'!$F$27:$H$526,B25),""),IF(COUNTIF('Informations LOCATIF'!$F$27:$H$526,B25)&gt;0,COUNTIF('Informations LOCATIF'!$F$27:$H$526,B25),""))</f>
        <v/>
      </c>
      <c r="D25" s="165" t="str">
        <f ca="1">IF('Informations générales'!$E$14="ZDPPE",IF(SUMIF('Informations VENTE'!$F$27:$H$526,B25,'Informations VENTE'!$N$27:$N$526)&gt;0,SUMIF('Informations VENTE'!$F$27:$H$526,B25,'Informations VENTE'!$N$27:$N$526),""),IF(SUMIF('Informations LOCATIF'!$F$27:$H$526,B25,'Informations LOCATIF'!$Q$27:$Q$526)&gt;0,SUMIF('Informations LOCATIF'!$F$27:$H$526,B25,'Informations LOCATIF'!$Q$27:$Q$526),""))</f>
        <v/>
      </c>
      <c r="E25" s="110"/>
      <c r="F25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LOCATIF'!$F$27:$F$526,B25,'Informations LOCATIF'!$M$27:$M$526,"=Oui") / (C25-SUM(COUNTIFS('Informations LOCATIF'!$F$27:$F$526,B25,'Informations LOCATIF'!$L$27:$L$526,"=IEPA"),COUNTIFS('Informations LOCATIF'!$F$27:$F$526,B25,'Informations LOCATIF'!$L$27:$L$526,"=Foyer"))),""),"")</f>
        <v/>
      </c>
      <c r="G25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LOCATIF'!$F$27:$F$526,B25,'Informations LOCATIF'!$M$27:$M$526,"=Oui") / (D25-SUM(SUMIFS('Informations LOCATIF'!$Q$27:$Q$526,'Informations LOCATIF'!$F$27:$F$526,B25,'Informations LOCATIF'!$L$27:$L$526,"=IEPA"),SUMIFS('Informations LOCATIF'!$Q$27:$Q$526,'Informations LOCATIF'!$F$27:$F$526,B25,'Informations LOCATIF'!$L$27:$L$526,"=Foyer"))),""),"")</f>
        <v/>
      </c>
      <c r="H25" s="110"/>
      <c r="I25" s="167" t="str">
        <f>IFERROR(IF(OR('Informations générales'!$E$14="HM",'Informations générales'!$E$14="HM LUP"),ROUNDUP(C25*0.6,0), ""),"")</f>
        <v/>
      </c>
      <c r="J25" s="110"/>
      <c r="K25" s="168" t="str">
        <f>IFERROR(IF(AND(OR('Informations générales'!$E$14="HBM",'Informations générales'!$E$14="HBM LUP"),SUM($C$19:$C$31)&gt;50,'Informations générales'!$E$39&lt;&gt;"Non"),ROUNDUP(C25*0.33,0),""),"")</f>
        <v/>
      </c>
      <c r="L25" s="168" t="str">
        <f>IFERROR(IF(AND(OR('Informations générales'!$E$14="HBM",'Informations générales'!$E$14="HBM LUP"),SUM($C$19:$C$25)&gt;50,'Informations générales'!$E$39&lt;&gt;"Non"),ROUNDDOWN(C25*0.66,0),""),"")</f>
        <v/>
      </c>
      <c r="M25" s="168" t="str">
        <f>IFERROR(IF(AND(OR('Informations générales'!$E$14="HBM",'Informations générales'!$E$14="HBM LUP"),SUM($C$19:$C$25)&gt;50,'Informations générales'!$E$39&lt;&gt;"Non"),ROUNDDOWN(C25*0.33,0),""),"")</f>
        <v/>
      </c>
    </row>
    <row r="26" spans="2:13" x14ac:dyDescent="0.25">
      <c r="B26" s="69" t="str">
        <f>IF('Informations générales'!F55&lt;&gt;"",'Informations générales'!F55," ")</f>
        <v xml:space="preserve"> </v>
      </c>
      <c r="C26" s="162" t="str">
        <f>IF('Informations générales'!$E$14="ZDPPE",IF(COUNTIF('Informations VENTE'!$F$27:$H$526,B26)&gt;0,COUNTIF('Informations VENTE'!$F$27:$H$526,B26),""),IF(COUNTIF('Informations LOCATIF'!$F$27:$H$526,B26)&gt;0,COUNTIF('Informations LOCATIF'!$F$27:$H$526,B26),""))</f>
        <v/>
      </c>
      <c r="D26" s="165" t="str">
        <f ca="1">IF('Informations générales'!$E$14="ZDPPE",IF(SUMIF('Informations VENTE'!$F$27:$H$526,B26,'Informations VENTE'!$N$27:$N$526)&gt;0,SUMIF('Informations VENTE'!$F$27:$H$526,B26,'Informations VENTE'!$N$27:$N$526),""),IF(SUMIF('Informations LOCATIF'!$F$27:$H$526,B26,'Informations LOCATIF'!$Q$27:$Q$526)&gt;0,SUMIF('Informations LOCATIF'!$F$27:$H$526,B26,'Informations LOCATIF'!$Q$27:$Q$526),""))</f>
        <v/>
      </c>
      <c r="E26" s="110"/>
      <c r="F26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LOCATIF'!$F$27:$F$526,B26,'Informations LOCATIF'!$M$27:$M$526,"=Oui") / (C26-SUM(COUNTIFS('Informations LOCATIF'!$F$27:$F$526,B26,'Informations LOCATIF'!$L$27:$L$526,"=IEPA"),COUNTIFS('Informations LOCATIF'!$F$27:$F$526,B26,'Informations LOCATIF'!$L$27:$L$526,"=Foyer"))),""),"")</f>
        <v/>
      </c>
      <c r="G26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LOCATIF'!$F$27:$F$526,B26,'Informations LOCATIF'!$M$27:$M$526,"=Oui") / (D26-SUM(SUMIFS('Informations LOCATIF'!$Q$27:$Q$526,'Informations LOCATIF'!$F$27:$F$526,B26,'Informations LOCATIF'!$L$27:$L$526,"=IEPA"),SUMIFS('Informations LOCATIF'!$Q$27:$Q$526,'Informations LOCATIF'!$F$27:$F$526,B26,'Informations LOCATIF'!$L$27:$L$526,"=Foyer"))),""),"")</f>
        <v/>
      </c>
      <c r="H26" s="110"/>
      <c r="I26" s="167" t="str">
        <f>IFERROR(IF(OR('Informations générales'!$E$14="HM",'Informations générales'!$E$14="HM LUP"),ROUNDUP(C26*0.6,0), ""),"")</f>
        <v/>
      </c>
      <c r="J26" s="110"/>
      <c r="K26" s="168" t="str">
        <f>IFERROR(IF(AND(OR('Informations générales'!$E$14="HBM",'Informations générales'!$E$14="HBM LUP"),SUM($C$19:$C$31)&gt;50,'Informations générales'!$E$39&lt;&gt;"Non"),ROUNDUP(C26*0.33,0),""),"")</f>
        <v/>
      </c>
      <c r="L26" s="168" t="str">
        <f>IFERROR(IF(AND(OR('Informations générales'!$E$14="HBM",'Informations générales'!$E$14="HBM LUP"),SUM($C$19:$C$25)&gt;50,'Informations générales'!$E$39&lt;&gt;"Non"),ROUNDDOWN(C26*0.66,0),""),"")</f>
        <v/>
      </c>
      <c r="M26" s="168" t="str">
        <f>IFERROR(IF(AND(OR('Informations générales'!$E$14="HBM",'Informations générales'!$E$14="HBM LUP"),SUM($C$19:$C$25)&gt;50,'Informations générales'!$E$39&lt;&gt;"Non"),ROUNDDOWN(C26*0.33,0),""),"")</f>
        <v/>
      </c>
    </row>
    <row r="27" spans="2:13" x14ac:dyDescent="0.25">
      <c r="B27" s="69" t="str">
        <f>IF('Informations générales'!F56&lt;&gt;"",'Informations générales'!F56," ")</f>
        <v xml:space="preserve"> </v>
      </c>
      <c r="C27" s="162" t="str">
        <f>IF('Informations générales'!$E$14="ZDPPE",IF(COUNTIF('Informations VENTE'!$F$27:$H$526,B27)&gt;0,COUNTIF('Informations VENTE'!$F$27:$H$526,B27),""),IF(COUNTIF('Informations LOCATIF'!$F$27:$H$526,B27)&gt;0,COUNTIF('Informations LOCATIF'!$F$27:$H$526,B27),""))</f>
        <v/>
      </c>
      <c r="D27" s="165" t="str">
        <f ca="1">IF('Informations générales'!$E$14="ZDPPE",IF(SUMIF('Informations VENTE'!$F$27:$H$526,B27,'Informations VENTE'!$N$27:$N$526)&gt;0,SUMIF('Informations VENTE'!$F$27:$H$526,B27,'Informations VENTE'!$N$27:$N$526),""),IF(SUMIF('Informations LOCATIF'!$F$27:$H$526,B27,'Informations LOCATIF'!$Q$27:$Q$526)&gt;0,SUMIF('Informations LOCATIF'!$F$27:$H$526,B27,'Informations LOCATIF'!$Q$27:$Q$526),""))</f>
        <v/>
      </c>
      <c r="E27" s="110"/>
      <c r="F27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LOCATIF'!$F$27:$F$526,B27,'Informations LOCATIF'!$M$27:$M$526,"=Oui") / (C27-SUM(COUNTIFS('Informations LOCATIF'!$F$27:$F$526,B27,'Informations LOCATIF'!$L$27:$L$526,"=IEPA"),COUNTIFS('Informations LOCATIF'!$F$27:$F$526,B27,'Informations LOCATIF'!$L$27:$L$526,"=Foyer"))),""),"")</f>
        <v/>
      </c>
      <c r="G27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LOCATIF'!$F$27:$F$526,B27,'Informations LOCATIF'!$M$27:$M$526,"=Oui") / (D27-SUM(SUMIFS('Informations LOCATIF'!$Q$27:$Q$526,'Informations LOCATIF'!$F$27:$F$526,B27,'Informations LOCATIF'!$L$27:$L$526,"=IEPA"),SUMIFS('Informations LOCATIF'!$Q$27:$Q$526,'Informations LOCATIF'!$F$27:$F$526,B27,'Informations LOCATIF'!$L$27:$L$526,"=Foyer"))),""),"")</f>
        <v/>
      </c>
      <c r="H27" s="110"/>
      <c r="I27" s="167" t="str">
        <f>IFERROR(IF(OR('Informations générales'!$E$14="HM",'Informations générales'!$E$14="HM LUP"),ROUNDUP(C27*0.6,0), ""),"")</f>
        <v/>
      </c>
      <c r="J27" s="110"/>
      <c r="K27" s="168" t="str">
        <f>IFERROR(IF(AND(OR('Informations générales'!$E$14="HBM",'Informations générales'!$E$14="HBM LUP"),SUM($C$19:$C$31)&gt;50,'Informations générales'!$E$39&lt;&gt;"Non"),ROUNDUP(C27*0.33,0),""),"")</f>
        <v/>
      </c>
      <c r="L27" s="168" t="str">
        <f>IFERROR(IF(AND(OR('Informations générales'!$E$14="HBM",'Informations générales'!$E$14="HBM LUP"),SUM($C$19:$C$25)&gt;50,'Informations générales'!$E$39&lt;&gt;"Non"),ROUNDDOWN(C27*0.66,0),""),"")</f>
        <v/>
      </c>
      <c r="M27" s="168" t="str">
        <f>IFERROR(IF(AND(OR('Informations générales'!$E$14="HBM",'Informations générales'!$E$14="HBM LUP"),SUM($C$19:$C$25)&gt;50,'Informations générales'!$E$39&lt;&gt;"Non"),ROUNDDOWN(C27*0.33,0),""),"")</f>
        <v/>
      </c>
    </row>
    <row r="28" spans="2:13" x14ac:dyDescent="0.25">
      <c r="B28" s="69" t="str">
        <f>IF('Informations générales'!F57&lt;&gt;"",'Informations générales'!F57," ")</f>
        <v xml:space="preserve"> </v>
      </c>
      <c r="C28" s="162" t="str">
        <f>IF('Informations générales'!$E$14="ZDPPE",IF(COUNTIF('Informations VENTE'!$F$27:$H$526,B28)&gt;0,COUNTIF('Informations VENTE'!$F$27:$H$526,B28),""),IF(COUNTIF('Informations LOCATIF'!$F$27:$H$526,B28)&gt;0,COUNTIF('Informations LOCATIF'!$F$27:$H$526,B28),""))</f>
        <v/>
      </c>
      <c r="D28" s="165" t="str">
        <f ca="1">IF('Informations générales'!$E$14="ZDPPE",IF(SUMIF('Informations VENTE'!$F$27:$H$526,B28,'Informations VENTE'!$N$27:$N$526)&gt;0,SUMIF('Informations VENTE'!$F$27:$H$526,B28,'Informations VENTE'!$N$27:$N$526),""),IF(SUMIF('Informations LOCATIF'!$F$27:$H$526,B28,'Informations LOCATIF'!$Q$27:$Q$526)&gt;0,SUMIF('Informations LOCATIF'!$F$27:$H$526,B28,'Informations LOCATIF'!$Q$27:$Q$526),""))</f>
        <v/>
      </c>
      <c r="E28" s="110"/>
      <c r="F28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LOCATIF'!$F$27:$F$526,B28,'Informations LOCATIF'!$M$27:$M$526,"=Oui") / (C28-SUM(COUNTIFS('Informations LOCATIF'!$F$27:$F$526,B28,'Informations LOCATIF'!$L$27:$L$526,"=IEPA"),COUNTIFS('Informations LOCATIF'!$F$27:$F$526,B28,'Informations LOCATIF'!$L$27:$L$526,"=Foyer"))),""),"")</f>
        <v/>
      </c>
      <c r="G28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LOCATIF'!$F$27:$F$526,B28,'Informations LOCATIF'!$M$27:$M$526,"=Oui") / (D28-SUM(SUMIFS('Informations LOCATIF'!$Q$27:$Q$526,'Informations LOCATIF'!$F$27:$F$526,B28,'Informations LOCATIF'!$L$27:$L$526,"=IEPA"),SUMIFS('Informations LOCATIF'!$Q$27:$Q$526,'Informations LOCATIF'!$F$27:$F$526,B28,'Informations LOCATIF'!$L$27:$L$526,"=Foyer"))),""),"")</f>
        <v/>
      </c>
      <c r="H28" s="110"/>
      <c r="I28" s="167" t="str">
        <f>IFERROR(IF(OR('Informations générales'!$E$14="HM",'Informations générales'!$E$14="HM LUP"),ROUNDUP(C28*0.6,0), ""),"")</f>
        <v/>
      </c>
      <c r="J28" s="110"/>
      <c r="K28" s="168" t="str">
        <f>IFERROR(IF(AND(OR('Informations générales'!$E$14="HBM",'Informations générales'!$E$14="HBM LUP"),SUM($C$19:$C$31)&gt;50,'Informations générales'!$E$39&lt;&gt;"Non"),ROUNDUP(C28*0.33,0),""),"")</f>
        <v/>
      </c>
      <c r="L28" s="168" t="str">
        <f>IFERROR(IF(AND(OR('Informations générales'!$E$14="HBM",'Informations générales'!$E$14="HBM LUP"),SUM($C$19:$C$25)&gt;50,'Informations générales'!$E$39&lt;&gt;"Non"),ROUNDDOWN(C28*0.66,0),""),"")</f>
        <v/>
      </c>
      <c r="M28" s="168" t="str">
        <f>IFERROR(IF(AND(OR('Informations générales'!$E$14="HBM",'Informations générales'!$E$14="HBM LUP"),SUM($C$19:$C$25)&gt;50,'Informations générales'!$E$39&lt;&gt;"Non"),ROUNDDOWN(C28*0.33,0),""),"")</f>
        <v/>
      </c>
    </row>
    <row r="29" spans="2:13" x14ac:dyDescent="0.25">
      <c r="B29" s="69" t="str">
        <f>IF('Informations générales'!F58&lt;&gt;"",'Informations générales'!F58," ")</f>
        <v xml:space="preserve"> </v>
      </c>
      <c r="C29" s="162" t="str">
        <f>IF('Informations générales'!$E$14="ZDPPE",IF(COUNTIF('Informations VENTE'!$F$27:$H$526,B29)&gt;0,COUNTIF('Informations VENTE'!$F$27:$H$526,B29),""),IF(COUNTIF('Informations LOCATIF'!$F$27:$H$526,B29)&gt;0,COUNTIF('Informations LOCATIF'!$F$27:$H$526,B29),""))</f>
        <v/>
      </c>
      <c r="D29" s="165" t="str">
        <f ca="1">IF('Informations générales'!$E$14="ZDPPE",IF(SUMIF('Informations VENTE'!$F$27:$H$526,B29,'Informations VENTE'!$N$27:$N$526)&gt;0,SUMIF('Informations VENTE'!$F$27:$H$526,B29,'Informations VENTE'!$N$27:$N$526),""),IF(SUMIF('Informations LOCATIF'!$F$27:$H$526,B29,'Informations LOCATIF'!$Q$27:$Q$526)&gt;0,SUMIF('Informations LOCATIF'!$F$27:$H$526,B29,'Informations LOCATIF'!$Q$27:$Q$526),""))</f>
        <v/>
      </c>
      <c r="E29" s="110"/>
      <c r="F29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LOCATIF'!$F$27:$F$526,B29,'Informations LOCATIF'!$M$27:$M$526,"=Oui") / (C29-SUM(COUNTIFS('Informations LOCATIF'!$F$27:$F$526,B29,'Informations LOCATIF'!$L$27:$L$526,"=IEPA"),COUNTIFS('Informations LOCATIF'!$F$27:$F$526,B29,'Informations LOCATIF'!$L$27:$L$526,"=Foyer"))),""),"")</f>
        <v/>
      </c>
      <c r="G29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LOCATIF'!$F$27:$F$526,B29,'Informations LOCATIF'!$M$27:$M$526,"=Oui") / (D29-SUM(SUMIFS('Informations LOCATIF'!$Q$27:$Q$526,'Informations LOCATIF'!$F$27:$F$526,B29,'Informations LOCATIF'!$L$27:$L$526,"=IEPA"),SUMIFS('Informations LOCATIF'!$Q$27:$Q$526,'Informations LOCATIF'!$F$27:$F$526,B29,'Informations LOCATIF'!$L$27:$L$526,"=Foyer"))),""),"")</f>
        <v/>
      </c>
      <c r="H29" s="110"/>
      <c r="I29" s="167" t="str">
        <f>IFERROR(IF(OR('Informations générales'!$E$14="HM",'Informations générales'!$E$14="HM LUP"),ROUNDUP(C29*0.6,0), ""),"")</f>
        <v/>
      </c>
      <c r="J29" s="110"/>
      <c r="K29" s="168" t="str">
        <f>IFERROR(IF(AND(OR('Informations générales'!$E$14="HBM",'Informations générales'!$E$14="HBM LUP"),SUM($C$19:$C$31)&gt;50,'Informations générales'!$E$39&lt;&gt;"Non"),ROUNDUP(C29*0.33,0),""),"")</f>
        <v/>
      </c>
      <c r="L29" s="168" t="str">
        <f>IFERROR(IF(AND(OR('Informations générales'!$E$14="HBM",'Informations générales'!$E$14="HBM LUP"),SUM($C$19:$C$25)&gt;50,'Informations générales'!$E$39&lt;&gt;"Non"),ROUNDDOWN(C29*0.66,0),""),"")</f>
        <v/>
      </c>
      <c r="M29" s="168" t="str">
        <f>IFERROR(IF(AND(OR('Informations générales'!$E$14="HBM",'Informations générales'!$E$14="HBM LUP"),SUM($C$19:$C$25)&gt;50,'Informations générales'!$E$39&lt;&gt;"Non"),ROUNDDOWN(C29*0.33,0),""),"")</f>
        <v/>
      </c>
    </row>
    <row r="30" spans="2:13" x14ac:dyDescent="0.25">
      <c r="B30" s="69" t="str">
        <f>IF('Informations générales'!F59&lt;&gt;"",'Informations générales'!F59," ")</f>
        <v xml:space="preserve"> </v>
      </c>
      <c r="C30" s="162" t="str">
        <f>IF('Informations générales'!$E$14="ZDPPE",IF(COUNTIF('Informations VENTE'!$F$27:$H$526,B30)&gt;0,COUNTIF('Informations VENTE'!$F$27:$H$526,B30),""),IF(COUNTIF('Informations LOCATIF'!$F$27:$H$526,B30)&gt;0,COUNTIF('Informations LOCATIF'!$F$27:$H$526,B30),""))</f>
        <v/>
      </c>
      <c r="D30" s="165" t="str">
        <f ca="1">IF('Informations générales'!$E$14="ZDPPE",IF(SUMIF('Informations VENTE'!$F$27:$H$526,B30,'Informations VENTE'!$N$27:$N$526)&gt;0,SUMIF('Informations VENTE'!$F$27:$H$526,B30,'Informations VENTE'!$N$27:$N$526),""),IF(SUMIF('Informations LOCATIF'!$F$27:$H$526,B30,'Informations LOCATIF'!$Q$27:$Q$526)&gt;0,SUMIF('Informations LOCATIF'!$F$27:$H$526,B30,'Informations LOCATIF'!$Q$27:$Q$526),""))</f>
        <v/>
      </c>
      <c r="E30" s="110"/>
      <c r="F30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LOCATIF'!$F$27:$F$526,B30,'Informations LOCATIF'!$M$27:$M$526,"=Oui") / (C30-SUM(COUNTIFS('Informations LOCATIF'!$F$27:$F$526,B30,'Informations LOCATIF'!$L$27:$L$526,"=IEPA"),COUNTIFS('Informations LOCATIF'!$F$27:$F$526,B30,'Informations LOCATIF'!$L$27:$L$526,"=Foyer"))),""),"")</f>
        <v/>
      </c>
      <c r="G30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LOCATIF'!$F$27:$F$526,B30,'Informations LOCATIF'!$M$27:$M$526,"=Oui") / (D30-SUM(SUMIFS('Informations LOCATIF'!$Q$27:$Q$526,'Informations LOCATIF'!$F$27:$F$526,B30,'Informations LOCATIF'!$L$27:$L$526,"=IEPA"),SUMIFS('Informations LOCATIF'!$Q$27:$Q$526,'Informations LOCATIF'!$F$27:$F$526,B30,'Informations LOCATIF'!$L$27:$L$526,"=Foyer"))),""),"")</f>
        <v/>
      </c>
      <c r="H30" s="110"/>
      <c r="I30" s="167" t="str">
        <f>IFERROR(IF(OR('Informations générales'!$E$14="HM",'Informations générales'!$E$14="HM LUP"),ROUNDUP(C30*0.6,0), ""),"")</f>
        <v/>
      </c>
      <c r="J30" s="110"/>
      <c r="K30" s="168" t="str">
        <f>IFERROR(IF(AND(OR('Informations générales'!$E$14="HBM",'Informations générales'!$E$14="HBM LUP"),SUM($C$19:$C$31)&gt;50,'Informations générales'!$E$39&lt;&gt;"Non"),ROUNDUP(C30*0.33,0),""),"")</f>
        <v/>
      </c>
      <c r="L30" s="168" t="str">
        <f>IFERROR(IF(AND(OR('Informations générales'!$E$14="HBM",'Informations générales'!$E$14="HBM LUP"),SUM($C$19:$C$25)&gt;50,'Informations générales'!$E$39&lt;&gt;"Non"),ROUNDDOWN(C30*0.66,0),""),"")</f>
        <v/>
      </c>
      <c r="M30" s="168" t="str">
        <f>IFERROR(IF(AND(OR('Informations générales'!$E$14="HBM",'Informations générales'!$E$14="HBM LUP"),SUM($C$19:$C$25)&gt;50,'Informations générales'!$E$39&lt;&gt;"Non"),ROUNDDOWN(C30*0.33,0),""),"")</f>
        <v/>
      </c>
    </row>
    <row r="31" spans="2:13" ht="11.25" customHeight="1" x14ac:dyDescent="0.25"/>
    <row r="32" spans="2:13" ht="15.75" customHeight="1" x14ac:dyDescent="0.25">
      <c r="B32" s="73" t="s">
        <v>227</v>
      </c>
      <c r="C32" s="72"/>
      <c r="D32" s="72"/>
    </row>
    <row r="33" spans="2:6" ht="3" customHeight="1" x14ac:dyDescent="0.25"/>
    <row r="34" spans="2:6" ht="33.75" customHeight="1" x14ac:dyDescent="0.25">
      <c r="B34" s="75" t="s">
        <v>228</v>
      </c>
      <c r="C34" s="76" t="str">
        <f>IF('Informations générales'!$E$14&lt;&gt;"ZDPPE","Fr. / an","Fr.")</f>
        <v>Fr. / an</v>
      </c>
      <c r="D34" s="76" t="str">
        <f>CONCATENATE("Nombre logements (",SUM(D35:D39),")")</f>
        <v>Nombre logements (0)</v>
      </c>
      <c r="E34" s="232" t="str">
        <f ca="1">CONCATENATE("Nombre pièces (",SUM($D$19:$D$25),")")</f>
        <v>Nombre pièces (0)</v>
      </c>
      <c r="F34" s="233"/>
    </row>
    <row r="35" spans="2:6" ht="15.75" customHeight="1" x14ac:dyDescent="0.25">
      <c r="B35" s="74" t="str">
        <f>'Informations générales'!$C$66</f>
        <v>3111. Logements</v>
      </c>
      <c r="C35" s="161">
        <f ca="1">IF('Informations générales'!$E$14 ="ZDPPE",'Informations VENTE'!Y26,SUMIF('Informations LOCATIF'!$C$27:$D$526,"3111. Logements",'Informations LOCATIF'!$AD$27:$AD$526))</f>
        <v>0</v>
      </c>
      <c r="D35" s="162">
        <f>IF('Informations générales'!$E$14="ZDPPE",SUM(C19:C30),COUNTIF('Informations LOCATIF'!$C$27:$D$526,"3111. Logements"))</f>
        <v>0</v>
      </c>
      <c r="E35" s="230">
        <f ca="1">IF('Informations générales'!$E$14="ZDPPE",SUM(D19:D30),SUMIF('Informations LOCATIF'!$C$27:$D$526,"3111. Logements",'Informations LOCATIF'!$Q$27:$Q$526))</f>
        <v>0</v>
      </c>
      <c r="F35" s="231"/>
    </row>
    <row r="36" spans="2:6" ht="17.25" customHeight="1" x14ac:dyDescent="0.25">
      <c r="B36" s="74" t="str">
        <f>'Informations générales'!$C$67</f>
        <v>3112. Logements</v>
      </c>
      <c r="C36" s="161">
        <f ca="1">IF('Informations générales'!$E$14 ="ZDPPE","",SUMIF('Informations LOCATIF'!$C$27:$D$526,"3112. Logements",'Informations LOCATIF'!$AD$27:$AD$526))</f>
        <v>0</v>
      </c>
      <c r="D36" s="162">
        <f>IF('Informations générales'!$E$14="ZDPPE","",COUNTIF('Informations LOCATIF'!$C$27:$D$526,"3112. Logements"))</f>
        <v>0</v>
      </c>
      <c r="E36" s="230">
        <f ca="1">IF('Informations générales'!$E$14="ZDPPE","",SUMIF('Informations LOCATIF'!$C$27:$D$526,"3112. Logements",'Informations LOCATIF'!$Q$27:$Q$526))</f>
        <v>0</v>
      </c>
      <c r="F36" s="231"/>
    </row>
    <row r="37" spans="2:6" ht="17.25" customHeight="1" x14ac:dyDescent="0.25">
      <c r="B37" s="74" t="str">
        <f>'Informations générales'!$C$68</f>
        <v>3113. Logements</v>
      </c>
      <c r="C37" s="161">
        <f ca="1">IF('Informations générales'!$E$14 ="ZDPPE","",SUMIF('Informations LOCATIF'!$C$27:$D$526,"3113. Logements",'Informations LOCATIF'!$AD$27:$AD$526))</f>
        <v>0</v>
      </c>
      <c r="D37" s="162">
        <f>IF('Informations générales'!$E$14="ZDPPE","",COUNTIF('Informations LOCATIF'!$C$27:$D$526,"3113. Logements"))</f>
        <v>0</v>
      </c>
      <c r="E37" s="230">
        <f ca="1">IF('Informations générales'!$E$14="ZDPPE","",SUMIF('Informations LOCATIF'!$C$27:$D$526,"3113. Logements",'Informations LOCATIF'!$Q$27:$Q$526))</f>
        <v>0</v>
      </c>
      <c r="F37" s="231"/>
    </row>
    <row r="38" spans="2:6" ht="18" customHeight="1" x14ac:dyDescent="0.25">
      <c r="B38" s="74" t="str">
        <f>'Informations générales'!$C$69</f>
        <v>3114. Logements</v>
      </c>
      <c r="C38" s="161">
        <f ca="1">IF('Informations générales'!$E$14 ="ZDPPE","",SUMIF('Informations LOCATIF'!$C$27:$D$526,"3114. Logements",'Informations LOCATIF'!$AD$27:$AD$526))</f>
        <v>0</v>
      </c>
      <c r="D38" s="162">
        <f>IF('Informations générales'!$E$14="ZDPPE","",COUNTIF('Informations LOCATIF'!$C$27:$D$526,"3114. Logements"))</f>
        <v>0</v>
      </c>
      <c r="E38" s="230">
        <f ca="1">IF('Informations générales'!$E$14="ZDPPE","",SUMIF('Informations LOCATIF'!$C$27:$D$526,"3114. Logements",'Informations LOCATIF'!$Q$27:$Q$526))</f>
        <v>0</v>
      </c>
      <c r="F38" s="231"/>
    </row>
    <row r="39" spans="2:6" ht="18" customHeight="1" x14ac:dyDescent="0.25">
      <c r="B39" s="74" t="str">
        <f>'Informations générales'!$C$70</f>
        <v>3115. Logements</v>
      </c>
      <c r="C39" s="161">
        <f ca="1">IF('Informations générales'!$E$14 ="ZDPPE","",SUMIF('Informations LOCATIF'!$C$27:$D$526,"3115. Logements",'Informations LOCATIF'!$AD$27:$AD$526))</f>
        <v>0</v>
      </c>
      <c r="D39" s="162">
        <f>IF('Informations générales'!$E$14="ZDPPE","",COUNTIF('Informations LOCATIF'!$C$27:$D$526,"3115. Logements"))</f>
        <v>0</v>
      </c>
      <c r="E39" s="230">
        <f ca="1">IF('Informations générales'!$E$14="ZDPPE","",SUMIF('Informations LOCATIF'!$C$27:$D$526,"3115. Logements",'Informations LOCATIF'!$Q$27:$Q$526))</f>
        <v>0</v>
      </c>
      <c r="F39" s="231"/>
    </row>
    <row r="40" spans="2:6" ht="7.5" customHeight="1" x14ac:dyDescent="0.25"/>
    <row r="41" spans="2:6" ht="30" x14ac:dyDescent="0.25">
      <c r="C41" s="101" t="s">
        <v>233</v>
      </c>
      <c r="D41" s="109" t="str">
        <f>IF('Informations générales'!$E$14="ZDPPE","N/A","")</f>
        <v/>
      </c>
    </row>
    <row r="42" spans="2:6" ht="4.5" customHeight="1" x14ac:dyDescent="0.25"/>
    <row r="43" spans="2:6" x14ac:dyDescent="0.25">
      <c r="C43" s="70" t="s">
        <v>216</v>
      </c>
      <c r="D43" s="71" t="s">
        <v>217</v>
      </c>
    </row>
    <row r="44" spans="2:6" x14ac:dyDescent="0.25">
      <c r="C44" s="163">
        <f>IF('Informations générales'!$E$14&lt;&gt;"ZDPPE",COUNTIF('Informations LOCATIF'!$Q$27:$Q$526,"&lt;=4"),"")</f>
        <v>0</v>
      </c>
      <c r="D44" s="163">
        <f>IF('Informations générales'!$E$14&lt;&gt;"ZDPPE",COUNTIF('Informations LOCATIF'!$Q$27:$Q$526,"&gt;=5.5"),"")</f>
        <v>0</v>
      </c>
    </row>
    <row r="45" spans="2:6" x14ac:dyDescent="0.25">
      <c r="C45" s="164" t="str">
        <f>IFERROR(IF('Informations générales'!$E$14&lt;&gt;"ZDPPE",C44/(SUM($C$19:$C$30)),""),"")</f>
        <v/>
      </c>
      <c r="D45" s="164" t="str">
        <f>IFERROR(IF('Informations générales'!$E$14&lt;&gt;"ZDPPE",D44/SUM($C$19:$C$30),""),"")</f>
        <v/>
      </c>
    </row>
    <row r="47" spans="2:6" ht="30" x14ac:dyDescent="0.25">
      <c r="C47" s="101" t="s">
        <v>232</v>
      </c>
      <c r="D47" s="108" t="str">
        <f>IF('Informations générales'!$E$14="ZDPPE","","N/A")</f>
        <v>N/A</v>
      </c>
    </row>
    <row r="48" spans="2:6" ht="6" customHeight="1" x14ac:dyDescent="0.25"/>
    <row r="49" spans="3:4" x14ac:dyDescent="0.25">
      <c r="C49" s="70" t="s">
        <v>218</v>
      </c>
      <c r="D49" s="71" t="s">
        <v>219</v>
      </c>
    </row>
    <row r="50" spans="3:4" x14ac:dyDescent="0.25">
      <c r="C50" s="163" t="str">
        <f>IF('Informations générales'!$E$14="ZDPPE",COUNTIF('Informations VENTE'!$P$27:$P$526, "&lt;=100"),"")</f>
        <v/>
      </c>
      <c r="D50" s="163" t="str">
        <f>IF('Informations générales'!$E$14="ZDPPE",COUNTIF('Informations VENTE'!$P$27:$P$526, "&gt;=130"),"")</f>
        <v/>
      </c>
    </row>
    <row r="51" spans="3:4" x14ac:dyDescent="0.25">
      <c r="C51" s="164" t="str">
        <f>IFERROR(IF('Informations générales'!$E$14="ZDPPE",C50/SUM($C$19:$C$30),""),"")</f>
        <v/>
      </c>
      <c r="D51" s="164" t="str">
        <f>IFERROR(IF('Informations générales'!$E$14="ZDPPE",D50/SUM($C$19:$C$30),""),"")</f>
        <v/>
      </c>
    </row>
  </sheetData>
  <sheetProtection algorithmName="SHA-512" hashValue="UBq0/5HwFmbzQvbWgVgILMfUnAgGwVUUtqfLJMYHNa69Wsc4CrLTnE6eZdwwMqKYJda2A6qIcWygbNbRnYiHxQ==" saltValue="pwaMgb/UvTai3tbkVD1rYQ==" spinCount="100000" sheet="1" objects="1" scenarios="1"/>
  <mergeCells count="8">
    <mergeCell ref="J3:K3"/>
    <mergeCell ref="B7:M7"/>
    <mergeCell ref="E38:F38"/>
    <mergeCell ref="E39:F39"/>
    <mergeCell ref="E34:F34"/>
    <mergeCell ref="E35:F35"/>
    <mergeCell ref="E36:F36"/>
    <mergeCell ref="E37:F37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B1:Q76"/>
  <sheetViews>
    <sheetView topLeftCell="A46" workbookViewId="0">
      <selection activeCell="E69" sqref="E69"/>
    </sheetView>
  </sheetViews>
  <sheetFormatPr baseColWidth="10" defaultRowHeight="15" x14ac:dyDescent="0.25"/>
  <cols>
    <col min="3" max="3" width="16.85546875" customWidth="1"/>
    <col min="4" max="4" width="15.85546875" customWidth="1"/>
    <col min="5" max="5" width="15" customWidth="1"/>
    <col min="6" max="6" width="17.85546875" customWidth="1"/>
    <col min="7" max="7" width="15.7109375" customWidth="1"/>
    <col min="8" max="8" width="31.85546875" customWidth="1"/>
    <col min="9" max="9" width="14.28515625" customWidth="1"/>
    <col min="11" max="11" width="33" customWidth="1"/>
    <col min="12" max="12" width="34" customWidth="1"/>
    <col min="16" max="16" width="30" customWidth="1"/>
    <col min="17" max="17" width="16" customWidth="1"/>
  </cols>
  <sheetData>
    <row r="1" spans="2:16" x14ac:dyDescent="0.25">
      <c r="B1" s="4" t="s">
        <v>43</v>
      </c>
      <c r="C1" t="s">
        <v>44</v>
      </c>
    </row>
    <row r="3" spans="2:16" x14ac:dyDescent="0.25">
      <c r="B3" s="4" t="s">
        <v>14</v>
      </c>
      <c r="C3" s="4" t="s">
        <v>23</v>
      </c>
      <c r="D3" s="4" t="s">
        <v>18</v>
      </c>
      <c r="E3" s="4" t="s">
        <v>24</v>
      </c>
      <c r="F3" s="4" t="s">
        <v>34</v>
      </c>
      <c r="G3" s="4" t="s">
        <v>37</v>
      </c>
      <c r="H3" s="4" t="s">
        <v>40</v>
      </c>
      <c r="I3" s="4" t="s">
        <v>41</v>
      </c>
      <c r="K3" s="4" t="s">
        <v>42</v>
      </c>
      <c r="L3" s="4" t="s">
        <v>128</v>
      </c>
      <c r="M3" s="4" t="s">
        <v>95</v>
      </c>
      <c r="P3" s="4"/>
    </row>
    <row r="4" spans="2:16" x14ac:dyDescent="0.25">
      <c r="B4" t="s">
        <v>19</v>
      </c>
      <c r="C4" t="s">
        <v>25</v>
      </c>
      <c r="D4" t="s">
        <v>15</v>
      </c>
      <c r="E4" t="s">
        <v>30</v>
      </c>
      <c r="F4" t="s">
        <v>35</v>
      </c>
      <c r="G4" t="s">
        <v>38</v>
      </c>
      <c r="H4" t="s">
        <v>140</v>
      </c>
      <c r="K4" t="str">
        <f>IF(ISBLANK('Informations générales'!D66),"",'Informations générales'!C66)</f>
        <v/>
      </c>
      <c r="L4" t="str">
        <f>IF(ISBLANK('Informations générales'!F48),"",'Informations générales'!F48)</f>
        <v/>
      </c>
      <c r="M4" t="s">
        <v>96</v>
      </c>
    </row>
    <row r="5" spans="2:16" x14ac:dyDescent="0.25">
      <c r="B5" t="s">
        <v>20</v>
      </c>
      <c r="C5" t="s">
        <v>26</v>
      </c>
      <c r="D5" t="s">
        <v>16</v>
      </c>
      <c r="E5" t="s">
        <v>31</v>
      </c>
      <c r="F5" t="s">
        <v>295</v>
      </c>
      <c r="G5" t="s">
        <v>39</v>
      </c>
      <c r="H5" t="s">
        <v>141</v>
      </c>
      <c r="K5" t="str">
        <f>IF(ISBLANK('Informations générales'!D67),"",'Informations générales'!C67)</f>
        <v/>
      </c>
      <c r="L5" t="str">
        <f>IF(ISBLANK('Informations générales'!F49),"",'Informations générales'!F49)</f>
        <v/>
      </c>
      <c r="M5" t="s">
        <v>97</v>
      </c>
    </row>
    <row r="6" spans="2:16" x14ac:dyDescent="0.25">
      <c r="B6" t="s">
        <v>21</v>
      </c>
      <c r="C6" t="s">
        <v>27</v>
      </c>
      <c r="D6" t="s">
        <v>17</v>
      </c>
      <c r="E6" t="s">
        <v>32</v>
      </c>
      <c r="F6" t="s">
        <v>36</v>
      </c>
      <c r="H6" t="s">
        <v>142</v>
      </c>
      <c r="K6" t="str">
        <f>IF(ISBLANK('Informations générales'!D68),"",'Informations générales'!C68)</f>
        <v/>
      </c>
      <c r="L6" t="str">
        <f>IF(ISBLANK('Informations générales'!F50),"",'Informations générales'!F50)</f>
        <v/>
      </c>
    </row>
    <row r="7" spans="2:16" x14ac:dyDescent="0.25">
      <c r="B7" t="s">
        <v>22</v>
      </c>
      <c r="C7" t="s">
        <v>28</v>
      </c>
      <c r="E7" t="s">
        <v>33</v>
      </c>
      <c r="F7" t="s">
        <v>296</v>
      </c>
      <c r="H7" t="s">
        <v>143</v>
      </c>
      <c r="K7" t="str">
        <f>IF(ISBLANK('Informations générales'!D69),"",'Informations générales'!C69)</f>
        <v/>
      </c>
      <c r="L7" t="str">
        <f>IF(ISBLANK('Informations générales'!F51),"",'Informations générales'!F51)</f>
        <v/>
      </c>
    </row>
    <row r="8" spans="2:16" x14ac:dyDescent="0.25">
      <c r="B8" t="s">
        <v>50</v>
      </c>
      <c r="C8" t="s">
        <v>29</v>
      </c>
      <c r="H8" t="s">
        <v>144</v>
      </c>
      <c r="K8" t="str">
        <f>IF(ISBLANK('Informations générales'!D70),"",'Informations générales'!C70)</f>
        <v/>
      </c>
      <c r="L8" t="str">
        <f>IF(ISBLANK('Informations générales'!F52),"",'Informations générales'!F52)</f>
        <v/>
      </c>
    </row>
    <row r="9" spans="2:16" x14ac:dyDescent="0.25">
      <c r="H9" t="s">
        <v>145</v>
      </c>
      <c r="K9" t="str">
        <f>IF(ISBLANK('Informations générales'!D71),"",'Informations générales'!C71)</f>
        <v/>
      </c>
      <c r="L9" t="str">
        <f>IF(ISBLANK('Informations générales'!F53),"",'Informations générales'!F53)</f>
        <v/>
      </c>
    </row>
    <row r="10" spans="2:16" x14ac:dyDescent="0.25">
      <c r="H10" t="s">
        <v>69</v>
      </c>
      <c r="K10" t="str">
        <f>IF(ISBLANK('Informations générales'!D72),"",'Informations générales'!C72)</f>
        <v/>
      </c>
      <c r="L10" t="str">
        <f>IF(ISBLANK('Informations générales'!F54),"",'Informations générales'!F54)</f>
        <v/>
      </c>
    </row>
    <row r="11" spans="2:16" x14ac:dyDescent="0.25">
      <c r="L11" t="str">
        <f>IF(ISBLANK('Informations générales'!F55),"",'Informations générales'!F55)</f>
        <v/>
      </c>
    </row>
    <row r="12" spans="2:16" x14ac:dyDescent="0.25">
      <c r="L12" t="str">
        <f>IF(ISBLANK('Informations générales'!F56),"",'Informations générales'!F56)</f>
        <v/>
      </c>
    </row>
    <row r="13" spans="2:16" x14ac:dyDescent="0.25">
      <c r="L13" t="str">
        <f>IF(ISBLANK('Informations générales'!F57),"",'Informations générales'!F57)</f>
        <v/>
      </c>
    </row>
    <row r="14" spans="2:16" x14ac:dyDescent="0.25">
      <c r="L14" t="str">
        <f>IF(ISBLANK('Informations générales'!F58),"",'Informations générales'!F58)</f>
        <v/>
      </c>
    </row>
    <row r="15" spans="2:16" x14ac:dyDescent="0.25">
      <c r="L15" t="str">
        <f>IF(ISBLANK('Informations générales'!F59),"",'Informations générales'!F59)</f>
        <v/>
      </c>
    </row>
    <row r="16" spans="2:16" x14ac:dyDescent="0.25">
      <c r="L16" t="str">
        <f>IF(ISBLANK('Informations générales'!F60),"",'Informations générales'!F60)</f>
        <v/>
      </c>
    </row>
    <row r="17" spans="2:17" x14ac:dyDescent="0.25">
      <c r="L17" t="str">
        <f>IF(ISBLANK('Informations générales'!F61),"",'Informations générales'!F61)</f>
        <v/>
      </c>
    </row>
    <row r="18" spans="2:17" x14ac:dyDescent="0.25">
      <c r="B18" s="4" t="s">
        <v>13</v>
      </c>
      <c r="C18" s="4" t="s">
        <v>13</v>
      </c>
      <c r="D18" s="4" t="s">
        <v>99</v>
      </c>
      <c r="F18" s="4" t="s">
        <v>14</v>
      </c>
      <c r="G18" s="4" t="s">
        <v>105</v>
      </c>
      <c r="H18" s="4" t="s">
        <v>73</v>
      </c>
      <c r="I18" s="4" t="s">
        <v>70</v>
      </c>
      <c r="L18" s="4" t="s">
        <v>185</v>
      </c>
      <c r="M18" s="4" t="s">
        <v>186</v>
      </c>
      <c r="P18" s="4" t="s">
        <v>187</v>
      </c>
      <c r="Q18" s="4" t="s">
        <v>186</v>
      </c>
    </row>
    <row r="19" spans="2:17" x14ac:dyDescent="0.25">
      <c r="B19" t="s">
        <v>25</v>
      </c>
      <c r="C19" t="s">
        <v>47</v>
      </c>
      <c r="D19" s="16" t="s">
        <v>39</v>
      </c>
      <c r="F19" t="s">
        <v>19</v>
      </c>
      <c r="G19" t="s">
        <v>38</v>
      </c>
      <c r="H19" t="s">
        <v>108</v>
      </c>
      <c r="I19" t="s">
        <v>123</v>
      </c>
      <c r="L19" t="s">
        <v>196</v>
      </c>
      <c r="M19" s="66">
        <v>0.04</v>
      </c>
      <c r="P19" s="68" t="s">
        <v>200</v>
      </c>
      <c r="Q19" s="67">
        <v>0.5</v>
      </c>
    </row>
    <row r="20" spans="2:17" x14ac:dyDescent="0.25">
      <c r="B20" t="s">
        <v>45</v>
      </c>
      <c r="C20" t="s">
        <v>48</v>
      </c>
      <c r="D20" t="s">
        <v>100</v>
      </c>
      <c r="F20" t="s">
        <v>20</v>
      </c>
      <c r="G20" t="s">
        <v>39</v>
      </c>
      <c r="H20" t="s">
        <v>109</v>
      </c>
      <c r="I20" t="s">
        <v>283</v>
      </c>
      <c r="L20" t="s">
        <v>197</v>
      </c>
      <c r="M20" s="66">
        <v>0.04</v>
      </c>
      <c r="P20" s="68" t="s">
        <v>201</v>
      </c>
      <c r="Q20" s="67">
        <v>1</v>
      </c>
    </row>
    <row r="21" spans="2:17" x14ac:dyDescent="0.25">
      <c r="B21" t="s">
        <v>46</v>
      </c>
      <c r="C21" t="s">
        <v>49</v>
      </c>
      <c r="D21" t="s">
        <v>101</v>
      </c>
      <c r="F21" t="s">
        <v>21</v>
      </c>
      <c r="H21" t="s">
        <v>110</v>
      </c>
      <c r="I21" t="s">
        <v>284</v>
      </c>
      <c r="L21" t="s">
        <v>198</v>
      </c>
      <c r="M21" s="66">
        <v>0.04</v>
      </c>
      <c r="P21" s="68" t="s">
        <v>202</v>
      </c>
      <c r="Q21" s="67">
        <v>0.5</v>
      </c>
    </row>
    <row r="22" spans="2:17" x14ac:dyDescent="0.25">
      <c r="B22" s="140">
        <v>1</v>
      </c>
      <c r="C22" t="s">
        <v>25</v>
      </c>
      <c r="D22" t="s">
        <v>102</v>
      </c>
      <c r="F22" t="s">
        <v>22</v>
      </c>
      <c r="H22" t="s">
        <v>111</v>
      </c>
      <c r="I22" t="s">
        <v>124</v>
      </c>
      <c r="L22" t="s">
        <v>199</v>
      </c>
      <c r="M22" s="66">
        <v>0.02</v>
      </c>
      <c r="P22" s="68" t="s">
        <v>203</v>
      </c>
      <c r="Q22" s="67">
        <v>1</v>
      </c>
    </row>
    <row r="23" spans="2:17" x14ac:dyDescent="0.25">
      <c r="B23" s="140">
        <v>2</v>
      </c>
      <c r="C23" t="s">
        <v>45</v>
      </c>
      <c r="D23" t="s">
        <v>298</v>
      </c>
      <c r="H23" t="s">
        <v>112</v>
      </c>
      <c r="I23" t="s">
        <v>125</v>
      </c>
      <c r="L23" t="s">
        <v>287</v>
      </c>
      <c r="M23" s="66">
        <v>0.04</v>
      </c>
      <c r="P23" s="68" t="s">
        <v>204</v>
      </c>
      <c r="Q23" s="67">
        <v>0.125</v>
      </c>
    </row>
    <row r="24" spans="2:17" x14ac:dyDescent="0.25">
      <c r="B24" s="140">
        <v>3</v>
      </c>
      <c r="C24" t="s">
        <v>46</v>
      </c>
      <c r="D24" t="s">
        <v>103</v>
      </c>
      <c r="H24" t="s">
        <v>22</v>
      </c>
      <c r="L24" t="s">
        <v>288</v>
      </c>
      <c r="M24" s="66">
        <v>0.04</v>
      </c>
      <c r="P24" s="68" t="s">
        <v>205</v>
      </c>
      <c r="Q24" s="67">
        <v>0.125</v>
      </c>
    </row>
    <row r="25" spans="2:17" x14ac:dyDescent="0.25">
      <c r="B25" s="140">
        <v>4</v>
      </c>
      <c r="C25" s="140">
        <v>1</v>
      </c>
      <c r="D25" t="s">
        <v>104</v>
      </c>
      <c r="H25" t="s">
        <v>113</v>
      </c>
      <c r="L25" t="s">
        <v>289</v>
      </c>
      <c r="M25" s="66">
        <v>0.04</v>
      </c>
      <c r="P25" s="68" t="s">
        <v>206</v>
      </c>
      <c r="Q25" s="67">
        <v>6.25E-2</v>
      </c>
    </row>
    <row r="26" spans="2:17" x14ac:dyDescent="0.25">
      <c r="B26" s="140">
        <v>5</v>
      </c>
      <c r="C26" s="140">
        <v>2</v>
      </c>
      <c r="H26" t="s">
        <v>114</v>
      </c>
      <c r="L26" t="s">
        <v>290</v>
      </c>
      <c r="M26" s="66">
        <v>0</v>
      </c>
      <c r="P26" s="68" t="s">
        <v>207</v>
      </c>
      <c r="Q26" s="67">
        <v>0</v>
      </c>
    </row>
    <row r="27" spans="2:17" x14ac:dyDescent="0.25">
      <c r="B27" s="140">
        <v>6</v>
      </c>
      <c r="C27" s="140">
        <v>3</v>
      </c>
      <c r="H27" t="s">
        <v>115</v>
      </c>
      <c r="L27" t="s">
        <v>291</v>
      </c>
      <c r="M27" s="66">
        <v>0.04</v>
      </c>
    </row>
    <row r="28" spans="2:17" x14ac:dyDescent="0.25">
      <c r="B28" s="140">
        <v>7</v>
      </c>
      <c r="C28" s="140">
        <v>4</v>
      </c>
    </row>
    <row r="29" spans="2:17" x14ac:dyDescent="0.25">
      <c r="B29" s="140">
        <v>8</v>
      </c>
      <c r="C29" s="140">
        <v>5</v>
      </c>
    </row>
    <row r="30" spans="2:17" x14ac:dyDescent="0.25">
      <c r="B30" s="140">
        <v>9</v>
      </c>
      <c r="C30" s="140">
        <v>6</v>
      </c>
      <c r="D30" s="4" t="s">
        <v>235</v>
      </c>
    </row>
    <row r="31" spans="2:17" x14ac:dyDescent="0.25">
      <c r="B31" s="140">
        <v>10</v>
      </c>
      <c r="C31" s="140">
        <v>7</v>
      </c>
      <c r="D31" s="18" t="s">
        <v>236</v>
      </c>
    </row>
    <row r="32" spans="2:17" x14ac:dyDescent="0.25">
      <c r="B32" s="140">
        <v>11</v>
      </c>
      <c r="C32" s="140">
        <v>8</v>
      </c>
      <c r="D32" s="18" t="s">
        <v>237</v>
      </c>
    </row>
    <row r="33" spans="2:4" x14ac:dyDescent="0.25">
      <c r="B33" s="140">
        <v>12</v>
      </c>
      <c r="C33" s="140">
        <v>9</v>
      </c>
      <c r="D33" s="18" t="s">
        <v>238</v>
      </c>
    </row>
    <row r="34" spans="2:4" x14ac:dyDescent="0.25">
      <c r="B34" s="140">
        <v>13</v>
      </c>
      <c r="C34" s="140">
        <v>10</v>
      </c>
      <c r="D34" s="18" t="s">
        <v>239</v>
      </c>
    </row>
    <row r="35" spans="2:4" x14ac:dyDescent="0.25">
      <c r="B35" s="140">
        <v>14</v>
      </c>
      <c r="C35" s="140">
        <v>11</v>
      </c>
      <c r="D35" s="18" t="s">
        <v>240</v>
      </c>
    </row>
    <row r="36" spans="2:4" x14ac:dyDescent="0.25">
      <c r="B36" s="140">
        <v>15</v>
      </c>
      <c r="C36" s="140">
        <v>12</v>
      </c>
      <c r="D36" s="18" t="s">
        <v>241</v>
      </c>
    </row>
    <row r="37" spans="2:4" x14ac:dyDescent="0.25">
      <c r="B37" s="140">
        <v>16</v>
      </c>
      <c r="C37" s="140">
        <v>13</v>
      </c>
      <c r="D37" s="18" t="s">
        <v>242</v>
      </c>
    </row>
    <row r="38" spans="2:4" x14ac:dyDescent="0.25">
      <c r="B38" s="140">
        <v>17</v>
      </c>
      <c r="C38" s="140">
        <v>14</v>
      </c>
      <c r="D38" s="18" t="s">
        <v>243</v>
      </c>
    </row>
    <row r="39" spans="2:4" x14ac:dyDescent="0.25">
      <c r="B39" s="140">
        <v>18</v>
      </c>
      <c r="C39" s="140">
        <v>15</v>
      </c>
      <c r="D39" s="18" t="s">
        <v>244</v>
      </c>
    </row>
    <row r="40" spans="2:4" x14ac:dyDescent="0.25">
      <c r="B40" s="140">
        <v>19</v>
      </c>
      <c r="C40" s="140">
        <v>16</v>
      </c>
      <c r="D40" s="18" t="s">
        <v>245</v>
      </c>
    </row>
    <row r="41" spans="2:4" x14ac:dyDescent="0.25">
      <c r="B41" s="140">
        <v>20</v>
      </c>
      <c r="C41" s="140">
        <v>17</v>
      </c>
      <c r="D41" s="18" t="s">
        <v>246</v>
      </c>
    </row>
    <row r="42" spans="2:4" x14ac:dyDescent="0.25">
      <c r="B42" s="140">
        <v>21</v>
      </c>
      <c r="C42" s="140">
        <v>18</v>
      </c>
      <c r="D42" s="18" t="s">
        <v>247</v>
      </c>
    </row>
    <row r="43" spans="2:4" x14ac:dyDescent="0.25">
      <c r="B43" s="140">
        <v>22</v>
      </c>
      <c r="C43" s="140">
        <v>19</v>
      </c>
      <c r="D43" s="18" t="s">
        <v>248</v>
      </c>
    </row>
    <row r="44" spans="2:4" x14ac:dyDescent="0.25">
      <c r="B44" s="140">
        <v>23</v>
      </c>
      <c r="C44" s="140">
        <v>20</v>
      </c>
      <c r="D44" s="18" t="s">
        <v>249</v>
      </c>
    </row>
    <row r="45" spans="2:4" x14ac:dyDescent="0.25">
      <c r="B45" s="140">
        <v>24</v>
      </c>
      <c r="C45" s="140">
        <v>21</v>
      </c>
      <c r="D45" s="18" t="s">
        <v>250</v>
      </c>
    </row>
    <row r="46" spans="2:4" x14ac:dyDescent="0.25">
      <c r="B46" s="140">
        <v>25</v>
      </c>
      <c r="C46" s="140">
        <v>22</v>
      </c>
      <c r="D46" s="18" t="s">
        <v>251</v>
      </c>
    </row>
    <row r="47" spans="2:4" x14ac:dyDescent="0.25">
      <c r="B47" s="140">
        <v>26</v>
      </c>
      <c r="C47" s="140">
        <v>23</v>
      </c>
      <c r="D47" s="18" t="s">
        <v>252</v>
      </c>
    </row>
    <row r="48" spans="2:4" x14ac:dyDescent="0.25">
      <c r="B48" s="140">
        <v>27</v>
      </c>
      <c r="C48" s="140">
        <v>24</v>
      </c>
      <c r="D48" s="18" t="s">
        <v>253</v>
      </c>
    </row>
    <row r="49" spans="2:4" x14ac:dyDescent="0.25">
      <c r="B49" s="140">
        <v>28</v>
      </c>
      <c r="C49" s="140">
        <v>25</v>
      </c>
      <c r="D49" s="18" t="s">
        <v>254</v>
      </c>
    </row>
    <row r="50" spans="2:4" x14ac:dyDescent="0.25">
      <c r="B50" s="140">
        <v>29</v>
      </c>
      <c r="C50" s="140">
        <v>26</v>
      </c>
      <c r="D50" s="18" t="s">
        <v>255</v>
      </c>
    </row>
    <row r="51" spans="2:4" x14ac:dyDescent="0.25">
      <c r="B51" s="140">
        <v>30</v>
      </c>
      <c r="C51" s="140">
        <v>27</v>
      </c>
      <c r="D51" s="18" t="s">
        <v>256</v>
      </c>
    </row>
    <row r="52" spans="2:4" x14ac:dyDescent="0.25">
      <c r="B52" s="140">
        <v>31</v>
      </c>
      <c r="C52" s="140">
        <v>28</v>
      </c>
      <c r="D52" s="18" t="s">
        <v>257</v>
      </c>
    </row>
    <row r="53" spans="2:4" x14ac:dyDescent="0.25">
      <c r="B53" s="140">
        <v>32</v>
      </c>
      <c r="C53" s="140">
        <v>29</v>
      </c>
      <c r="D53" s="18" t="s">
        <v>258</v>
      </c>
    </row>
    <row r="54" spans="2:4" x14ac:dyDescent="0.25">
      <c r="B54" s="140">
        <v>33</v>
      </c>
      <c r="C54" s="140">
        <v>30</v>
      </c>
      <c r="D54" s="18" t="s">
        <v>259</v>
      </c>
    </row>
    <row r="55" spans="2:4" x14ac:dyDescent="0.25">
      <c r="B55" s="140">
        <v>34</v>
      </c>
      <c r="C55" s="140">
        <v>31</v>
      </c>
      <c r="D55" s="18" t="s">
        <v>260</v>
      </c>
    </row>
    <row r="56" spans="2:4" x14ac:dyDescent="0.25">
      <c r="B56" s="140">
        <v>35</v>
      </c>
      <c r="C56" s="140">
        <v>32</v>
      </c>
      <c r="D56" s="18" t="s">
        <v>261</v>
      </c>
    </row>
    <row r="57" spans="2:4" x14ac:dyDescent="0.25">
      <c r="B57" s="140">
        <v>36</v>
      </c>
      <c r="C57" s="140">
        <v>33</v>
      </c>
      <c r="D57" s="18" t="s">
        <v>262</v>
      </c>
    </row>
    <row r="58" spans="2:4" x14ac:dyDescent="0.25">
      <c r="B58" s="140">
        <v>37</v>
      </c>
      <c r="C58" s="140">
        <v>34</v>
      </c>
      <c r="D58" s="18" t="s">
        <v>263</v>
      </c>
    </row>
    <row r="59" spans="2:4" x14ac:dyDescent="0.25">
      <c r="B59" s="140">
        <v>38</v>
      </c>
      <c r="C59" s="140">
        <v>35</v>
      </c>
      <c r="D59" s="18" t="s">
        <v>264</v>
      </c>
    </row>
    <row r="60" spans="2:4" x14ac:dyDescent="0.25">
      <c r="B60" s="140">
        <v>39</v>
      </c>
      <c r="C60" s="140">
        <v>36</v>
      </c>
      <c r="D60" s="18" t="s">
        <v>265</v>
      </c>
    </row>
    <row r="61" spans="2:4" x14ac:dyDescent="0.25">
      <c r="B61" s="140">
        <v>40</v>
      </c>
      <c r="C61" s="140">
        <v>37</v>
      </c>
      <c r="D61" s="18" t="s">
        <v>266</v>
      </c>
    </row>
    <row r="62" spans="2:4" x14ac:dyDescent="0.25">
      <c r="B62" s="140">
        <v>41</v>
      </c>
      <c r="C62" s="140">
        <v>38</v>
      </c>
      <c r="D62" s="18" t="s">
        <v>267</v>
      </c>
    </row>
    <row r="63" spans="2:4" x14ac:dyDescent="0.25">
      <c r="B63" s="140">
        <v>42</v>
      </c>
      <c r="C63" s="140">
        <v>39</v>
      </c>
      <c r="D63" s="184" t="s">
        <v>303</v>
      </c>
    </row>
    <row r="64" spans="2:4" x14ac:dyDescent="0.25">
      <c r="B64" s="140">
        <v>43</v>
      </c>
      <c r="C64" s="140">
        <v>40</v>
      </c>
      <c r="D64" s="18" t="s">
        <v>268</v>
      </c>
    </row>
    <row r="65" spans="2:4" x14ac:dyDescent="0.25">
      <c r="B65" s="140">
        <v>44</v>
      </c>
      <c r="C65" s="140">
        <v>41</v>
      </c>
      <c r="D65" s="18" t="s">
        <v>269</v>
      </c>
    </row>
    <row r="66" spans="2:4" x14ac:dyDescent="0.25">
      <c r="B66" s="140">
        <v>45</v>
      </c>
      <c r="C66" s="140">
        <v>42</v>
      </c>
      <c r="D66" s="18" t="s">
        <v>270</v>
      </c>
    </row>
    <row r="67" spans="2:4" x14ac:dyDescent="0.25">
      <c r="B67" s="140">
        <v>46</v>
      </c>
      <c r="C67" s="140">
        <v>43</v>
      </c>
      <c r="D67" s="18" t="s">
        <v>271</v>
      </c>
    </row>
    <row r="68" spans="2:4" x14ac:dyDescent="0.25">
      <c r="B68" s="140">
        <v>47</v>
      </c>
      <c r="C68" s="140">
        <v>44</v>
      </c>
      <c r="D68" s="18" t="s">
        <v>272</v>
      </c>
    </row>
    <row r="69" spans="2:4" x14ac:dyDescent="0.25">
      <c r="B69" s="140">
        <v>48</v>
      </c>
      <c r="C69" s="140">
        <v>45</v>
      </c>
      <c r="D69" s="18" t="s">
        <v>273</v>
      </c>
    </row>
    <row r="70" spans="2:4" x14ac:dyDescent="0.25">
      <c r="B70" s="140">
        <v>49</v>
      </c>
      <c r="C70" s="140">
        <v>46</v>
      </c>
      <c r="D70" s="18" t="s">
        <v>274</v>
      </c>
    </row>
    <row r="71" spans="2:4" x14ac:dyDescent="0.25">
      <c r="B71" s="140">
        <v>50</v>
      </c>
      <c r="C71" s="140">
        <v>47</v>
      </c>
      <c r="D71" s="18" t="s">
        <v>275</v>
      </c>
    </row>
    <row r="72" spans="2:4" x14ac:dyDescent="0.25">
      <c r="B72" t="s">
        <v>47</v>
      </c>
      <c r="C72" s="140">
        <v>48</v>
      </c>
      <c r="D72" s="18" t="s">
        <v>276</v>
      </c>
    </row>
    <row r="73" spans="2:4" x14ac:dyDescent="0.25">
      <c r="B73" t="s">
        <v>48</v>
      </c>
      <c r="C73" s="140">
        <v>49</v>
      </c>
      <c r="D73" s="18" t="s">
        <v>277</v>
      </c>
    </row>
    <row r="74" spans="2:4" x14ac:dyDescent="0.25">
      <c r="B74" t="s">
        <v>49</v>
      </c>
      <c r="C74" s="140">
        <v>50</v>
      </c>
      <c r="D74" s="18" t="s">
        <v>278</v>
      </c>
    </row>
    <row r="75" spans="2:4" x14ac:dyDescent="0.25">
      <c r="D75" s="18" t="s">
        <v>279</v>
      </c>
    </row>
    <row r="76" spans="2:4" x14ac:dyDescent="0.25">
      <c r="D76" s="18" t="s">
        <v>280</v>
      </c>
    </row>
  </sheetData>
  <sortState ref="P19:Q26">
    <sortCondition ref="P19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B1:F282"/>
  <sheetViews>
    <sheetView workbookViewId="0">
      <selection activeCell="F5" sqref="F5"/>
    </sheetView>
  </sheetViews>
  <sheetFormatPr baseColWidth="10" defaultRowHeight="15" x14ac:dyDescent="0.25"/>
  <cols>
    <col min="2" max="2" width="15.140625" style="18" customWidth="1"/>
    <col min="3" max="3" width="25.42578125" style="18" customWidth="1"/>
    <col min="6" max="6" width="21" customWidth="1"/>
  </cols>
  <sheetData>
    <row r="1" spans="2:6" x14ac:dyDescent="0.25">
      <c r="B1" s="55" t="s">
        <v>150</v>
      </c>
      <c r="C1" s="55" t="s">
        <v>151</v>
      </c>
    </row>
    <row r="2" spans="2:6" x14ac:dyDescent="0.25">
      <c r="B2" s="56">
        <v>20</v>
      </c>
      <c r="C2" s="56">
        <v>1.5</v>
      </c>
      <c r="F2" s="57" t="s">
        <v>152</v>
      </c>
    </row>
    <row r="3" spans="2:6" x14ac:dyDescent="0.25">
      <c r="B3" s="56">
        <v>21</v>
      </c>
      <c r="C3" s="56">
        <v>1.5</v>
      </c>
      <c r="F3" s="57"/>
    </row>
    <row r="4" spans="2:6" x14ac:dyDescent="0.25">
      <c r="B4" s="56">
        <v>22</v>
      </c>
      <c r="C4" s="56">
        <v>1.5</v>
      </c>
      <c r="F4" s="57" t="s">
        <v>153</v>
      </c>
    </row>
    <row r="5" spans="2:6" x14ac:dyDescent="0.25">
      <c r="B5" s="56">
        <v>23</v>
      </c>
      <c r="C5" s="56">
        <v>1.5</v>
      </c>
      <c r="F5" s="57"/>
    </row>
    <row r="6" spans="2:6" x14ac:dyDescent="0.25">
      <c r="B6" s="56">
        <v>24</v>
      </c>
      <c r="C6" s="56">
        <v>1.5</v>
      </c>
    </row>
    <row r="7" spans="2:6" x14ac:dyDescent="0.25">
      <c r="B7" s="56">
        <v>25</v>
      </c>
      <c r="C7" s="56">
        <v>1.5</v>
      </c>
    </row>
    <row r="8" spans="2:6" x14ac:dyDescent="0.25">
      <c r="B8" s="56">
        <v>26</v>
      </c>
      <c r="C8" s="56">
        <v>2</v>
      </c>
    </row>
    <row r="9" spans="2:6" x14ac:dyDescent="0.25">
      <c r="B9" s="56">
        <v>27</v>
      </c>
      <c r="C9" s="56">
        <v>2</v>
      </c>
    </row>
    <row r="10" spans="2:6" x14ac:dyDescent="0.25">
      <c r="B10" s="56">
        <v>28</v>
      </c>
      <c r="C10" s="56">
        <v>2</v>
      </c>
    </row>
    <row r="11" spans="2:6" x14ac:dyDescent="0.25">
      <c r="B11" s="56">
        <v>29</v>
      </c>
      <c r="C11" s="56">
        <v>2</v>
      </c>
    </row>
    <row r="12" spans="2:6" x14ac:dyDescent="0.25">
      <c r="B12" s="56">
        <v>30</v>
      </c>
      <c r="C12" s="56">
        <v>2</v>
      </c>
    </row>
    <row r="13" spans="2:6" x14ac:dyDescent="0.25">
      <c r="B13" s="56">
        <v>31</v>
      </c>
      <c r="C13" s="56">
        <v>2</v>
      </c>
    </row>
    <row r="14" spans="2:6" x14ac:dyDescent="0.25">
      <c r="B14" s="56">
        <v>32</v>
      </c>
      <c r="C14" s="56">
        <v>2</v>
      </c>
    </row>
    <row r="15" spans="2:6" x14ac:dyDescent="0.25">
      <c r="B15" s="56">
        <v>33</v>
      </c>
      <c r="C15" s="56">
        <v>2.5</v>
      </c>
    </row>
    <row r="16" spans="2:6" x14ac:dyDescent="0.25">
      <c r="B16" s="56">
        <v>34</v>
      </c>
      <c r="C16" s="56">
        <v>2.5</v>
      </c>
    </row>
    <row r="17" spans="2:3" x14ac:dyDescent="0.25">
      <c r="B17" s="56">
        <v>35</v>
      </c>
      <c r="C17" s="56">
        <v>2.5</v>
      </c>
    </row>
    <row r="18" spans="2:3" x14ac:dyDescent="0.25">
      <c r="B18" s="56">
        <v>36</v>
      </c>
      <c r="C18" s="56">
        <v>2.5</v>
      </c>
    </row>
    <row r="19" spans="2:3" x14ac:dyDescent="0.25">
      <c r="B19" s="56">
        <v>37</v>
      </c>
      <c r="C19" s="56">
        <v>2.5</v>
      </c>
    </row>
    <row r="20" spans="2:3" x14ac:dyDescent="0.25">
      <c r="B20" s="56">
        <v>38</v>
      </c>
      <c r="C20" s="56">
        <v>2.5</v>
      </c>
    </row>
    <row r="21" spans="2:3" x14ac:dyDescent="0.25">
      <c r="B21" s="56">
        <v>39</v>
      </c>
      <c r="C21" s="56">
        <v>3</v>
      </c>
    </row>
    <row r="22" spans="2:3" x14ac:dyDescent="0.25">
      <c r="B22" s="56">
        <v>40</v>
      </c>
      <c r="C22" s="56">
        <v>3</v>
      </c>
    </row>
    <row r="23" spans="2:3" x14ac:dyDescent="0.25">
      <c r="B23" s="56">
        <v>41</v>
      </c>
      <c r="C23" s="56">
        <v>3</v>
      </c>
    </row>
    <row r="24" spans="2:3" x14ac:dyDescent="0.25">
      <c r="B24" s="56">
        <v>42</v>
      </c>
      <c r="C24" s="56">
        <v>3</v>
      </c>
    </row>
    <row r="25" spans="2:3" x14ac:dyDescent="0.25">
      <c r="B25" s="56">
        <v>43</v>
      </c>
      <c r="C25" s="56">
        <v>3</v>
      </c>
    </row>
    <row r="26" spans="2:3" x14ac:dyDescent="0.25">
      <c r="B26" s="56">
        <v>44</v>
      </c>
      <c r="C26" s="56">
        <v>3</v>
      </c>
    </row>
    <row r="27" spans="2:3" x14ac:dyDescent="0.25">
      <c r="B27" s="56">
        <v>45</v>
      </c>
      <c r="C27" s="56">
        <v>3</v>
      </c>
    </row>
    <row r="28" spans="2:3" x14ac:dyDescent="0.25">
      <c r="B28" s="56">
        <v>46</v>
      </c>
      <c r="C28" s="56">
        <v>3.5</v>
      </c>
    </row>
    <row r="29" spans="2:3" x14ac:dyDescent="0.25">
      <c r="B29" s="56">
        <v>47</v>
      </c>
      <c r="C29" s="56">
        <v>3.5</v>
      </c>
    </row>
    <row r="30" spans="2:3" x14ac:dyDescent="0.25">
      <c r="B30" s="56">
        <v>48</v>
      </c>
      <c r="C30" s="56">
        <v>3.5</v>
      </c>
    </row>
    <row r="31" spans="2:3" x14ac:dyDescent="0.25">
      <c r="B31" s="56">
        <v>49</v>
      </c>
      <c r="C31" s="56">
        <v>4</v>
      </c>
    </row>
    <row r="32" spans="2:3" x14ac:dyDescent="0.25">
      <c r="B32" s="56">
        <v>50</v>
      </c>
      <c r="C32" s="56">
        <v>4</v>
      </c>
    </row>
    <row r="33" spans="2:3" x14ac:dyDescent="0.25">
      <c r="B33" s="56">
        <v>51</v>
      </c>
      <c r="C33" s="56">
        <v>4</v>
      </c>
    </row>
    <row r="34" spans="2:3" x14ac:dyDescent="0.25">
      <c r="B34" s="56">
        <v>52</v>
      </c>
      <c r="C34" s="56">
        <v>4</v>
      </c>
    </row>
    <row r="35" spans="2:3" x14ac:dyDescent="0.25">
      <c r="B35" s="56">
        <v>53</v>
      </c>
      <c r="C35" s="56">
        <v>4</v>
      </c>
    </row>
    <row r="36" spans="2:3" x14ac:dyDescent="0.25">
      <c r="B36" s="56">
        <v>54</v>
      </c>
      <c r="C36" s="56">
        <v>4</v>
      </c>
    </row>
    <row r="37" spans="2:3" x14ac:dyDescent="0.25">
      <c r="B37" s="56">
        <v>55</v>
      </c>
      <c r="C37" s="56">
        <v>4</v>
      </c>
    </row>
    <row r="38" spans="2:3" x14ac:dyDescent="0.25">
      <c r="B38" s="56">
        <v>56</v>
      </c>
      <c r="C38" s="56">
        <v>4.5</v>
      </c>
    </row>
    <row r="39" spans="2:3" x14ac:dyDescent="0.25">
      <c r="B39" s="56">
        <v>57</v>
      </c>
      <c r="C39" s="56">
        <v>4.5</v>
      </c>
    </row>
    <row r="40" spans="2:3" x14ac:dyDescent="0.25">
      <c r="B40" s="56">
        <v>58</v>
      </c>
      <c r="C40" s="56">
        <v>4.5</v>
      </c>
    </row>
    <row r="41" spans="2:3" x14ac:dyDescent="0.25">
      <c r="B41" s="56">
        <v>59</v>
      </c>
      <c r="C41" s="56">
        <v>5</v>
      </c>
    </row>
    <row r="42" spans="2:3" x14ac:dyDescent="0.25">
      <c r="B42" s="56">
        <v>60</v>
      </c>
      <c r="C42" s="56">
        <v>5</v>
      </c>
    </row>
    <row r="43" spans="2:3" x14ac:dyDescent="0.25">
      <c r="B43" s="56">
        <v>61</v>
      </c>
      <c r="C43" s="56">
        <v>5</v>
      </c>
    </row>
    <row r="44" spans="2:3" x14ac:dyDescent="0.25">
      <c r="B44" s="56">
        <v>62</v>
      </c>
      <c r="C44" s="56">
        <v>5</v>
      </c>
    </row>
    <row r="45" spans="2:3" x14ac:dyDescent="0.25">
      <c r="B45" s="56">
        <v>63</v>
      </c>
      <c r="C45" s="56">
        <v>5</v>
      </c>
    </row>
    <row r="46" spans="2:3" x14ac:dyDescent="0.25">
      <c r="B46" s="56">
        <v>64</v>
      </c>
      <c r="C46" s="56">
        <v>5</v>
      </c>
    </row>
    <row r="47" spans="2:3" x14ac:dyDescent="0.25">
      <c r="B47" s="56">
        <v>65</v>
      </c>
      <c r="C47" s="56">
        <v>5</v>
      </c>
    </row>
    <row r="48" spans="2:3" x14ac:dyDescent="0.25">
      <c r="B48" s="56">
        <v>66</v>
      </c>
      <c r="C48" s="56">
        <v>5.5</v>
      </c>
    </row>
    <row r="49" spans="2:3" x14ac:dyDescent="0.25">
      <c r="B49" s="56">
        <v>67</v>
      </c>
      <c r="C49" s="56">
        <v>5.5</v>
      </c>
    </row>
    <row r="50" spans="2:3" x14ac:dyDescent="0.25">
      <c r="B50" s="56">
        <v>68</v>
      </c>
      <c r="C50" s="56">
        <v>5.5</v>
      </c>
    </row>
    <row r="51" spans="2:3" x14ac:dyDescent="0.25">
      <c r="B51" s="56">
        <v>69</v>
      </c>
      <c r="C51" s="56">
        <v>6</v>
      </c>
    </row>
    <row r="52" spans="2:3" x14ac:dyDescent="0.25">
      <c r="B52" s="56">
        <v>70</v>
      </c>
      <c r="C52" s="56">
        <v>6</v>
      </c>
    </row>
    <row r="53" spans="2:3" x14ac:dyDescent="0.25">
      <c r="B53" s="56">
        <v>71</v>
      </c>
      <c r="C53" s="56">
        <v>6</v>
      </c>
    </row>
    <row r="54" spans="2:3" x14ac:dyDescent="0.25">
      <c r="B54" s="56">
        <v>72</v>
      </c>
      <c r="C54" s="56">
        <v>6</v>
      </c>
    </row>
    <row r="55" spans="2:3" x14ac:dyDescent="0.25">
      <c r="B55" s="56">
        <v>73</v>
      </c>
      <c r="C55" s="56">
        <v>6</v>
      </c>
    </row>
    <row r="56" spans="2:3" x14ac:dyDescent="0.25">
      <c r="B56" s="56">
        <v>74</v>
      </c>
      <c r="C56" s="56">
        <v>6</v>
      </c>
    </row>
    <row r="57" spans="2:3" x14ac:dyDescent="0.25">
      <c r="B57" s="56">
        <v>75</v>
      </c>
      <c r="C57" s="56">
        <v>6</v>
      </c>
    </row>
    <row r="58" spans="2:3" x14ac:dyDescent="0.25">
      <c r="B58" s="56">
        <v>76</v>
      </c>
      <c r="C58" s="56">
        <v>6.5</v>
      </c>
    </row>
    <row r="59" spans="2:3" x14ac:dyDescent="0.25">
      <c r="B59" s="56">
        <v>77</v>
      </c>
      <c r="C59" s="56">
        <v>6.5</v>
      </c>
    </row>
    <row r="60" spans="2:3" x14ac:dyDescent="0.25">
      <c r="B60" s="56">
        <v>78</v>
      </c>
      <c r="C60" s="56">
        <v>6.5</v>
      </c>
    </row>
    <row r="61" spans="2:3" x14ac:dyDescent="0.25">
      <c r="B61" s="56">
        <v>79</v>
      </c>
      <c r="C61" s="56">
        <v>7</v>
      </c>
    </row>
    <row r="62" spans="2:3" x14ac:dyDescent="0.25">
      <c r="B62" s="56">
        <v>80</v>
      </c>
      <c r="C62" s="56">
        <v>7</v>
      </c>
    </row>
    <row r="63" spans="2:3" x14ac:dyDescent="0.25">
      <c r="B63" s="56">
        <v>81</v>
      </c>
      <c r="C63" s="56">
        <v>7</v>
      </c>
    </row>
    <row r="64" spans="2:3" x14ac:dyDescent="0.25">
      <c r="B64" s="56">
        <v>82</v>
      </c>
      <c r="C64" s="56">
        <v>7</v>
      </c>
    </row>
    <row r="65" spans="2:3" x14ac:dyDescent="0.25">
      <c r="B65" s="56">
        <v>83</v>
      </c>
      <c r="C65" s="56">
        <v>7</v>
      </c>
    </row>
    <row r="66" spans="2:3" x14ac:dyDescent="0.25">
      <c r="B66" s="56">
        <v>84</v>
      </c>
      <c r="C66" s="56">
        <v>7</v>
      </c>
    </row>
    <row r="67" spans="2:3" x14ac:dyDescent="0.25">
      <c r="B67" s="56">
        <v>85</v>
      </c>
      <c r="C67" s="56">
        <v>7</v>
      </c>
    </row>
    <row r="68" spans="2:3" x14ac:dyDescent="0.25">
      <c r="B68" s="56">
        <v>86</v>
      </c>
      <c r="C68" s="56">
        <v>7.5</v>
      </c>
    </row>
    <row r="69" spans="2:3" x14ac:dyDescent="0.25">
      <c r="B69" s="56">
        <v>87</v>
      </c>
      <c r="C69" s="56">
        <v>7.5</v>
      </c>
    </row>
    <row r="70" spans="2:3" x14ac:dyDescent="0.25">
      <c r="B70" s="56">
        <v>88</v>
      </c>
      <c r="C70" s="56">
        <v>7.5</v>
      </c>
    </row>
    <row r="71" spans="2:3" x14ac:dyDescent="0.25">
      <c r="B71" s="56">
        <v>89</v>
      </c>
      <c r="C71" s="56">
        <v>8</v>
      </c>
    </row>
    <row r="72" spans="2:3" x14ac:dyDescent="0.25">
      <c r="B72" s="56">
        <v>90</v>
      </c>
      <c r="C72" s="56">
        <v>8</v>
      </c>
    </row>
    <row r="73" spans="2:3" x14ac:dyDescent="0.25">
      <c r="B73" s="56">
        <v>91</v>
      </c>
      <c r="C73" s="56">
        <v>8</v>
      </c>
    </row>
    <row r="74" spans="2:3" x14ac:dyDescent="0.25">
      <c r="B74" s="56">
        <v>92</v>
      </c>
      <c r="C74" s="56">
        <v>8</v>
      </c>
    </row>
    <row r="75" spans="2:3" x14ac:dyDescent="0.25">
      <c r="B75" s="56">
        <v>93</v>
      </c>
      <c r="C75" s="56">
        <v>8</v>
      </c>
    </row>
    <row r="76" spans="2:3" x14ac:dyDescent="0.25">
      <c r="B76" s="56">
        <v>94</v>
      </c>
      <c r="C76" s="56">
        <v>8</v>
      </c>
    </row>
    <row r="77" spans="2:3" x14ac:dyDescent="0.25">
      <c r="B77" s="56">
        <v>95</v>
      </c>
      <c r="C77" s="56">
        <v>8</v>
      </c>
    </row>
    <row r="78" spans="2:3" x14ac:dyDescent="0.25">
      <c r="B78" s="56">
        <v>96</v>
      </c>
      <c r="C78" s="56">
        <v>8.5</v>
      </c>
    </row>
    <row r="79" spans="2:3" x14ac:dyDescent="0.25">
      <c r="B79" s="56">
        <v>97</v>
      </c>
      <c r="C79" s="56">
        <v>8.5</v>
      </c>
    </row>
    <row r="80" spans="2:3" x14ac:dyDescent="0.25">
      <c r="B80" s="56">
        <v>98</v>
      </c>
      <c r="C80" s="56">
        <v>8.5</v>
      </c>
    </row>
    <row r="81" spans="2:3" x14ac:dyDescent="0.25">
      <c r="B81" s="56">
        <v>99</v>
      </c>
      <c r="C81" s="56">
        <v>9</v>
      </c>
    </row>
    <row r="82" spans="2:3" x14ac:dyDescent="0.25">
      <c r="B82" s="56">
        <v>100</v>
      </c>
      <c r="C82" s="56">
        <v>9</v>
      </c>
    </row>
    <row r="83" spans="2:3" x14ac:dyDescent="0.25">
      <c r="B83" s="56">
        <v>101</v>
      </c>
      <c r="C83" s="56">
        <v>9</v>
      </c>
    </row>
    <row r="84" spans="2:3" x14ac:dyDescent="0.25">
      <c r="B84" s="56">
        <v>102</v>
      </c>
      <c r="C84" s="56">
        <v>9</v>
      </c>
    </row>
    <row r="85" spans="2:3" x14ac:dyDescent="0.25">
      <c r="B85" s="56">
        <v>103</v>
      </c>
      <c r="C85" s="56">
        <v>9</v>
      </c>
    </row>
    <row r="86" spans="2:3" x14ac:dyDescent="0.25">
      <c r="B86" s="56">
        <v>104</v>
      </c>
      <c r="C86" s="56">
        <v>9</v>
      </c>
    </row>
    <row r="87" spans="2:3" x14ac:dyDescent="0.25">
      <c r="B87" s="56">
        <v>105</v>
      </c>
      <c r="C87" s="56">
        <v>9</v>
      </c>
    </row>
    <row r="88" spans="2:3" x14ac:dyDescent="0.25">
      <c r="B88" s="56">
        <v>106</v>
      </c>
      <c r="C88" s="56">
        <v>9.5</v>
      </c>
    </row>
    <row r="89" spans="2:3" x14ac:dyDescent="0.25">
      <c r="B89" s="56">
        <v>107</v>
      </c>
      <c r="C89" s="56">
        <v>9.5</v>
      </c>
    </row>
    <row r="90" spans="2:3" x14ac:dyDescent="0.25">
      <c r="B90" s="56">
        <v>108</v>
      </c>
      <c r="C90" s="56">
        <v>9.5</v>
      </c>
    </row>
    <row r="91" spans="2:3" x14ac:dyDescent="0.25">
      <c r="B91" s="56">
        <v>109</v>
      </c>
      <c r="C91" s="56">
        <v>10</v>
      </c>
    </row>
    <row r="92" spans="2:3" x14ac:dyDescent="0.25">
      <c r="B92" s="56">
        <v>110</v>
      </c>
      <c r="C92" s="56">
        <v>10</v>
      </c>
    </row>
    <row r="93" spans="2:3" x14ac:dyDescent="0.25">
      <c r="B93" s="56">
        <v>111</v>
      </c>
      <c r="C93" s="56">
        <v>10</v>
      </c>
    </row>
    <row r="94" spans="2:3" x14ac:dyDescent="0.25">
      <c r="B94" s="56">
        <v>112</v>
      </c>
      <c r="C94" s="56">
        <v>10</v>
      </c>
    </row>
    <row r="95" spans="2:3" x14ac:dyDescent="0.25">
      <c r="B95" s="56">
        <v>113</v>
      </c>
      <c r="C95" s="56">
        <v>10</v>
      </c>
    </row>
    <row r="96" spans="2:3" x14ac:dyDescent="0.25">
      <c r="B96" s="56">
        <v>114</v>
      </c>
      <c r="C96" s="56">
        <v>10</v>
      </c>
    </row>
    <row r="97" spans="2:3" x14ac:dyDescent="0.25">
      <c r="B97" s="56">
        <v>115</v>
      </c>
      <c r="C97" s="56">
        <v>10</v>
      </c>
    </row>
    <row r="98" spans="2:3" x14ac:dyDescent="0.25">
      <c r="B98" s="56">
        <v>116</v>
      </c>
      <c r="C98" s="56">
        <v>10.5</v>
      </c>
    </row>
    <row r="99" spans="2:3" x14ac:dyDescent="0.25">
      <c r="B99" s="56">
        <v>117</v>
      </c>
      <c r="C99" s="56">
        <v>10.5</v>
      </c>
    </row>
    <row r="100" spans="2:3" x14ac:dyDescent="0.25">
      <c r="B100" s="56">
        <v>118</v>
      </c>
      <c r="C100" s="56">
        <v>10.5</v>
      </c>
    </row>
    <row r="101" spans="2:3" x14ac:dyDescent="0.25">
      <c r="B101" s="56">
        <v>119</v>
      </c>
      <c r="C101" s="56">
        <v>11</v>
      </c>
    </row>
    <row r="102" spans="2:3" x14ac:dyDescent="0.25">
      <c r="B102" s="56">
        <v>120</v>
      </c>
      <c r="C102" s="56">
        <v>11</v>
      </c>
    </row>
    <row r="103" spans="2:3" x14ac:dyDescent="0.25">
      <c r="B103" s="56">
        <v>121</v>
      </c>
      <c r="C103" s="56">
        <v>11</v>
      </c>
    </row>
    <row r="104" spans="2:3" x14ac:dyDescent="0.25">
      <c r="B104" s="56">
        <v>122</v>
      </c>
      <c r="C104" s="56">
        <v>11</v>
      </c>
    </row>
    <row r="105" spans="2:3" x14ac:dyDescent="0.25">
      <c r="B105" s="56">
        <v>123</v>
      </c>
      <c r="C105" s="56">
        <v>11</v>
      </c>
    </row>
    <row r="106" spans="2:3" x14ac:dyDescent="0.25">
      <c r="B106" s="56">
        <v>124</v>
      </c>
      <c r="C106" s="56">
        <v>11</v>
      </c>
    </row>
    <row r="107" spans="2:3" x14ac:dyDescent="0.25">
      <c r="B107" s="56">
        <v>125</v>
      </c>
      <c r="C107" s="56">
        <v>11</v>
      </c>
    </row>
    <row r="108" spans="2:3" x14ac:dyDescent="0.25">
      <c r="B108" s="56">
        <v>126</v>
      </c>
      <c r="C108" s="56">
        <v>11.5</v>
      </c>
    </row>
    <row r="109" spans="2:3" x14ac:dyDescent="0.25">
      <c r="B109" s="56">
        <v>127</v>
      </c>
      <c r="C109" s="56">
        <v>11.5</v>
      </c>
    </row>
    <row r="110" spans="2:3" x14ac:dyDescent="0.25">
      <c r="B110" s="56">
        <v>128</v>
      </c>
      <c r="C110" s="56">
        <v>11.5</v>
      </c>
    </row>
    <row r="111" spans="2:3" x14ac:dyDescent="0.25">
      <c r="B111" s="56">
        <v>129</v>
      </c>
      <c r="C111" s="56">
        <v>12</v>
      </c>
    </row>
    <row r="112" spans="2:3" x14ac:dyDescent="0.25">
      <c r="B112" s="56">
        <v>130</v>
      </c>
      <c r="C112" s="56">
        <v>12</v>
      </c>
    </row>
    <row r="113" spans="2:3" x14ac:dyDescent="0.25">
      <c r="B113" s="56">
        <v>131</v>
      </c>
      <c r="C113" s="56">
        <v>12</v>
      </c>
    </row>
    <row r="114" spans="2:3" x14ac:dyDescent="0.25">
      <c r="B114" s="56">
        <v>132</v>
      </c>
      <c r="C114" s="56">
        <v>12</v>
      </c>
    </row>
    <row r="115" spans="2:3" x14ac:dyDescent="0.25">
      <c r="B115" s="56">
        <v>133</v>
      </c>
      <c r="C115" s="56">
        <v>12</v>
      </c>
    </row>
    <row r="116" spans="2:3" x14ac:dyDescent="0.25">
      <c r="B116" s="56">
        <v>134</v>
      </c>
      <c r="C116" s="56">
        <v>12</v>
      </c>
    </row>
    <row r="117" spans="2:3" x14ac:dyDescent="0.25">
      <c r="B117" s="56">
        <v>135</v>
      </c>
      <c r="C117" s="56">
        <v>12</v>
      </c>
    </row>
    <row r="118" spans="2:3" x14ac:dyDescent="0.25">
      <c r="B118" s="56">
        <v>136</v>
      </c>
      <c r="C118" s="56">
        <v>12.5</v>
      </c>
    </row>
    <row r="119" spans="2:3" x14ac:dyDescent="0.25">
      <c r="B119" s="56">
        <v>137</v>
      </c>
      <c r="C119" s="56">
        <v>12.5</v>
      </c>
    </row>
    <row r="120" spans="2:3" x14ac:dyDescent="0.25">
      <c r="B120" s="56">
        <v>138</v>
      </c>
      <c r="C120" s="56">
        <v>12.5</v>
      </c>
    </row>
    <row r="121" spans="2:3" x14ac:dyDescent="0.25">
      <c r="B121" s="56">
        <v>139</v>
      </c>
      <c r="C121" s="56">
        <v>13</v>
      </c>
    </row>
    <row r="122" spans="2:3" x14ac:dyDescent="0.25">
      <c r="B122" s="56">
        <v>140</v>
      </c>
      <c r="C122" s="56">
        <v>13</v>
      </c>
    </row>
    <row r="123" spans="2:3" x14ac:dyDescent="0.25">
      <c r="B123" s="56">
        <v>141</v>
      </c>
      <c r="C123" s="56">
        <v>13</v>
      </c>
    </row>
    <row r="124" spans="2:3" x14ac:dyDescent="0.25">
      <c r="B124" s="56">
        <v>142</v>
      </c>
      <c r="C124" s="56">
        <v>13</v>
      </c>
    </row>
    <row r="125" spans="2:3" x14ac:dyDescent="0.25">
      <c r="B125" s="56">
        <v>143</v>
      </c>
      <c r="C125" s="56">
        <v>13</v>
      </c>
    </row>
    <row r="126" spans="2:3" x14ac:dyDescent="0.25">
      <c r="B126" s="56">
        <v>144</v>
      </c>
      <c r="C126" s="56">
        <v>13</v>
      </c>
    </row>
    <row r="127" spans="2:3" x14ac:dyDescent="0.25">
      <c r="B127" s="56">
        <v>145</v>
      </c>
      <c r="C127" s="56">
        <v>13</v>
      </c>
    </row>
    <row r="128" spans="2:3" x14ac:dyDescent="0.25">
      <c r="B128" s="56">
        <v>146</v>
      </c>
      <c r="C128" s="56">
        <v>13.5</v>
      </c>
    </row>
    <row r="129" spans="2:3" x14ac:dyDescent="0.25">
      <c r="B129" s="56">
        <v>147</v>
      </c>
      <c r="C129" s="56">
        <v>13.5</v>
      </c>
    </row>
    <row r="130" spans="2:3" x14ac:dyDescent="0.25">
      <c r="B130" s="56">
        <v>148</v>
      </c>
      <c r="C130" s="56">
        <v>13.5</v>
      </c>
    </row>
    <row r="131" spans="2:3" x14ac:dyDescent="0.25">
      <c r="B131" s="56">
        <v>149</v>
      </c>
      <c r="C131" s="56">
        <v>14</v>
      </c>
    </row>
    <row r="132" spans="2:3" x14ac:dyDescent="0.25">
      <c r="B132" s="56">
        <v>150</v>
      </c>
      <c r="C132" s="56">
        <v>14</v>
      </c>
    </row>
    <row r="133" spans="2:3" x14ac:dyDescent="0.25">
      <c r="B133" s="56">
        <v>151</v>
      </c>
      <c r="C133" s="56">
        <v>14</v>
      </c>
    </row>
    <row r="134" spans="2:3" x14ac:dyDescent="0.25">
      <c r="B134" s="56">
        <v>152</v>
      </c>
      <c r="C134" s="56">
        <v>14</v>
      </c>
    </row>
    <row r="135" spans="2:3" x14ac:dyDescent="0.25">
      <c r="B135" s="56">
        <v>153</v>
      </c>
      <c r="C135" s="56">
        <v>14</v>
      </c>
    </row>
    <row r="136" spans="2:3" x14ac:dyDescent="0.25">
      <c r="B136" s="56">
        <v>154</v>
      </c>
      <c r="C136" s="56">
        <v>14</v>
      </c>
    </row>
    <row r="137" spans="2:3" x14ac:dyDescent="0.25">
      <c r="B137" s="56">
        <v>155</v>
      </c>
      <c r="C137" s="56">
        <v>14</v>
      </c>
    </row>
    <row r="138" spans="2:3" x14ac:dyDescent="0.25">
      <c r="B138" s="56">
        <v>156</v>
      </c>
      <c r="C138" s="56">
        <v>14.5</v>
      </c>
    </row>
    <row r="139" spans="2:3" x14ac:dyDescent="0.25">
      <c r="B139" s="56">
        <v>157</v>
      </c>
      <c r="C139" s="56">
        <v>14.5</v>
      </c>
    </row>
    <row r="140" spans="2:3" x14ac:dyDescent="0.25">
      <c r="B140" s="56">
        <v>158</v>
      </c>
      <c r="C140" s="56">
        <v>14.5</v>
      </c>
    </row>
    <row r="141" spans="2:3" x14ac:dyDescent="0.25">
      <c r="B141" s="56">
        <v>159</v>
      </c>
      <c r="C141" s="56">
        <v>15</v>
      </c>
    </row>
    <row r="142" spans="2:3" x14ac:dyDescent="0.25">
      <c r="B142" s="56">
        <v>160</v>
      </c>
      <c r="C142" s="56">
        <v>15</v>
      </c>
    </row>
    <row r="143" spans="2:3" x14ac:dyDescent="0.25">
      <c r="B143" s="56">
        <v>161</v>
      </c>
      <c r="C143" s="56">
        <v>15</v>
      </c>
    </row>
    <row r="144" spans="2:3" x14ac:dyDescent="0.25">
      <c r="B144" s="56">
        <v>162</v>
      </c>
      <c r="C144" s="56">
        <v>15</v>
      </c>
    </row>
    <row r="145" spans="2:3" x14ac:dyDescent="0.25">
      <c r="B145" s="56">
        <v>163</v>
      </c>
      <c r="C145" s="56">
        <v>15</v>
      </c>
    </row>
    <row r="146" spans="2:3" x14ac:dyDescent="0.25">
      <c r="B146" s="56">
        <v>164</v>
      </c>
      <c r="C146" s="56">
        <v>15</v>
      </c>
    </row>
    <row r="147" spans="2:3" x14ac:dyDescent="0.25">
      <c r="B147" s="56">
        <v>165</v>
      </c>
      <c r="C147" s="56">
        <v>15</v>
      </c>
    </row>
    <row r="148" spans="2:3" x14ac:dyDescent="0.25">
      <c r="B148" s="56">
        <v>166</v>
      </c>
      <c r="C148" s="56">
        <v>15.5</v>
      </c>
    </row>
    <row r="149" spans="2:3" x14ac:dyDescent="0.25">
      <c r="B149" s="56">
        <v>167</v>
      </c>
      <c r="C149" s="56">
        <v>15.5</v>
      </c>
    </row>
    <row r="150" spans="2:3" x14ac:dyDescent="0.25">
      <c r="B150" s="56">
        <v>168</v>
      </c>
      <c r="C150" s="56">
        <v>15.5</v>
      </c>
    </row>
    <row r="151" spans="2:3" x14ac:dyDescent="0.25">
      <c r="B151" s="56">
        <v>169</v>
      </c>
      <c r="C151" s="56">
        <v>16</v>
      </c>
    </row>
    <row r="152" spans="2:3" x14ac:dyDescent="0.25">
      <c r="B152" s="56">
        <v>170</v>
      </c>
      <c r="C152" s="56">
        <v>16</v>
      </c>
    </row>
    <row r="153" spans="2:3" x14ac:dyDescent="0.25">
      <c r="B153" s="56">
        <v>171</v>
      </c>
      <c r="C153" s="56">
        <v>16</v>
      </c>
    </row>
    <row r="154" spans="2:3" x14ac:dyDescent="0.25">
      <c r="B154" s="56">
        <v>172</v>
      </c>
      <c r="C154" s="56">
        <v>16</v>
      </c>
    </row>
    <row r="155" spans="2:3" x14ac:dyDescent="0.25">
      <c r="B155" s="56">
        <v>173</v>
      </c>
      <c r="C155" s="56">
        <v>16</v>
      </c>
    </row>
    <row r="156" spans="2:3" x14ac:dyDescent="0.25">
      <c r="B156" s="56">
        <v>174</v>
      </c>
      <c r="C156" s="56">
        <v>16</v>
      </c>
    </row>
    <row r="157" spans="2:3" x14ac:dyDescent="0.25">
      <c r="B157" s="56">
        <v>175</v>
      </c>
      <c r="C157" s="56">
        <v>16</v>
      </c>
    </row>
    <row r="158" spans="2:3" x14ac:dyDescent="0.25">
      <c r="B158" s="56">
        <v>176</v>
      </c>
      <c r="C158" s="56">
        <v>16.5</v>
      </c>
    </row>
    <row r="159" spans="2:3" x14ac:dyDescent="0.25">
      <c r="B159" s="56">
        <v>177</v>
      </c>
      <c r="C159" s="56">
        <v>16.5</v>
      </c>
    </row>
    <row r="160" spans="2:3" x14ac:dyDescent="0.25">
      <c r="B160" s="56">
        <v>178</v>
      </c>
      <c r="C160" s="56">
        <v>16.5</v>
      </c>
    </row>
    <row r="161" spans="2:3" x14ac:dyDescent="0.25">
      <c r="B161" s="56">
        <v>179</v>
      </c>
      <c r="C161" s="56">
        <v>17</v>
      </c>
    </row>
    <row r="162" spans="2:3" x14ac:dyDescent="0.25">
      <c r="B162" s="56">
        <v>180</v>
      </c>
      <c r="C162" s="56">
        <v>17</v>
      </c>
    </row>
    <row r="163" spans="2:3" x14ac:dyDescent="0.25">
      <c r="B163" s="56">
        <v>181</v>
      </c>
      <c r="C163" s="56">
        <v>17</v>
      </c>
    </row>
    <row r="164" spans="2:3" x14ac:dyDescent="0.25">
      <c r="B164" s="56">
        <v>182</v>
      </c>
      <c r="C164" s="56">
        <v>17</v>
      </c>
    </row>
    <row r="165" spans="2:3" x14ac:dyDescent="0.25">
      <c r="B165" s="56">
        <v>183</v>
      </c>
      <c r="C165" s="56">
        <v>17</v>
      </c>
    </row>
    <row r="166" spans="2:3" x14ac:dyDescent="0.25">
      <c r="B166" s="56">
        <v>184</v>
      </c>
      <c r="C166" s="56">
        <v>17</v>
      </c>
    </row>
    <row r="167" spans="2:3" x14ac:dyDescent="0.25">
      <c r="B167" s="56">
        <v>185</v>
      </c>
      <c r="C167" s="56">
        <v>17</v>
      </c>
    </row>
    <row r="168" spans="2:3" x14ac:dyDescent="0.25">
      <c r="B168" s="56">
        <v>186</v>
      </c>
      <c r="C168" s="56">
        <v>17.5</v>
      </c>
    </row>
    <row r="169" spans="2:3" x14ac:dyDescent="0.25">
      <c r="B169" s="56">
        <v>187</v>
      </c>
      <c r="C169" s="56">
        <v>17.5</v>
      </c>
    </row>
    <row r="170" spans="2:3" x14ac:dyDescent="0.25">
      <c r="B170" s="56">
        <v>188</v>
      </c>
      <c r="C170" s="56">
        <v>17.5</v>
      </c>
    </row>
    <row r="171" spans="2:3" x14ac:dyDescent="0.25">
      <c r="B171" s="56">
        <v>189</v>
      </c>
      <c r="C171" s="56">
        <v>18</v>
      </c>
    </row>
    <row r="172" spans="2:3" x14ac:dyDescent="0.25">
      <c r="B172" s="56">
        <v>190</v>
      </c>
      <c r="C172" s="56">
        <v>18</v>
      </c>
    </row>
    <row r="173" spans="2:3" x14ac:dyDescent="0.25">
      <c r="B173" s="56">
        <v>191</v>
      </c>
      <c r="C173" s="56">
        <v>18</v>
      </c>
    </row>
    <row r="174" spans="2:3" x14ac:dyDescent="0.25">
      <c r="B174" s="56">
        <v>192</v>
      </c>
      <c r="C174" s="56">
        <v>18</v>
      </c>
    </row>
    <row r="175" spans="2:3" x14ac:dyDescent="0.25">
      <c r="B175" s="56">
        <v>193</v>
      </c>
      <c r="C175" s="56">
        <v>18</v>
      </c>
    </row>
    <row r="176" spans="2:3" x14ac:dyDescent="0.25">
      <c r="B176" s="56">
        <v>194</v>
      </c>
      <c r="C176" s="56">
        <v>18</v>
      </c>
    </row>
    <row r="177" spans="2:3" x14ac:dyDescent="0.25">
      <c r="B177" s="56">
        <v>195</v>
      </c>
      <c r="C177" s="56">
        <v>18</v>
      </c>
    </row>
    <row r="178" spans="2:3" x14ac:dyDescent="0.25">
      <c r="B178" s="56">
        <v>196</v>
      </c>
      <c r="C178" s="56">
        <v>18.5</v>
      </c>
    </row>
    <row r="179" spans="2:3" x14ac:dyDescent="0.25">
      <c r="B179" s="56">
        <v>197</v>
      </c>
      <c r="C179" s="56">
        <v>18.5</v>
      </c>
    </row>
    <row r="180" spans="2:3" x14ac:dyDescent="0.25">
      <c r="B180" s="56">
        <v>198</v>
      </c>
      <c r="C180" s="56">
        <v>18.5</v>
      </c>
    </row>
    <row r="181" spans="2:3" x14ac:dyDescent="0.25">
      <c r="B181" s="56">
        <v>199</v>
      </c>
      <c r="C181" s="56">
        <v>19</v>
      </c>
    </row>
    <row r="182" spans="2:3" x14ac:dyDescent="0.25">
      <c r="B182" s="56">
        <v>200</v>
      </c>
      <c r="C182" s="56">
        <v>19</v>
      </c>
    </row>
    <row r="183" spans="2:3" x14ac:dyDescent="0.25">
      <c r="B183" s="56">
        <v>201</v>
      </c>
      <c r="C183" s="56">
        <v>19</v>
      </c>
    </row>
    <row r="184" spans="2:3" x14ac:dyDescent="0.25">
      <c r="B184" s="56">
        <v>202</v>
      </c>
      <c r="C184" s="56">
        <v>19</v>
      </c>
    </row>
    <row r="185" spans="2:3" x14ac:dyDescent="0.25">
      <c r="B185" s="56">
        <v>203</v>
      </c>
      <c r="C185" s="56">
        <v>19</v>
      </c>
    </row>
    <row r="186" spans="2:3" x14ac:dyDescent="0.25">
      <c r="B186" s="56">
        <v>204</v>
      </c>
      <c r="C186" s="56">
        <v>19</v>
      </c>
    </row>
    <row r="187" spans="2:3" x14ac:dyDescent="0.25">
      <c r="B187" s="56">
        <v>205</v>
      </c>
      <c r="C187" s="56">
        <v>19</v>
      </c>
    </row>
    <row r="188" spans="2:3" x14ac:dyDescent="0.25">
      <c r="B188" s="56">
        <v>206</v>
      </c>
      <c r="C188" s="56">
        <v>19.5</v>
      </c>
    </row>
    <row r="189" spans="2:3" x14ac:dyDescent="0.25">
      <c r="B189" s="56">
        <v>207</v>
      </c>
      <c r="C189" s="56">
        <v>19.5</v>
      </c>
    </row>
    <row r="190" spans="2:3" x14ac:dyDescent="0.25">
      <c r="B190" s="56">
        <v>208</v>
      </c>
      <c r="C190" s="56">
        <v>19.5</v>
      </c>
    </row>
    <row r="191" spans="2:3" x14ac:dyDescent="0.25">
      <c r="B191" s="56">
        <v>209</v>
      </c>
      <c r="C191" s="56">
        <v>20</v>
      </c>
    </row>
    <row r="192" spans="2:3" x14ac:dyDescent="0.25">
      <c r="B192" s="56">
        <v>210</v>
      </c>
      <c r="C192" s="56">
        <v>20</v>
      </c>
    </row>
    <row r="193" spans="2:3" x14ac:dyDescent="0.25">
      <c r="B193" s="56">
        <v>211</v>
      </c>
      <c r="C193" s="56">
        <v>20</v>
      </c>
    </row>
    <row r="194" spans="2:3" x14ac:dyDescent="0.25">
      <c r="B194" s="56">
        <v>212</v>
      </c>
      <c r="C194" s="56">
        <v>20</v>
      </c>
    </row>
    <row r="195" spans="2:3" x14ac:dyDescent="0.25">
      <c r="B195" s="56">
        <v>213</v>
      </c>
      <c r="C195" s="56">
        <v>20</v>
      </c>
    </row>
    <row r="196" spans="2:3" x14ac:dyDescent="0.25">
      <c r="B196" s="56">
        <v>214</v>
      </c>
      <c r="C196" s="56">
        <v>20</v>
      </c>
    </row>
    <row r="197" spans="2:3" x14ac:dyDescent="0.25">
      <c r="B197" s="56">
        <v>215</v>
      </c>
      <c r="C197" s="56">
        <v>20</v>
      </c>
    </row>
    <row r="198" spans="2:3" x14ac:dyDescent="0.25">
      <c r="B198" s="56">
        <v>216</v>
      </c>
      <c r="C198" s="56">
        <v>20.5</v>
      </c>
    </row>
    <row r="199" spans="2:3" x14ac:dyDescent="0.25">
      <c r="B199" s="56">
        <v>217</v>
      </c>
      <c r="C199" s="56">
        <v>20.5</v>
      </c>
    </row>
    <row r="200" spans="2:3" x14ac:dyDescent="0.25">
      <c r="B200" s="56">
        <v>218</v>
      </c>
      <c r="C200" s="56">
        <v>20.5</v>
      </c>
    </row>
    <row r="201" spans="2:3" x14ac:dyDescent="0.25">
      <c r="B201" s="56">
        <v>219</v>
      </c>
      <c r="C201" s="56">
        <v>21</v>
      </c>
    </row>
    <row r="202" spans="2:3" x14ac:dyDescent="0.25">
      <c r="B202" s="56">
        <v>220</v>
      </c>
      <c r="C202" s="56">
        <v>21</v>
      </c>
    </row>
    <row r="203" spans="2:3" x14ac:dyDescent="0.25">
      <c r="B203" s="56">
        <v>221</v>
      </c>
      <c r="C203" s="56">
        <v>21</v>
      </c>
    </row>
    <row r="204" spans="2:3" x14ac:dyDescent="0.25">
      <c r="B204" s="56">
        <v>222</v>
      </c>
      <c r="C204" s="56">
        <v>21</v>
      </c>
    </row>
    <row r="205" spans="2:3" x14ac:dyDescent="0.25">
      <c r="B205" s="56">
        <v>223</v>
      </c>
      <c r="C205" s="56">
        <v>21</v>
      </c>
    </row>
    <row r="206" spans="2:3" x14ac:dyDescent="0.25">
      <c r="B206" s="56">
        <v>224</v>
      </c>
      <c r="C206" s="56">
        <v>21</v>
      </c>
    </row>
    <row r="207" spans="2:3" x14ac:dyDescent="0.25">
      <c r="B207" s="56">
        <v>225</v>
      </c>
      <c r="C207" s="56">
        <v>21</v>
      </c>
    </row>
    <row r="208" spans="2:3" x14ac:dyDescent="0.25">
      <c r="B208" s="56">
        <v>226</v>
      </c>
      <c r="C208" s="56">
        <v>21.5</v>
      </c>
    </row>
    <row r="209" spans="2:3" x14ac:dyDescent="0.25">
      <c r="B209" s="56">
        <v>227</v>
      </c>
      <c r="C209" s="56">
        <v>21.5</v>
      </c>
    </row>
    <row r="210" spans="2:3" x14ac:dyDescent="0.25">
      <c r="B210" s="56">
        <v>228</v>
      </c>
      <c r="C210" s="56">
        <v>21.5</v>
      </c>
    </row>
    <row r="211" spans="2:3" x14ac:dyDescent="0.25">
      <c r="B211" s="56">
        <v>229</v>
      </c>
      <c r="C211" s="56">
        <v>22</v>
      </c>
    </row>
    <row r="212" spans="2:3" x14ac:dyDescent="0.25">
      <c r="B212" s="56">
        <v>230</v>
      </c>
      <c r="C212" s="56">
        <v>22</v>
      </c>
    </row>
    <row r="213" spans="2:3" x14ac:dyDescent="0.25">
      <c r="B213" s="56">
        <v>231</v>
      </c>
      <c r="C213" s="56">
        <v>22</v>
      </c>
    </row>
    <row r="214" spans="2:3" x14ac:dyDescent="0.25">
      <c r="B214" s="56">
        <v>232</v>
      </c>
      <c r="C214" s="56">
        <v>22</v>
      </c>
    </row>
    <row r="215" spans="2:3" x14ac:dyDescent="0.25">
      <c r="B215" s="56">
        <v>233</v>
      </c>
      <c r="C215" s="56">
        <v>22</v>
      </c>
    </row>
    <row r="216" spans="2:3" x14ac:dyDescent="0.25">
      <c r="B216" s="56">
        <v>234</v>
      </c>
      <c r="C216" s="56">
        <v>22</v>
      </c>
    </row>
    <row r="217" spans="2:3" x14ac:dyDescent="0.25">
      <c r="B217" s="56">
        <v>235</v>
      </c>
      <c r="C217" s="56">
        <v>22</v>
      </c>
    </row>
    <row r="218" spans="2:3" x14ac:dyDescent="0.25">
      <c r="B218" s="56">
        <v>236</v>
      </c>
      <c r="C218" s="56">
        <v>22.5</v>
      </c>
    </row>
    <row r="219" spans="2:3" x14ac:dyDescent="0.25">
      <c r="B219" s="56">
        <v>237</v>
      </c>
      <c r="C219" s="56">
        <v>22.5</v>
      </c>
    </row>
    <row r="220" spans="2:3" x14ac:dyDescent="0.25">
      <c r="B220" s="56">
        <v>238</v>
      </c>
      <c r="C220" s="56">
        <v>22.5</v>
      </c>
    </row>
    <row r="221" spans="2:3" x14ac:dyDescent="0.25">
      <c r="B221" s="56">
        <v>239</v>
      </c>
      <c r="C221" s="56">
        <v>23</v>
      </c>
    </row>
    <row r="222" spans="2:3" x14ac:dyDescent="0.25">
      <c r="B222" s="56">
        <v>240</v>
      </c>
      <c r="C222" s="56">
        <v>23</v>
      </c>
    </row>
    <row r="223" spans="2:3" x14ac:dyDescent="0.25">
      <c r="B223" s="56">
        <v>241</v>
      </c>
      <c r="C223" s="56">
        <v>23</v>
      </c>
    </row>
    <row r="224" spans="2:3" x14ac:dyDescent="0.25">
      <c r="B224" s="56">
        <v>242</v>
      </c>
      <c r="C224" s="56">
        <v>23</v>
      </c>
    </row>
    <row r="225" spans="2:3" x14ac:dyDescent="0.25">
      <c r="B225" s="56">
        <v>243</v>
      </c>
      <c r="C225" s="56">
        <v>23</v>
      </c>
    </row>
    <row r="226" spans="2:3" x14ac:dyDescent="0.25">
      <c r="B226" s="56">
        <v>244</v>
      </c>
      <c r="C226" s="56">
        <v>23</v>
      </c>
    </row>
    <row r="227" spans="2:3" x14ac:dyDescent="0.25">
      <c r="B227" s="56">
        <v>245</v>
      </c>
      <c r="C227" s="56">
        <v>23</v>
      </c>
    </row>
    <row r="228" spans="2:3" x14ac:dyDescent="0.25">
      <c r="B228" s="56">
        <v>246</v>
      </c>
      <c r="C228" s="56">
        <v>23.5</v>
      </c>
    </row>
    <row r="229" spans="2:3" x14ac:dyDescent="0.25">
      <c r="B229" s="56">
        <v>247</v>
      </c>
      <c r="C229" s="56">
        <v>23.5</v>
      </c>
    </row>
    <row r="230" spans="2:3" x14ac:dyDescent="0.25">
      <c r="B230" s="56">
        <v>248</v>
      </c>
      <c r="C230" s="56">
        <v>23.5</v>
      </c>
    </row>
    <row r="231" spans="2:3" x14ac:dyDescent="0.25">
      <c r="B231" s="56">
        <v>249</v>
      </c>
      <c r="C231" s="56">
        <v>24</v>
      </c>
    </row>
    <row r="232" spans="2:3" x14ac:dyDescent="0.25">
      <c r="B232" s="56">
        <v>250</v>
      </c>
      <c r="C232" s="56">
        <v>24</v>
      </c>
    </row>
    <row r="233" spans="2:3" x14ac:dyDescent="0.25">
      <c r="B233" s="56">
        <v>251</v>
      </c>
      <c r="C233" s="56">
        <v>24</v>
      </c>
    </row>
    <row r="234" spans="2:3" x14ac:dyDescent="0.25">
      <c r="B234" s="56">
        <v>252</v>
      </c>
      <c r="C234" s="56">
        <v>24</v>
      </c>
    </row>
    <row r="235" spans="2:3" x14ac:dyDescent="0.25">
      <c r="B235" s="56">
        <v>253</v>
      </c>
      <c r="C235" s="56">
        <v>24</v>
      </c>
    </row>
    <row r="236" spans="2:3" x14ac:dyDescent="0.25">
      <c r="B236" s="56">
        <v>254</v>
      </c>
      <c r="C236" s="56">
        <v>24</v>
      </c>
    </row>
    <row r="237" spans="2:3" x14ac:dyDescent="0.25">
      <c r="B237" s="56">
        <v>255</v>
      </c>
      <c r="C237" s="56">
        <v>24</v>
      </c>
    </row>
    <row r="238" spans="2:3" x14ac:dyDescent="0.25">
      <c r="B238" s="56">
        <v>256</v>
      </c>
      <c r="C238" s="56">
        <v>24.5</v>
      </c>
    </row>
    <row r="239" spans="2:3" x14ac:dyDescent="0.25">
      <c r="B239" s="56">
        <v>257</v>
      </c>
      <c r="C239" s="56">
        <v>24.5</v>
      </c>
    </row>
    <row r="240" spans="2:3" x14ac:dyDescent="0.25">
      <c r="B240" s="56">
        <v>258</v>
      </c>
      <c r="C240" s="56">
        <v>24.5</v>
      </c>
    </row>
    <row r="241" spans="2:3" x14ac:dyDescent="0.25">
      <c r="B241" s="56">
        <v>259</v>
      </c>
      <c r="C241" s="56">
        <v>25</v>
      </c>
    </row>
    <row r="242" spans="2:3" x14ac:dyDescent="0.25">
      <c r="B242" s="56">
        <v>260</v>
      </c>
      <c r="C242" s="56">
        <v>25</v>
      </c>
    </row>
    <row r="243" spans="2:3" x14ac:dyDescent="0.25">
      <c r="B243" s="56">
        <v>261</v>
      </c>
      <c r="C243" s="56">
        <v>25</v>
      </c>
    </row>
    <row r="244" spans="2:3" x14ac:dyDescent="0.25">
      <c r="B244" s="56">
        <v>262</v>
      </c>
      <c r="C244" s="56">
        <v>25</v>
      </c>
    </row>
    <row r="245" spans="2:3" x14ac:dyDescent="0.25">
      <c r="B245" s="56">
        <v>263</v>
      </c>
      <c r="C245" s="56">
        <v>25</v>
      </c>
    </row>
    <row r="246" spans="2:3" x14ac:dyDescent="0.25">
      <c r="B246" s="56">
        <v>264</v>
      </c>
      <c r="C246" s="56">
        <v>25</v>
      </c>
    </row>
    <row r="247" spans="2:3" x14ac:dyDescent="0.25">
      <c r="B247" s="56">
        <v>265</v>
      </c>
      <c r="C247" s="56">
        <v>25</v>
      </c>
    </row>
    <row r="248" spans="2:3" x14ac:dyDescent="0.25">
      <c r="B248" s="56">
        <v>266</v>
      </c>
      <c r="C248" s="56">
        <v>25.5</v>
      </c>
    </row>
    <row r="249" spans="2:3" x14ac:dyDescent="0.25">
      <c r="B249" s="56">
        <v>267</v>
      </c>
      <c r="C249" s="56">
        <v>25.5</v>
      </c>
    </row>
    <row r="250" spans="2:3" x14ac:dyDescent="0.25">
      <c r="B250" s="56">
        <v>268</v>
      </c>
      <c r="C250" s="56">
        <v>25.5</v>
      </c>
    </row>
    <row r="251" spans="2:3" x14ac:dyDescent="0.25">
      <c r="B251" s="56">
        <v>269</v>
      </c>
      <c r="C251" s="56">
        <v>26</v>
      </c>
    </row>
    <row r="252" spans="2:3" x14ac:dyDescent="0.25">
      <c r="B252" s="56">
        <v>270</v>
      </c>
      <c r="C252" s="56">
        <v>26</v>
      </c>
    </row>
    <row r="253" spans="2:3" x14ac:dyDescent="0.25">
      <c r="B253" s="56">
        <v>271</v>
      </c>
      <c r="C253" s="56">
        <v>26</v>
      </c>
    </row>
    <row r="254" spans="2:3" x14ac:dyDescent="0.25">
      <c r="B254" s="56">
        <v>272</v>
      </c>
      <c r="C254" s="56">
        <v>26</v>
      </c>
    </row>
    <row r="255" spans="2:3" x14ac:dyDescent="0.25">
      <c r="B255" s="56">
        <v>273</v>
      </c>
      <c r="C255" s="56">
        <v>26</v>
      </c>
    </row>
    <row r="256" spans="2:3" x14ac:dyDescent="0.25">
      <c r="B256" s="56">
        <v>274</v>
      </c>
      <c r="C256" s="56">
        <v>26</v>
      </c>
    </row>
    <row r="257" spans="2:3" x14ac:dyDescent="0.25">
      <c r="B257" s="56">
        <v>275</v>
      </c>
      <c r="C257" s="56">
        <v>26</v>
      </c>
    </row>
    <row r="258" spans="2:3" x14ac:dyDescent="0.25">
      <c r="B258" s="56">
        <v>276</v>
      </c>
      <c r="C258" s="56">
        <v>26.5</v>
      </c>
    </row>
    <row r="259" spans="2:3" x14ac:dyDescent="0.25">
      <c r="B259" s="56">
        <v>277</v>
      </c>
      <c r="C259" s="56">
        <v>26.5</v>
      </c>
    </row>
    <row r="260" spans="2:3" x14ac:dyDescent="0.25">
      <c r="B260" s="56">
        <v>278</v>
      </c>
      <c r="C260" s="56">
        <v>26.5</v>
      </c>
    </row>
    <row r="261" spans="2:3" x14ac:dyDescent="0.25">
      <c r="B261" s="56">
        <v>279</v>
      </c>
      <c r="C261" s="56">
        <v>27</v>
      </c>
    </row>
    <row r="262" spans="2:3" x14ac:dyDescent="0.25">
      <c r="B262" s="56">
        <v>280</v>
      </c>
      <c r="C262" s="56">
        <v>27</v>
      </c>
    </row>
    <row r="263" spans="2:3" x14ac:dyDescent="0.25">
      <c r="B263" s="56">
        <v>281</v>
      </c>
      <c r="C263" s="56">
        <v>27</v>
      </c>
    </row>
    <row r="264" spans="2:3" x14ac:dyDescent="0.25">
      <c r="B264" s="56">
        <v>282</v>
      </c>
      <c r="C264" s="56">
        <v>27</v>
      </c>
    </row>
    <row r="265" spans="2:3" x14ac:dyDescent="0.25">
      <c r="B265" s="56">
        <v>283</v>
      </c>
      <c r="C265" s="56">
        <v>27</v>
      </c>
    </row>
    <row r="266" spans="2:3" x14ac:dyDescent="0.25">
      <c r="B266" s="56">
        <v>284</v>
      </c>
      <c r="C266" s="56">
        <v>27</v>
      </c>
    </row>
    <row r="267" spans="2:3" x14ac:dyDescent="0.25">
      <c r="B267" s="56">
        <v>285</v>
      </c>
      <c r="C267" s="56">
        <v>27</v>
      </c>
    </row>
    <row r="268" spans="2:3" x14ac:dyDescent="0.25">
      <c r="B268" s="56">
        <v>286</v>
      </c>
      <c r="C268" s="56">
        <v>27.5</v>
      </c>
    </row>
    <row r="269" spans="2:3" x14ac:dyDescent="0.25">
      <c r="B269" s="56">
        <v>287</v>
      </c>
      <c r="C269" s="56">
        <v>27.5</v>
      </c>
    </row>
    <row r="270" spans="2:3" x14ac:dyDescent="0.25">
      <c r="B270" s="56">
        <v>288</v>
      </c>
      <c r="C270" s="56">
        <v>27.5</v>
      </c>
    </row>
    <row r="271" spans="2:3" x14ac:dyDescent="0.25">
      <c r="B271" s="56">
        <v>289</v>
      </c>
      <c r="C271" s="56">
        <v>28</v>
      </c>
    </row>
    <row r="272" spans="2:3" x14ac:dyDescent="0.25">
      <c r="B272" s="56">
        <v>290</v>
      </c>
      <c r="C272" s="56">
        <v>28</v>
      </c>
    </row>
    <row r="273" spans="2:3" x14ac:dyDescent="0.25">
      <c r="B273" s="56">
        <v>291</v>
      </c>
      <c r="C273" s="56">
        <v>28</v>
      </c>
    </row>
    <row r="274" spans="2:3" x14ac:dyDescent="0.25">
      <c r="B274" s="56">
        <v>292</v>
      </c>
      <c r="C274" s="56">
        <v>28</v>
      </c>
    </row>
    <row r="275" spans="2:3" x14ac:dyDescent="0.25">
      <c r="B275" s="56">
        <v>293</v>
      </c>
      <c r="C275" s="56">
        <v>28</v>
      </c>
    </row>
    <row r="276" spans="2:3" x14ac:dyDescent="0.25">
      <c r="B276" s="56">
        <v>294</v>
      </c>
      <c r="C276" s="56">
        <v>28</v>
      </c>
    </row>
    <row r="277" spans="2:3" x14ac:dyDescent="0.25">
      <c r="B277" s="56">
        <v>295</v>
      </c>
      <c r="C277" s="56">
        <v>28</v>
      </c>
    </row>
    <row r="278" spans="2:3" x14ac:dyDescent="0.25">
      <c r="B278" s="56">
        <v>296</v>
      </c>
      <c r="C278" s="56">
        <v>28.5</v>
      </c>
    </row>
    <row r="279" spans="2:3" x14ac:dyDescent="0.25">
      <c r="B279" s="56">
        <v>297</v>
      </c>
      <c r="C279" s="56">
        <v>28.5</v>
      </c>
    </row>
    <row r="280" spans="2:3" x14ac:dyDescent="0.25">
      <c r="B280" s="56">
        <v>298</v>
      </c>
      <c r="C280" s="56">
        <v>28.5</v>
      </c>
    </row>
    <row r="281" spans="2:3" x14ac:dyDescent="0.25">
      <c r="B281" s="56">
        <v>299</v>
      </c>
      <c r="C281" s="56">
        <v>29</v>
      </c>
    </row>
    <row r="282" spans="2:3" x14ac:dyDescent="0.25">
      <c r="B282" s="56">
        <v>300</v>
      </c>
      <c r="C282" s="56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049633a5-2ee1-46b6-97ba-b1aa10ccb170" ContentTypeId="0x010100E67DC0D90D08554D9354CDCBD7E5102502011A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350b5f1672e437690a97c7817a19e5d xmlns="16618668-4539-4bb0-a4c5-d868b30b6c7d">
      <Terms xmlns="http://schemas.microsoft.com/office/infopath/2007/PartnerControls"/>
    </c350b5f1672e437690a97c7817a19e5d>
    <CH-MD31_x0020_-_x0020_Mandant xmlns="16618668-4539-4bb0-a4c5-d868b30b6c7d">Dulon Marie-Christine (DT)</CH-MD31_x0020_-_x0020_Mandant>
    <gec5a868c2c34f94a640feb6eccb1553 xmlns="16618668-4539-4bb0-a4c5-d868b30b6c7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Elaboration</TermName>
          <TermId xmlns="http://schemas.microsoft.com/office/infopath/2007/PartnerControls">1e5b2a5f-c6de-4eef-bbdb-f1f83b5fd5ae</TermId>
        </TermInfo>
      </Terms>
    </gec5a868c2c34f94a640feb6eccb1553>
    <p12faceae931475da4e4669f94482bb3 xmlns="16618668-4539-4bb0-a4c5-d868b30b6c7d">
      <Terms xmlns="http://schemas.microsoft.com/office/infopath/2007/PartnerControls">
        <TermInfo xmlns="http://schemas.microsoft.com/office/infopath/2007/PartnerControls">
          <TermName xmlns="http://schemas.microsoft.com/office/infopath/2007/PartnerControls">Non public</TermName>
          <TermId xmlns="http://schemas.microsoft.com/office/infopath/2007/PartnerControls">6f0b6295-39e9-4978-9016-dc89b002883c</TermId>
        </TermInfo>
      </Terms>
    </p12faceae931475da4e4669f94482bb3>
    <_dlc_DocId xmlns="16618668-4539-4bb0-a4c5-d868b30b6c7d">DOCPROJ01-1851621595-42</_dlc_DocId>
    <TaxCatchAll xmlns="16618668-4539-4bb0-a4c5-d868b30b6c7d">
      <Value>620</Value>
      <Value>2</Value>
      <Value>1</Value>
    </TaxCatchAll>
    <CH-MD75_x0020_-_x0020_Version_x0020_officielle xmlns="16618668-4539-4bb0-a4c5-d868b30b6c7d" xsi:nil="true"/>
    <CH-MD00_x0020_-_x0020_Numero_x0020_de_x0020_projet xmlns="16618668-4539-4bb0-a4c5-d868b30b6c7d">10901</CH-MD00_x0020_-_x0020_Numero_x0020_de_x0020_projet>
    <hd87851e30214afab0e19b9a83c4edeb xmlns="16618668-4539-4bb0-a4c5-d868b30b6c7d">
      <Terms xmlns="http://schemas.microsoft.com/office/infopath/2007/PartnerControls"/>
    </hd87851e30214afab0e19b9a83c4edeb>
    <CH-MD40_x0020_-_x0020_Date_x0020_seance xmlns="16618668-4539-4bb0-a4c5-d868b30b6c7d">2023-04-06T12:03:11+00:00</CH-MD40_x0020_-_x0020_Date_x0020_seance>
    <CH-MD30_x0020_-_x0020_Chef_x0020_de_x0020_projet xmlns="16618668-4539-4bb0-a4c5-d868b30b6c7d">Pupin Henrick (DI)</CH-MD30_x0020_-_x0020_Chef_x0020_de_x0020_projet>
    <ia6fb3a1c58047438ab80d00b3abb81e xmlns="16618668-4539-4bb0-a4c5-d868b30b6c7d">
      <Terms xmlns="http://schemas.microsoft.com/office/infopath/2007/PartnerControls"/>
    </ia6fb3a1c58047438ab80d00b3abb81e>
    <ode0fe0dc1444b02a16ed5de02cde0a3 xmlns="16618668-4539-4bb0-a4c5-d868b30b6c7d">
      <Terms xmlns="http://schemas.microsoft.com/office/infopath/2007/PartnerControls"/>
    </ode0fe0dc1444b02a16ed5de02cde0a3>
    <ee7f4b9762a744ea97d6e02b3f312835 xmlns="16618668-4539-4bb0-a4c5-d868b30b6c7d">
      <Terms xmlns="http://schemas.microsoft.com/office/infopath/2007/PartnerControls"/>
    </ee7f4b9762a744ea97d6e02b3f312835>
    <g2e9765f2e1f4b5888c3c4d0dfd182a8 xmlns="16618668-4539-4bb0-a4c5-d868b30b6c7d">
      <Terms xmlns="http://schemas.microsoft.com/office/infopath/2007/PartnerControls"/>
    </g2e9765f2e1f4b5888c3c4d0dfd182a8>
    <na6234147120bf1bbdfbc7e27df36db4 xmlns="16618668-4539-4bb0-a4c5-d868b30b6c7d" xsi:nil="true"/>
    <ieca4acf8839476582d120b901b72d04 xmlns="16618668-4539-4bb0-a4c5-d868b30b6c7d">
      <Terms xmlns="http://schemas.microsoft.com/office/infopath/2007/PartnerControls"/>
    </ieca4acf8839476582d120b901b72d04>
    <c1d5859c60874420b51062f1689b7e29 xmlns="16618668-4539-4bb0-a4c5-d868b30b6c7d">
      <Terms xmlns="http://schemas.microsoft.com/office/infopath/2007/PartnerControls"/>
    </c1d5859c60874420b51062f1689b7e29>
    <hub_uniteOrganisationnelleTaxHTField xmlns="16618668-4539-4bb0-a4c5-d868b30b6c7d">
      <Terms xmlns="http://schemas.microsoft.com/office/infopath/2007/PartnerControls"/>
    </hub_uniteOrganisationnelleTaxHTField>
    <CGH-MD32_x0020_-_x0020_Sponsor xmlns="16618668-4539-4bb0-a4c5-d868b30b6c7d">Eudes Jean-René (DI)</CGH-MD32_x0020_-_x0020_Sponsor>
    <CH-MD00_x0020_-_x0020_Libelle_x0020_du_x0020_projet xmlns="16618668-4539-4bb0-a4c5-d868b30b6c7d">DT - OCLPF - Etats locatifs - Fonctionnalités minimales</CH-MD00_x0020_-_x0020_Libelle_x0020_du_x0020_projet>
    <_dlc_DocIdUrl xmlns="16618668-4539-4bb0-a4c5-d868b30b6c7d">
      <Url>https://ecd.ge.ch/dgsi-projets/01/10901/_layouts/15/DocIdRedir.aspx?ID=DOCPROJ01-1851621595-42</Url>
      <Description>DOCPROJ01-1851621595-42</Description>
    </_dlc_DocIdUrl>
    <i923cc2d4e0041558c3588acab5d4ee1 xmlns="16618668-4539-4bb0-a4c5-d868b30b6c7d">
      <Terms xmlns="http://schemas.microsoft.com/office/infopath/2007/PartnerControls">
        <TermInfo xmlns="http://schemas.microsoft.com/office/infopath/2007/PartnerControls">
          <TermName xmlns="http://schemas.microsoft.com/office/infopath/2007/PartnerControls">01-Initialisation</TermName>
          <TermId xmlns="http://schemas.microsoft.com/office/infopath/2007/PartnerControls">b319a4c8-29d6-4a53-8ce7-1401d435d337</TermId>
        </TermInfo>
      </Terms>
    </i923cc2d4e0041558c3588acab5d4ee1>
    <CH-MD-751_x0020_-_x0020_Version_x0020_du_x0020_modele xmlns="16618668-4539-4bb0-a4c5-d868b30b6c7d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080 - Document de travail (PROJ)" ma:contentTypeID="0x010100E67DC0D90D08554D9354CDCBD7E5102502011A00F4E2A7F04EEFE64991AD09725109CFC4" ma:contentTypeVersion="0" ma:contentTypeDescription="Document de travail de projet générique" ma:contentTypeScope="" ma:versionID="9f1c61c88a17c7cf54af67eb6c481e9b">
  <xsd:schema xmlns:xsd="http://www.w3.org/2001/XMLSchema" xmlns:xs="http://www.w3.org/2001/XMLSchema" xmlns:p="http://schemas.microsoft.com/office/2006/metadata/properties" xmlns:ns2="16618668-4539-4bb0-a4c5-d868b30b6c7d" targetNamespace="http://schemas.microsoft.com/office/2006/metadata/properties" ma:root="true" ma:fieldsID="9626bd71248053624f837e533d7a80de" ns2:_="">
    <xsd:import namespace="16618668-4539-4bb0-a4c5-d868b30b6c7d"/>
    <xsd:element name="properties">
      <xsd:complexType>
        <xsd:sequence>
          <xsd:element name="documentManagement">
            <xsd:complexType>
              <xsd:all>
                <xsd:element ref="ns2:TaxCatchAllLabel" minOccurs="0"/>
                <xsd:element ref="ns2:g2e9765f2e1f4b5888c3c4d0dfd182a8" minOccurs="0"/>
                <xsd:element ref="ns2:p12faceae931475da4e4669f94482bb3" minOccurs="0"/>
                <xsd:element ref="ns2:TaxCatchAll" minOccurs="0"/>
                <xsd:element ref="ns2:gec5a868c2c34f94a640feb6eccb1553" minOccurs="0"/>
                <xsd:element ref="ns2:hub_uniteOrganisationnelleTaxHTField" minOccurs="0"/>
                <xsd:element ref="ns2:_dlc_DocId" minOccurs="0"/>
                <xsd:element ref="ns2:_dlc_DocIdUrl" minOccurs="0"/>
                <xsd:element ref="ns2:_dlc_DocIdPersistId" minOccurs="0"/>
                <xsd:element ref="ns2:na6234147120bf1bbdfbc7e27df36db4" minOccurs="0"/>
                <xsd:element ref="ns2:ee7f4b9762a744ea97d6e02b3f312835" minOccurs="0"/>
                <xsd:element ref="ns2:c350b5f1672e437690a97c7817a19e5d" minOccurs="0"/>
                <xsd:element ref="ns2:hd87851e30214afab0e19b9a83c4edeb" minOccurs="0"/>
                <xsd:element ref="ns2:CH-MD30_x0020_-_x0020_Chef_x0020_de_x0020_projet" minOccurs="0"/>
                <xsd:element ref="ns2:CH-MD31_x0020_-_x0020_Mandant" minOccurs="0"/>
                <xsd:element ref="ns2:CGH-MD32_x0020_-_x0020_Sponsor" minOccurs="0"/>
                <xsd:element ref="ns2:ieca4acf8839476582d120b901b72d04" minOccurs="0"/>
                <xsd:element ref="ns2:ode0fe0dc1444b02a16ed5de02cde0a3" minOccurs="0"/>
                <xsd:element ref="ns2:CH-MD40_x0020_-_x0020_Date_x0020_seance" minOccurs="0"/>
                <xsd:element ref="ns2:CH-MD-751_x0020_-_x0020_Version_x0020_du_x0020_modele" minOccurs="0"/>
                <xsd:element ref="ns2:c1d5859c60874420b51062f1689b7e29" minOccurs="0"/>
                <xsd:element ref="ns2:CH-MD75_x0020_-_x0020_Version_x0020_officielle" minOccurs="0"/>
                <xsd:element ref="ns2:CH-MD00_x0020_-_x0020_Numero_x0020_de_x0020_projet" minOccurs="0"/>
                <xsd:element ref="ns2:CH-MD00_x0020_-_x0020_Libelle_x0020_du_x0020_projet" minOccurs="0"/>
                <xsd:element ref="ns2:ia6fb3a1c58047438ab80d00b3abb81e" minOccurs="0"/>
                <xsd:element ref="ns2:i923cc2d4e0041558c3588acab5d4ee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618668-4539-4bb0-a4c5-d868b30b6c7d" elementFormDefault="qualified">
    <xsd:import namespace="http://schemas.microsoft.com/office/2006/documentManagement/types"/>
    <xsd:import namespace="http://schemas.microsoft.com/office/infopath/2007/PartnerControls"/>
    <xsd:element name="TaxCatchAllLabel" ma:index="8" nillable="true" ma:displayName="Taxonomy Catch All Column1" ma:hidden="true" ma:list="{202b630e-571e-4768-a46f-0734cfa200e7}" ma:internalName="TaxCatchAllLabel" ma:readOnly="true" ma:showField="CatchAllDataLabel" ma:web="c013b125-b263-4b85-9980-4b2e0c5ff7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2e9765f2e1f4b5888c3c4d0dfd182a8" ma:index="10" nillable="true" ma:taxonomy="true" ma:internalName="g2e9765f2e1f4b5888c3c4d0dfd182a8" ma:taxonomyFieldName="CH_x002d_MD24_x0020__x002d__x0020_Type_x0020_de_x0020_document" ma:displayName="Type de document" ma:default="" ma:fieldId="{02e9765f-2e1f-4b58-88c3-c4d0dfd182a8}" ma:sspId="049633a5-2ee1-46b6-97ba-b1aa10ccb170" ma:termSetId="200c5350-25fa-4b49-947c-98689a6f65a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12faceae931475da4e4669f94482bb3" ma:index="13" nillable="true" ma:taxonomy="true" ma:internalName="p12faceae931475da4e4669f94482bb3" ma:taxonomyFieldName="CH_x002d_MD05_x0020__x002d__x0020_Classification" ma:displayName="Classification" ma:default="" ma:fieldId="{912facea-e931-475d-a4e4-669f94482bb3}" ma:sspId="049633a5-2ee1-46b6-97ba-b1aa10ccb170" ma:termSetId="d5d98427-83ee-46a7-9bde-29ea522cc21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hidden="true" ma:list="{202b630e-571e-4768-a46f-0734cfa200e7}" ma:internalName="TaxCatchAll" ma:showField="CatchAllData" ma:web="c013b125-b263-4b85-9980-4b2e0c5ff7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ec5a868c2c34f94a640feb6eccb1553" ma:index="15" nillable="true" ma:taxonomy="true" ma:internalName="gec5a868c2c34f94a640feb6eccb1553" ma:taxonomyFieldName="hub_statut" ma:displayName="Etat" ma:readOnly="false" ma:default="620;#Elaboration|1e5b2a5f-c6de-4eef-bbdb-f1f83b5fd5ae" ma:fieldId="{0ec5a868-c2c3-4f94-a640-feb6eccb1553}" ma:sspId="049633a5-2ee1-46b6-97ba-b1aa10ccb170" ma:termSetId="1c66cfcb-3c58-4a8e-b767-6bf0878572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ub_uniteOrganisationnelleTaxHTField" ma:index="17" nillable="true" ma:taxonomy="true" ma:internalName="hub_uniteOrganisationnelleTaxHTField" ma:taxonomyFieldName="hub_uniteOrganisationnelle" ma:displayName="UO" ma:readOnly="false" ma:default="" ma:fieldId="{5df5d59d-c40b-4eee-bb9a-cbd211ff3ee1}" ma:sspId="049633a5-2ee1-46b6-97ba-b1aa10ccb170" ma:termSetId="1e0b99ce-d5db-4774-bee4-69232aaf123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19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20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na6234147120bf1bbdfbc7e27df36db4" ma:index="22" nillable="true" ma:displayName="HubSortFinal_0" ma:hidden="true" ma:internalName="na6234147120bf1bbdfbc7e27df36db4">
      <xsd:simpleType>
        <xsd:restriction base="dms:Note"/>
      </xsd:simpleType>
    </xsd:element>
    <xsd:element name="ee7f4b9762a744ea97d6e02b3f312835" ma:index="24" nillable="true" ma:taxonomy="true" ma:internalName="ee7f4b9762a744ea97d6e02b3f312835" ma:taxonomyFieldName="CH_x002d_MD09_x0020__x002d__x0020_Module_x0020_HERMES" ma:displayName="CH-MD09 - Module HERMES" ma:default="" ma:fieldId="{ee7f4b97-62a7-44ea-97d6-e02b3f312835}" ma:sspId="049633a5-2ee1-46b6-97ba-b1aa10ccb170" ma:termSetId="f33e76f1-91c0-4a95-aa23-d78a0c33e95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350b5f1672e437690a97c7817a19e5d" ma:index="26" nillable="true" ma:taxonomy="true" ma:internalName="c350b5f1672e437690a97c7817a19e5d" ma:taxonomyFieldName="CH_x002d_MD15_x0020__x002d__x0020_PEPSIC" ma:displayName="CH-MD15 - PEPSIC" ma:default="" ma:fieldId="{c350b5f1-672e-4376-90a9-7c7817a19e5d}" ma:taxonomyMulti="true" ma:sspId="049633a5-2ee1-46b6-97ba-b1aa10ccb170" ma:termSetId="7df544c7-1075-4eee-895e-e99950d93c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d87851e30214afab0e19b9a83c4edeb" ma:index="28" nillable="true" ma:taxonomy="true" ma:internalName="hd87851e30214afab0e19b9a83c4edeb" ma:taxonomyFieldName="CH_x002d_MD07_x0020__x002d__x0020_Domaine_x0020_projet" ma:displayName="CH-MD07 - Domaine projet" ma:default="" ma:fieldId="{1d87851e-3021-4afa-b0e1-9b9a83c4edeb}" ma:taxonomyMulti="true" ma:sspId="049633a5-2ee1-46b6-97ba-b1aa10ccb170" ma:termSetId="ea19bfa7-4ede-4638-bd72-c7cdb6fe48c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H-MD30_x0020_-_x0020_Chef_x0020_de_x0020_projet" ma:index="30" nillable="true" ma:displayName="CH-MD30 - Chef de projet" ma:internalName="CH_x002d_MD30_x0020__x002d__x0020_Chef_x0020_de_x0020_projet">
      <xsd:simpleType>
        <xsd:restriction base="dms:Text">
          <xsd:maxLength value="255"/>
        </xsd:restriction>
      </xsd:simpleType>
    </xsd:element>
    <xsd:element name="CH-MD31_x0020_-_x0020_Mandant" ma:index="31" nillable="true" ma:displayName="CH-MD31 - Mandant" ma:internalName="CH_x002d_MD31_x0020__x002d__x0020_Mandant">
      <xsd:simpleType>
        <xsd:restriction base="dms:Text">
          <xsd:maxLength value="255"/>
        </xsd:restriction>
      </xsd:simpleType>
    </xsd:element>
    <xsd:element name="CGH-MD32_x0020_-_x0020_Sponsor" ma:index="32" nillable="true" ma:displayName="CH-MD32 - Sponsor" ma:internalName="CGH_x002d_MD32_x0020__x002d__x0020_Sponsor">
      <xsd:simpleType>
        <xsd:restriction base="dms:Text">
          <xsd:maxLength value="255"/>
        </xsd:restriction>
      </xsd:simpleType>
    </xsd:element>
    <xsd:element name="ieca4acf8839476582d120b901b72d04" ma:index="33" nillable="true" ma:taxonomy="true" ma:internalName="ieca4acf8839476582d120b901b72d04" ma:taxonomyFieldName="CH_x002d_MD14_x0020__x002d__x0020_Processus_x0020_propri_x00e9_taire" ma:displayName="CH-MD14 - Processus propriétaire" ma:default="" ma:fieldId="{2eca4acf-8839-4765-82d1-20b901b72d04}" ma:sspId="049633a5-2ee1-46b6-97ba-b1aa10ccb170" ma:termSetId="9701dcff-03c6-430e-a152-3d6228f365d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de0fe0dc1444b02a16ed5de02cde0a3" ma:index="34" nillable="true" ma:taxonomy="true" ma:internalName="ode0fe0dc1444b02a16ed5de02cde0a3" ma:taxonomyFieldName="CH_x002d_MD40_x0020__x002d__x0020_Type_x0020_de_x0020_seance" ma:displayName="CH-MD40 - Type de seance" ma:default="" ma:fieldId="{8de0fe0d-c144-4b02-a16e-d5de02cde0a3}" ma:sspId="049633a5-2ee1-46b6-97ba-b1aa10ccb170" ma:termSetId="9d2b4a5f-ecd8-4298-a352-82587053df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H-MD40_x0020_-_x0020_Date_x0020_seance" ma:index="36" nillable="true" ma:displayName="CH-MD40 - Date seance" ma:default="[today]" ma:format="DateOnly" ma:internalName="CH_x002d_MD40_x0020__x002d__x0020_Date_x0020_seance">
      <xsd:simpleType>
        <xsd:restriction base="dms:DateTime"/>
      </xsd:simpleType>
    </xsd:element>
    <xsd:element name="CH-MD-751_x0020_-_x0020_Version_x0020_du_x0020_modele" ma:index="38" nillable="true" ma:displayName="CH-MD-751 - Version du modele" ma:internalName="CH_x002d_MD_x002d_751_x0020__x002d__x0020_Version_x0020_du_x0020_modele">
      <xsd:simpleType>
        <xsd:restriction base="dms:Text">
          <xsd:maxLength value="10"/>
        </xsd:restriction>
      </xsd:simpleType>
    </xsd:element>
    <xsd:element name="c1d5859c60874420b51062f1689b7e29" ma:index="39" nillable="true" ma:taxonomy="true" ma:internalName="c1d5859c60874420b51062f1689b7e29" ma:taxonomyFieldName="CH_x002d_MD80_x0020_Categorie_x0020_document" ma:displayName="CH-MD80 - Categorie document" ma:default="" ma:fieldId="{c1d5859c-6087-4420-b510-62f1689b7e29}" ma:sspId="049633a5-2ee1-46b6-97ba-b1aa10ccb170" ma:termSetId="cc038652-b0a2-4bd6-9edd-f27938f0c8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H-MD75_x0020_-_x0020_Version_x0020_officielle" ma:index="41" nillable="true" ma:displayName="CH-MD75 - Version officielle" ma:internalName="CH_x002d_MD75_x0020__x002d__x0020_Version_x0020_officielle">
      <xsd:simpleType>
        <xsd:restriction base="dms:Text">
          <xsd:maxLength value="255"/>
        </xsd:restriction>
      </xsd:simpleType>
    </xsd:element>
    <xsd:element name="CH-MD00_x0020_-_x0020_Numero_x0020_de_x0020_projet" ma:index="42" nillable="true" ma:displayName="CH-MD00 - Numero de projet" ma:internalName="CH_x002d_MD00_x0020__x002d__x0020_Numero_x0020_de_x0020_projet">
      <xsd:simpleType>
        <xsd:restriction base="dms:Text">
          <xsd:maxLength value="5"/>
        </xsd:restriction>
      </xsd:simpleType>
    </xsd:element>
    <xsd:element name="CH-MD00_x0020_-_x0020_Libelle_x0020_du_x0020_projet" ma:index="43" nillable="true" ma:displayName="CH-MD00 - Libelle du projet" ma:internalName="CH_x002d_MD00_x0020__x002d__x0020_Libelle_x0020_du_x0020_projet">
      <xsd:simpleType>
        <xsd:restriction base="dms:Text">
          <xsd:maxLength value="255"/>
        </xsd:restriction>
      </xsd:simpleType>
    </xsd:element>
    <xsd:element name="ia6fb3a1c58047438ab80d00b3abb81e" ma:index="44" nillable="true" ma:taxonomy="true" ma:internalName="ia6fb3a1c58047438ab80d00b3abb81e" ma:taxonomyFieldName="CH_x002d_MD08_x0020__x002d__x0020_Resultat_x0020_HERMES" ma:displayName="CH-MD08 - Resultat HERMES" ma:default="" ma:fieldId="{2a6fb3a1-c580-4743-8ab8-0d00b3abb81e}" ma:sspId="049633a5-2ee1-46b6-97ba-b1aa10ccb170" ma:termSetId="768db4dd-63a0-4eaa-8666-8a24d02f52b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923cc2d4e0041558c3588acab5d4ee1" ma:index="46" nillable="true" ma:taxonomy="true" ma:internalName="i923cc2d4e0041558c3588acab5d4ee1" ma:taxonomyFieldName="CH_x002d_MD01_x0020__x002d__x0020_Phase_x0020_HERMES" ma:displayName="CH-MD01 - Phase HERMES" ma:default="-1;#01-Initialisation|b319a4c8-29d6-4a53-8ce7-1401d435d337" ma:fieldId="{2923cc2d-4e00-4155-8c35-88acab5d4ee1}" ma:taxonomyMulti="true" ma:sspId="049633a5-2ee1-46b6-97ba-b1aa10ccb170" ma:termSetId="a7520dda-c85e-4f30-ae33-f6b896943ac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2" ma:displayName="Auteur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FAB2D7-A3B9-4E02-8298-5E060741744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4080739-DC20-41F7-A1BA-335A80F0BC74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60E65909-F5F3-4894-BCE0-11F826BD4DDA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16618668-4539-4bb0-a4c5-d868b30b6c7d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AAB3A31C-A9F2-4232-9C9D-A4587512AB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618668-4539-4bb0-a4c5-d868b30b6c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B1FDE833-176D-4ED9-AA9B-4B20E2F011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Informations générales</vt:lpstr>
      <vt:lpstr>Informations LOCATIF</vt:lpstr>
      <vt:lpstr>Informations VENTE</vt:lpstr>
      <vt:lpstr>Surfaces commerciales &amp; garages</vt:lpstr>
      <vt:lpstr>Récapitulatif</vt:lpstr>
      <vt:lpstr>Listes</vt:lpstr>
      <vt:lpstr>Aide calcul</vt:lpstr>
      <vt:lpstr>L_HBM</vt:lpstr>
      <vt:lpstr>LHBM</vt:lpstr>
      <vt:lpstr>'Informations générales'!Zone_d_impression</vt:lpstr>
      <vt:lpstr>'Informations LOCATIF'!Zone_d_impression</vt:lpstr>
      <vt:lpstr>'Informations VENTE'!Zone_d_impression</vt:lpstr>
      <vt:lpstr>Récapitulatif!Zone_d_impression</vt:lpstr>
      <vt:lpstr>'Surfaces commerciales &amp; garages'!Zone_d_impression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LCG (DT)</dc:creator>
  <cp:lastModifiedBy>Ebener Anthony (DT)</cp:lastModifiedBy>
  <cp:lastPrinted>2024-11-22T15:16:29Z</cp:lastPrinted>
  <dcterms:created xsi:type="dcterms:W3CDTF">2015-06-05T18:19:34Z</dcterms:created>
  <dcterms:modified xsi:type="dcterms:W3CDTF">2025-04-15T08:27:50Z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dfbc7e27df6234147120bf36db4a1bb">
    <vt:lpwstr/>
  </property>
  <property fmtid="{D5CDD505-2E9C-101B-9397-08002B2CF9AE}" pid="3" name="l19bba9111654e542544c9a5f727e447">
    <vt:lpwstr/>
  </property>
  <property fmtid="{D5CDD505-2E9C-101B-9397-08002B2CF9AE}" pid="4" name="HubSortFinal">
    <vt:lpwstr/>
  </property>
  <property fmtid="{D5CDD505-2E9C-101B-9397-08002B2CF9AE}" pid="5" name="CH-MD05 - Classification">
    <vt:lpwstr>2;#Non public|6f0b6295-39e9-4978-9016-dc89b002883c</vt:lpwstr>
  </property>
  <property fmtid="{D5CDD505-2E9C-101B-9397-08002B2CF9AE}" pid="6" name="CH-MD01 - Phase HERMES">
    <vt:lpwstr>1;#01-Initialisation|b319a4c8-29d6-4a53-8ce7-1401d435d337</vt:lpwstr>
  </property>
  <property fmtid="{D5CDD505-2E9C-101B-9397-08002B2CF9AE}" pid="7" name="CH-MD14 - Processus propriétaire">
    <vt:lpwstr/>
  </property>
  <property fmtid="{D5CDD505-2E9C-101B-9397-08002B2CF9AE}" pid="8" name="hub_uniteOrganisationnelle">
    <vt:lpwstr/>
  </property>
  <property fmtid="{D5CDD505-2E9C-101B-9397-08002B2CF9AE}" pid="9" name="ContentTypeId">
    <vt:lpwstr>0x010100E67DC0D90D08554D9354CDCBD7E5102502011A00F4E2A7F04EEFE64991AD09725109CFC4</vt:lpwstr>
  </property>
  <property fmtid="{D5CDD505-2E9C-101B-9397-08002B2CF9AE}" pid="10" name="HubMD023EtatCycleVie">
    <vt:lpwstr/>
  </property>
  <property fmtid="{D5CDD505-2E9C-101B-9397-08002B2CF9AE}" pid="11" name="hub_statut">
    <vt:lpwstr>620;#Elaboration|1e5b2a5f-c6de-4eef-bbdb-f1f83b5fd5ae</vt:lpwstr>
  </property>
  <property fmtid="{D5CDD505-2E9C-101B-9397-08002B2CF9AE}" pid="12" name="CH-MD14-Processus abregé">
    <vt:lpwstr/>
  </property>
  <property fmtid="{D5CDD505-2E9C-101B-9397-08002B2CF9AE}" pid="13" name="CH-MD80 Categorie document">
    <vt:lpwstr/>
  </property>
  <property fmtid="{D5CDD505-2E9C-101B-9397-08002B2CF9AE}" pid="14" name="CH-MD15 - PEPSIC">
    <vt:lpwstr/>
  </property>
  <property fmtid="{D5CDD505-2E9C-101B-9397-08002B2CF9AE}" pid="15" name="CH-MD07 - Domaine projet">
    <vt:lpwstr/>
  </property>
  <property fmtid="{D5CDD505-2E9C-101B-9397-08002B2CF9AE}" pid="16" name="h56ab09fd49540298c4800237406f8ce">
    <vt:lpwstr/>
  </property>
  <property fmtid="{D5CDD505-2E9C-101B-9397-08002B2CF9AE}" pid="17" name="_dlc_DocIdItemGuid">
    <vt:lpwstr>93954875-3f06-4b2a-ba49-f4a3c6b86b23</vt:lpwstr>
  </property>
  <property fmtid="{D5CDD505-2E9C-101B-9397-08002B2CF9AE}" pid="18" name="HubMD021PlanClassement">
    <vt:lpwstr/>
  </property>
  <property fmtid="{D5CDD505-2E9C-101B-9397-08002B2CF9AE}" pid="19" name="CH-MD09 - Module HERMES">
    <vt:lpwstr/>
  </property>
  <property fmtid="{D5CDD505-2E9C-101B-9397-08002B2CF9AE}" pid="20" name="CH-MD24 - Type de document">
    <vt:lpwstr/>
  </property>
  <property fmtid="{D5CDD505-2E9C-101B-9397-08002B2CF9AE}" pid="21" name="la1bbdfbc7e27df6234147120bf36db4">
    <vt:lpwstr/>
  </property>
  <property fmtid="{D5CDD505-2E9C-101B-9397-08002B2CF9AE}" pid="22" name="n4a1bbdfbc7e27df6234047120bf36db">
    <vt:lpwstr/>
  </property>
  <property fmtid="{D5CDD505-2E9C-101B-9397-08002B2CF9AE}" pid="23" name="HubActionCVD">
    <vt:lpwstr/>
  </property>
  <property fmtid="{D5CDD505-2E9C-101B-9397-08002B2CF9AE}" pid="24" name="HubMD026ServiceProducteurFichier">
    <vt:lpwstr/>
  </property>
  <property fmtid="{D5CDD505-2E9C-101B-9397-08002B2CF9AE}" pid="25" name="CH-MD08 - Resultat HERMES">
    <vt:lpwstr/>
  </property>
  <property fmtid="{D5CDD505-2E9C-101B-9397-08002B2CF9AE}" pid="26" name="CH-MD40 - Type de seance">
    <vt:lpwstr/>
  </property>
  <property fmtid="{D5CDD505-2E9C-101B-9397-08002B2CF9AE}" pid="27" name="_NewReviewCycle">
    <vt:lpwstr/>
  </property>
</Properties>
</file>